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2310" windowWidth="9165" windowHeight="1845" tabRatio="599"/>
  </bookViews>
  <sheets>
    <sheet name="DMR-2" sheetId="252" r:id="rId1"/>
    <sheet name="DMR3p1" sheetId="210" r:id="rId2"/>
    <sheet name="DMR3p2to7" sheetId="211" r:id="rId3"/>
    <sheet name="PC1p1-Emp.Red." sheetId="181" r:id="rId4"/>
    <sheet name="PC1p2-Emp.Red." sheetId="237" r:id="rId5"/>
    <sheet name="PC1p3-Emp.Red." sheetId="236" r:id="rId6"/>
    <sheet name="PC1p4-Emp.Red." sheetId="180" r:id="rId7"/>
    <sheet name="PC2p1-Pension" sheetId="178" r:id="rId8"/>
    <sheet name="PC2p2-Pension" sheetId="179" r:id="rId9"/>
    <sheet name="PC3p1-OPEB" sheetId="232" r:id="rId10"/>
    <sheet name="PC3p2-OPEB" sheetId="231" r:id="rId11"/>
    <sheet name="PC4p1_SalaryOH" sheetId="220" r:id="rId12"/>
    <sheet name="PC4p2-SalaryOH" sheetId="256" r:id="rId13"/>
    <sheet name="PC5-JB_Retire" sheetId="257" r:id="rId14"/>
    <sheet name="Adj_5.2-Colstrip" sheetId="263" r:id="rId15"/>
    <sheet name="Adj_6.1-EOP_Reserves" sheetId="264" r:id="rId16"/>
    <sheet name="Adj_6.2-DeprecAnnualize" sheetId="265" r:id="rId17"/>
    <sheet name="Adj_6.3-HydroDecomm" sheetId="266" r:id="rId18"/>
    <sheet name="Adj_6.4-Accel.Dep." sheetId="255" r:id="rId19"/>
    <sheet name="Adj_7.1-InterestSync" sheetId="254" r:id="rId20"/>
    <sheet name="Adj_7.4-PowerTax" sheetId="267" r:id="rId21"/>
    <sheet name="Adj_7.7-DefStateTax" sheetId="268" r:id="rId22"/>
    <sheet name="Adj_8.1-JB_Mine" sheetId="269" r:id="rId23"/>
    <sheet name="Adj_8.4.1-MajorPlant" sheetId="272" r:id="rId24"/>
    <sheet name="Adj_8.4.2-MajorPlantDep" sheetId="273" r:id="rId25"/>
    <sheet name="Adj_8.11-EOP Plant" sheetId="270" r:id="rId26"/>
    <sheet name="Adj_8.13_Idaho" sheetId="271" r:id="rId27"/>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2">DMR3p2to7!$A:$D</definedName>
    <definedName name="_xlnm.Print_Titles" localSheetId="6">'PC1p4-Emp.Red.'!$1:$8</definedName>
    <definedName name="_xlnm.Print_Titles" localSheetId="8">'PC2p2-Pension'!$1:$8</definedName>
    <definedName name="_xlnm.Print_Titles" localSheetId="10">'PC3p2-OPEB'!$1:$8</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N28" i="255" l="1"/>
  <c r="N27" i="255"/>
  <c r="N24" i="255"/>
  <c r="N23" i="255"/>
  <c r="H19" i="255"/>
  <c r="F19" i="255"/>
  <c r="F15" i="266"/>
  <c r="F31" i="273" l="1"/>
  <c r="F26" i="273"/>
  <c r="F28" i="273" s="1"/>
  <c r="F34" i="273" s="1"/>
  <c r="F12" i="273" s="1"/>
  <c r="AS54" i="211"/>
  <c r="AS28" i="211"/>
  <c r="AS15" i="211"/>
  <c r="F31" i="272"/>
  <c r="F29" i="272"/>
  <c r="I12" i="273" l="1"/>
  <c r="AS30" i="211" s="1"/>
  <c r="AS33" i="211" s="1"/>
  <c r="AS38" i="211" s="1"/>
  <c r="AS40" i="211" s="1"/>
  <c r="F14" i="273"/>
  <c r="I14" i="273" s="1"/>
  <c r="AS57" i="211" s="1"/>
  <c r="AS64" i="211" s="1"/>
  <c r="AS66" i="211" s="1"/>
  <c r="F32" i="272"/>
  <c r="H22" i="272" s="1"/>
  <c r="F45" i="272" l="1"/>
  <c r="F48" i="272" s="1"/>
  <c r="H23" i="272" s="1"/>
  <c r="F39" i="272" l="1"/>
  <c r="F36" i="272"/>
  <c r="F37" i="272" s="1"/>
  <c r="F40" i="272" s="1"/>
  <c r="H24" i="272" s="1"/>
  <c r="K24" i="272" s="1"/>
  <c r="AR59" i="211" s="1"/>
  <c r="K15" i="272"/>
  <c r="AR57" i="211" s="1"/>
  <c r="K18" i="272"/>
  <c r="AR30" i="211" s="1"/>
  <c r="K23" i="272"/>
  <c r="AR35" i="211" s="1"/>
  <c r="K22" i="272"/>
  <c r="AR33" i="211" s="1"/>
  <c r="K12" i="272"/>
  <c r="AR43" i="211" s="1"/>
  <c r="H21" i="272" l="1"/>
  <c r="G21" i="272"/>
  <c r="F21" i="272"/>
  <c r="L17" i="210"/>
  <c r="BB59" i="211"/>
  <c r="BB57" i="211"/>
  <c r="BB43" i="211"/>
  <c r="F64" i="271"/>
  <c r="F58" i="271"/>
  <c r="F39" i="271"/>
  <c r="F30" i="271"/>
  <c r="G64" i="271"/>
  <c r="G58" i="271"/>
  <c r="G39" i="271"/>
  <c r="G30" i="271"/>
  <c r="K71" i="271"/>
  <c r="K63" i="271"/>
  <c r="K62" i="271"/>
  <c r="K61" i="271"/>
  <c r="K60" i="271"/>
  <c r="K57" i="271"/>
  <c r="K56" i="271"/>
  <c r="K55" i="271"/>
  <c r="K54" i="271"/>
  <c r="K53" i="271"/>
  <c r="K52" i="271"/>
  <c r="K51" i="271"/>
  <c r="K50" i="271"/>
  <c r="K49" i="271"/>
  <c r="K48" i="271"/>
  <c r="K47" i="271"/>
  <c r="K46" i="271"/>
  <c r="K45" i="271"/>
  <c r="K44" i="271"/>
  <c r="H58" i="271"/>
  <c r="K38" i="271"/>
  <c r="K37" i="271"/>
  <c r="K36" i="271"/>
  <c r="K35" i="271"/>
  <c r="K34" i="271"/>
  <c r="K33" i="271"/>
  <c r="K32" i="271"/>
  <c r="K29" i="271"/>
  <c r="K28" i="271"/>
  <c r="K27" i="271"/>
  <c r="K26" i="271"/>
  <c r="K25" i="271"/>
  <c r="K24" i="271"/>
  <c r="K23" i="271"/>
  <c r="K22" i="271"/>
  <c r="K21" i="271"/>
  <c r="K20" i="271"/>
  <c r="K19" i="271"/>
  <c r="K18" i="271"/>
  <c r="K17" i="271"/>
  <c r="K16" i="271"/>
  <c r="K15" i="271"/>
  <c r="K14" i="271"/>
  <c r="K13" i="271"/>
  <c r="K12" i="271"/>
  <c r="K11" i="271"/>
  <c r="K21" i="272" l="1"/>
  <c r="G41" i="271"/>
  <c r="G66" i="271"/>
  <c r="F66" i="271"/>
  <c r="F41" i="271"/>
  <c r="G68" i="271"/>
  <c r="K64" i="271"/>
  <c r="H64" i="271"/>
  <c r="H66" i="271" s="1"/>
  <c r="K30" i="271"/>
  <c r="K39" i="271"/>
  <c r="H30" i="271"/>
  <c r="H39" i="271"/>
  <c r="K43" i="271"/>
  <c r="K58" i="271" s="1"/>
  <c r="K66" i="271" s="1"/>
  <c r="F68" i="271" l="1"/>
  <c r="H41" i="271"/>
  <c r="H68" i="271" s="1"/>
  <c r="K41" i="271"/>
  <c r="K68" i="271" s="1"/>
  <c r="K106" i="270"/>
  <c r="K105" i="270"/>
  <c r="K104" i="270"/>
  <c r="K101" i="270"/>
  <c r="K100" i="270"/>
  <c r="K99" i="270"/>
  <c r="K97" i="270"/>
  <c r="K96" i="270"/>
  <c r="K95" i="270"/>
  <c r="K94" i="270"/>
  <c r="K93" i="270"/>
  <c r="K92" i="270"/>
  <c r="K91" i="270"/>
  <c r="K89" i="270"/>
  <c r="K88" i="270"/>
  <c r="K86" i="270"/>
  <c r="K85" i="270"/>
  <c r="K84" i="270"/>
  <c r="K82" i="270"/>
  <c r="K81" i="270"/>
  <c r="K80" i="270"/>
  <c r="K78" i="270"/>
  <c r="K77" i="270"/>
  <c r="K75" i="270"/>
  <c r="K74" i="270"/>
  <c r="K73" i="270"/>
  <c r="K72" i="270"/>
  <c r="K70" i="270"/>
  <c r="K69" i="270"/>
  <c r="K45" i="270"/>
  <c r="K44" i="270"/>
  <c r="K43" i="270"/>
  <c r="K42" i="270"/>
  <c r="K41" i="270"/>
  <c r="K40" i="270"/>
  <c r="K39" i="270"/>
  <c r="K38" i="270"/>
  <c r="K37" i="270"/>
  <c r="K36" i="270"/>
  <c r="K35" i="270"/>
  <c r="K34" i="270"/>
  <c r="K33" i="270"/>
  <c r="K32" i="270"/>
  <c r="K31" i="270"/>
  <c r="K30" i="270"/>
  <c r="K29" i="270"/>
  <c r="K28" i="270"/>
  <c r="K27" i="270"/>
  <c r="K26" i="270"/>
  <c r="K25" i="270"/>
  <c r="K24" i="270"/>
  <c r="K23" i="270"/>
  <c r="K22" i="270"/>
  <c r="K21" i="270"/>
  <c r="K20" i="270"/>
  <c r="K19" i="270"/>
  <c r="K18" i="270"/>
  <c r="K17" i="270"/>
  <c r="K16" i="270"/>
  <c r="K15" i="270"/>
  <c r="K14" i="270"/>
  <c r="K13" i="270"/>
  <c r="K12" i="270"/>
  <c r="K11" i="270"/>
  <c r="K10" i="270"/>
  <c r="K103" i="270"/>
  <c r="K102" i="270"/>
  <c r="K98" i="270"/>
  <c r="K90" i="270"/>
  <c r="K83" i="270"/>
  <c r="K79" i="270"/>
  <c r="K87" i="270"/>
  <c r="K76" i="270"/>
  <c r="K71" i="270"/>
  <c r="K68" i="270"/>
  <c r="K67" i="270"/>
  <c r="K66" i="270"/>
  <c r="K54" i="270"/>
  <c r="K53" i="270"/>
  <c r="K52" i="270"/>
  <c r="K51" i="270"/>
  <c r="K50" i="270"/>
  <c r="K49" i="270"/>
  <c r="K48" i="270"/>
  <c r="K47" i="270"/>
  <c r="K46" i="270"/>
  <c r="H107" i="270"/>
  <c r="K107" i="270" l="1"/>
  <c r="AO57" i="211" l="1"/>
  <c r="AO45" i="211"/>
  <c r="AO43" i="211"/>
  <c r="H21" i="269"/>
  <c r="G21" i="269"/>
  <c r="H15" i="269"/>
  <c r="G15" i="269"/>
  <c r="F21" i="269"/>
  <c r="F15" i="269"/>
  <c r="K14" i="269" l="1"/>
  <c r="K13" i="269"/>
  <c r="K20" i="269" l="1"/>
  <c r="K12" i="269"/>
  <c r="K15" i="269" s="1"/>
  <c r="K19" i="269"/>
  <c r="K18" i="269" l="1"/>
  <c r="K21" i="269" s="1"/>
  <c r="L17" i="268" l="1"/>
  <c r="AL59" i="211" s="1"/>
  <c r="L15" i="268"/>
  <c r="AL35" i="211" s="1"/>
  <c r="AI59" i="211" l="1"/>
  <c r="L21" i="267"/>
  <c r="L31" i="267"/>
  <c r="L30" i="267"/>
  <c r="L29" i="267"/>
  <c r="L28" i="267"/>
  <c r="L27" i="267"/>
  <c r="L26" i="267"/>
  <c r="L25" i="267"/>
  <c r="L24" i="267"/>
  <c r="L23" i="267"/>
  <c r="L18" i="267"/>
  <c r="L15" i="267"/>
  <c r="L14" i="267"/>
  <c r="L13" i="267"/>
  <c r="I32" i="267"/>
  <c r="H32" i="267"/>
  <c r="G32" i="267" l="1"/>
  <c r="F32" i="267"/>
  <c r="L32" i="267" l="1"/>
  <c r="D24" i="254" l="1"/>
  <c r="D27" i="254" s="1"/>
  <c r="D29" i="254" s="1"/>
  <c r="D14" i="254" s="1"/>
  <c r="H24" i="254"/>
  <c r="H27" i="254" s="1"/>
  <c r="H29" i="254" s="1"/>
  <c r="H14" i="254" s="1"/>
  <c r="F24" i="254"/>
  <c r="F27" i="254" s="1"/>
  <c r="F29" i="254" s="1"/>
  <c r="F14" i="254" s="1"/>
  <c r="N29" i="255" l="1"/>
  <c r="N25" i="255"/>
  <c r="N18" i="255"/>
  <c r="N17" i="255"/>
  <c r="N19" i="255" s="1"/>
  <c r="N13" i="255"/>
  <c r="N12" i="255"/>
  <c r="H14" i="255"/>
  <c r="F29" i="255"/>
  <c r="F25" i="255"/>
  <c r="F12" i="255"/>
  <c r="K15" i="266"/>
  <c r="H15" i="266"/>
  <c r="K13" i="266"/>
  <c r="K12" i="266"/>
  <c r="K60" i="265" l="1"/>
  <c r="K59" i="265"/>
  <c r="K58" i="265"/>
  <c r="K57" i="265"/>
  <c r="K56" i="265"/>
  <c r="H62" i="265"/>
  <c r="K51" i="265"/>
  <c r="K50" i="265"/>
  <c r="K49" i="265"/>
  <c r="K48" i="265"/>
  <c r="K47" i="265"/>
  <c r="H53" i="265"/>
  <c r="F49" i="265"/>
  <c r="H45" i="265"/>
  <c r="K43" i="265"/>
  <c r="K42" i="265"/>
  <c r="K41" i="265"/>
  <c r="K40" i="265"/>
  <c r="K39" i="265"/>
  <c r="K45" i="265" s="1"/>
  <c r="H36" i="265"/>
  <c r="K35" i="265"/>
  <c r="K34" i="265"/>
  <c r="K33" i="265"/>
  <c r="K32" i="265"/>
  <c r="K31" i="265"/>
  <c r="K30" i="265"/>
  <c r="K29" i="265"/>
  <c r="K28" i="265"/>
  <c r="K27" i="265"/>
  <c r="K26" i="265"/>
  <c r="K24" i="265"/>
  <c r="K23" i="265"/>
  <c r="K22" i="265"/>
  <c r="K21" i="265"/>
  <c r="K53" i="265" l="1"/>
  <c r="K36" i="265"/>
  <c r="K62" i="265"/>
  <c r="H45" i="264"/>
  <c r="K45" i="264"/>
  <c r="K44" i="264"/>
  <c r="K43" i="264"/>
  <c r="K42" i="264"/>
  <c r="K41" i="264"/>
  <c r="K40" i="264"/>
  <c r="K39" i="264"/>
  <c r="K38" i="264"/>
  <c r="K37" i="264"/>
  <c r="K36" i="264"/>
  <c r="K35" i="264"/>
  <c r="K34" i="264"/>
  <c r="K33" i="264"/>
  <c r="K32" i="264"/>
  <c r="K31" i="264"/>
  <c r="K30" i="264"/>
  <c r="K29" i="264"/>
  <c r="K28" i="264"/>
  <c r="K26" i="264"/>
  <c r="K25" i="264"/>
  <c r="K24" i="264"/>
  <c r="K23" i="264"/>
  <c r="F23" i="264"/>
  <c r="K27" i="263" l="1"/>
  <c r="K24" i="263"/>
  <c r="AA60" i="211" s="1"/>
  <c r="K23" i="263"/>
  <c r="AA59" i="211" s="1"/>
  <c r="K22" i="263"/>
  <c r="K21" i="263"/>
  <c r="K20" i="263"/>
  <c r="K19" i="263"/>
  <c r="K16" i="263"/>
  <c r="AA35" i="211" s="1"/>
  <c r="K14" i="263"/>
  <c r="K13" i="263"/>
  <c r="AA32" i="211" s="1"/>
  <c r="K12" i="263"/>
  <c r="K11" i="263"/>
  <c r="AA57" i="211" l="1"/>
  <c r="AA43" i="211"/>
  <c r="AA30" i="211"/>
  <c r="AA33" i="211" s="1"/>
  <c r="BC30" i="211" l="1"/>
  <c r="BB64" i="211" l="1"/>
  <c r="BB54" i="211"/>
  <c r="BB28" i="211"/>
  <c r="BB15" i="211"/>
  <c r="Z64" i="211"/>
  <c r="Y64" i="211"/>
  <c r="X64" i="211"/>
  <c r="W64" i="211"/>
  <c r="V64" i="211"/>
  <c r="Y54" i="211"/>
  <c r="X54" i="211"/>
  <c r="X66" i="211" s="1"/>
  <c r="W54" i="211"/>
  <c r="V54" i="211"/>
  <c r="V66" i="211" s="1"/>
  <c r="Y15" i="211"/>
  <c r="X15" i="211"/>
  <c r="W15" i="211"/>
  <c r="V15" i="211"/>
  <c r="J67" i="252"/>
  <c r="L67" i="252" s="1"/>
  <c r="F67" i="252"/>
  <c r="F65" i="252"/>
  <c r="F64" i="252"/>
  <c r="F63" i="252"/>
  <c r="F62" i="252"/>
  <c r="F61" i="252"/>
  <c r="F60" i="252"/>
  <c r="F59" i="252"/>
  <c r="F58" i="252"/>
  <c r="F57" i="252"/>
  <c r="F56" i="252"/>
  <c r="F55" i="252"/>
  <c r="F54" i="252"/>
  <c r="F53" i="252"/>
  <c r="F52" i="252"/>
  <c r="F49" i="252"/>
  <c r="F48" i="252"/>
  <c r="F47" i="252"/>
  <c r="F46" i="252"/>
  <c r="F45" i="252"/>
  <c r="F44" i="252"/>
  <c r="F43" i="252"/>
  <c r="F42" i="252"/>
  <c r="F41" i="252"/>
  <c r="F39" i="252"/>
  <c r="F38" i="252"/>
  <c r="D37" i="252"/>
  <c r="F37" i="252" s="1"/>
  <c r="E36" i="252"/>
  <c r="F36" i="252" s="1"/>
  <c r="E34" i="252"/>
  <c r="F34" i="252" s="1"/>
  <c r="F33" i="252"/>
  <c r="F31" i="252"/>
  <c r="F30" i="252"/>
  <c r="F29" i="252"/>
  <c r="F28" i="252"/>
  <c r="F27" i="252"/>
  <c r="F26" i="252"/>
  <c r="F25" i="252"/>
  <c r="F24" i="252"/>
  <c r="F23" i="252"/>
  <c r="F22" i="252"/>
  <c r="F21" i="252"/>
  <c r="F20" i="252"/>
  <c r="F19" i="252"/>
  <c r="F18" i="252"/>
  <c r="F16" i="252"/>
  <c r="F15" i="252"/>
  <c r="F14" i="252"/>
  <c r="F13" i="252"/>
  <c r="F12" i="252"/>
  <c r="F11" i="252"/>
  <c r="A11" i="252"/>
  <c r="A12" i="252" s="1"/>
  <c r="A13" i="252" s="1"/>
  <c r="A14" i="252" s="1"/>
  <c r="A15" i="252" s="1"/>
  <c r="A16" i="252" s="1"/>
  <c r="A18" i="252" s="1"/>
  <c r="A19" i="252" s="1"/>
  <c r="A20" i="252" s="1"/>
  <c r="A21" i="252" s="1"/>
  <c r="A22" i="252" s="1"/>
  <c r="A23" i="252" s="1"/>
  <c r="A24" i="252" s="1"/>
  <c r="A25" i="252" s="1"/>
  <c r="A26" i="252" s="1"/>
  <c r="A27" i="252" s="1"/>
  <c r="A28" i="252" s="1"/>
  <c r="A29" i="252" s="1"/>
  <c r="A30" i="252" s="1"/>
  <c r="A31" i="252" s="1"/>
  <c r="A33" i="252" s="1"/>
  <c r="A34" i="252" s="1"/>
  <c r="A36" i="252" s="1"/>
  <c r="A37" i="252" s="1"/>
  <c r="A38" i="252" s="1"/>
  <c r="A39" i="252" s="1"/>
  <c r="A41" i="252" s="1"/>
  <c r="A42" i="252" s="1"/>
  <c r="A43" i="252" s="1"/>
  <c r="A44" i="252" s="1"/>
  <c r="A45" i="252" s="1"/>
  <c r="A46" i="252" s="1"/>
  <c r="A47" i="252" s="1"/>
  <c r="A48" i="252" s="1"/>
  <c r="A49" i="252" s="1"/>
  <c r="A52" i="252" s="1"/>
  <c r="A53" i="252" s="1"/>
  <c r="A54" i="252" s="1"/>
  <c r="A55" i="252" s="1"/>
  <c r="A56" i="252" s="1"/>
  <c r="A57" i="252" s="1"/>
  <c r="A58" i="252" s="1"/>
  <c r="A59" i="252" s="1"/>
  <c r="A60" i="252" s="1"/>
  <c r="A61" i="252" s="1"/>
  <c r="A62" i="252" s="1"/>
  <c r="A63" i="252" s="1"/>
  <c r="A64" i="252" s="1"/>
  <c r="A65" i="252" s="1"/>
  <c r="A67" i="252" s="1"/>
  <c r="A68" i="252" s="1"/>
  <c r="A70" i="252" s="1"/>
  <c r="A71" i="252" s="1"/>
  <c r="J9" i="252"/>
  <c r="F9" i="252"/>
  <c r="BB33" i="211" l="1"/>
  <c r="BB66" i="211"/>
  <c r="I64" i="252" s="1"/>
  <c r="F68" i="252"/>
  <c r="BB38" i="211"/>
  <c r="BB40" i="211" s="1"/>
  <c r="W66" i="211"/>
  <c r="Y66" i="211"/>
  <c r="L9" i="252"/>
  <c r="D68" i="252"/>
  <c r="E68" i="252"/>
  <c r="BD63" i="211" l="1"/>
  <c r="BD62" i="211"/>
  <c r="BD60" i="211"/>
  <c r="BD53" i="211"/>
  <c r="BD52" i="211"/>
  <c r="BD51" i="211"/>
  <c r="BD50" i="211"/>
  <c r="BD49" i="211"/>
  <c r="BD47" i="211"/>
  <c r="BD46" i="211"/>
  <c r="BD45" i="211"/>
  <c r="BD44" i="211"/>
  <c r="BD37" i="211"/>
  <c r="BD36" i="211"/>
  <c r="BD34" i="211"/>
  <c r="BD32" i="211"/>
  <c r="BD31" i="211"/>
  <c r="BD26" i="211"/>
  <c r="BD19" i="211"/>
  <c r="BD14" i="211"/>
  <c r="BD13" i="211"/>
  <c r="BD12" i="211"/>
  <c r="BD11" i="211"/>
  <c r="BC64" i="211"/>
  <c r="AZ54" i="211"/>
  <c r="BA64" i="211"/>
  <c r="AZ64" i="211"/>
  <c r="AY64" i="211"/>
  <c r="AX64" i="211"/>
  <c r="BC54" i="211"/>
  <c r="BA54" i="211"/>
  <c r="AY54" i="211"/>
  <c r="AY66" i="211" s="1"/>
  <c r="I61" i="252" s="1"/>
  <c r="J61" i="252" s="1"/>
  <c r="L61" i="252" s="1"/>
  <c r="AX54" i="211"/>
  <c r="BC28" i="211"/>
  <c r="BA28" i="211"/>
  <c r="AZ28" i="211"/>
  <c r="AY28" i="211"/>
  <c r="AX28" i="211"/>
  <c r="BC15" i="211"/>
  <c r="BA15" i="211"/>
  <c r="AZ15" i="211"/>
  <c r="AY15" i="211"/>
  <c r="AX15" i="211"/>
  <c r="BD43" i="211" l="1"/>
  <c r="AX33" i="211"/>
  <c r="BC33" i="211"/>
  <c r="AY33" i="211"/>
  <c r="AY38" i="211" s="1"/>
  <c r="AY40" i="211" s="1"/>
  <c r="AZ66" i="211"/>
  <c r="I62" i="252" s="1"/>
  <c r="J62" i="252" s="1"/>
  <c r="L62" i="252" s="1"/>
  <c r="BA33" i="211"/>
  <c r="BA38" i="211" s="1"/>
  <c r="BA40" i="211" s="1"/>
  <c r="BC66" i="211"/>
  <c r="BA66" i="211"/>
  <c r="I63" i="252" s="1"/>
  <c r="J63" i="252" s="1"/>
  <c r="L63" i="252" s="1"/>
  <c r="AX66" i="211"/>
  <c r="I60" i="252" s="1"/>
  <c r="J60" i="252" s="1"/>
  <c r="L60" i="252" s="1"/>
  <c r="AX38" i="211"/>
  <c r="AX40" i="211" s="1"/>
  <c r="BC38" i="211"/>
  <c r="BC40" i="211" s="1"/>
  <c r="H65" i="252" s="1"/>
  <c r="AZ33" i="211"/>
  <c r="AZ38" i="211" s="1"/>
  <c r="AZ40" i="211" s="1"/>
  <c r="AT48" i="211"/>
  <c r="BD48" i="211" s="1"/>
  <c r="AQ61" i="211"/>
  <c r="AW64" i="211"/>
  <c r="AV64" i="211"/>
  <c r="AU64" i="211"/>
  <c r="AT64" i="211"/>
  <c r="AR64" i="211"/>
  <c r="AP64" i="211"/>
  <c r="AO64" i="211"/>
  <c r="AN64" i="211"/>
  <c r="AW54" i="211"/>
  <c r="AV54" i="211"/>
  <c r="AU54" i="211"/>
  <c r="AT54" i="211"/>
  <c r="AT66" i="211" s="1"/>
  <c r="I56" i="252" s="1"/>
  <c r="J56" i="252" s="1"/>
  <c r="L56" i="252" s="1"/>
  <c r="AR54" i="211"/>
  <c r="AQ54" i="211"/>
  <c r="AP54" i="211"/>
  <c r="AO54" i="211"/>
  <c r="AN54" i="211"/>
  <c r="AW28" i="211"/>
  <c r="AV28" i="211"/>
  <c r="AU28" i="211"/>
  <c r="AT28" i="211"/>
  <c r="AR28" i="211"/>
  <c r="AR38" i="211" s="1"/>
  <c r="AQ28" i="211"/>
  <c r="AP28" i="211"/>
  <c r="AO28" i="211"/>
  <c r="AN28" i="211"/>
  <c r="AN38" i="211" s="1"/>
  <c r="AW15" i="211"/>
  <c r="AV15" i="211"/>
  <c r="AU15" i="211"/>
  <c r="AT15" i="211"/>
  <c r="AR15" i="211"/>
  <c r="AQ15" i="211"/>
  <c r="AQ33" i="211" s="1"/>
  <c r="AP15" i="211"/>
  <c r="AO15" i="211"/>
  <c r="AN15" i="211"/>
  <c r="BD35" i="211"/>
  <c r="BD59" i="211"/>
  <c r="AC33" i="211"/>
  <c r="BD30" i="211"/>
  <c r="BD58" i="211"/>
  <c r="Q25" i="211"/>
  <c r="AM64" i="211"/>
  <c r="AL64" i="211"/>
  <c r="AK64" i="211"/>
  <c r="AJ64" i="211"/>
  <c r="AI64" i="211"/>
  <c r="AH64" i="211"/>
  <c r="AG64" i="211"/>
  <c r="AF64" i="211"/>
  <c r="AE64" i="211"/>
  <c r="AD64" i="211"/>
  <c r="AC64" i="211"/>
  <c r="AA64" i="211"/>
  <c r="U64" i="211"/>
  <c r="T64" i="211"/>
  <c r="S64" i="211"/>
  <c r="R64" i="211"/>
  <c r="AM54" i="211"/>
  <c r="AL54" i="211"/>
  <c r="AK54" i="211"/>
  <c r="AJ54" i="211"/>
  <c r="AI54" i="211"/>
  <c r="AH54" i="211"/>
  <c r="AG54" i="211"/>
  <c r="AF54" i="211"/>
  <c r="AE54" i="211"/>
  <c r="AD54" i="211"/>
  <c r="H38" i="252" s="1"/>
  <c r="AC54" i="211"/>
  <c r="AB54" i="211"/>
  <c r="H36" i="252" s="1"/>
  <c r="AA54" i="211"/>
  <c r="Z54" i="211"/>
  <c r="Z66" i="211" s="1"/>
  <c r="U54" i="211"/>
  <c r="U66" i="211" s="1"/>
  <c r="T54" i="211"/>
  <c r="S54" i="211"/>
  <c r="R54" i="211"/>
  <c r="AM28" i="211"/>
  <c r="AL28" i="211"/>
  <c r="AK28" i="211"/>
  <c r="AJ28" i="211"/>
  <c r="AI28" i="211"/>
  <c r="AH28" i="211"/>
  <c r="AG28" i="211"/>
  <c r="AF28" i="211"/>
  <c r="AE28" i="211"/>
  <c r="AD28" i="211"/>
  <c r="AC28" i="211"/>
  <c r="AB28" i="211"/>
  <c r="AA28" i="211"/>
  <c r="Z28" i="211"/>
  <c r="U28" i="211"/>
  <c r="T28" i="211"/>
  <c r="S28" i="211"/>
  <c r="R28" i="211"/>
  <c r="AM15" i="211"/>
  <c r="AL15" i="211"/>
  <c r="AK15" i="211"/>
  <c r="AK33" i="211" s="1"/>
  <c r="AJ15" i="211"/>
  <c r="AI15" i="211"/>
  <c r="AH15" i="211"/>
  <c r="AG15" i="211"/>
  <c r="AG33" i="211" s="1"/>
  <c r="AF15" i="211"/>
  <c r="AE15" i="211"/>
  <c r="AD15" i="211"/>
  <c r="AC15" i="211"/>
  <c r="AB15" i="211"/>
  <c r="AA15" i="211"/>
  <c r="Z15" i="211"/>
  <c r="U15" i="211"/>
  <c r="T15" i="211"/>
  <c r="S15" i="211"/>
  <c r="R15" i="211"/>
  <c r="J64" i="252" l="1"/>
  <c r="L64" i="252" s="1"/>
  <c r="I65" i="252"/>
  <c r="J65" i="252" s="1"/>
  <c r="L65" i="252" s="1"/>
  <c r="T66" i="211"/>
  <c r="AJ33" i="211"/>
  <c r="BD57" i="211"/>
  <c r="AQ64" i="211"/>
  <c r="BD61" i="211"/>
  <c r="AV66" i="211"/>
  <c r="I58" i="252" s="1"/>
  <c r="AL33" i="211"/>
  <c r="AL38" i="211" s="1"/>
  <c r="AL40" i="211" s="1"/>
  <c r="H47" i="252" s="1"/>
  <c r="R66" i="211"/>
  <c r="AM33" i="211"/>
  <c r="AM38" i="211" s="1"/>
  <c r="AM40" i="211" s="1"/>
  <c r="H48" i="252" s="1"/>
  <c r="S66" i="211"/>
  <c r="AO33" i="211"/>
  <c r="AO38" i="211" s="1"/>
  <c r="AO40" i="211" s="1"/>
  <c r="AG66" i="211"/>
  <c r="AK66" i="211"/>
  <c r="I46" i="252" s="1"/>
  <c r="AM66" i="211"/>
  <c r="AH66" i="211"/>
  <c r="AB64" i="211"/>
  <c r="AB66" i="211" s="1"/>
  <c r="I36" i="252" s="1"/>
  <c r="J36" i="252" s="1"/>
  <c r="L36" i="252" s="1"/>
  <c r="AN66" i="211"/>
  <c r="I48" i="252" s="1"/>
  <c r="AF66" i="211"/>
  <c r="AJ66" i="211"/>
  <c r="AW33" i="211"/>
  <c r="AW38" i="211" s="1"/>
  <c r="AW40" i="211" s="1"/>
  <c r="H59" i="252" s="1"/>
  <c r="J59" i="252" s="1"/>
  <c r="L59" i="252" s="1"/>
  <c r="AU66" i="211"/>
  <c r="I57" i="252" s="1"/>
  <c r="AW66" i="211"/>
  <c r="I59" i="252" s="1"/>
  <c r="AR66" i="211"/>
  <c r="I55" i="252" s="1"/>
  <c r="AQ66" i="211"/>
  <c r="I54" i="252" s="1"/>
  <c r="J54" i="252" s="1"/>
  <c r="L54" i="252" s="1"/>
  <c r="AP66" i="211"/>
  <c r="I53" i="252" s="1"/>
  <c r="AO66" i="211"/>
  <c r="I52" i="252" s="1"/>
  <c r="J52" i="252" s="1"/>
  <c r="L52" i="252" s="1"/>
  <c r="AQ38" i="211"/>
  <c r="AQ40" i="211" s="1"/>
  <c r="AT33" i="211"/>
  <c r="AT38" i="211" s="1"/>
  <c r="AT40" i="211" s="1"/>
  <c r="AP38" i="211"/>
  <c r="AP40" i="211" s="1"/>
  <c r="H53" i="252" s="1"/>
  <c r="J53" i="252" s="1"/>
  <c r="L53" i="252" s="1"/>
  <c r="AU38" i="211"/>
  <c r="AU40" i="211" s="1"/>
  <c r="H57" i="252" s="1"/>
  <c r="AN40" i="211"/>
  <c r="H49" i="252" s="1"/>
  <c r="J49" i="252" s="1"/>
  <c r="L49" i="252" s="1"/>
  <c r="AR40" i="211"/>
  <c r="H55" i="252" s="1"/>
  <c r="AV38" i="211"/>
  <c r="AV40" i="211" s="1"/>
  <c r="H58" i="252" s="1"/>
  <c r="AL66" i="211"/>
  <c r="I47" i="252" s="1"/>
  <c r="AI66" i="211"/>
  <c r="I44" i="252" s="1"/>
  <c r="J44" i="252" s="1"/>
  <c r="L44" i="252" s="1"/>
  <c r="AE66" i="211"/>
  <c r="I39" i="252" s="1"/>
  <c r="AD66" i="211"/>
  <c r="I38" i="252" s="1"/>
  <c r="J38" i="252" s="1"/>
  <c r="L38" i="252" s="1"/>
  <c r="AC66" i="211"/>
  <c r="I37" i="252" s="1"/>
  <c r="AA66" i="211"/>
  <c r="I34" i="252" s="1"/>
  <c r="U33" i="211"/>
  <c r="U38" i="211" s="1"/>
  <c r="U40" i="211" s="1"/>
  <c r="H27" i="252" s="1"/>
  <c r="J27" i="252" s="1"/>
  <c r="L27" i="252" s="1"/>
  <c r="AE38" i="211"/>
  <c r="AE40" i="211" s="1"/>
  <c r="H39" i="252" s="1"/>
  <c r="AC38" i="211"/>
  <c r="AC40" i="211" s="1"/>
  <c r="H37" i="252" s="1"/>
  <c r="AG38" i="211"/>
  <c r="AG40" i="211" s="1"/>
  <c r="H42" i="252" s="1"/>
  <c r="J42" i="252" s="1"/>
  <c r="L42" i="252" s="1"/>
  <c r="AK38" i="211"/>
  <c r="AK40" i="211" s="1"/>
  <c r="H46" i="252" s="1"/>
  <c r="R33" i="211"/>
  <c r="R38" i="211" s="1"/>
  <c r="R40" i="211" s="1"/>
  <c r="H24" i="252" s="1"/>
  <c r="J24" i="252" s="1"/>
  <c r="L24" i="252" s="1"/>
  <c r="Z33" i="211"/>
  <c r="Z38" i="211" s="1"/>
  <c r="Z40" i="211" s="1"/>
  <c r="H33" i="252" s="1"/>
  <c r="J33" i="252" s="1"/>
  <c r="L33" i="252" s="1"/>
  <c r="AD33" i="211"/>
  <c r="AD38" i="211" s="1"/>
  <c r="AD40" i="211" s="1"/>
  <c r="AH38" i="211"/>
  <c r="AH40" i="211" s="1"/>
  <c r="H43" i="252" s="1"/>
  <c r="J43" i="252" s="1"/>
  <c r="L43" i="252" s="1"/>
  <c r="AA38" i="211"/>
  <c r="AA40" i="211" s="1"/>
  <c r="H34" i="252" s="1"/>
  <c r="S33" i="211"/>
  <c r="S38" i="211" s="1"/>
  <c r="S40" i="211" s="1"/>
  <c r="H25" i="252" s="1"/>
  <c r="J25" i="252" s="1"/>
  <c r="L25" i="252" s="1"/>
  <c r="AI33" i="211"/>
  <c r="AI38" i="211" s="1"/>
  <c r="AI40" i="211" s="1"/>
  <c r="T33" i="211"/>
  <c r="T38" i="211" s="1"/>
  <c r="T40" i="211" s="1"/>
  <c r="H26" i="252" s="1"/>
  <c r="J26" i="252" s="1"/>
  <c r="L26" i="252" s="1"/>
  <c r="AB33" i="211"/>
  <c r="AB38" i="211" s="1"/>
  <c r="AB40" i="211" s="1"/>
  <c r="AJ38" i="211"/>
  <c r="AJ40" i="211" s="1"/>
  <c r="H45" i="252" s="1"/>
  <c r="J45" i="252" s="1"/>
  <c r="L45" i="252" s="1"/>
  <c r="J47" i="252" l="1"/>
  <c r="L47" i="252" s="1"/>
  <c r="J57" i="252"/>
  <c r="L57" i="252" s="1"/>
  <c r="J39" i="252"/>
  <c r="L39" i="252" s="1"/>
  <c r="J55" i="252"/>
  <c r="L55" i="252" s="1"/>
  <c r="J37" i="252"/>
  <c r="L37" i="252" s="1"/>
  <c r="J58" i="252"/>
  <c r="L58" i="252" s="1"/>
  <c r="J48" i="252"/>
  <c r="L48" i="252" s="1"/>
  <c r="J46" i="252"/>
  <c r="L46" i="252" s="1"/>
  <c r="J34" i="252"/>
  <c r="L34" i="252" s="1"/>
  <c r="Q64" i="211"/>
  <c r="P64" i="211"/>
  <c r="O64" i="211"/>
  <c r="N64" i="211"/>
  <c r="M64" i="211"/>
  <c r="L64" i="211"/>
  <c r="K64" i="211"/>
  <c r="J64" i="211"/>
  <c r="I64" i="211"/>
  <c r="H64" i="211"/>
  <c r="G64" i="211"/>
  <c r="F64" i="211"/>
  <c r="Q54" i="211"/>
  <c r="P54" i="211"/>
  <c r="O54" i="211"/>
  <c r="N54" i="211"/>
  <c r="M54" i="211"/>
  <c r="L54" i="211"/>
  <c r="K54" i="211"/>
  <c r="J54" i="211"/>
  <c r="I54" i="211"/>
  <c r="H54" i="211"/>
  <c r="G54" i="211"/>
  <c r="F54" i="211"/>
  <c r="Q28" i="211"/>
  <c r="P28" i="211"/>
  <c r="O28" i="211"/>
  <c r="N28" i="211"/>
  <c r="M28" i="211"/>
  <c r="L28" i="211"/>
  <c r="K28" i="211"/>
  <c r="J28" i="211"/>
  <c r="I28" i="211"/>
  <c r="I38" i="211" s="1"/>
  <c r="H28" i="211"/>
  <c r="G28" i="211"/>
  <c r="F28" i="211"/>
  <c r="Q15" i="211"/>
  <c r="P15" i="211"/>
  <c r="O15" i="211"/>
  <c r="N15" i="211"/>
  <c r="M15" i="211"/>
  <c r="L15" i="211"/>
  <c r="K15" i="211"/>
  <c r="K33" i="211" s="1"/>
  <c r="J15" i="211"/>
  <c r="J33" i="211" s="1"/>
  <c r="I15" i="211"/>
  <c r="H15" i="211"/>
  <c r="H33" i="211" s="1"/>
  <c r="G15" i="211"/>
  <c r="G33" i="211" s="1"/>
  <c r="F15" i="211"/>
  <c r="F33" i="211" s="1"/>
  <c r="L33" i="211" l="1"/>
  <c r="H38" i="211"/>
  <c r="H40" i="211" s="1"/>
  <c r="H13" i="252" s="1"/>
  <c r="J13" i="252" s="1"/>
  <c r="L13" i="252" s="1"/>
  <c r="Q33" i="211"/>
  <c r="Q38" i="211" s="1"/>
  <c r="Q40" i="211" s="1"/>
  <c r="H23" i="252" s="1"/>
  <c r="J23" i="252" s="1"/>
  <c r="L23" i="252" s="1"/>
  <c r="P33" i="211"/>
  <c r="P38" i="211" s="1"/>
  <c r="P40" i="211" s="1"/>
  <c r="H22" i="252" s="1"/>
  <c r="J22" i="252" s="1"/>
  <c r="L22" i="252" s="1"/>
  <c r="O33" i="211"/>
  <c r="O38" i="211" s="1"/>
  <c r="O40" i="211" s="1"/>
  <c r="H21" i="252" s="1"/>
  <c r="J21" i="252" s="1"/>
  <c r="L21" i="252" s="1"/>
  <c r="N33" i="211"/>
  <c r="N38" i="211" s="1"/>
  <c r="N40" i="211" s="1"/>
  <c r="H20" i="252" s="1"/>
  <c r="J20" i="252" s="1"/>
  <c r="L20" i="252" s="1"/>
  <c r="M33" i="211"/>
  <c r="M38" i="211" s="1"/>
  <c r="M40" i="211" s="1"/>
  <c r="H19" i="252" s="1"/>
  <c r="J19" i="252" s="1"/>
  <c r="L19" i="252" s="1"/>
  <c r="K38" i="211"/>
  <c r="K40" i="211" s="1"/>
  <c r="H16" i="252" s="1"/>
  <c r="J16" i="252" s="1"/>
  <c r="L16" i="252" s="1"/>
  <c r="J38" i="211"/>
  <c r="J40" i="211" s="1"/>
  <c r="H15" i="252" s="1"/>
  <c r="J15" i="252" s="1"/>
  <c r="L15" i="252" s="1"/>
  <c r="I40" i="211"/>
  <c r="H14" i="252" s="1"/>
  <c r="G38" i="211"/>
  <c r="G40" i="211" s="1"/>
  <c r="H12" i="252" s="1"/>
  <c r="J12" i="252" s="1"/>
  <c r="L12" i="252" s="1"/>
  <c r="F38" i="211"/>
  <c r="F40" i="211" s="1"/>
  <c r="H11" i="252" s="1"/>
  <c r="I66" i="211"/>
  <c r="I14" i="252" s="1"/>
  <c r="I68" i="252" s="1"/>
  <c r="M66" i="211"/>
  <c r="Q66" i="211"/>
  <c r="F66" i="211"/>
  <c r="J66" i="211"/>
  <c r="N66" i="211"/>
  <c r="G66" i="211"/>
  <c r="K66" i="211"/>
  <c r="O66" i="211"/>
  <c r="H66" i="211"/>
  <c r="L66" i="211"/>
  <c r="P66" i="211"/>
  <c r="J11" i="252" l="1"/>
  <c r="J14" i="252"/>
  <c r="L14" i="252" s="1"/>
  <c r="L38" i="211"/>
  <c r="L40" i="211" s="1"/>
  <c r="H18" i="252" s="1"/>
  <c r="J18" i="252" s="1"/>
  <c r="L18" i="252" s="1"/>
  <c r="L11" i="252" l="1"/>
  <c r="M22" i="257" l="1"/>
  <c r="M27" i="257"/>
  <c r="J23" i="210" l="1"/>
  <c r="L23" i="210" l="1"/>
  <c r="H23" i="210"/>
  <c r="F23" i="210"/>
  <c r="J19" i="210" l="1"/>
  <c r="J21" i="210" s="1"/>
  <c r="J25" i="210" s="1"/>
  <c r="J15" i="210"/>
  <c r="K26" i="257" l="1"/>
  <c r="K25" i="257"/>
  <c r="K14" i="257"/>
  <c r="K20" i="257"/>
  <c r="G13" i="257" s="1"/>
  <c r="K21" i="257"/>
  <c r="G14" i="257" s="1"/>
  <c r="M14" i="257" s="1"/>
  <c r="K22" i="257" l="1"/>
  <c r="K27" i="257"/>
  <c r="G16" i="257"/>
  <c r="M13" i="257"/>
  <c r="M16" i="257" s="1"/>
  <c r="I24" i="220" l="1"/>
  <c r="B86" i="256"/>
  <c r="B90" i="256" s="1"/>
  <c r="D90" i="231"/>
  <c r="I21" i="220"/>
  <c r="I23" i="220" s="1"/>
  <c r="D90" i="256" s="1"/>
  <c r="I25" i="220" l="1"/>
  <c r="I12" i="220" s="1"/>
  <c r="C88" i="256"/>
  <c r="D88" i="256" s="1"/>
  <c r="C80" i="256"/>
  <c r="D80" i="256" s="1"/>
  <c r="F80" i="256" s="1"/>
  <c r="C76" i="256"/>
  <c r="D76" i="256" s="1"/>
  <c r="F76" i="256" s="1"/>
  <c r="C72" i="256"/>
  <c r="D72" i="256" s="1"/>
  <c r="F72" i="256" s="1"/>
  <c r="C68" i="256"/>
  <c r="D68" i="256" s="1"/>
  <c r="F68" i="256" s="1"/>
  <c r="C64" i="256"/>
  <c r="D64" i="256" s="1"/>
  <c r="F64" i="256" s="1"/>
  <c r="C60" i="256"/>
  <c r="D60" i="256" s="1"/>
  <c r="F60" i="256" s="1"/>
  <c r="C56" i="256"/>
  <c r="D56" i="256" s="1"/>
  <c r="F56" i="256" s="1"/>
  <c r="C52" i="256"/>
  <c r="D52" i="256" s="1"/>
  <c r="F52" i="256" s="1"/>
  <c r="C48" i="256"/>
  <c r="D48" i="256" s="1"/>
  <c r="F48" i="256" s="1"/>
  <c r="C44" i="256"/>
  <c r="D44" i="256" s="1"/>
  <c r="F44" i="256" s="1"/>
  <c r="C40" i="256"/>
  <c r="D40" i="256" s="1"/>
  <c r="F40" i="256" s="1"/>
  <c r="C36" i="256"/>
  <c r="D36" i="256" s="1"/>
  <c r="F36" i="256" s="1"/>
  <c r="C32" i="256"/>
  <c r="D32" i="256" s="1"/>
  <c r="F32" i="256" s="1"/>
  <c r="C28" i="256"/>
  <c r="D28" i="256" s="1"/>
  <c r="F28" i="256" s="1"/>
  <c r="C24" i="256"/>
  <c r="D24" i="256" s="1"/>
  <c r="F24" i="256" s="1"/>
  <c r="C20" i="256"/>
  <c r="D20" i="256" s="1"/>
  <c r="F20" i="256" s="1"/>
  <c r="C16" i="256"/>
  <c r="D16" i="256" s="1"/>
  <c r="F16" i="256" s="1"/>
  <c r="C12" i="256"/>
  <c r="D12" i="256" s="1"/>
  <c r="F12" i="256" s="1"/>
  <c r="C10" i="256"/>
  <c r="D10" i="256" s="1"/>
  <c r="F10" i="256" s="1"/>
  <c r="C51" i="256"/>
  <c r="D51" i="256" s="1"/>
  <c r="F51" i="256" s="1"/>
  <c r="C47" i="256"/>
  <c r="D47" i="256" s="1"/>
  <c r="F47" i="256" s="1"/>
  <c r="C43" i="256"/>
  <c r="D43" i="256" s="1"/>
  <c r="F43" i="256" s="1"/>
  <c r="C27" i="256"/>
  <c r="D27" i="256" s="1"/>
  <c r="F27" i="256" s="1"/>
  <c r="C15" i="256"/>
  <c r="D15" i="256" s="1"/>
  <c r="F15" i="256" s="1"/>
  <c r="C11" i="256"/>
  <c r="D11" i="256" s="1"/>
  <c r="F11" i="256" s="1"/>
  <c r="C81" i="256"/>
  <c r="D81" i="256" s="1"/>
  <c r="F81" i="256" s="1"/>
  <c r="C77" i="256"/>
  <c r="D77" i="256" s="1"/>
  <c r="F77" i="256" s="1"/>
  <c r="C73" i="256"/>
  <c r="D73" i="256" s="1"/>
  <c r="F73" i="256" s="1"/>
  <c r="C69" i="256"/>
  <c r="D69" i="256" s="1"/>
  <c r="F69" i="256" s="1"/>
  <c r="C65" i="256"/>
  <c r="D65" i="256" s="1"/>
  <c r="F65" i="256" s="1"/>
  <c r="C61" i="256"/>
  <c r="D61" i="256" s="1"/>
  <c r="F61" i="256" s="1"/>
  <c r="C57" i="256"/>
  <c r="D57" i="256" s="1"/>
  <c r="F57" i="256" s="1"/>
  <c r="C53" i="256"/>
  <c r="D53" i="256" s="1"/>
  <c r="F53" i="256" s="1"/>
  <c r="C49" i="256"/>
  <c r="D49" i="256" s="1"/>
  <c r="F49" i="256" s="1"/>
  <c r="C45" i="256"/>
  <c r="D45" i="256" s="1"/>
  <c r="F45" i="256" s="1"/>
  <c r="C41" i="256"/>
  <c r="D41" i="256" s="1"/>
  <c r="F41" i="256" s="1"/>
  <c r="C37" i="256"/>
  <c r="D37" i="256" s="1"/>
  <c r="F37" i="256" s="1"/>
  <c r="C33" i="256"/>
  <c r="D33" i="256" s="1"/>
  <c r="F33" i="256" s="1"/>
  <c r="C29" i="256"/>
  <c r="D29" i="256" s="1"/>
  <c r="F29" i="256" s="1"/>
  <c r="C25" i="256"/>
  <c r="D25" i="256" s="1"/>
  <c r="F25" i="256" s="1"/>
  <c r="C21" i="256"/>
  <c r="D21" i="256" s="1"/>
  <c r="F21" i="256" s="1"/>
  <c r="C17" i="256"/>
  <c r="D17" i="256" s="1"/>
  <c r="F17" i="256" s="1"/>
  <c r="C13" i="256"/>
  <c r="D13" i="256" s="1"/>
  <c r="F13" i="256" s="1"/>
  <c r="C9" i="256"/>
  <c r="C83" i="256"/>
  <c r="D83" i="256" s="1"/>
  <c r="F83" i="256" s="1"/>
  <c r="C79" i="256"/>
  <c r="D79" i="256" s="1"/>
  <c r="F79" i="256" s="1"/>
  <c r="C75" i="256"/>
  <c r="D75" i="256" s="1"/>
  <c r="F75" i="256" s="1"/>
  <c r="C71" i="256"/>
  <c r="D71" i="256" s="1"/>
  <c r="F71" i="256" s="1"/>
  <c r="C67" i="256"/>
  <c r="D67" i="256" s="1"/>
  <c r="F67" i="256" s="1"/>
  <c r="C63" i="256"/>
  <c r="D63" i="256" s="1"/>
  <c r="F63" i="256" s="1"/>
  <c r="C59" i="256"/>
  <c r="D59" i="256" s="1"/>
  <c r="F59" i="256" s="1"/>
  <c r="C55" i="256"/>
  <c r="D55" i="256" s="1"/>
  <c r="F55" i="256" s="1"/>
  <c r="C31" i="256"/>
  <c r="D31" i="256" s="1"/>
  <c r="F31" i="256" s="1"/>
  <c r="C23" i="256"/>
  <c r="D23" i="256" s="1"/>
  <c r="F23" i="256" s="1"/>
  <c r="C19" i="256"/>
  <c r="D19" i="256" s="1"/>
  <c r="F19" i="256" s="1"/>
  <c r="C82" i="256"/>
  <c r="D82" i="256" s="1"/>
  <c r="F82" i="256" s="1"/>
  <c r="C78" i="256"/>
  <c r="D78" i="256" s="1"/>
  <c r="F78" i="256" s="1"/>
  <c r="C74" i="256"/>
  <c r="D74" i="256" s="1"/>
  <c r="F74" i="256" s="1"/>
  <c r="C70" i="256"/>
  <c r="D70" i="256" s="1"/>
  <c r="F70" i="256" s="1"/>
  <c r="C66" i="256"/>
  <c r="D66" i="256" s="1"/>
  <c r="F66" i="256" s="1"/>
  <c r="C62" i="256"/>
  <c r="D62" i="256" s="1"/>
  <c r="F62" i="256" s="1"/>
  <c r="C58" i="256"/>
  <c r="D58" i="256" s="1"/>
  <c r="F58" i="256" s="1"/>
  <c r="C54" i="256"/>
  <c r="D54" i="256" s="1"/>
  <c r="F54" i="256" s="1"/>
  <c r="C50" i="256"/>
  <c r="D50" i="256" s="1"/>
  <c r="F50" i="256" s="1"/>
  <c r="C46" i="256"/>
  <c r="D46" i="256" s="1"/>
  <c r="F46" i="256" s="1"/>
  <c r="C42" i="256"/>
  <c r="D42" i="256" s="1"/>
  <c r="F42" i="256" s="1"/>
  <c r="C38" i="256"/>
  <c r="D38" i="256" s="1"/>
  <c r="F38" i="256" s="1"/>
  <c r="C34" i="256"/>
  <c r="D34" i="256" s="1"/>
  <c r="F34" i="256" s="1"/>
  <c r="C30" i="256"/>
  <c r="D30" i="256" s="1"/>
  <c r="F30" i="256" s="1"/>
  <c r="C26" i="256"/>
  <c r="D26" i="256" s="1"/>
  <c r="F26" i="256" s="1"/>
  <c r="C22" i="256"/>
  <c r="D22" i="256" s="1"/>
  <c r="F22" i="256" s="1"/>
  <c r="C18" i="256"/>
  <c r="D18" i="256" s="1"/>
  <c r="F18" i="256" s="1"/>
  <c r="C14" i="256"/>
  <c r="D14" i="256" s="1"/>
  <c r="F14" i="256" s="1"/>
  <c r="C39" i="256"/>
  <c r="D39" i="256" s="1"/>
  <c r="F39" i="256" s="1"/>
  <c r="C35" i="256"/>
  <c r="D35" i="256" s="1"/>
  <c r="F35" i="256" s="1"/>
  <c r="I19" i="232"/>
  <c r="D90" i="179"/>
  <c r="I19" i="178"/>
  <c r="I18" i="178"/>
  <c r="I21" i="232"/>
  <c r="I21" i="178"/>
  <c r="I18" i="232"/>
  <c r="Y23" i="211" l="1"/>
  <c r="Y24" i="211"/>
  <c r="Y27" i="211"/>
  <c r="Y20" i="211"/>
  <c r="Y22" i="211"/>
  <c r="Y25" i="211"/>
  <c r="Y21" i="211"/>
  <c r="D9" i="256"/>
  <c r="C86" i="256"/>
  <c r="C90" i="256" s="1"/>
  <c r="I23" i="181"/>
  <c r="F9" i="256" l="1"/>
  <c r="Y18" i="211" s="1"/>
  <c r="Y28" i="211" s="1"/>
  <c r="Y33" i="211" s="1"/>
  <c r="Y38" i="211" s="1"/>
  <c r="Y40" i="211" s="1"/>
  <c r="H31" i="252" s="1"/>
  <c r="J31" i="252" s="1"/>
  <c r="L31" i="252" s="1"/>
  <c r="D86" i="256"/>
  <c r="F14" i="255"/>
  <c r="N14" i="255" l="1"/>
  <c r="F86" i="256"/>
  <c r="O12" i="220" s="1"/>
  <c r="H19" i="210" l="1"/>
  <c r="H15" i="210" l="1"/>
  <c r="H21" i="210"/>
  <c r="H25" i="210" s="1"/>
  <c r="B86" i="231" l="1"/>
  <c r="B90" i="231" s="1"/>
  <c r="C88" i="231" s="1"/>
  <c r="I20" i="232"/>
  <c r="C37" i="231" l="1"/>
  <c r="C12" i="231"/>
  <c r="C21" i="231"/>
  <c r="C42" i="231"/>
  <c r="C65" i="231"/>
  <c r="C10" i="231"/>
  <c r="C58" i="231"/>
  <c r="C13" i="231"/>
  <c r="C26" i="231"/>
  <c r="C48" i="231"/>
  <c r="C73" i="231"/>
  <c r="C16" i="231"/>
  <c r="C9" i="231"/>
  <c r="C14" i="231"/>
  <c r="C32" i="231"/>
  <c r="C53" i="231"/>
  <c r="D53" i="231" s="1"/>
  <c r="F53" i="231" s="1"/>
  <c r="C81" i="231"/>
  <c r="C18" i="231"/>
  <c r="C24" i="231"/>
  <c r="C29" i="231"/>
  <c r="C34" i="231"/>
  <c r="C40" i="231"/>
  <c r="C45" i="231"/>
  <c r="C50" i="231"/>
  <c r="C56" i="231"/>
  <c r="C61" i="231"/>
  <c r="C69" i="231"/>
  <c r="C77" i="231"/>
  <c r="C20" i="231"/>
  <c r="C25" i="231"/>
  <c r="C30" i="231"/>
  <c r="C36" i="231"/>
  <c r="C41" i="231"/>
  <c r="C46" i="231"/>
  <c r="C52" i="231"/>
  <c r="C57" i="231"/>
  <c r="C62" i="231"/>
  <c r="C70" i="231"/>
  <c r="C78" i="231"/>
  <c r="C17" i="231"/>
  <c r="C22" i="231"/>
  <c r="C28" i="231"/>
  <c r="C33" i="231"/>
  <c r="C38" i="231"/>
  <c r="C44" i="231"/>
  <c r="C49" i="231"/>
  <c r="C54" i="231"/>
  <c r="C60" i="231"/>
  <c r="C66" i="231"/>
  <c r="C74" i="231"/>
  <c r="C82" i="231"/>
  <c r="I22" i="232"/>
  <c r="I13" i="232" s="1"/>
  <c r="D10" i="231"/>
  <c r="F10" i="231" s="1"/>
  <c r="D13" i="231"/>
  <c r="F13" i="231" s="1"/>
  <c r="D17" i="231"/>
  <c r="F17" i="231" s="1"/>
  <c r="D21" i="231"/>
  <c r="F21" i="231" s="1"/>
  <c r="D26" i="231"/>
  <c r="F26" i="231" s="1"/>
  <c r="D34" i="231"/>
  <c r="F34" i="231" s="1"/>
  <c r="D38" i="231"/>
  <c r="F38" i="231" s="1"/>
  <c r="D50" i="231"/>
  <c r="F50" i="231" s="1"/>
  <c r="D54" i="231"/>
  <c r="F54" i="231" s="1"/>
  <c r="D60" i="231"/>
  <c r="F60" i="231" s="1"/>
  <c r="D65" i="231"/>
  <c r="F65" i="231" s="1"/>
  <c r="D73" i="231"/>
  <c r="F73" i="231" s="1"/>
  <c r="D81" i="231"/>
  <c r="F81" i="231" s="1"/>
  <c r="D22" i="231"/>
  <c r="F22" i="231" s="1"/>
  <c r="D30" i="231"/>
  <c r="F30" i="231" s="1"/>
  <c r="D40" i="231"/>
  <c r="F40" i="231" s="1"/>
  <c r="D46" i="231"/>
  <c r="F46" i="231" s="1"/>
  <c r="D56" i="231"/>
  <c r="F56" i="231" s="1"/>
  <c r="D66" i="231"/>
  <c r="F66" i="231" s="1"/>
  <c r="D74" i="231"/>
  <c r="F74" i="231" s="1"/>
  <c r="D82" i="231"/>
  <c r="F82" i="231" s="1"/>
  <c r="D88" i="231"/>
  <c r="D12" i="231"/>
  <c r="F12" i="231" s="1"/>
  <c r="D14" i="231"/>
  <c r="F14" i="231" s="1"/>
  <c r="D20" i="231"/>
  <c r="F20" i="231" s="1"/>
  <c r="D24" i="231"/>
  <c r="F24" i="231" s="1"/>
  <c r="D32" i="231"/>
  <c r="F32" i="231" s="1"/>
  <c r="D41" i="231"/>
  <c r="F41" i="231" s="1"/>
  <c r="D48" i="231"/>
  <c r="F48" i="231" s="1"/>
  <c r="D57" i="231"/>
  <c r="F57" i="231" s="1"/>
  <c r="D61" i="231"/>
  <c r="F61" i="231" s="1"/>
  <c r="D69" i="231"/>
  <c r="F69" i="231" s="1"/>
  <c r="D77" i="231"/>
  <c r="F77" i="231" s="1"/>
  <c r="D18" i="231"/>
  <c r="F18" i="231" s="1"/>
  <c r="D28" i="231"/>
  <c r="F28" i="231" s="1"/>
  <c r="D36" i="231"/>
  <c r="F36" i="231" s="1"/>
  <c r="D44" i="231"/>
  <c r="F44" i="231" s="1"/>
  <c r="D52" i="231"/>
  <c r="F52" i="231" s="1"/>
  <c r="D16" i="231"/>
  <c r="F16" i="231" s="1"/>
  <c r="D25" i="231"/>
  <c r="F25" i="231" s="1"/>
  <c r="D29" i="231"/>
  <c r="F29" i="231" s="1"/>
  <c r="D33" i="231"/>
  <c r="F33" i="231" s="1"/>
  <c r="D37" i="231"/>
  <c r="F37" i="231" s="1"/>
  <c r="D42" i="231"/>
  <c r="F42" i="231" s="1"/>
  <c r="D45" i="231"/>
  <c r="F45" i="231" s="1"/>
  <c r="D49" i="231"/>
  <c r="F49" i="231" s="1"/>
  <c r="D58" i="231"/>
  <c r="F58" i="231" s="1"/>
  <c r="D62" i="231"/>
  <c r="F62" i="231" s="1"/>
  <c r="D70" i="231"/>
  <c r="F70" i="231" s="1"/>
  <c r="D78" i="231"/>
  <c r="F78" i="231" s="1"/>
  <c r="D9" i="231"/>
  <c r="C83" i="231"/>
  <c r="D83" i="231" s="1"/>
  <c r="F83" i="231" s="1"/>
  <c r="C79" i="231"/>
  <c r="D79" i="231" s="1"/>
  <c r="F79" i="231" s="1"/>
  <c r="C75" i="231"/>
  <c r="D75" i="231" s="1"/>
  <c r="F75" i="231" s="1"/>
  <c r="C71" i="231"/>
  <c r="D71" i="231" s="1"/>
  <c r="F71" i="231" s="1"/>
  <c r="C67" i="231"/>
  <c r="D67" i="231" s="1"/>
  <c r="F67" i="231" s="1"/>
  <c r="C63" i="231"/>
  <c r="D63" i="231" s="1"/>
  <c r="F63" i="231" s="1"/>
  <c r="C59" i="231"/>
  <c r="D59" i="231" s="1"/>
  <c r="F59" i="231" s="1"/>
  <c r="C55" i="231"/>
  <c r="D55" i="231" s="1"/>
  <c r="F55" i="231" s="1"/>
  <c r="C51" i="231"/>
  <c r="D51" i="231" s="1"/>
  <c r="F51" i="231" s="1"/>
  <c r="C47" i="231"/>
  <c r="D47" i="231" s="1"/>
  <c r="F47" i="231" s="1"/>
  <c r="C43" i="231"/>
  <c r="D43" i="231" s="1"/>
  <c r="F43" i="231" s="1"/>
  <c r="C39" i="231"/>
  <c r="D39" i="231" s="1"/>
  <c r="F39" i="231" s="1"/>
  <c r="C35" i="231"/>
  <c r="D35" i="231" s="1"/>
  <c r="F35" i="231" s="1"/>
  <c r="C31" i="231"/>
  <c r="D31" i="231" s="1"/>
  <c r="F31" i="231" s="1"/>
  <c r="C27" i="231"/>
  <c r="D27" i="231" s="1"/>
  <c r="F27" i="231" s="1"/>
  <c r="C23" i="231"/>
  <c r="D23" i="231" s="1"/>
  <c r="F23" i="231" s="1"/>
  <c r="C19" i="231"/>
  <c r="D19" i="231" s="1"/>
  <c r="F19" i="231" s="1"/>
  <c r="C15" i="231"/>
  <c r="D15" i="231" s="1"/>
  <c r="F15" i="231" s="1"/>
  <c r="C11" i="231"/>
  <c r="D11" i="231" s="1"/>
  <c r="F11" i="231" s="1"/>
  <c r="C80" i="231"/>
  <c r="D80" i="231" s="1"/>
  <c r="F80" i="231" s="1"/>
  <c r="C76" i="231"/>
  <c r="D76" i="231" s="1"/>
  <c r="F76" i="231" s="1"/>
  <c r="C72" i="231"/>
  <c r="D72" i="231" s="1"/>
  <c r="F72" i="231" s="1"/>
  <c r="C68" i="231"/>
  <c r="D68" i="231" s="1"/>
  <c r="F68" i="231" s="1"/>
  <c r="X25" i="211" s="1"/>
  <c r="C64" i="231"/>
  <c r="D64" i="231" s="1"/>
  <c r="F64" i="231" s="1"/>
  <c r="B86" i="179"/>
  <c r="B90" i="179" s="1"/>
  <c r="I20" i="178"/>
  <c r="I22" i="178" s="1"/>
  <c r="B85" i="180"/>
  <c r="B89" i="180" s="1"/>
  <c r="C87" i="180" s="1"/>
  <c r="E37" i="237"/>
  <c r="E31" i="237"/>
  <c r="E30" i="237"/>
  <c r="G28" i="237"/>
  <c r="G27" i="237"/>
  <c r="G26" i="237"/>
  <c r="G25" i="237"/>
  <c r="G24" i="237"/>
  <c r="X21" i="211" l="1"/>
  <c r="X24" i="211"/>
  <c r="X23" i="211"/>
  <c r="X20" i="211"/>
  <c r="X27" i="211"/>
  <c r="X22" i="211"/>
  <c r="C67" i="179"/>
  <c r="C50" i="179"/>
  <c r="C39" i="179"/>
  <c r="C27" i="179"/>
  <c r="C18" i="179"/>
  <c r="C25" i="179"/>
  <c r="C62" i="179"/>
  <c r="C46" i="179"/>
  <c r="C37" i="179"/>
  <c r="C83" i="179"/>
  <c r="C59" i="179"/>
  <c r="C43" i="179"/>
  <c r="C34" i="179"/>
  <c r="C23" i="179"/>
  <c r="C11" i="179"/>
  <c r="C75" i="179"/>
  <c r="C54" i="179"/>
  <c r="C41" i="179"/>
  <c r="C30" i="179"/>
  <c r="C21" i="179"/>
  <c r="C9" i="179"/>
  <c r="C14" i="179"/>
  <c r="D50" i="179"/>
  <c r="F50" i="179" s="1"/>
  <c r="E32" i="237"/>
  <c r="E35" i="237" s="1"/>
  <c r="C12" i="180"/>
  <c r="C16" i="180"/>
  <c r="C20" i="180"/>
  <c r="C24" i="180"/>
  <c r="C28" i="180"/>
  <c r="C32" i="180"/>
  <c r="C36" i="180"/>
  <c r="C40" i="180"/>
  <c r="C44" i="180"/>
  <c r="C48" i="180"/>
  <c r="C52" i="180"/>
  <c r="C56" i="180"/>
  <c r="C60" i="180"/>
  <c r="C64" i="180"/>
  <c r="C68" i="180"/>
  <c r="C72" i="180"/>
  <c r="C76" i="180"/>
  <c r="C80" i="180"/>
  <c r="C9" i="180"/>
  <c r="C13" i="180"/>
  <c r="C17" i="180"/>
  <c r="C21" i="180"/>
  <c r="C25" i="180"/>
  <c r="C29" i="180"/>
  <c r="C33" i="180"/>
  <c r="C37" i="180"/>
  <c r="C41" i="180"/>
  <c r="C45" i="180"/>
  <c r="C49" i="180"/>
  <c r="C53" i="180"/>
  <c r="C57" i="180"/>
  <c r="C61" i="180"/>
  <c r="C65" i="180"/>
  <c r="C69" i="180"/>
  <c r="C73" i="180"/>
  <c r="C77" i="180"/>
  <c r="C81" i="180"/>
  <c r="C10" i="180"/>
  <c r="C14" i="180"/>
  <c r="C18" i="180"/>
  <c r="C22" i="180"/>
  <c r="C26" i="180"/>
  <c r="C30" i="180"/>
  <c r="C34" i="180"/>
  <c r="C38" i="180"/>
  <c r="C42" i="180"/>
  <c r="C46" i="180"/>
  <c r="C50" i="180"/>
  <c r="C54" i="180"/>
  <c r="C58" i="180"/>
  <c r="C62" i="180"/>
  <c r="C66" i="180"/>
  <c r="C70" i="180"/>
  <c r="C74" i="180"/>
  <c r="C78" i="180"/>
  <c r="C82" i="180"/>
  <c r="C11" i="180"/>
  <c r="C15" i="180"/>
  <c r="C19" i="180"/>
  <c r="C23" i="180"/>
  <c r="C27" i="180"/>
  <c r="C31" i="180"/>
  <c r="C35" i="180"/>
  <c r="C39" i="180"/>
  <c r="C43" i="180"/>
  <c r="C47" i="180"/>
  <c r="C51" i="180"/>
  <c r="C55" i="180"/>
  <c r="C59" i="180"/>
  <c r="C63" i="180"/>
  <c r="C67" i="180"/>
  <c r="C71" i="180"/>
  <c r="C75" i="180"/>
  <c r="C79" i="180"/>
  <c r="C83" i="180"/>
  <c r="D62" i="179"/>
  <c r="F62" i="179" s="1"/>
  <c r="C86" i="231"/>
  <c r="C90" i="231" s="1"/>
  <c r="D86" i="231"/>
  <c r="F9" i="231"/>
  <c r="X18" i="211" s="1"/>
  <c r="X28" i="211" s="1"/>
  <c r="X33" i="211" s="1"/>
  <c r="X38" i="211" s="1"/>
  <c r="X40" i="211" s="1"/>
  <c r="H30" i="252" s="1"/>
  <c r="J30" i="252" s="1"/>
  <c r="L30" i="252" s="1"/>
  <c r="D67" i="179"/>
  <c r="F67" i="179" s="1"/>
  <c r="D21" i="179"/>
  <c r="F21" i="179" s="1"/>
  <c r="D30" i="179"/>
  <c r="F30" i="179" s="1"/>
  <c r="D41" i="179"/>
  <c r="F41" i="179" s="1"/>
  <c r="D54" i="179"/>
  <c r="F54" i="179" s="1"/>
  <c r="D75" i="179"/>
  <c r="F75" i="179" s="1"/>
  <c r="D11" i="179"/>
  <c r="F11" i="179" s="1"/>
  <c r="D23" i="179"/>
  <c r="F23" i="179" s="1"/>
  <c r="D34" i="179"/>
  <c r="F34" i="179" s="1"/>
  <c r="D43" i="179"/>
  <c r="F43" i="179" s="1"/>
  <c r="D59" i="179"/>
  <c r="F59" i="179" s="1"/>
  <c r="D83" i="179"/>
  <c r="F83" i="179" s="1"/>
  <c r="C57" i="179"/>
  <c r="D57" i="179" s="1"/>
  <c r="F57" i="179" s="1"/>
  <c r="C80" i="179"/>
  <c r="D80" i="179" s="1"/>
  <c r="F80" i="179" s="1"/>
  <c r="C76" i="179"/>
  <c r="D76" i="179" s="1"/>
  <c r="F76" i="179" s="1"/>
  <c r="C72" i="179"/>
  <c r="D72" i="179" s="1"/>
  <c r="F72" i="179" s="1"/>
  <c r="C68" i="179"/>
  <c r="D68" i="179" s="1"/>
  <c r="F68" i="179" s="1"/>
  <c r="C64" i="179"/>
  <c r="D64" i="179" s="1"/>
  <c r="F64" i="179" s="1"/>
  <c r="C60" i="179"/>
  <c r="D60" i="179" s="1"/>
  <c r="F60" i="179" s="1"/>
  <c r="C56" i="179"/>
  <c r="D56" i="179" s="1"/>
  <c r="F56" i="179" s="1"/>
  <c r="C52" i="179"/>
  <c r="D52" i="179" s="1"/>
  <c r="F52" i="179" s="1"/>
  <c r="C48" i="179"/>
  <c r="D48" i="179" s="1"/>
  <c r="F48" i="179" s="1"/>
  <c r="C44" i="179"/>
  <c r="D44" i="179" s="1"/>
  <c r="F44" i="179" s="1"/>
  <c r="C40" i="179"/>
  <c r="D40" i="179" s="1"/>
  <c r="F40" i="179" s="1"/>
  <c r="C36" i="179"/>
  <c r="D36" i="179" s="1"/>
  <c r="F36" i="179" s="1"/>
  <c r="C32" i="179"/>
  <c r="D32" i="179" s="1"/>
  <c r="F32" i="179" s="1"/>
  <c r="C28" i="179"/>
  <c r="D28" i="179" s="1"/>
  <c r="F28" i="179" s="1"/>
  <c r="C24" i="179"/>
  <c r="D24" i="179" s="1"/>
  <c r="F24" i="179" s="1"/>
  <c r="C20" i="179"/>
  <c r="D20" i="179" s="1"/>
  <c r="F20" i="179" s="1"/>
  <c r="W20" i="211" s="1"/>
  <c r="C16" i="179"/>
  <c r="D16" i="179" s="1"/>
  <c r="F16" i="179" s="1"/>
  <c r="C12" i="179"/>
  <c r="D12" i="179" s="1"/>
  <c r="F12" i="179" s="1"/>
  <c r="C88" i="179"/>
  <c r="D88" i="179" s="1"/>
  <c r="C81" i="179"/>
  <c r="D81" i="179" s="1"/>
  <c r="F81" i="179" s="1"/>
  <c r="C77" i="179"/>
  <c r="D77" i="179" s="1"/>
  <c r="F77" i="179" s="1"/>
  <c r="C73" i="179"/>
  <c r="D73" i="179" s="1"/>
  <c r="F73" i="179" s="1"/>
  <c r="C69" i="179"/>
  <c r="D69" i="179" s="1"/>
  <c r="F69" i="179" s="1"/>
  <c r="C65" i="179"/>
  <c r="D65" i="179" s="1"/>
  <c r="F65" i="179" s="1"/>
  <c r="C61" i="179"/>
  <c r="D61" i="179" s="1"/>
  <c r="F61" i="179" s="1"/>
  <c r="C53" i="179"/>
  <c r="D53" i="179" s="1"/>
  <c r="F53" i="179" s="1"/>
  <c r="C13" i="179"/>
  <c r="D13" i="179" s="1"/>
  <c r="F13" i="179" s="1"/>
  <c r="C15" i="179"/>
  <c r="D15" i="179" s="1"/>
  <c r="F15" i="179" s="1"/>
  <c r="C22" i="179"/>
  <c r="D22" i="179" s="1"/>
  <c r="F22" i="179" s="1"/>
  <c r="C29" i="179"/>
  <c r="D29" i="179" s="1"/>
  <c r="F29" i="179" s="1"/>
  <c r="C31" i="179"/>
  <c r="D31" i="179" s="1"/>
  <c r="F31" i="179" s="1"/>
  <c r="C38" i="179"/>
  <c r="D38" i="179" s="1"/>
  <c r="F38" i="179" s="1"/>
  <c r="C45" i="179"/>
  <c r="D45" i="179" s="1"/>
  <c r="F45" i="179" s="1"/>
  <c r="C47" i="179"/>
  <c r="D47" i="179" s="1"/>
  <c r="F47" i="179" s="1"/>
  <c r="C55" i="179"/>
  <c r="D55" i="179" s="1"/>
  <c r="F55" i="179" s="1"/>
  <c r="C63" i="179"/>
  <c r="D63" i="179" s="1"/>
  <c r="F63" i="179" s="1"/>
  <c r="C71" i="179"/>
  <c r="D71" i="179" s="1"/>
  <c r="F71" i="179" s="1"/>
  <c r="C79" i="179"/>
  <c r="D79" i="179" s="1"/>
  <c r="F79" i="179" s="1"/>
  <c r="C70" i="179"/>
  <c r="D70" i="179" s="1"/>
  <c r="F70" i="179" s="1"/>
  <c r="C78" i="179"/>
  <c r="D78" i="179" s="1"/>
  <c r="F78" i="179" s="1"/>
  <c r="C10" i="179"/>
  <c r="D10" i="179" s="1"/>
  <c r="F10" i="179" s="1"/>
  <c r="C17" i="179"/>
  <c r="D17" i="179" s="1"/>
  <c r="F17" i="179" s="1"/>
  <c r="C19" i="179"/>
  <c r="D19" i="179" s="1"/>
  <c r="F19" i="179" s="1"/>
  <c r="C26" i="179"/>
  <c r="D26" i="179" s="1"/>
  <c r="F26" i="179" s="1"/>
  <c r="C33" i="179"/>
  <c r="D33" i="179" s="1"/>
  <c r="F33" i="179" s="1"/>
  <c r="C35" i="179"/>
  <c r="D35" i="179" s="1"/>
  <c r="F35" i="179" s="1"/>
  <c r="C42" i="179"/>
  <c r="D42" i="179" s="1"/>
  <c r="F42" i="179" s="1"/>
  <c r="C49" i="179"/>
  <c r="D49" i="179" s="1"/>
  <c r="F49" i="179" s="1"/>
  <c r="C51" i="179"/>
  <c r="D51" i="179" s="1"/>
  <c r="F51" i="179" s="1"/>
  <c r="C58" i="179"/>
  <c r="D58" i="179" s="1"/>
  <c r="F58" i="179" s="1"/>
  <c r="C66" i="179"/>
  <c r="D66" i="179" s="1"/>
  <c r="F66" i="179" s="1"/>
  <c r="C74" i="179"/>
  <c r="D74" i="179" s="1"/>
  <c r="F74" i="179" s="1"/>
  <c r="C82" i="179"/>
  <c r="D82" i="179" s="1"/>
  <c r="F82" i="179" s="1"/>
  <c r="C85" i="180"/>
  <c r="C89" i="180" s="1"/>
  <c r="W25" i="211" l="1"/>
  <c r="W24" i="211"/>
  <c r="W27" i="211"/>
  <c r="D9" i="179"/>
  <c r="D46" i="179"/>
  <c r="F46" i="179" s="1"/>
  <c r="W23" i="211" s="1"/>
  <c r="D14" i="179"/>
  <c r="F14" i="179" s="1"/>
  <c r="D39" i="179"/>
  <c r="F39" i="179" s="1"/>
  <c r="D37" i="179"/>
  <c r="F37" i="179" s="1"/>
  <c r="D27" i="179"/>
  <c r="F27" i="179" s="1"/>
  <c r="D25" i="179"/>
  <c r="F25" i="179" s="1"/>
  <c r="D18" i="179"/>
  <c r="F18" i="179" s="1"/>
  <c r="F86" i="231"/>
  <c r="O13" i="232" s="1"/>
  <c r="C86" i="179"/>
  <c r="C90" i="179" s="1"/>
  <c r="F9" i="179"/>
  <c r="W18" i="211" l="1"/>
  <c r="W28" i="211" s="1"/>
  <c r="W33" i="211" s="1"/>
  <c r="W38" i="211" s="1"/>
  <c r="W40" i="211" s="1"/>
  <c r="H29" i="252" s="1"/>
  <c r="J29" i="252" s="1"/>
  <c r="L29" i="252" s="1"/>
  <c r="W21" i="211"/>
  <c r="W22" i="211"/>
  <c r="D86" i="179"/>
  <c r="F86" i="179"/>
  <c r="O13" i="178" s="1"/>
  <c r="G23" i="237" l="1"/>
  <c r="G22" i="237"/>
  <c r="G21" i="237"/>
  <c r="G20" i="237"/>
  <c r="G19" i="237"/>
  <c r="G18" i="237"/>
  <c r="G17" i="237"/>
  <c r="G16" i="237"/>
  <c r="G15" i="237"/>
  <c r="G14" i="237"/>
  <c r="G13" i="237"/>
  <c r="G12" i="237"/>
  <c r="F20" i="236"/>
  <c r="I20" i="181" s="1"/>
  <c r="I21" i="181" l="1"/>
  <c r="I22" i="181" s="1"/>
  <c r="D89" i="180" s="1"/>
  <c r="D83" i="180" l="1"/>
  <c r="F83" i="180" s="1"/>
  <c r="D79" i="180"/>
  <c r="F79" i="180" s="1"/>
  <c r="D75" i="180"/>
  <c r="F75" i="180" s="1"/>
  <c r="D71" i="180"/>
  <c r="F71" i="180" s="1"/>
  <c r="D67" i="180"/>
  <c r="F67" i="180" s="1"/>
  <c r="D63" i="180"/>
  <c r="F63" i="180" s="1"/>
  <c r="D59" i="180"/>
  <c r="F59" i="180" s="1"/>
  <c r="D55" i="180"/>
  <c r="F55" i="180" s="1"/>
  <c r="D51" i="180"/>
  <c r="F51" i="180" s="1"/>
  <c r="D47" i="180"/>
  <c r="F47" i="180" s="1"/>
  <c r="D43" i="180"/>
  <c r="F43" i="180" s="1"/>
  <c r="D39" i="180"/>
  <c r="F39" i="180" s="1"/>
  <c r="D35" i="180"/>
  <c r="F35" i="180" s="1"/>
  <c r="D31" i="180"/>
  <c r="F31" i="180" s="1"/>
  <c r="D27" i="180"/>
  <c r="F27" i="180" s="1"/>
  <c r="D23" i="180"/>
  <c r="F23" i="180" s="1"/>
  <c r="D19" i="180"/>
  <c r="F19" i="180" s="1"/>
  <c r="D15" i="180"/>
  <c r="F15" i="180" s="1"/>
  <c r="D11" i="180"/>
  <c r="F11" i="180" s="1"/>
  <c r="D87" i="180"/>
  <c r="D77" i="180"/>
  <c r="F77" i="180" s="1"/>
  <c r="D69" i="180"/>
  <c r="F69" i="180" s="1"/>
  <c r="D61" i="180"/>
  <c r="F61" i="180" s="1"/>
  <c r="D53" i="180"/>
  <c r="F53" i="180" s="1"/>
  <c r="D41" i="180"/>
  <c r="F41" i="180" s="1"/>
  <c r="D33" i="180"/>
  <c r="F33" i="180" s="1"/>
  <c r="D25" i="180"/>
  <c r="F25" i="180" s="1"/>
  <c r="D17" i="180"/>
  <c r="F17" i="180" s="1"/>
  <c r="D9" i="180"/>
  <c r="F9" i="180" s="1"/>
  <c r="D76" i="180"/>
  <c r="F76" i="180" s="1"/>
  <c r="D68" i="180"/>
  <c r="F68" i="180" s="1"/>
  <c r="D64" i="180"/>
  <c r="F64" i="180" s="1"/>
  <c r="D52" i="180"/>
  <c r="F52" i="180" s="1"/>
  <c r="D44" i="180"/>
  <c r="F44" i="180" s="1"/>
  <c r="D82" i="180"/>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D81" i="180"/>
  <c r="F81" i="180" s="1"/>
  <c r="D73" i="180"/>
  <c r="F73" i="180" s="1"/>
  <c r="D65" i="180"/>
  <c r="F65" i="180" s="1"/>
  <c r="D57" i="180"/>
  <c r="F57" i="180" s="1"/>
  <c r="D49" i="180"/>
  <c r="F49" i="180" s="1"/>
  <c r="D45" i="180"/>
  <c r="F45" i="180" s="1"/>
  <c r="D37" i="180"/>
  <c r="F37" i="180" s="1"/>
  <c r="D29" i="180"/>
  <c r="F29" i="180" s="1"/>
  <c r="D21" i="180"/>
  <c r="F21" i="180" s="1"/>
  <c r="D13" i="180"/>
  <c r="F13" i="180" s="1"/>
  <c r="D80" i="180"/>
  <c r="F80" i="180" s="1"/>
  <c r="D72" i="180"/>
  <c r="F72" i="180" s="1"/>
  <c r="D60" i="180"/>
  <c r="F60" i="180" s="1"/>
  <c r="D56" i="180"/>
  <c r="F56" i="180" s="1"/>
  <c r="D48" i="180"/>
  <c r="F48" i="180" s="1"/>
  <c r="D40" i="180"/>
  <c r="F40" i="180" s="1"/>
  <c r="D24" i="180"/>
  <c r="F24" i="180" s="1"/>
  <c r="D16" i="180"/>
  <c r="F16" i="180" s="1"/>
  <c r="D28" i="180"/>
  <c r="F28" i="180" s="1"/>
  <c r="D36" i="180"/>
  <c r="F36" i="180" s="1"/>
  <c r="D20" i="180"/>
  <c r="F20" i="180" s="1"/>
  <c r="D32" i="180"/>
  <c r="F32" i="180" s="1"/>
  <c r="D12" i="180"/>
  <c r="F12" i="180" s="1"/>
  <c r="V25" i="211" l="1"/>
  <c r="BD25" i="211" s="1"/>
  <c r="V21" i="211"/>
  <c r="BD21" i="211" s="1"/>
  <c r="V24" i="211"/>
  <c r="BD24" i="211" s="1"/>
  <c r="V23" i="211"/>
  <c r="BD23" i="211" s="1"/>
  <c r="V27" i="211"/>
  <c r="BD27" i="211" s="1"/>
  <c r="V20" i="211"/>
  <c r="BD20" i="211" s="1"/>
  <c r="V22" i="211"/>
  <c r="BD22" i="211" s="1"/>
  <c r="D85" i="180"/>
  <c r="F10" i="180"/>
  <c r="F85" i="180" s="1"/>
  <c r="O13" i="181" s="1"/>
  <c r="V18" i="211" l="1"/>
  <c r="V28" i="211" s="1"/>
  <c r="V33" i="211" s="1"/>
  <c r="V38" i="211" s="1"/>
  <c r="V40" i="211" s="1"/>
  <c r="H28" i="252" s="1"/>
  <c r="J28" i="252" s="1"/>
  <c r="L28" i="252" s="1"/>
  <c r="E64" i="211"/>
  <c r="E54" i="211"/>
  <c r="E28" i="211"/>
  <c r="E38" i="211" s="1"/>
  <c r="E15" i="211"/>
  <c r="BD18" i="211" l="1"/>
  <c r="E66" i="211"/>
  <c r="E40" i="211"/>
  <c r="I13" i="178" l="1"/>
  <c r="F19" i="210" l="1"/>
  <c r="F21" i="210" s="1"/>
  <c r="F25" i="210" s="1"/>
  <c r="I24" i="181"/>
  <c r="I13" i="181" s="1"/>
  <c r="F15" i="210"/>
  <c r="BD64" i="211" l="1"/>
  <c r="BD54" i="211"/>
  <c r="BD15" i="211" l="1"/>
  <c r="BD66" i="211"/>
  <c r="J22" i="254" s="1"/>
  <c r="L11" i="210" l="1"/>
  <c r="L19" i="210" s="1"/>
  <c r="J24" i="254"/>
  <c r="J27" i="254" s="1"/>
  <c r="J29" i="254" s="1"/>
  <c r="J14" i="254" s="1"/>
  <c r="AF33" i="211" s="1"/>
  <c r="AF38" i="211" l="1"/>
  <c r="AF40" i="211" s="1"/>
  <c r="H41" i="252" s="1"/>
  <c r="BD33" i="211"/>
  <c r="BD28" i="211"/>
  <c r="BD38" i="211" l="1"/>
  <c r="BD40" i="211" s="1"/>
  <c r="L13" i="210" s="1"/>
  <c r="L15" i="210" s="1"/>
  <c r="J41" i="252"/>
  <c r="H68" i="252"/>
  <c r="L21" i="210" l="1"/>
  <c r="L25" i="210" s="1"/>
  <c r="L41" i="252"/>
  <c r="L68" i="252" s="1"/>
  <c r="J68" i="252"/>
</calcChain>
</file>

<file path=xl/sharedStrings.xml><?xml version="1.0" encoding="utf-8"?>
<sst xmlns="http://schemas.openxmlformats.org/spreadsheetml/2006/main" count="2328" uniqueCount="751">
  <si>
    <t>Line</t>
  </si>
  <si>
    <t>Description</t>
  </si>
  <si>
    <t>Amount</t>
  </si>
  <si>
    <t>No.</t>
  </si>
  <si>
    <t>Total</t>
  </si>
  <si>
    <t>Description of Adjustment:</t>
  </si>
  <si>
    <t>Company</t>
  </si>
  <si>
    <t>Factor</t>
  </si>
  <si>
    <t>Allocation</t>
  </si>
  <si>
    <t>Factor %</t>
  </si>
  <si>
    <t>Acct.</t>
  </si>
  <si>
    <t>Adjustment to Expense:</t>
  </si>
  <si>
    <t>Source:</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</si>
  <si>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</si>
  <si>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</si>
  <si>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</si>
  <si>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</si>
  <si>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</si>
  <si>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</si>
  <si>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</si>
  <si>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</si>
  <si>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</si>
  <si>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</si>
  <si>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</si>
  <si>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</si>
  <si>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</si>
  <si>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</si>
  <si>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</si>
  <si>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</si>
  <si>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</si>
  <si>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</si>
  <si>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</si>
  <si>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</si>
  <si>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</si>
  <si>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</si>
  <si>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</si>
  <si>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</si>
  <si>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</si>
  <si>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</si>
  <si>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</si>
  <si>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</si>
  <si>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</si>
  <si>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</si>
  <si>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</si>
  <si>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</si>
  <si>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</si>
  <si>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</si>
  <si>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</si>
  <si>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</si>
  <si>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</si>
  <si>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</si>
  <si>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</si>
  <si>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</si>
  <si>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</si>
  <si>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</si>
  <si>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</si>
  <si>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</si>
  <si>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</si>
  <si>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</si>
  <si>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</si>
  <si>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</si>
  <si>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</si>
  <si>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</si>
  <si>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</si>
  <si>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</si>
  <si>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557SG</t>
  </si>
  <si>
    <t>560SG</t>
  </si>
  <si>
    <t>580SNPD</t>
  </si>
  <si>
    <t>920SO</t>
  </si>
  <si>
    <t>Percentage</t>
  </si>
  <si>
    <t>Rate Base</t>
  </si>
  <si>
    <t>Account</t>
  </si>
  <si>
    <t>Adjustment</t>
  </si>
  <si>
    <t>500-935</t>
  </si>
  <si>
    <t>Multiple</t>
  </si>
  <si>
    <t>Purpose of Adjustment:</t>
  </si>
  <si>
    <t>Details:</t>
  </si>
  <si>
    <t>A.1</t>
  </si>
  <si>
    <t>A.2</t>
  </si>
  <si>
    <t>A.3</t>
  </si>
  <si>
    <t>A.4</t>
  </si>
  <si>
    <t>A.5</t>
  </si>
  <si>
    <t>REDUCTION TO PENSION EXPENSE</t>
  </si>
  <si>
    <t>Reduction to Pension Expense</t>
  </si>
  <si>
    <t xml:space="preserve">   Misc. Rate Base Deductions</t>
  </si>
  <si>
    <t>Per Company</t>
  </si>
  <si>
    <t>No</t>
  </si>
  <si>
    <t>Rate Base, as Adjusted</t>
  </si>
  <si>
    <t>Operating Income, as Adjusted</t>
  </si>
  <si>
    <t>Earned Rate of Return</t>
  </si>
  <si>
    <t>Required Operating Income</t>
  </si>
  <si>
    <t>Income (Deficiency) Sufficiency</t>
  </si>
  <si>
    <t>Revenue Conversion Factor</t>
  </si>
  <si>
    <t>Total Revenue (Deficiency) Sufficiency</t>
  </si>
  <si>
    <t>Adjusted</t>
  </si>
  <si>
    <t>(A)</t>
  </si>
  <si>
    <t>(B)</t>
  </si>
  <si>
    <t xml:space="preserve">    RATE BASE</t>
  </si>
  <si>
    <t>Expense</t>
  </si>
  <si>
    <t>580CA</t>
  </si>
  <si>
    <t>580OR</t>
  </si>
  <si>
    <t>580WA</t>
  </si>
  <si>
    <t>920CA</t>
  </si>
  <si>
    <t>920OR</t>
  </si>
  <si>
    <t>920UT</t>
  </si>
  <si>
    <t>920WA</t>
  </si>
  <si>
    <t>Utility Labor</t>
  </si>
  <si>
    <t>Per Company Expense Factor</t>
  </si>
  <si>
    <t>Reduction to Labor Expense</t>
  </si>
  <si>
    <t>Reduction to Expense</t>
  </si>
  <si>
    <t>Month</t>
  </si>
  <si>
    <t>580UT</t>
  </si>
  <si>
    <t>580WYP</t>
  </si>
  <si>
    <t>580WYU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</si>
  <si>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</si>
  <si>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</si>
  <si>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</si>
  <si>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</si>
  <si>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</si>
  <si>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</si>
  <si>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</si>
  <si>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</si>
  <si>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</si>
  <si>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</si>
  <si>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</si>
  <si>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</si>
  <si>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</si>
  <si>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</si>
  <si>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</si>
  <si>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Washington</t>
  </si>
  <si>
    <t>Per PC</t>
  </si>
  <si>
    <t>500CAGE</t>
  </si>
  <si>
    <t>500JBG</t>
  </si>
  <si>
    <t>501CAEE</t>
  </si>
  <si>
    <t>501JBE</t>
  </si>
  <si>
    <t>500CAGW</t>
  </si>
  <si>
    <t>535CAGE</t>
  </si>
  <si>
    <t>535CAGW</t>
  </si>
  <si>
    <t>557CAGE</t>
  </si>
  <si>
    <t>557CAGW</t>
  </si>
  <si>
    <t>557JBG</t>
  </si>
  <si>
    <t>560CAGE</t>
  </si>
  <si>
    <t>560CAGW</t>
  </si>
  <si>
    <t>560JBG</t>
  </si>
  <si>
    <t>920WYP</t>
  </si>
  <si>
    <t>Non-Utility/Capital</t>
  </si>
  <si>
    <t>Public Counsel</t>
  </si>
  <si>
    <t>B.1</t>
  </si>
  <si>
    <t>B.2</t>
  </si>
  <si>
    <t>B.3</t>
  </si>
  <si>
    <t>Medical Expense, per Company</t>
  </si>
  <si>
    <t>Stock/401(k)/ESOP, per Company</t>
  </si>
  <si>
    <t>All Other Labor and Benefit Items, per Company</t>
  </si>
  <si>
    <t>Labor Costs Impacted by Employee Level, as Adjusted</t>
  </si>
  <si>
    <t>Line 18</t>
  </si>
  <si>
    <t>Line 20 - Line 19</t>
  </si>
  <si>
    <t>Line 21 / Line 19</t>
  </si>
  <si>
    <t>Line 18 - Line 1</t>
  </si>
  <si>
    <t>Test Year Pension Expense, per Company</t>
  </si>
  <si>
    <t>Known and Measurable Reduction to Pension Expense</t>
  </si>
  <si>
    <t>Line A.2 - Line A.1</t>
  </si>
  <si>
    <t>REDUCTION TO OPEB EXPENSE</t>
  </si>
  <si>
    <t>Reduction to OPEB Expense</t>
  </si>
  <si>
    <t>Test Year OPEB Expense, per Company</t>
  </si>
  <si>
    <t>Known and Measurable Reduction to OPEB Expense</t>
  </si>
  <si>
    <t>OPEB</t>
  </si>
  <si>
    <t>Plant amount</t>
  </si>
  <si>
    <t>CAGW</t>
  </si>
  <si>
    <t>JBG</t>
  </si>
  <si>
    <t>Deprec.</t>
  </si>
  <si>
    <t>Rate</t>
  </si>
  <si>
    <t>Adjustment to  Expense:</t>
  </si>
  <si>
    <t>403SP</t>
  </si>
  <si>
    <t>(a)</t>
  </si>
  <si>
    <t>(b)</t>
  </si>
  <si>
    <t>Depreciation Expense</t>
  </si>
  <si>
    <t>108SP</t>
  </si>
  <si>
    <t>500 - 935</t>
  </si>
  <si>
    <t>Revenue</t>
  </si>
  <si>
    <t>Interest Deduction for Income Taxes</t>
  </si>
  <si>
    <t>Increase (Reduction) in Deductible Interest</t>
  </si>
  <si>
    <t>Federal Income Tax Rate</t>
  </si>
  <si>
    <t>Interest</t>
  </si>
  <si>
    <t>Description of Adjustment</t>
  </si>
  <si>
    <t xml:space="preserve">(C) </t>
  </si>
  <si>
    <t>(D)</t>
  </si>
  <si>
    <t>Avg. Test Year Employee Compliment</t>
  </si>
  <si>
    <t>Reduction to Average Test Year Employee Level</t>
  </si>
  <si>
    <t>Actual % Change from Average Test Year</t>
  </si>
  <si>
    <t>Exhibit No. DMR-3</t>
  </si>
  <si>
    <t>Act Impacts</t>
  </si>
  <si>
    <t>Col. (A):  Company Exhibit SEM-3, page 1.1</t>
  </si>
  <si>
    <t>Remove Incremental Depreciation Exp.</t>
  </si>
  <si>
    <t>Adjustment to Rate Base:</t>
  </si>
  <si>
    <t>Incremental Depreciation Reserve</t>
  </si>
  <si>
    <t>Total Expense Adjustment</t>
  </si>
  <si>
    <t>500CAEE</t>
  </si>
  <si>
    <t>510CAGE</t>
  </si>
  <si>
    <t>510JBG</t>
  </si>
  <si>
    <t>510CAGW</t>
  </si>
  <si>
    <t>541CAGE</t>
  </si>
  <si>
    <t>541CAGW</t>
  </si>
  <si>
    <t>546CAGE</t>
  </si>
  <si>
    <t>546CAGW</t>
  </si>
  <si>
    <t>549CAGE</t>
  </si>
  <si>
    <t>549CAGW</t>
  </si>
  <si>
    <t>549OR</t>
  </si>
  <si>
    <t>549SG</t>
  </si>
  <si>
    <t>551CAGE</t>
  </si>
  <si>
    <t>551CAGW</t>
  </si>
  <si>
    <t>568CAGE</t>
  </si>
  <si>
    <t>568CAGW</t>
  </si>
  <si>
    <t>568SG</t>
  </si>
  <si>
    <t>568JBG</t>
  </si>
  <si>
    <t>580IDU</t>
  </si>
  <si>
    <t>590CA</t>
  </si>
  <si>
    <t>590IDU</t>
  </si>
  <si>
    <t>590OR</t>
  </si>
  <si>
    <t>590SNPD</t>
  </si>
  <si>
    <t>590UT</t>
  </si>
  <si>
    <t>590WA</t>
  </si>
  <si>
    <t>590WYP</t>
  </si>
  <si>
    <t>590WYU</t>
  </si>
  <si>
    <t>901CN</t>
  </si>
  <si>
    <t>901WYP</t>
  </si>
  <si>
    <t>901CA</t>
  </si>
  <si>
    <t>901IDU</t>
  </si>
  <si>
    <t>901OR</t>
  </si>
  <si>
    <t>901UT</t>
  </si>
  <si>
    <t>901WA</t>
  </si>
  <si>
    <t>901WYU</t>
  </si>
  <si>
    <t>907CN</t>
  </si>
  <si>
    <t>907OR</t>
  </si>
  <si>
    <t>907CA</t>
  </si>
  <si>
    <t>907IDU</t>
  </si>
  <si>
    <t>907OTHER</t>
  </si>
  <si>
    <t>907UT</t>
  </si>
  <si>
    <t>907WA</t>
  </si>
  <si>
    <t>907WYP</t>
  </si>
  <si>
    <t>920IDU</t>
  </si>
  <si>
    <t>920WYU</t>
  </si>
  <si>
    <t>Actual FTE Employee Compliment Dec. 2015</t>
  </si>
  <si>
    <t>Reduction from Start of Base Year to Dec 2015</t>
  </si>
  <si>
    <t>Pro Forma Regular Time, Overtime and Premium Pay, per Company</t>
  </si>
  <si>
    <t>Annual Incentive Plan, per Company</t>
  </si>
  <si>
    <t>Payroll Tax Expense, per Company</t>
  </si>
  <si>
    <t>Lines 1 - 6:  Exhibit No.SEM-3, page 4.2.2</t>
  </si>
  <si>
    <t>Adjusted Test Year labor costs incorporated in the filing are based on the employee compliment that existed during the test year ended June 30, 2015.  The employee compliment declined steadily throughout the base year and subsequent to date.  The above adjustment reduces the Company's adjusted test year labor costs to reflect the current employee compliment as of December 31, 2015.</t>
  </si>
  <si>
    <t>Exh. No. SEM-3, p. 4.2.2</t>
  </si>
  <si>
    <t>(a)  Based on Pension amount in Company Exh. No. SEM-3, page 4.2.2 of $24,712,488 less administrative costs of $937,209. See</t>
  </si>
  <si>
    <t>Based on the most recent actuarial valuation for 2016, pension expense has declined as compared to the amount incorporated in the year, which was based on a combination of the 2014 and 2015 actuarial valuations for pension expense.  The 2016 pension projections provided by the actuarial firm are based on known and measurable changes, such as the 2016 actuarial assumptions selection that occurred at the end of 2015 and impact of the actual 2014 and 2015 plan experience.</t>
  </si>
  <si>
    <t>Calendar Year 2014</t>
  </si>
  <si>
    <t>Calendar Year 2015</t>
  </si>
  <si>
    <t>Average</t>
  </si>
  <si>
    <t>TY Ended June 2015</t>
  </si>
  <si>
    <t>Reduction to Other Salary Overheads Costs</t>
  </si>
  <si>
    <t>Other Salary Overheads:</t>
  </si>
  <si>
    <t>Normalization of Other Salary Overhead Costs</t>
  </si>
  <si>
    <t>Overheads</t>
  </si>
  <si>
    <t>JIM BRIDGER PLANT RETIREMENTS - DEPRECIATION EXPENSE</t>
  </si>
  <si>
    <t>Account 312 Jim Bridger U3 Overhaul Retirements</t>
  </si>
  <si>
    <t>Account 314 Jim Bridger U3 Overhaul Retirements</t>
  </si>
  <si>
    <t xml:space="preserve">Depreciation Expense </t>
  </si>
  <si>
    <t>Depreciation Expense at Current Rates</t>
  </si>
  <si>
    <t>Details at current rates:</t>
  </si>
  <si>
    <t>Details at requested revised Jim Bridger Depreciation Rates:</t>
  </si>
  <si>
    <t>Depreciation Expense at Requested Depreciation Rates</t>
  </si>
  <si>
    <t>Steam Production Plant Addition, as Updated</t>
  </si>
  <si>
    <t>Depreciation Expense w/out Acceleration</t>
  </si>
  <si>
    <t>Reduction to Depreciation Expense</t>
  </si>
  <si>
    <t>A.1 * A.2</t>
  </si>
  <si>
    <t>Reduction to Depreciation Reserve</t>
  </si>
  <si>
    <t>OTHER SALARY OVERHEADS NORMALIZATION</t>
  </si>
  <si>
    <t>Test Year Ended June 30, 2015</t>
  </si>
  <si>
    <t>YE 6/30/15</t>
  </si>
  <si>
    <t>Docket UE-152253</t>
  </si>
  <si>
    <t>Notes:</t>
  </si>
  <si>
    <t>Based on the most recent actuarial valuation for 2016, OPEB expense has declined significantly as compared to the amount incorporated in the adjusted test year, which was based on the test year recorded amount.  The 2016 OPEB projections provided by the actuarial firm are based on known and measurable changes, such as the 2016 actuarial assumptions selection that occurred at the end of 2015 and impact of the actual 2014 and 2015 plan experience.</t>
  </si>
  <si>
    <t>Revised Amount</t>
  </si>
  <si>
    <t>with PATH</t>
  </si>
  <si>
    <t>Rev. Amount with</t>
  </si>
  <si>
    <t>PATH Act and</t>
  </si>
  <si>
    <t>AMA Impacts</t>
  </si>
  <si>
    <t>Wa. Allocation</t>
  </si>
  <si>
    <t xml:space="preserve">   Misc. Deferred Debits</t>
  </si>
  <si>
    <t>Fair Rate of Return, per Company</t>
  </si>
  <si>
    <t>Col. (B):  Company response to Boise Data Request 009 (Exhibit No. DMR-6)</t>
  </si>
  <si>
    <t>Col. (C):  Company response to Boise Data Request 013 (Exhibit No. DMR-7)</t>
  </si>
  <si>
    <t>Notes/Sources:</t>
  </si>
  <si>
    <t>Lines 1 - 18:  Response to Public Counsel Data Request No. 38, provied as Exhibit No.</t>
  </si>
  <si>
    <t>DMR-19.</t>
  </si>
  <si>
    <t xml:space="preserve">      Response to Public Counsel Data Request No. 36, Attachment PC 36-1 1st Supplement (Exhibit No. DMR-20) for breakdown </t>
  </si>
  <si>
    <t xml:space="preserve">      including administrative costs.</t>
  </si>
  <si>
    <t xml:space="preserve">      of $22,855,427 less administrative costs of $920,000.</t>
  </si>
  <si>
    <t xml:space="preserve">(b)  Per Response to Public Counsel Data Request No. 52, Attachment PC 52-3 (Exhibit No. DMR-21).  Consists of total amount </t>
  </si>
  <si>
    <t>Reference:</t>
  </si>
  <si>
    <t>Pension Expense Based on Most Recent Actuarial Report</t>
  </si>
  <si>
    <t>OPEB Expense Based on Most Recent Actuarial Report</t>
  </si>
  <si>
    <t>(a)  Per response to Public Counsel Data Request No. 53 provided as Exhibit No. DMR-23.</t>
  </si>
  <si>
    <t>(a)  Per Response to Public Counsel Data Request No. 49, provided as Exhibit No. DMR-24.</t>
  </si>
  <si>
    <t>(b)  Per Response to Public Counsel Data Request No. 40, provided as Exhibit No. DMR-25.</t>
  </si>
  <si>
    <t>Since the Company added certain plant additions associated with the Jim Bridger Unit 3 Overhaul and SCR replacement as a post-test year plant addition, then the plant retirements associated with the additions should also be reflected in the adjusted test year.  The above adjustments removes the depreciation expense on the retired plant items.  Since the adjustment to plant in service is equally offset by the adjustment to accumulated depreciation, only the depreciation expense is being adjusted.  The above adjustment is based on the currently authorized depreciation rates.  If the Company is permitted in this case to accelerate the depreciation of Jim Bridger Unit 3 plant assets, then the above adjustment should be revised to reflected the accelerated depreciation shown on lines B.1 to B.3, above.  (See response to Public Counsel Data Request No. 64 provided as Exhibit No. DMR-18.)</t>
  </si>
  <si>
    <t>Unadjusted</t>
  </si>
  <si>
    <t>Temperature</t>
  </si>
  <si>
    <t>Normalization</t>
  </si>
  <si>
    <t>Effective Price</t>
  </si>
  <si>
    <t>SO2 Emission</t>
  </si>
  <si>
    <t>Allowances</t>
  </si>
  <si>
    <t>Renewable</t>
  </si>
  <si>
    <t>Energy Credits</t>
  </si>
  <si>
    <t>Wheeling</t>
  </si>
  <si>
    <t>Miscellaneous</t>
  </si>
  <si>
    <t>Expense &amp;</t>
  </si>
  <si>
    <t>General Wage</t>
  </si>
  <si>
    <t>Increase</t>
  </si>
  <si>
    <t>(Annualizing)</t>
  </si>
  <si>
    <t>Legal</t>
  </si>
  <si>
    <t>Expenses</t>
  </si>
  <si>
    <t>Irrigation Load</t>
  </si>
  <si>
    <t>Control Prog.</t>
  </si>
  <si>
    <t>Remove</t>
  </si>
  <si>
    <t>Non-Recurring</t>
  </si>
  <si>
    <t>Entries</t>
  </si>
  <si>
    <t>DSM Expense</t>
  </si>
  <si>
    <t>Removal</t>
  </si>
  <si>
    <t>Insurance</t>
  </si>
  <si>
    <t>Advertising</t>
  </si>
  <si>
    <t>Memberships &amp;</t>
  </si>
  <si>
    <t>Subscriptions</t>
  </si>
  <si>
    <t>Uncollectible</t>
  </si>
  <si>
    <t>Net Power</t>
  </si>
  <si>
    <t>Costs</t>
  </si>
  <si>
    <t>Colstrip #3</t>
  </si>
  <si>
    <t>EOP</t>
  </si>
  <si>
    <t>Plant</t>
  </si>
  <si>
    <t>Reserves</t>
  </si>
  <si>
    <t>Annualization</t>
  </si>
  <si>
    <t>of Base Period</t>
  </si>
  <si>
    <t>Deprec/Amort.</t>
  </si>
  <si>
    <t>Hydro</t>
  </si>
  <si>
    <t>Decomm.</t>
  </si>
  <si>
    <t>Acc. Deprec.</t>
  </si>
  <si>
    <t>On Jim Bridger</t>
  </si>
  <si>
    <t>and Colstrip</t>
  </si>
  <si>
    <t>True-Up</t>
  </si>
  <si>
    <t>Property Tax</t>
  </si>
  <si>
    <t>Production</t>
  </si>
  <si>
    <t>Tax</t>
  </si>
  <si>
    <t>Credit</t>
  </si>
  <si>
    <t>Power Tax</t>
  </si>
  <si>
    <t>ADIT</t>
  </si>
  <si>
    <t>Balance</t>
  </si>
  <si>
    <t>WA Low</t>
  </si>
  <si>
    <t>Income Tax</t>
  </si>
  <si>
    <t>Flow-</t>
  </si>
  <si>
    <t>Through</t>
  </si>
  <si>
    <t>Remove Def.</t>
  </si>
  <si>
    <t>State Tax Exp.</t>
  </si>
  <si>
    <t>and Balance</t>
  </si>
  <si>
    <t>WA Public</t>
  </si>
  <si>
    <t>Utility Tax</t>
  </si>
  <si>
    <t>AFUDC</t>
  </si>
  <si>
    <t>Equity</t>
  </si>
  <si>
    <t>Jim Bridger</t>
  </si>
  <si>
    <t>Mine</t>
  </si>
  <si>
    <t>Environmental</t>
  </si>
  <si>
    <t>Remediation</t>
  </si>
  <si>
    <t>Customer</t>
  </si>
  <si>
    <t>Advances</t>
  </si>
  <si>
    <t>for Constr.</t>
  </si>
  <si>
    <t>Pro Forma</t>
  </si>
  <si>
    <t>Major Plant</t>
  </si>
  <si>
    <t>Additions</t>
  </si>
  <si>
    <t>Colstrip 4</t>
  </si>
  <si>
    <t>Trojan</t>
  </si>
  <si>
    <t>Unrecovered</t>
  </si>
  <si>
    <t>Service</t>
  </si>
  <si>
    <t>Deposits</t>
  </si>
  <si>
    <t>Misc. Asset</t>
  </si>
  <si>
    <t>Sales and</t>
  </si>
  <si>
    <t>Removals</t>
  </si>
  <si>
    <t>Investor</t>
  </si>
  <si>
    <t>Supplied</t>
  </si>
  <si>
    <t>Work Cap.</t>
  </si>
  <si>
    <t>End-of-Period</t>
  </si>
  <si>
    <t>Balances</t>
  </si>
  <si>
    <t>Chehalis</t>
  </si>
  <si>
    <t>Regulatory</t>
  </si>
  <si>
    <t>Asset Adj.</t>
  </si>
  <si>
    <t>Idaho</t>
  </si>
  <si>
    <t>Asset</t>
  </si>
  <si>
    <t>Exchange</t>
  </si>
  <si>
    <t>Pacific Power &amp; Light - Washington Operations</t>
  </si>
  <si>
    <t>Pacific Power - Original Filing</t>
  </si>
  <si>
    <t>Line No.</t>
  </si>
  <si>
    <t>Adj. No.</t>
  </si>
  <si>
    <t>NOI</t>
  </si>
  <si>
    <t>Rev. Req.</t>
  </si>
  <si>
    <t>Rev. Req. Difference</t>
  </si>
  <si>
    <t>A</t>
  </si>
  <si>
    <t>B</t>
  </si>
  <si>
    <t>C</t>
  </si>
  <si>
    <t>Unadjusted Washington Allocated Data (Per Books)</t>
  </si>
  <si>
    <t>REVENUE</t>
  </si>
  <si>
    <t>Temperature Normalization</t>
  </si>
  <si>
    <t>PC Neutral in Direct</t>
  </si>
  <si>
    <t>Revenue Normalizing</t>
  </si>
  <si>
    <t>Effective Price Change</t>
  </si>
  <si>
    <t>SO2 Emission Allowance Sales</t>
  </si>
  <si>
    <t>Renewable Energy Credits</t>
  </si>
  <si>
    <t>Wheeling Revenue</t>
  </si>
  <si>
    <t>O&amp;M</t>
  </si>
  <si>
    <t>Miscellaneous Expense &amp; Revenue</t>
  </si>
  <si>
    <t>General Wage Increase (Annualizing)</t>
  </si>
  <si>
    <t>Legal Expenses</t>
  </si>
  <si>
    <t>Irrigation Load Control Program</t>
  </si>
  <si>
    <t>Remove Non-Recurring Entries</t>
  </si>
  <si>
    <t>DSM  Expense Removal</t>
  </si>
  <si>
    <t>Insurance Expense</t>
  </si>
  <si>
    <t>Member -ships &amp; Subscript -ions</t>
  </si>
  <si>
    <t>Revenue-Sensitive/ Uncollectible Expense</t>
  </si>
  <si>
    <t>PC Recommended</t>
  </si>
  <si>
    <t>Pension Expense Reduction</t>
  </si>
  <si>
    <t>OPEB Expense Reduction</t>
  </si>
  <si>
    <t>Salary Overhead Cost Normalization</t>
  </si>
  <si>
    <t>POWER COSTS</t>
  </si>
  <si>
    <t>Net Power Costs - Removal</t>
  </si>
  <si>
    <t>Colstrip #3 Removal</t>
  </si>
  <si>
    <t>AMA Rate Base</t>
  </si>
  <si>
    <t>DEPRECIATION/AMORTIZATION</t>
  </si>
  <si>
    <t>End-of-Period Plant Reserves</t>
  </si>
  <si>
    <t>Annualization of Base Period Depr./Amort. Expense</t>
  </si>
  <si>
    <t xml:space="preserve">Hydro Decommissioing </t>
  </si>
  <si>
    <t>Accelerated Depreciation on Jim Bridger &amp; Colstrip</t>
  </si>
  <si>
    <t>PC Opposes</t>
  </si>
  <si>
    <t>TAX ADJUSTMENTS</t>
  </si>
  <si>
    <t>Interest True Up</t>
  </si>
  <si>
    <t>AMA Rate Base and PC Modified</t>
  </si>
  <si>
    <t>Property Tax Expense</t>
  </si>
  <si>
    <t>Production Tax Credit</t>
  </si>
  <si>
    <t>PowerTax ADIT Balance</t>
  </si>
  <si>
    <t>WA Low Income Tax Credit</t>
  </si>
  <si>
    <t>Flow-Through Adjustment</t>
  </si>
  <si>
    <t>Remove Deferred State Tax Expense &amp; Balance</t>
  </si>
  <si>
    <t>WA Public Utility Tax Adjustment</t>
  </si>
  <si>
    <t>AFUDC Equity</t>
  </si>
  <si>
    <t>RATE BASE</t>
  </si>
  <si>
    <t xml:space="preserve">Jim Bridger Mine Rate Base </t>
  </si>
  <si>
    <t>Environmental Remediation</t>
  </si>
  <si>
    <t>Customer Advances for Construction</t>
  </si>
  <si>
    <t>Pro Forma Major Plant Additions</t>
  </si>
  <si>
    <t>Miscellaneous Rate Base</t>
  </si>
  <si>
    <t>Removal of Colstrip #4 AFUDC</t>
  </si>
  <si>
    <t>Trojan Unrecovered Plant</t>
  </si>
  <si>
    <t>Customer Service Deposits</t>
  </si>
  <si>
    <t>Misc. Asset Sales and Removals</t>
  </si>
  <si>
    <t>Investor Supplied Working Capital</t>
  </si>
  <si>
    <t>End-of-Period Plant Balances</t>
  </si>
  <si>
    <t>Chehalis Regulatory Asset Adjustment</t>
  </si>
  <si>
    <t xml:space="preserve">Idaho Asset Exchange </t>
  </si>
  <si>
    <t>Jim Bridger Unit 3 Plant Retirements</t>
  </si>
  <si>
    <t>Production Factor (Blank)</t>
  </si>
  <si>
    <t>Total Adjusted Results</t>
  </si>
  <si>
    <t>Rate of Return</t>
  </si>
  <si>
    <t>Per Company, PC Neutral in Direct</t>
  </si>
  <si>
    <t>Sources:</t>
  </si>
  <si>
    <t>Gross Revenue Conversion Factor</t>
  </si>
  <si>
    <t>PC-1</t>
  </si>
  <si>
    <t>PC-2</t>
  </si>
  <si>
    <t>PC-3</t>
  </si>
  <si>
    <t>PC-4</t>
  </si>
  <si>
    <t>PC-5</t>
  </si>
  <si>
    <t>Employee Reductions</t>
  </si>
  <si>
    <t>Other</t>
  </si>
  <si>
    <t>Salary</t>
  </si>
  <si>
    <t>Unit 3 Plant</t>
  </si>
  <si>
    <t>Retirements</t>
  </si>
  <si>
    <t>TOTAL</t>
  </si>
  <si>
    <t>WASHINGTON</t>
  </si>
  <si>
    <t>ACCOUNT</t>
  </si>
  <si>
    <t>Type</t>
  </si>
  <si>
    <t>COMPANY</t>
  </si>
  <si>
    <t>FACTOR</t>
  </si>
  <si>
    <t>FACTOR %</t>
  </si>
  <si>
    <t>ALLOCATED</t>
  </si>
  <si>
    <t>Pre-merger Depreciation Expense</t>
  </si>
  <si>
    <t>RES</t>
  </si>
  <si>
    <t>Post-merger Depreciation Expense</t>
  </si>
  <si>
    <t>Taxes Other</t>
  </si>
  <si>
    <t>GPS</t>
  </si>
  <si>
    <t>Net Depreciation Expense - Sch M</t>
  </si>
  <si>
    <t>SCHMDT</t>
  </si>
  <si>
    <t xml:space="preserve"> </t>
  </si>
  <si>
    <t>Deferred Income Tax Expense</t>
  </si>
  <si>
    <t>Pre-merger Plant</t>
  </si>
  <si>
    <t>Post-merger Plant</t>
  </si>
  <si>
    <t>Pre-merger Depreciation Reserve</t>
  </si>
  <si>
    <t>Post-merger Depreciation Reserve</t>
  </si>
  <si>
    <t>Deferred Income Tax Balance</t>
  </si>
  <si>
    <t>Deferred ITC</t>
  </si>
  <si>
    <t>ITC85</t>
  </si>
  <si>
    <t>Remove Base Data:</t>
  </si>
  <si>
    <t>Schedule M Addition</t>
  </si>
  <si>
    <t>SCHMAT</t>
  </si>
  <si>
    <t>WA</t>
  </si>
  <si>
    <t>Situs</t>
  </si>
  <si>
    <t>Company Adjustment 5.2</t>
  </si>
  <si>
    <t>As-Filed</t>
  </si>
  <si>
    <t>AMA METHOD</t>
  </si>
  <si>
    <t>Discovery</t>
  </si>
  <si>
    <t>PUBLIC</t>
  </si>
  <si>
    <t>COUNSEL</t>
  </si>
  <si>
    <t>108DP</t>
  </si>
  <si>
    <t>Company Adjustment 6.1</t>
  </si>
  <si>
    <t>108GP</t>
  </si>
  <si>
    <t>SO</t>
  </si>
  <si>
    <t>CN</t>
  </si>
  <si>
    <t>108HP</t>
  </si>
  <si>
    <t>108OP</t>
  </si>
  <si>
    <t>108TP</t>
  </si>
  <si>
    <t>SG</t>
  </si>
  <si>
    <t>111GP</t>
  </si>
  <si>
    <t>111HP</t>
  </si>
  <si>
    <t>111IP</t>
  </si>
  <si>
    <t>Total Adjustment</t>
  </si>
  <si>
    <t>Company Adjustment 6.2</t>
  </si>
  <si>
    <t>Adjustment Description:</t>
  </si>
  <si>
    <t>403GP</t>
  </si>
  <si>
    <t>403HP</t>
  </si>
  <si>
    <t>403OP</t>
  </si>
  <si>
    <t>403TP</t>
  </si>
  <si>
    <t>404IP</t>
  </si>
  <si>
    <t>Adjustment to Tax:</t>
  </si>
  <si>
    <t>Schedule M Adjustment</t>
  </si>
  <si>
    <t>Total Schedule M Adjustment</t>
  </si>
  <si>
    <t>Def. Income Tax Exp.</t>
  </si>
  <si>
    <t>Total Deferred Income Tax Expense</t>
  </si>
  <si>
    <t>Accumulated Deferred Income Tax</t>
  </si>
  <si>
    <t>ADIT Balance</t>
  </si>
  <si>
    <t xml:space="preserve">Adjustment to Reserve </t>
  </si>
  <si>
    <t>Depreciation Reserve</t>
  </si>
  <si>
    <t>Company Adjustment 6.3</t>
  </si>
  <si>
    <t>Public</t>
  </si>
  <si>
    <t>CAGE</t>
  </si>
  <si>
    <t>Depreciation Reserve Adjustment</t>
  </si>
  <si>
    <t>Counsel</t>
  </si>
  <si>
    <t>Company Adjustment 6.4</t>
  </si>
  <si>
    <t>This pro forma adjustment records annual incremental depreciation expense and reserve on Jim Bridger Plant and Colstrip Unit 4 assuming depreciation schedule is accelerated in Washington to match that in Oregon.  This change will move the end of the depreciable life for Colstrip from 20147 to 2032 and Jim Bridger from 2037 to 2025, which would result in depreciation rates similar to those based on steam plant lives previously approved in Washington under the 2002 Depreciation Study (WA Docket No. UE-21271, order dated July 31, 2003).  Incremental reserves are reflected on an average basis.</t>
  </si>
  <si>
    <t>Company Adjustment 7.1</t>
  </si>
  <si>
    <t>Adjustment Detail:</t>
  </si>
  <si>
    <t>Adjusted Rate Base - Washington Jurisdictional</t>
  </si>
  <si>
    <t>Interest Deduction, per Books</t>
  </si>
  <si>
    <t>Adjustment to Income Tax Expense</t>
  </si>
  <si>
    <t>PATH Act</t>
  </si>
  <si>
    <t>and AMA</t>
  </si>
  <si>
    <t>Reduction to Income Tax Expense</t>
  </si>
  <si>
    <t>(Boise 09)</t>
  </si>
  <si>
    <t>(Boise 13)</t>
  </si>
  <si>
    <t>The above adjustment synchronizes the tax deductible interest expense with the adjusted rate base and the per Company weighted cost of debt.  The Total Company amount that include the impacts of the PATH Act was provided in response to Boise Data Request 9 at Attachment Boise 009-2.  The Total Company amount that includes the impacts of the PATH Act and AMA rate base was provided in response to Boise Data Request 13 at Attachment Boise 0013-10.  The Public Counsel amounts are based on Public Counsel recommended rate base which includes the impacts of the PATH Act, rate base based on the AMA approach and the impact of other Public Counsel adjustments impacting rate base.</t>
  </si>
  <si>
    <t>DITBAL</t>
  </si>
  <si>
    <t>Cholla SHL</t>
  </si>
  <si>
    <t>Accel Amort of Pollution Cntrl Facilities</t>
  </si>
  <si>
    <t>California</t>
  </si>
  <si>
    <t>IDU</t>
  </si>
  <si>
    <t>Oregon</t>
  </si>
  <si>
    <t>OR</t>
  </si>
  <si>
    <t>Utah</t>
  </si>
  <si>
    <t>UT</t>
  </si>
  <si>
    <t>Wyoming</t>
  </si>
  <si>
    <t>WYP</t>
  </si>
  <si>
    <t>PP&amp;E Adjustment - SNP</t>
  </si>
  <si>
    <t>SNP</t>
  </si>
  <si>
    <t>PP&amp;E Adjustment - CIAC</t>
  </si>
  <si>
    <t>CIAC</t>
  </si>
  <si>
    <t>PP&amp;E Adjustment - SG</t>
  </si>
  <si>
    <t>PP&amp;E Adjustment - JBG</t>
  </si>
  <si>
    <t>PP&amp;E Adjustment - JBE</t>
  </si>
  <si>
    <t>JBE</t>
  </si>
  <si>
    <t>PP&amp;E Adjustment - SNPD</t>
  </si>
  <si>
    <t>SNPD</t>
  </si>
  <si>
    <t>PP&amp;E Adjustment - SO</t>
  </si>
  <si>
    <t>Company Adjustment 7.4</t>
  </si>
  <si>
    <t>Repair</t>
  </si>
  <si>
    <t>PP&amp;E Adjustment - CAGW</t>
  </si>
  <si>
    <t xml:space="preserve">CA </t>
  </si>
  <si>
    <t>Company Adjustment 7.7</t>
  </si>
  <si>
    <t xml:space="preserve">  Deferred Income Tax Expense</t>
  </si>
  <si>
    <t xml:space="preserve">  ADIT Balance</t>
  </si>
  <si>
    <t>This adjustment removes the deferred state income tax expense and associated balances related to the non-property items from results since state income tax expense is excluded under the WCA allocation methodology.  Total Company amount that includes the impacts of the PATH Act was provided in response to Boise Data Request 9 at Attachment Boise 009-2.  The Total Company amount that includes the impacts of the PATH Act and AMA rate base was provided in response to Boise Data Request 13 at Attachment Boise 0013-11.  The Public Counsel amounts are based on the per Company amounts as modified for the impacts of the PATH Act and AMA rate base, provided at Attachment Boise 0013-11.</t>
  </si>
  <si>
    <t>Coal Mine</t>
  </si>
  <si>
    <t>Misc. Deferred Debits</t>
  </si>
  <si>
    <t>Mining Plant Accumulated Depreciation</t>
  </si>
  <si>
    <t>June 2015 AMA Balance</t>
  </si>
  <si>
    <t>Adjustment to June 2015 YE Balance</t>
  </si>
  <si>
    <t>Company Adjustment 8.1</t>
  </si>
  <si>
    <t xml:space="preserve">AMA </t>
  </si>
  <si>
    <t>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The Bridger Mine adjustment was stipulated to and approved in Washington UE-032065, and has been included in all GRC filings since.  
In response to Boise Data Request 13, at Attachment Boise 013-6, the Company provided the revised adjustment based on AMA rate base approach.  In the revised adjustment, the Company also corrected the allocation factor percentage applied.  Since Public Counsel recommends AMA rate base approach, Public Counsel's recommended adjustment is based on the AMA approach provided by the Company in Attachment Boise 013-6.</t>
  </si>
  <si>
    <t>Company Adjustment 8.11</t>
  </si>
  <si>
    <t>DP</t>
  </si>
  <si>
    <t>GP</t>
  </si>
  <si>
    <t>SP</t>
  </si>
  <si>
    <t>TP</t>
  </si>
  <si>
    <t>PRO</t>
  </si>
  <si>
    <t>Net Balance Transferred to Idaho Power</t>
  </si>
  <si>
    <t>Add Assets Transferred from Idaho Power</t>
  </si>
  <si>
    <t>Add Reserves Transferred from Idaho Power</t>
  </si>
  <si>
    <t>Net Balance Transferred from Idaho Power</t>
  </si>
  <si>
    <t>ADIT Balance at June 2015 - WA</t>
  </si>
  <si>
    <t>186M</t>
  </si>
  <si>
    <t>108MP</t>
  </si>
  <si>
    <t>Company Adjustment 8.13</t>
  </si>
  <si>
    <r>
      <t xml:space="preserve">This adjustment reflects the rate base impacts of the Asset Exchange agreement between Pacificorp and Idaho Powe as approved in Order 01 of Docket No. UE-144136.  In response to Boise Data Request 13, at Attachment Boise 013-8, the Company provided the revised adjustment based on AMA rate base approach.  Public Counsel's recommended adjustment is based on the AMA approach provided by the Company in Attachment Boise 013-8.
</t>
    </r>
    <r>
      <rPr>
        <i/>
        <sz val="10"/>
        <rFont val="Times New Roman"/>
        <family val="1"/>
      </rPr>
      <t xml:space="preserve">
</t>
    </r>
  </si>
  <si>
    <t>Company Adjustment 8.4</t>
  </si>
  <si>
    <t>(Boise 9)</t>
  </si>
  <si>
    <t>Steam Production</t>
  </si>
  <si>
    <t>Adjustment to Reserve:</t>
  </si>
  <si>
    <t>Accumulated Reserve</t>
  </si>
  <si>
    <t>Steam Production - Sch M Adj</t>
  </si>
  <si>
    <t>Steam Production - DIT Expense</t>
  </si>
  <si>
    <t>Steam Production - AMA ADIT</t>
  </si>
  <si>
    <t>Attachment Boise 0062 1st Supplemental (Exh. No. DMR-17)</t>
  </si>
  <si>
    <t>Current Jim Bridger Account 312 Depreciation Rate</t>
  </si>
  <si>
    <t>Co. Exhibit No. SEM-3, page 6.4.2</t>
  </si>
  <si>
    <t>Calculation of Public Counsel Recommended Depreciation Expense - Removes Acceleration</t>
  </si>
  <si>
    <t>Company original ADIT</t>
  </si>
  <si>
    <t>Company updated ADIT based on actual plant adds</t>
  </si>
  <si>
    <t>Co. Exhibit No. SEM-3, page 8.4</t>
  </si>
  <si>
    <t>Reduction to ADIT based on Actual Plant Adds</t>
  </si>
  <si>
    <t>Company ADIT with PATH Act Impacts Based on</t>
  </si>
  <si>
    <t xml:space="preserve">      Original Projected Plant Additions</t>
  </si>
  <si>
    <t>Attachment Boise 009-1 Redacted (Exh. No. DMR-6)</t>
  </si>
  <si>
    <t>Adjusted ADIT, per Public Counsel</t>
  </si>
  <si>
    <t>Company original DIT Expense</t>
  </si>
  <si>
    <t>Company updated DIT Expense on actual plant adds</t>
  </si>
  <si>
    <t>Calculation of Estimated Steam Production - Sch M Adj Impact:</t>
  </si>
  <si>
    <t>Calculation of Estimated Accumulated Deferred Income Tax Impact:</t>
  </si>
  <si>
    <t>Calculation of Deferred Income Tax Expense Impact:</t>
  </si>
  <si>
    <t>Company original Steam Prod. Sch M Adj</t>
  </si>
  <si>
    <t>Company updated based on Actual Plant Adds</t>
  </si>
  <si>
    <t>Reduction based on Actual Plant Adds</t>
  </si>
  <si>
    <t xml:space="preserve">Company Steam Prod. Sch M Adj with PATH Act </t>
  </si>
  <si>
    <t xml:space="preserve">      Impacts based on Original Projected Plant Adds</t>
  </si>
  <si>
    <t>Adjusted Steam Prod Sch M deduction, per PC</t>
  </si>
  <si>
    <t>8.4.1</t>
  </si>
  <si>
    <t>Per Company Accelerated Depreciation Based on Actual</t>
  </si>
  <si>
    <t xml:space="preserve">  Plant Additions (Uses 7.155% depreciation rate)</t>
  </si>
  <si>
    <t>Reduction to Depreciation Expense to Remove</t>
  </si>
  <si>
    <t xml:space="preserve">  Accelerated Depreciation</t>
  </si>
  <si>
    <t>A.3 - A.4</t>
  </si>
  <si>
    <t>PC Modified</t>
  </si>
  <si>
    <t xml:space="preserve">Col. A, B and C:  Company Exh. No. SEM-2, page 1.  </t>
  </si>
  <si>
    <t>D</t>
  </si>
  <si>
    <t>E</t>
  </si>
  <si>
    <t>F</t>
  </si>
  <si>
    <t>G = F - C</t>
  </si>
  <si>
    <t>Exhibit No. DMR-2</t>
  </si>
  <si>
    <t>Page 1 of 1</t>
  </si>
  <si>
    <t>Public Counsel Position</t>
  </si>
  <si>
    <t>Revenue Requirement</t>
  </si>
  <si>
    <t>Description:</t>
  </si>
  <si>
    <t>Summary of Adjustments</t>
  </si>
  <si>
    <t>Per PC - AMA</t>
  </si>
  <si>
    <t>Adjustment PC-1</t>
  </si>
  <si>
    <t>See PC-1.2</t>
  </si>
  <si>
    <t>See PC-1.3</t>
  </si>
  <si>
    <t>See PC-1.4</t>
  </si>
  <si>
    <t>PC-1.1</t>
  </si>
  <si>
    <t>PC-1.2</t>
  </si>
  <si>
    <t>PC-1.3</t>
  </si>
  <si>
    <t>Adjustment PC-2</t>
  </si>
  <si>
    <t>PC-2.1</t>
  </si>
  <si>
    <t>PC-2.2</t>
  </si>
  <si>
    <t>Adjustment PC-3</t>
  </si>
  <si>
    <t>PC-3.1</t>
  </si>
  <si>
    <t>PC-3.2</t>
  </si>
  <si>
    <t>Adjustment PC-4</t>
  </si>
  <si>
    <t>PC-4.1</t>
  </si>
  <si>
    <r>
      <t>Reduction to Other Salary Overhead Costs (</t>
    </r>
    <r>
      <rPr>
        <i/>
        <sz val="12"/>
        <rFont val="Times New Roman"/>
        <family val="1"/>
      </rPr>
      <t>Title Corrected</t>
    </r>
    <r>
      <rPr>
        <sz val="12"/>
        <rFont val="Times New Roman"/>
        <family val="1"/>
      </rPr>
      <t>)</t>
    </r>
  </si>
  <si>
    <t>PC-4.2</t>
  </si>
  <si>
    <t>PC-1.4</t>
  </si>
  <si>
    <t>Adjustment PC-5</t>
  </si>
  <si>
    <t>COLSTRIP #3 REMOVAL</t>
  </si>
  <si>
    <t xml:space="preserve">This restating adjustment removes the Colstrip #3 plant investment and associated costs from results of operations. This treatment was authorized in Cause No. U-83-57.    
</t>
  </si>
  <si>
    <t xml:space="preserve">   
Public Counsel recommends the End-of-Period rate base approach be rejected and the Average-of-Monthly Averages (AMA) approach be used.  The Company provided the adjustment using the AMA approach in response to Boise Data Request 13 at Attachment Boise 0013-2.</t>
  </si>
  <si>
    <t>END-OF-PERIOD PLANT RESERVES</t>
  </si>
  <si>
    <t>ANNUALIZATION OF BASE PERIOD DEPR./AMORT. EXPENSE</t>
  </si>
  <si>
    <t>HYDRO DECOMMISSIONING</t>
  </si>
  <si>
    <t>ACCELERATED DEPRECIATION ON JIM BRIDGER AND COLSTRIP PLANTS</t>
  </si>
  <si>
    <t>Public Counsel opposes the acceleration of depreciation on the Jim Bridger and Colstrip units at this time.</t>
  </si>
  <si>
    <t>INTEREST TRUE-UP</t>
  </si>
  <si>
    <t>Weighted Cost of Debt, per Company (a)</t>
  </si>
  <si>
    <t>(a) Public Counsel rate corrected to per Company weighted cost of debt and Public Counsel takes no position on the</t>
  </si>
  <si>
    <t>weighted cost of debt at this time.</t>
  </si>
  <si>
    <t>Impacts of PATH Act and PATH Act with AMA provided for informational purposes.</t>
  </si>
  <si>
    <t>Company presentation modified to show income tax expense impact.</t>
  </si>
  <si>
    <t>POWERTAX ADIT BALANCE</t>
  </si>
  <si>
    <t>REMOVE DEFERRED STATE TAX EXPENSE AND BALANCES</t>
  </si>
  <si>
    <t>JIM BRIDGER MINE RATE BASE</t>
  </si>
  <si>
    <t xml:space="preserve">This adjustment adds into rate base major plant addition projects at Jim Bridger Unit 3 (Overhaul and Selective Catalytic Reduction system installation) placed in-service November 2014, on an AMA basis for the rate effective period May 1, 2016 through April 30, 2017.  Details of the project can be found on Page 8.4.1.  The project is also discussed in detail int he Direct Testimony of Mr. Chad A. Teply and Mr. Rick T. Link.  This adjustment also incorporates the associated depreciation expense, accumulated reserve impacts, and corresponding tax effects.  </t>
  </si>
  <si>
    <t>PRO FORMA MAJOR PLANT ADDITIONS</t>
  </si>
  <si>
    <t>8.4.2</t>
  </si>
  <si>
    <t xml:space="preserve">    - Remove Accelerated Depreciation, per Public Counsel Recommendation</t>
  </si>
  <si>
    <t>Attach. Boise 0062 1st Supplemental (Exh. No. DMR-17)</t>
  </si>
  <si>
    <t>The above adjustment removes the Company's requested acceleration of the depreciation of the Jim Bridger pro forma plant additions (updated for actual additions) and instead bases the depreciation expense on the current Commission authorized depreciation rates for the assets.</t>
  </si>
  <si>
    <t>END-OF-PERIOD PLANT BALANCES</t>
  </si>
  <si>
    <t>8.11.1</t>
  </si>
  <si>
    <t>8.11.2</t>
  </si>
  <si>
    <t>Adjustment, per Public Counsel</t>
  </si>
  <si>
    <t>This adjustment walks the plant balances from Jume 2015 AMA to June 2015 Year End.</t>
  </si>
  <si>
    <t>The associated depreciation expense and accumulated reserve impacts are accounted for in adjustment 6.2 and 6.3.</t>
  </si>
  <si>
    <t>Public Counsel opposes the use of End-of-Period rate base and therefore rejects this Company adjustment.  Above per-Company amounts exclude accounts that are not allocated or Situs charged to Washington jurisdiction for presentation purposes.</t>
  </si>
  <si>
    <t xml:space="preserve">  Remove Assets Transferred to Idaho Power</t>
  </si>
  <si>
    <t xml:space="preserve">  Remove Reserves Transferred to Idaho Power</t>
  </si>
  <si>
    <t>Summary of Adjustments - Public Counsel Vs. Pacific Power &amp; Light</t>
  </si>
  <si>
    <t>Page 1 of 32</t>
  </si>
  <si>
    <t>Page 2 of 32</t>
  </si>
  <si>
    <t>Page 3 of  32</t>
  </si>
  <si>
    <t>Page 4 of  32</t>
  </si>
  <si>
    <t>Page 5 of  32</t>
  </si>
  <si>
    <t>Page 6 of 32</t>
  </si>
  <si>
    <t>Page 7 of  32</t>
  </si>
  <si>
    <t>Page 8 of 32</t>
  </si>
  <si>
    <t>Page 9 of 32</t>
  </si>
  <si>
    <t>Page 10 of 32</t>
  </si>
  <si>
    <t>Page 11 of 32</t>
  </si>
  <si>
    <t>Page 12 of 32</t>
  </si>
  <si>
    <t>Page 13 of 32</t>
  </si>
  <si>
    <t>Page 14 of 32</t>
  </si>
  <si>
    <t>Page 15 of 32</t>
  </si>
  <si>
    <t>Page 16 of 32</t>
  </si>
  <si>
    <t>Page 17 of 32</t>
  </si>
  <si>
    <t>Page 18 of 32</t>
  </si>
  <si>
    <t>Page 19 of 32</t>
  </si>
  <si>
    <t>Page 20 of 32</t>
  </si>
  <si>
    <t>Page 21 of 32</t>
  </si>
  <si>
    <t>Page 22 of 32</t>
  </si>
  <si>
    <t>Page 23 of 32</t>
  </si>
  <si>
    <t>Page 24 of 32</t>
  </si>
  <si>
    <t>Page 25 of 32</t>
  </si>
  <si>
    <t>Page 26 of 32</t>
  </si>
  <si>
    <t>Page 27 of 32</t>
  </si>
  <si>
    <t>Page 28 of 32</t>
  </si>
  <si>
    <t>Page 29 of 32</t>
  </si>
  <si>
    <t>Page 30 of 32</t>
  </si>
  <si>
    <t>Page 31 of 32</t>
  </si>
  <si>
    <t>Page 32 of 32</t>
  </si>
  <si>
    <t xml:space="preserve">The purpose of this page is to show, in summary form, the impacts on the Company's original filing of: 1) the PATH Act; </t>
  </si>
  <si>
    <t>2) the PATH Act and AMA rate base approach combined; and 3) Public Counsel's recommended adjustments.</t>
  </si>
  <si>
    <t>Revised 4/01/16</t>
  </si>
  <si>
    <t>Public Counsel recommends that the Company's adjustment be modified to reflect the impacts of the PATH Act and the impacts of the actual plant addition amounts instead of the projected amounts incorporated in the Company's filing.  The Company provided the impacts of the PATH Act on the adjustment in response to Boise Data Request 9 at Attachment Boise 009-1 Redacted.  The Company also provided the impacts on its original adjustment associated with the actual amount of plant additions (but without the PATH Act impacts) in response to Boise Data Request 62, Attachment Boise 0062 1st Supplemental.  Since the response did not include the impacts of the actual capital addition amounts with the PATH Act impacts also included, estimates of the various deferred tax impacts are calculated above.  The next page of this adjustment removes the impacts of the Company's request to accelerate depreciation on the Jim Bridger assets.</t>
  </si>
  <si>
    <t>IDAHO POWER ASSET EXCHANGE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</si>
</sst>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 numFmtId="170" formatCode="#,##0.0_);\(#,##0.0\)"/>
    <numFmt numFmtId="171" formatCode="0.0"/>
  </numFmts>
  <fonts count="33"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sz val="10"/>
      <color theme="1"/>
      <name val="Times New Roman"/>
      <family val="1"/>
    </font>
    <font>
      <u/>
      <sz val="10"/>
      <color theme="1"/>
      <name val="Times New Roman"/>
      <family val="1"/>
    </font>
    <font>
      <b/>
      <sz val="10"/>
      <name val="Arial"/>
      <family val="2"/>
    </font>
    <font>
      <sz val="10"/>
      <color rgb="FFFFFFFF"/>
      <name val="Arial"/>
      <family val="2"/>
    </font>
    <font>
      <sz val="10"/>
      <color rgb="FFFFFFFF"/>
      <name val="Times New Roman"/>
      <family val="1"/>
    </font>
    <font>
      <sz val="9"/>
      <name val="Arial"/>
      <family val="2"/>
    </font>
    <font>
      <b/>
      <sz val="9"/>
      <name val="Arial"/>
      <family val="2"/>
    </font>
    <font>
      <i/>
      <sz val="12"/>
      <color rgb="FFFF0000"/>
      <name val="Times New Roman"/>
      <family val="1"/>
    </font>
    <font>
      <sz val="12"/>
      <color rgb="FFFF0000"/>
      <name val="Times New Roman"/>
      <family val="1"/>
    </font>
    <font>
      <i/>
      <sz val="10"/>
      <name val="Times New Roman"/>
      <family val="1"/>
    </font>
    <font>
      <i/>
      <sz val="12"/>
      <name val="Times New Roman"/>
      <family val="1"/>
    </font>
    <font>
      <sz val="12"/>
      <color rgb="FF000000"/>
      <name val="Times New Roman"/>
      <family val="1"/>
    </font>
  </fonts>
  <fills count="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s>
  <borders count="30">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82">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7"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19"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8" fillId="0" borderId="0"/>
    <xf numFmtId="9" fontId="18" fillId="0" borderId="0" applyFont="0" applyFill="0" applyBorder="0" applyAlignment="0" applyProtection="0"/>
    <xf numFmtId="4" fontId="19" fillId="4" borderId="1" applyNumberFormat="0" applyProtection="0">
      <alignment horizontal="left" vertical="center" indent="1"/>
    </xf>
    <xf numFmtId="4" fontId="19" fillId="5" borderId="1" applyNumberFormat="0" applyProtection="0">
      <alignment vertical="center"/>
    </xf>
    <xf numFmtId="0" fontId="18" fillId="0" borderId="0"/>
    <xf numFmtId="0" fontId="20" fillId="0" borderId="0"/>
    <xf numFmtId="0" fontId="20"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4" fillId="0" borderId="0"/>
    <xf numFmtId="0" fontId="12" fillId="0" borderId="0"/>
    <xf numFmtId="0" fontId="4" fillId="0" borderId="0"/>
    <xf numFmtId="9" fontId="1" fillId="0" borderId="0" applyFont="0" applyFill="0" applyBorder="0" applyAlignment="0" applyProtection="0"/>
    <xf numFmtId="0" fontId="1" fillId="0" borderId="0"/>
    <xf numFmtId="43"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0" fontId="1" fillId="0" borderId="0"/>
  </cellStyleXfs>
  <cellXfs count="523">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41" fontId="0" fillId="0" borderId="0" xfId="1" applyNumberFormat="1" applyFont="1" applyBorder="1"/>
    <xf numFmtId="10" fontId="0" fillId="0" borderId="0" xfId="6" applyNumberFormat="1" applyFont="1" applyBorder="1"/>
    <xf numFmtId="41" fontId="4" fillId="0" borderId="0" xfId="4"/>
    <xf numFmtId="0" fontId="7"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0" fillId="0" borderId="0" xfId="1" applyFont="1"/>
    <xf numFmtId="41" fontId="0" fillId="0" borderId="2" xfId="1" applyFont="1" applyBorder="1"/>
    <xf numFmtId="41" fontId="0" fillId="0" borderId="0" xfId="1" applyFont="1" applyBorder="1"/>
    <xf numFmtId="41" fontId="0" fillId="0" borderId="7" xfId="1" applyFont="1" applyBorder="1"/>
    <xf numFmtId="0" fontId="0" fillId="0" borderId="0" xfId="0" quotePrefix="1" applyAlignment="1">
      <alignment horizontal="center"/>
    </xf>
    <xf numFmtId="41" fontId="0" fillId="0" borderId="0" xfId="4" applyFont="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41" fontId="0" fillId="0" borderId="2" xfId="4"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6" fontId="7" fillId="0" borderId="0" xfId="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64" fontId="7" fillId="0" borderId="0" xfId="27" applyNumberFormat="1" applyFont="1" applyFill="1" applyAlignment="1">
      <alignment horizontal="center"/>
    </xf>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64" fontId="0" fillId="0" borderId="0" xfId="6" applyNumberFormat="1" applyFont="1"/>
    <xf numFmtId="41" fontId="0" fillId="0" borderId="0" xfId="1" applyFont="1" applyBorder="1" applyAlignment="1">
      <alignment horizontal="center"/>
    </xf>
    <xf numFmtId="41" fontId="0" fillId="0" borderId="0" xfId="0" quotePrefix="1" applyNumberFormat="1" applyFont="1" applyBorder="1"/>
    <xf numFmtId="0" fontId="0" fillId="0" borderId="0" xfId="0" quotePrefix="1" applyFont="1"/>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7" fontId="0" fillId="0" borderId="0" xfId="16" applyNumberFormat="1" applyFont="1" applyBorder="1"/>
    <xf numFmtId="5" fontId="0" fillId="0" borderId="0" xfId="0" applyNumberFormat="1" applyBorder="1"/>
    <xf numFmtId="41" fontId="4" fillId="0" borderId="0" xfId="0" applyNumberFormat="1" applyFont="1" applyBorder="1" applyProtection="1"/>
    <xf numFmtId="0" fontId="0" fillId="0" borderId="0" xfId="0" quotePrefix="1" applyFill="1" applyBorder="1" applyAlignment="1">
      <alignment horizontal="center"/>
    </xf>
    <xf numFmtId="0" fontId="0" fillId="0" borderId="0" xfId="0" quotePrefix="1" applyFont="1" applyAlignment="1">
      <alignment horizontal="center"/>
    </xf>
    <xf numFmtId="166" fontId="7" fillId="0" borderId="0" xfId="34" applyNumberFormat="1" applyFont="1" applyFill="1"/>
    <xf numFmtId="0" fontId="7" fillId="0" borderId="0" xfId="0" applyFont="1" applyFill="1" applyBorder="1"/>
    <xf numFmtId="0" fontId="0" fillId="0" borderId="0" xfId="0" quotePrefix="1" applyFill="1" applyBorder="1"/>
    <xf numFmtId="41" fontId="4" fillId="0" borderId="0" xfId="0" applyNumberFormat="1" applyFont="1" applyBorder="1"/>
    <xf numFmtId="165" fontId="4" fillId="0" borderId="0" xfId="30" applyNumberFormat="1" applyFont="1" applyBorder="1" applyAlignment="1">
      <alignment horizontal="center"/>
    </xf>
    <xf numFmtId="41" fontId="4" fillId="0" borderId="2" xfId="0" applyNumberFormat="1" applyFont="1" applyBorder="1"/>
    <xf numFmtId="10" fontId="0" fillId="0" borderId="0" xfId="30" applyNumberFormat="1" applyFont="1"/>
    <xf numFmtId="0" fontId="0" fillId="0" borderId="0" xfId="0" applyFill="1"/>
    <xf numFmtId="0" fontId="3" fillId="0" borderId="0" xfId="0" applyFont="1" applyFill="1" applyBorder="1"/>
    <xf numFmtId="0" fontId="0" fillId="0" borderId="0" xfId="0" applyFont="1" applyFill="1" applyBorder="1"/>
    <xf numFmtId="10" fontId="4" fillId="0" borderId="0" xfId="0" applyNumberFormat="1" applyFont="1" applyBorder="1" applyProtection="1"/>
    <xf numFmtId="169" fontId="0" fillId="0" borderId="0" xfId="0" applyNumberFormat="1" applyBorder="1"/>
    <xf numFmtId="41" fontId="0" fillId="0" borderId="0" xfId="1" applyFont="1" applyFill="1"/>
    <xf numFmtId="41" fontId="4" fillId="0" borderId="2" xfId="4" applyFill="1" applyBorder="1"/>
    <xf numFmtId="41" fontId="0" fillId="0" borderId="2" xfId="0" applyNumberFormat="1" applyFill="1" applyBorder="1"/>
    <xf numFmtId="0" fontId="0" fillId="0" borderId="0" xfId="0" applyFill="1" applyAlignment="1">
      <alignment horizontal="center"/>
    </xf>
    <xf numFmtId="41" fontId="0" fillId="0" borderId="0" xfId="0" applyNumberFormat="1" applyFill="1"/>
    <xf numFmtId="165" fontId="0" fillId="0" borderId="2" xfId="6" applyNumberFormat="1" applyFont="1" applyFill="1" applyBorder="1"/>
    <xf numFmtId="41" fontId="0" fillId="0" borderId="2" xfId="1" applyFont="1" applyBorder="1" applyAlignment="1">
      <alignment horizontal="center"/>
    </xf>
    <xf numFmtId="0" fontId="0" fillId="0" borderId="0" xfId="0" quotePrefix="1" applyBorder="1"/>
    <xf numFmtId="164" fontId="0" fillId="0" borderId="0" xfId="6" applyNumberFormat="1" applyFont="1" applyBorder="1"/>
    <xf numFmtId="41" fontId="0" fillId="0" borderId="0" xfId="5" applyFont="1"/>
    <xf numFmtId="41" fontId="0" fillId="0" borderId="0" xfId="5" applyFont="1" applyAlignment="1">
      <alignment horizontal="center"/>
    </xf>
    <xf numFmtId="41" fontId="7" fillId="0" borderId="0" xfId="1" applyFont="1" applyAlignment="1">
      <alignment horizontal="center"/>
    </xf>
    <xf numFmtId="41" fontId="4" fillId="0" borderId="0" xfId="1" applyFont="1"/>
    <xf numFmtId="41" fontId="0" fillId="0" borderId="0" xfId="1" applyFont="1" applyAlignment="1">
      <alignment horizontal="center"/>
    </xf>
    <xf numFmtId="41" fontId="7" fillId="0" borderId="0" xfId="1" applyFont="1"/>
    <xf numFmtId="41" fontId="7" fillId="0" borderId="0" xfId="1" applyFont="1" applyBorder="1" applyAlignment="1">
      <alignment horizontal="center"/>
    </xf>
    <xf numFmtId="41" fontId="7" fillId="0" borderId="0" xfId="1" applyFont="1" applyFill="1" applyAlignment="1">
      <alignment horizontal="center"/>
    </xf>
    <xf numFmtId="41" fontId="7" fillId="0" borderId="2" xfId="1" applyFont="1" applyBorder="1" applyAlignment="1">
      <alignment horizontal="center"/>
    </xf>
    <xf numFmtId="41" fontId="4" fillId="0" borderId="0" xfId="1" quotePrefix="1" applyFont="1" applyAlignment="1">
      <alignment horizontal="center"/>
    </xf>
    <xf numFmtId="41" fontId="4" fillId="0" borderId="0" xfId="1" quotePrefix="1" applyFont="1" applyFill="1" applyBorder="1" applyAlignment="1">
      <alignment horizontal="center"/>
    </xf>
    <xf numFmtId="41" fontId="5" fillId="0" borderId="0" xfId="1" applyFont="1"/>
    <xf numFmtId="41" fontId="4" fillId="0" borderId="0" xfId="1" applyFont="1" applyBorder="1"/>
    <xf numFmtId="41" fontId="4" fillId="0" borderId="2" xfId="1" applyFont="1" applyBorder="1"/>
    <xf numFmtId="41" fontId="4" fillId="0" borderId="7" xfId="1" applyFont="1" applyBorder="1"/>
    <xf numFmtId="41" fontId="4" fillId="0" borderId="3" xfId="1" applyFont="1" applyBorder="1"/>
    <xf numFmtId="41" fontId="0" fillId="0" borderId="0" xfId="1" applyFont="1" applyFill="1" applyBorder="1"/>
    <xf numFmtId="170" fontId="7" fillId="0" borderId="0" xfId="1" applyNumberFormat="1" applyFont="1" applyAlignment="1">
      <alignment horizontal="center"/>
    </xf>
    <xf numFmtId="39" fontId="7" fillId="0" borderId="0" xfId="1" applyNumberFormat="1" applyFont="1" applyAlignment="1">
      <alignment horizontal="center"/>
    </xf>
    <xf numFmtId="0" fontId="21" fillId="0" borderId="0" xfId="0" applyFont="1"/>
    <xf numFmtId="0" fontId="7" fillId="0" borderId="0" xfId="0" applyFont="1" applyFill="1"/>
    <xf numFmtId="0" fontId="7" fillId="0" borderId="0" xfId="0" applyFont="1" applyFill="1" applyAlignment="1">
      <alignment horizontal="center"/>
    </xf>
    <xf numFmtId="0" fontId="21" fillId="0" borderId="0" xfId="0" applyFont="1" applyBorder="1"/>
    <xf numFmtId="0" fontId="21" fillId="0" borderId="17" xfId="0" applyFont="1" applyBorder="1"/>
    <xf numFmtId="0" fontId="7" fillId="0" borderId="0" xfId="0" applyFont="1" applyFill="1" applyBorder="1" applyAlignment="1">
      <alignment horizontal="center" wrapText="1"/>
    </xf>
    <xf numFmtId="0" fontId="7" fillId="0" borderId="2" xfId="0" applyFont="1" applyFill="1" applyBorder="1" applyAlignment="1">
      <alignment horizontal="center" vertical="center" wrapText="1"/>
    </xf>
    <xf numFmtId="0" fontId="7" fillId="0" borderId="2" xfId="0" applyFont="1" applyFill="1" applyBorder="1"/>
    <xf numFmtId="0" fontId="7" fillId="0" borderId="11" xfId="0" applyFont="1" applyFill="1" applyBorder="1" applyAlignment="1">
      <alignment horizontal="center" wrapText="1"/>
    </xf>
    <xf numFmtId="0" fontId="7" fillId="0" borderId="2" xfId="0" applyFont="1" applyFill="1" applyBorder="1" applyAlignment="1">
      <alignment horizontal="center"/>
    </xf>
    <xf numFmtId="0" fontId="7" fillId="0" borderId="6" xfId="0" applyFont="1" applyFill="1" applyBorder="1" applyAlignment="1">
      <alignment horizontal="center" wrapText="1"/>
    </xf>
    <xf numFmtId="0" fontId="7" fillId="0" borderId="18" xfId="0" applyFont="1" applyFill="1" applyBorder="1" applyAlignment="1">
      <alignment horizontal="center" wrapText="1"/>
    </xf>
    <xf numFmtId="0" fontId="7" fillId="0" borderId="0" xfId="0" applyFont="1" applyFill="1" applyBorder="1" applyAlignment="1">
      <alignment horizontal="center" vertical="center" wrapText="1"/>
    </xf>
    <xf numFmtId="0" fontId="7" fillId="0" borderId="10" xfId="0" quotePrefix="1" applyFont="1" applyFill="1" applyBorder="1" applyAlignment="1">
      <alignment horizontal="center" wrapText="1"/>
    </xf>
    <xf numFmtId="0" fontId="7" fillId="0" borderId="0" xfId="0" applyFont="1" applyFill="1" applyBorder="1" applyAlignment="1">
      <alignment horizontal="center"/>
    </xf>
    <xf numFmtId="0" fontId="7" fillId="0" borderId="5" xfId="0" applyFont="1" applyFill="1" applyBorder="1" applyAlignment="1">
      <alignment horizontal="center" wrapText="1"/>
    </xf>
    <xf numFmtId="0" fontId="7" fillId="0" borderId="10" xfId="0" applyFont="1" applyFill="1" applyBorder="1" applyAlignment="1">
      <alignment horizontal="center" wrapText="1"/>
    </xf>
    <xf numFmtId="0" fontId="7" fillId="0" borderId="19" xfId="0" applyFont="1" applyFill="1" applyBorder="1" applyAlignment="1">
      <alignment horizontal="center" wrapText="1"/>
    </xf>
    <xf numFmtId="0" fontId="7" fillId="0" borderId="0" xfId="0" applyFont="1" applyFill="1" applyAlignment="1">
      <alignment horizontal="right"/>
    </xf>
    <xf numFmtId="166" fontId="7" fillId="0" borderId="10" xfId="1" applyNumberFormat="1" applyFont="1" applyFill="1" applyBorder="1"/>
    <xf numFmtId="166" fontId="7" fillId="0" borderId="0" xfId="1" applyNumberFormat="1" applyFont="1" applyFill="1" applyBorder="1"/>
    <xf numFmtId="166" fontId="7" fillId="0" borderId="5" xfId="1" applyNumberFormat="1" applyFont="1" applyFill="1" applyBorder="1"/>
    <xf numFmtId="166" fontId="7" fillId="0" borderId="19" xfId="1" applyNumberFormat="1" applyFont="1" applyFill="1" applyBorder="1"/>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NumberFormat="1" applyFont="1" applyFill="1" applyAlignment="1">
      <alignment horizontal="center"/>
    </xf>
    <xf numFmtId="2" fontId="7" fillId="0" borderId="0" xfId="0" quotePrefix="1" applyNumberFormat="1" applyFont="1" applyFill="1" applyAlignment="1">
      <alignment horizontal="center"/>
    </xf>
    <xf numFmtId="0" fontId="7" fillId="0" borderId="0" xfId="0" quotePrefix="1" applyFont="1" applyFill="1" applyAlignment="1">
      <alignment horizontal="center"/>
    </xf>
    <xf numFmtId="2" fontId="7" fillId="0" borderId="0" xfId="0" applyNumberFormat="1" applyFont="1" applyFill="1" applyAlignment="1">
      <alignment horizontal="center"/>
    </xf>
    <xf numFmtId="166" fontId="7" fillId="0" borderId="7" xfId="0" applyNumberFormat="1" applyFont="1" applyBorder="1"/>
    <xf numFmtId="166" fontId="7" fillId="0" borderId="15" xfId="0" applyNumberFormat="1" applyFont="1" applyBorder="1"/>
    <xf numFmtId="166" fontId="7" fillId="0" borderId="16" xfId="0" applyNumberFormat="1" applyFont="1" applyBorder="1"/>
    <xf numFmtId="166" fontId="7" fillId="0" borderId="20" xfId="0" applyNumberFormat="1" applyFont="1" applyBorder="1"/>
    <xf numFmtId="166" fontId="7" fillId="0" borderId="0" xfId="0" applyNumberFormat="1" applyFont="1" applyBorder="1"/>
    <xf numFmtId="166" fontId="21" fillId="0" borderId="0" xfId="0" applyNumberFormat="1" applyFont="1"/>
    <xf numFmtId="0" fontId="21" fillId="0" borderId="0" xfId="0" applyFont="1" applyAlignment="1">
      <alignment horizontal="right"/>
    </xf>
    <xf numFmtId="10" fontId="21" fillId="0" borderId="0" xfId="6" applyNumberFormat="1" applyFont="1"/>
    <xf numFmtId="0" fontId="22" fillId="0" borderId="0" xfId="0" applyFont="1"/>
    <xf numFmtId="165" fontId="21" fillId="0" borderId="0" xfId="6" applyNumberFormat="1" applyFont="1"/>
    <xf numFmtId="0" fontId="1" fillId="0" borderId="0" xfId="0" applyFont="1" applyBorder="1"/>
    <xf numFmtId="0" fontId="1" fillId="0" borderId="0" xfId="1" applyNumberFormat="1" applyFont="1" applyFill="1" applyBorder="1" applyAlignment="1" applyProtection="1">
      <alignment horizontal="center"/>
      <protection locked="0"/>
    </xf>
    <xf numFmtId="0" fontId="7" fillId="0" borderId="0" xfId="0" applyFont="1" applyProtection="1">
      <protection locked="0"/>
    </xf>
    <xf numFmtId="0" fontId="14" fillId="0" borderId="0" xfId="0" applyFont="1" applyProtection="1">
      <protection locked="0"/>
    </xf>
    <xf numFmtId="0" fontId="7" fillId="0" borderId="0" xfId="0" applyFont="1" applyAlignment="1" applyProtection="1">
      <alignment horizontal="center"/>
      <protection locked="0"/>
    </xf>
    <xf numFmtId="0" fontId="7" fillId="0" borderId="0" xfId="0" applyNumberFormat="1" applyFont="1" applyAlignment="1" applyProtection="1">
      <alignment horizontal="center"/>
      <protection locked="0"/>
    </xf>
    <xf numFmtId="0" fontId="15" fillId="0" borderId="0" xfId="0" applyFont="1" applyAlignment="1" applyProtection="1">
      <alignment horizontal="center"/>
      <protection locked="0"/>
    </xf>
    <xf numFmtId="0" fontId="15" fillId="0" borderId="0" xfId="0" applyNumberFormat="1" applyFont="1" applyAlignment="1" applyProtection="1">
      <alignment horizontal="center"/>
      <protection locked="0"/>
    </xf>
    <xf numFmtId="0" fontId="7" fillId="0" borderId="0" xfId="0" applyFont="1" applyBorder="1" applyProtection="1">
      <protection locked="0"/>
    </xf>
    <xf numFmtId="0" fontId="14" fillId="0" borderId="0" xfId="0" applyFont="1" applyBorder="1" applyAlignment="1" applyProtection="1">
      <alignment horizontal="left"/>
      <protection locked="0"/>
    </xf>
    <xf numFmtId="0" fontId="7" fillId="0" borderId="0" xfId="0" applyFont="1" applyBorder="1" applyAlignment="1" applyProtection="1">
      <alignment horizontal="center"/>
      <protection locked="0"/>
    </xf>
    <xf numFmtId="0" fontId="7" fillId="0" borderId="0" xfId="0" applyFont="1" applyFill="1" applyBorder="1" applyAlignment="1" applyProtection="1">
      <alignment horizontal="center"/>
      <protection locked="0"/>
    </xf>
    <xf numFmtId="166" fontId="7" fillId="0" borderId="0" xfId="1" applyNumberFormat="1" applyFont="1" applyBorder="1" applyAlignment="1" applyProtection="1">
      <alignment horizontal="center"/>
      <protection locked="0"/>
    </xf>
    <xf numFmtId="41" fontId="7" fillId="0" borderId="0" xfId="1" applyNumberFormat="1" applyFont="1" applyFill="1" applyBorder="1" applyAlignment="1" applyProtection="1">
      <alignment horizontal="center"/>
      <protection locked="0"/>
    </xf>
    <xf numFmtId="164" fontId="7" fillId="0" borderId="0" xfId="6" applyNumberFormat="1" applyFont="1" applyFill="1" applyAlignment="1" applyProtection="1">
      <alignment horizontal="center"/>
      <protection locked="0"/>
    </xf>
    <xf numFmtId="41" fontId="7" fillId="0" borderId="0" xfId="1" applyNumberFormat="1" applyFont="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Fill="1" applyAlignment="1" applyProtection="1">
      <alignment horizontal="left"/>
      <protection locked="0"/>
    </xf>
    <xf numFmtId="0" fontId="7" fillId="0" borderId="0" xfId="0" applyFont="1" applyFill="1" applyBorder="1" applyProtection="1">
      <protection locked="0"/>
    </xf>
    <xf numFmtId="166" fontId="7" fillId="0" borderId="0" xfId="1" applyNumberFormat="1" applyFont="1" applyFill="1" applyBorder="1" applyAlignment="1" applyProtection="1">
      <alignment horizontal="center"/>
      <protection locked="0"/>
    </xf>
    <xf numFmtId="0" fontId="7" fillId="0" borderId="0" xfId="0" applyFont="1" applyFill="1" applyAlignment="1" applyProtection="1">
      <alignment horizontal="center"/>
      <protection locked="0"/>
    </xf>
    <xf numFmtId="0" fontId="7" fillId="0" borderId="0" xfId="0" applyFont="1" applyBorder="1"/>
    <xf numFmtId="0" fontId="14" fillId="0" borderId="0" xfId="0" applyFont="1" applyFill="1" applyAlignment="1" applyProtection="1">
      <alignment horizontal="left"/>
      <protection locked="0"/>
    </xf>
    <xf numFmtId="164" fontId="7" fillId="0" borderId="0" xfId="6" applyNumberFormat="1" applyFont="1" applyFill="1" applyAlignment="1">
      <alignment horizontal="center"/>
    </xf>
    <xf numFmtId="41" fontId="7" fillId="0" borderId="0" xfId="1" applyNumberFormat="1" applyFont="1" applyAlignment="1">
      <alignment horizontal="center"/>
    </xf>
    <xf numFmtId="0" fontId="7" fillId="0" borderId="0" xfId="0" applyNumberFormat="1" applyFont="1" applyAlignment="1">
      <alignment horizontal="center"/>
    </xf>
    <xf numFmtId="41" fontId="7" fillId="0" borderId="0" xfId="1" applyNumberFormat="1" applyFont="1" applyBorder="1" applyAlignment="1" applyProtection="1">
      <alignment horizontal="center"/>
      <protection locked="0"/>
    </xf>
    <xf numFmtId="164" fontId="7" fillId="0" borderId="0" xfId="6" applyNumberFormat="1" applyFont="1" applyAlignment="1" applyProtection="1">
      <alignment horizontal="center"/>
      <protection locked="0"/>
    </xf>
    <xf numFmtId="0" fontId="14" fillId="0" borderId="0" xfId="0" applyFont="1" applyBorder="1" applyProtection="1">
      <protection locked="0"/>
    </xf>
    <xf numFmtId="41" fontId="7" fillId="0" borderId="0" xfId="0" applyNumberFormat="1" applyFont="1" applyBorder="1" applyAlignment="1" applyProtection="1">
      <alignment horizontal="center"/>
      <protection locked="0"/>
    </xf>
    <xf numFmtId="41" fontId="0" fillId="0" borderId="0" xfId="1" applyNumberFormat="1" applyFont="1" applyAlignment="1">
      <alignment horizontal="center"/>
    </xf>
    <xf numFmtId="0" fontId="0" fillId="0" borderId="0" xfId="0" applyNumberFormat="1" applyFont="1" applyAlignment="1">
      <alignment horizontal="center"/>
    </xf>
    <xf numFmtId="0" fontId="1" fillId="0" borderId="0" xfId="71" applyFont="1"/>
    <xf numFmtId="0" fontId="1" fillId="0" borderId="0" xfId="71" applyNumberFormat="1" applyFont="1" applyAlignment="1">
      <alignment horizontal="center"/>
    </xf>
    <xf numFmtId="0" fontId="1" fillId="0" borderId="0" xfId="71" applyFont="1" applyBorder="1"/>
    <xf numFmtId="0" fontId="1" fillId="0" borderId="0" xfId="71" applyFont="1" applyBorder="1" applyAlignment="1">
      <alignment horizontal="center"/>
    </xf>
    <xf numFmtId="164" fontId="1" fillId="0" borderId="0" xfId="30" applyNumberFormat="1" applyFont="1" applyFill="1" applyAlignment="1">
      <alignment horizontal="center"/>
    </xf>
    <xf numFmtId="41" fontId="1" fillId="0" borderId="0" xfId="29" applyNumberFormat="1" applyFont="1" applyFill="1" applyAlignment="1">
      <alignment horizontal="center"/>
    </xf>
    <xf numFmtId="0" fontId="7" fillId="0" borderId="0" xfId="71" applyFont="1"/>
    <xf numFmtId="0" fontId="14" fillId="0" borderId="0" xfId="71" applyFont="1"/>
    <xf numFmtId="0" fontId="7" fillId="0" borderId="0" xfId="71" applyFont="1" applyAlignment="1">
      <alignment horizontal="center"/>
    </xf>
    <xf numFmtId="0" fontId="7" fillId="0" borderId="0" xfId="71" applyNumberFormat="1" applyFont="1" applyAlignment="1">
      <alignment horizontal="center"/>
    </xf>
    <xf numFmtId="0" fontId="15" fillId="0" borderId="0" xfId="71" applyFont="1" applyAlignment="1">
      <alignment horizontal="center"/>
    </xf>
    <xf numFmtId="0" fontId="15" fillId="0" borderId="0" xfId="71" applyNumberFormat="1" applyFont="1" applyAlignment="1">
      <alignment horizontal="center"/>
    </xf>
    <xf numFmtId="0" fontId="7" fillId="0" borderId="0" xfId="71" applyFont="1" applyBorder="1"/>
    <xf numFmtId="0" fontId="14" fillId="0" borderId="0" xfId="71" applyFont="1" applyBorder="1" applyAlignment="1">
      <alignment horizontal="left"/>
    </xf>
    <xf numFmtId="0" fontId="7" fillId="0" borderId="0" xfId="71" applyFont="1" applyBorder="1" applyAlignment="1">
      <alignment horizontal="center"/>
    </xf>
    <xf numFmtId="166" fontId="7" fillId="0" borderId="0" xfId="29" applyNumberFormat="1" applyFont="1" applyBorder="1" applyAlignment="1">
      <alignment horizontal="center"/>
    </xf>
    <xf numFmtId="0" fontId="7" fillId="0" borderId="0" xfId="32" applyFont="1" applyFill="1" applyAlignment="1">
      <alignment horizontal="left"/>
    </xf>
    <xf numFmtId="0" fontId="7" fillId="0" borderId="0" xfId="71" applyFont="1" applyFill="1" applyBorder="1" applyAlignment="1">
      <alignment horizontal="center"/>
    </xf>
    <xf numFmtId="41" fontId="7" fillId="0" borderId="0" xfId="29" applyNumberFormat="1" applyFont="1" applyFill="1" applyBorder="1" applyAlignment="1">
      <alignment horizontal="center"/>
    </xf>
    <xf numFmtId="0" fontId="7" fillId="0" borderId="0" xfId="32" applyFont="1" applyFill="1"/>
    <xf numFmtId="164" fontId="7" fillId="0" borderId="0" xfId="30" applyNumberFormat="1" applyFont="1" applyFill="1" applyAlignment="1">
      <alignment horizontal="center"/>
    </xf>
    <xf numFmtId="41" fontId="7" fillId="0" borderId="0" xfId="29" applyNumberFormat="1" applyFont="1" applyFill="1" applyAlignment="1">
      <alignment horizontal="center"/>
    </xf>
    <xf numFmtId="0" fontId="1" fillId="0" borderId="0" xfId="32" applyFont="1" applyBorder="1"/>
    <xf numFmtId="0" fontId="1" fillId="0" borderId="0" xfId="32" applyFont="1" applyBorder="1" applyAlignment="1">
      <alignment horizontal="center"/>
    </xf>
    <xf numFmtId="166" fontId="1" fillId="0" borderId="0" xfId="29" applyNumberFormat="1" applyFont="1" applyFill="1" applyBorder="1" applyAlignment="1">
      <alignment horizontal="center"/>
    </xf>
    <xf numFmtId="0" fontId="23" fillId="0" borderId="0" xfId="32" applyFont="1" applyBorder="1"/>
    <xf numFmtId="0" fontId="1" fillId="0" borderId="21" xfId="71" applyFont="1" applyBorder="1"/>
    <xf numFmtId="0" fontId="1" fillId="0" borderId="22" xfId="71" quotePrefix="1" applyFont="1" applyBorder="1" applyAlignment="1">
      <alignment horizontal="left"/>
    </xf>
    <xf numFmtId="0" fontId="1" fillId="0" borderId="22" xfId="71" applyFont="1" applyBorder="1"/>
    <xf numFmtId="0" fontId="1" fillId="0" borderId="22" xfId="32" applyFont="1" applyBorder="1" applyAlignment="1">
      <alignment horizontal="center"/>
    </xf>
    <xf numFmtId="0" fontId="1" fillId="0" borderId="22" xfId="71" applyFont="1" applyBorder="1" applyAlignment="1">
      <alignment horizontal="center"/>
    </xf>
    <xf numFmtId="0" fontId="1" fillId="0" borderId="23" xfId="71" applyNumberFormat="1" applyFont="1" applyBorder="1" applyAlignment="1">
      <alignment horizontal="center"/>
    </xf>
    <xf numFmtId="0" fontId="1" fillId="0" borderId="24" xfId="71" applyFont="1" applyBorder="1"/>
    <xf numFmtId="0" fontId="1" fillId="0" borderId="0" xfId="71" quotePrefix="1" applyFont="1" applyBorder="1" applyAlignment="1">
      <alignment horizontal="left"/>
    </xf>
    <xf numFmtId="0" fontId="1" fillId="0" borderId="25" xfId="71" applyNumberFormat="1" applyFont="1" applyBorder="1" applyAlignment="1">
      <alignment horizontal="center"/>
    </xf>
    <xf numFmtId="0" fontId="1" fillId="0" borderId="26" xfId="71" applyFont="1" applyBorder="1"/>
    <xf numFmtId="0" fontId="1" fillId="0" borderId="27" xfId="71" applyFont="1" applyBorder="1"/>
    <xf numFmtId="0" fontId="1" fillId="0" borderId="27" xfId="32" applyFont="1" applyBorder="1" applyAlignment="1">
      <alignment horizontal="center"/>
    </xf>
    <xf numFmtId="0" fontId="1" fillId="0" borderId="27" xfId="71" applyFont="1" applyBorder="1" applyAlignment="1">
      <alignment horizontal="center"/>
    </xf>
    <xf numFmtId="0" fontId="1" fillId="0" borderId="28" xfId="71" applyFont="1" applyBorder="1" applyAlignment="1">
      <alignment horizontal="center"/>
    </xf>
    <xf numFmtId="165" fontId="4" fillId="0" borderId="0" xfId="6" applyNumberFormat="1" applyFont="1" applyFill="1" applyAlignment="1" applyProtection="1">
      <alignment horizontal="center"/>
      <protection locked="0"/>
    </xf>
    <xf numFmtId="165" fontId="4" fillId="0" borderId="0" xfId="0" applyNumberFormat="1" applyFont="1"/>
    <xf numFmtId="165" fontId="0" fillId="0" borderId="0" xfId="6" applyNumberFormat="1" applyFont="1" applyFill="1" applyAlignment="1" applyProtection="1">
      <alignment horizontal="center"/>
      <protection locked="0"/>
    </xf>
    <xf numFmtId="0" fontId="24" fillId="0" borderId="0" xfId="71" applyFont="1" applyBorder="1"/>
    <xf numFmtId="0" fontId="25" fillId="0" borderId="0" xfId="71" applyFont="1"/>
    <xf numFmtId="0" fontId="25" fillId="0" borderId="0" xfId="71" applyFont="1" applyBorder="1"/>
    <xf numFmtId="166" fontId="7" fillId="0" borderId="0" xfId="34" applyNumberFormat="1" applyFont="1" applyBorder="1" applyAlignment="1">
      <alignment horizontal="center"/>
    </xf>
    <xf numFmtId="165" fontId="4" fillId="0" borderId="0" xfId="6" applyNumberFormat="1" applyFont="1" applyFill="1" applyBorder="1" applyAlignment="1" applyProtection="1">
      <alignment horizontal="center"/>
      <protection locked="0"/>
    </xf>
    <xf numFmtId="41" fontId="4" fillId="0" borderId="7" xfId="0" applyNumberFormat="1" applyFont="1" applyBorder="1"/>
    <xf numFmtId="0" fontId="0" fillId="0" borderId="0" xfId="0" applyFont="1" applyFill="1" applyBorder="1" applyAlignment="1">
      <alignment horizontal="center"/>
    </xf>
    <xf numFmtId="41" fontId="0" fillId="0" borderId="0" xfId="0" applyNumberFormat="1" applyFont="1" applyFill="1" applyBorder="1"/>
    <xf numFmtId="41" fontId="0" fillId="0" borderId="2" xfId="0" applyNumberFormat="1" applyFont="1" applyFill="1" applyBorder="1"/>
    <xf numFmtId="0" fontId="23" fillId="0" borderId="0" xfId="71" applyFont="1" applyBorder="1"/>
    <xf numFmtId="0" fontId="16" fillId="0" borderId="0" xfId="0" applyFont="1" applyBorder="1"/>
    <xf numFmtId="41" fontId="4" fillId="0" borderId="9" xfId="0" applyNumberFormat="1" applyFont="1" applyBorder="1"/>
    <xf numFmtId="0" fontId="24" fillId="0" borderId="8" xfId="71" applyFont="1" applyBorder="1"/>
    <xf numFmtId="0" fontId="1" fillId="0" borderId="9" xfId="71" applyFont="1" applyBorder="1"/>
    <xf numFmtId="0" fontId="16" fillId="0" borderId="9" xfId="0" applyFont="1" applyBorder="1"/>
    <xf numFmtId="0" fontId="16" fillId="0" borderId="4" xfId="0" applyFont="1" applyBorder="1"/>
    <xf numFmtId="0" fontId="24" fillId="0" borderId="10" xfId="71" applyFont="1" applyBorder="1"/>
    <xf numFmtId="0" fontId="16" fillId="0" borderId="5" xfId="0" applyFont="1" applyBorder="1"/>
    <xf numFmtId="0" fontId="4" fillId="0" borderId="0" xfId="71" applyFont="1"/>
    <xf numFmtId="0" fontId="5" fillId="0" borderId="0" xfId="71" applyFont="1"/>
    <xf numFmtId="0" fontId="4" fillId="0" borderId="0" xfId="71" applyFont="1" applyAlignment="1">
      <alignment horizontal="center"/>
    </xf>
    <xf numFmtId="0" fontId="4" fillId="0" borderId="0" xfId="71" applyFont="1" applyBorder="1"/>
    <xf numFmtId="0" fontId="5" fillId="0" borderId="0" xfId="71" applyFont="1" applyBorder="1" applyAlignment="1">
      <alignment horizontal="left"/>
    </xf>
    <xf numFmtId="0" fontId="4" fillId="0" borderId="0" xfId="71" applyFont="1" applyBorder="1" applyAlignment="1">
      <alignment horizontal="center"/>
    </xf>
    <xf numFmtId="166" fontId="4" fillId="0" borderId="0" xfId="71" applyNumberFormat="1" applyFont="1" applyBorder="1" applyAlignment="1">
      <alignment horizontal="center"/>
    </xf>
    <xf numFmtId="164" fontId="4" fillId="0" borderId="0" xfId="30" applyNumberFormat="1" applyFont="1" applyBorder="1" applyAlignment="1">
      <alignment horizontal="center"/>
    </xf>
    <xf numFmtId="41" fontId="4" fillId="0" borderId="0" xfId="34" applyNumberFormat="1" applyFont="1" applyBorder="1" applyAlignment="1">
      <alignment horizontal="center"/>
    </xf>
    <xf numFmtId="0" fontId="4" fillId="0" borderId="0" xfId="71" applyFont="1" applyBorder="1" applyAlignment="1">
      <alignment horizontal="left" indent="1"/>
    </xf>
    <xf numFmtId="0" fontId="4" fillId="0" borderId="0" xfId="71" applyFont="1" applyBorder="1" applyAlignment="1"/>
    <xf numFmtId="0" fontId="5" fillId="0" borderId="0" xfId="71" applyFont="1" applyBorder="1" applyAlignment="1"/>
    <xf numFmtId="0" fontId="4" fillId="0" borderId="0" xfId="71" applyFont="1" applyFill="1" applyBorder="1" applyAlignment="1"/>
    <xf numFmtId="0" fontId="5" fillId="0" borderId="0" xfId="71" applyFont="1" applyBorder="1"/>
    <xf numFmtId="0" fontId="4" fillId="0" borderId="21" xfId="71" applyFont="1" applyBorder="1"/>
    <xf numFmtId="0" fontId="4" fillId="0" borderId="22" xfId="71" applyFont="1" applyBorder="1"/>
    <xf numFmtId="0" fontId="4" fillId="0" borderId="22" xfId="71" applyFont="1" applyBorder="1" applyAlignment="1">
      <alignment horizontal="center"/>
    </xf>
    <xf numFmtId="0" fontId="4" fillId="0" borderId="23" xfId="71" applyNumberFormat="1" applyFont="1" applyBorder="1" applyAlignment="1">
      <alignment horizontal="center"/>
    </xf>
    <xf numFmtId="0" fontId="4" fillId="0" borderId="24" xfId="71" applyFont="1" applyBorder="1"/>
    <xf numFmtId="0" fontId="4" fillId="0" borderId="0" xfId="71" quotePrefix="1" applyFont="1" applyBorder="1" applyAlignment="1">
      <alignment horizontal="left"/>
    </xf>
    <xf numFmtId="0" fontId="4" fillId="0" borderId="25" xfId="71" applyNumberFormat="1" applyFont="1" applyBorder="1" applyAlignment="1">
      <alignment horizontal="center"/>
    </xf>
    <xf numFmtId="0" fontId="4" fillId="0" borderId="26" xfId="71" applyFont="1" applyBorder="1"/>
    <xf numFmtId="0" fontId="4" fillId="0" borderId="27" xfId="71" applyFont="1" applyBorder="1"/>
    <xf numFmtId="0" fontId="4" fillId="0" borderId="27" xfId="71" applyFont="1" applyBorder="1" applyAlignment="1">
      <alignment horizontal="center"/>
    </xf>
    <xf numFmtId="0" fontId="4" fillId="0" borderId="28" xfId="71" applyFont="1" applyBorder="1" applyAlignment="1">
      <alignment horizontal="center"/>
    </xf>
    <xf numFmtId="0" fontId="0" fillId="0" borderId="0" xfId="0" applyAlignment="1">
      <alignment horizontal="right"/>
    </xf>
    <xf numFmtId="0" fontId="1" fillId="0" borderId="0" xfId="73" applyFont="1" applyBorder="1" applyProtection="1">
      <protection locked="0"/>
    </xf>
    <xf numFmtId="0" fontId="23" fillId="0" borderId="0" xfId="73" applyFont="1" applyBorder="1" applyProtection="1">
      <protection locked="0"/>
    </xf>
    <xf numFmtId="0" fontId="1" fillId="0" borderId="0" xfId="73" applyFont="1" applyBorder="1" applyAlignment="1" applyProtection="1">
      <alignment horizontal="center"/>
      <protection locked="0"/>
    </xf>
    <xf numFmtId="41" fontId="1" fillId="0" borderId="0" xfId="73" applyNumberFormat="1" applyFont="1" applyBorder="1" applyAlignment="1" applyProtection="1">
      <alignment horizontal="center"/>
      <protection locked="0"/>
    </xf>
    <xf numFmtId="0" fontId="1" fillId="0" borderId="0" xfId="73" applyNumberFormat="1" applyFont="1" applyAlignment="1" applyProtection="1">
      <alignment horizontal="center"/>
      <protection locked="0"/>
    </xf>
    <xf numFmtId="0" fontId="1" fillId="0" borderId="0" xfId="73" applyFont="1" applyFill="1" applyAlignment="1" applyProtection="1">
      <alignment horizontal="center"/>
      <protection locked="0"/>
    </xf>
    <xf numFmtId="0" fontId="26" fillId="0" borderId="0" xfId="73" applyFont="1" applyProtection="1">
      <protection locked="0"/>
    </xf>
    <xf numFmtId="0" fontId="1" fillId="0" borderId="11" xfId="73" applyFont="1" applyFill="1" applyBorder="1" applyAlignment="1" applyProtection="1">
      <alignment horizontal="left"/>
      <protection locked="0"/>
    </xf>
    <xf numFmtId="0" fontId="0" fillId="0" borderId="6" xfId="0" applyBorder="1"/>
    <xf numFmtId="0" fontId="0" fillId="0" borderId="2" xfId="0" applyFont="1" applyBorder="1" applyAlignment="1">
      <alignment horizontal="center"/>
    </xf>
    <xf numFmtId="167" fontId="0" fillId="0" borderId="2" xfId="16" applyNumberFormat="1" applyFont="1" applyBorder="1" applyAlignment="1">
      <alignment horizontal="center"/>
    </xf>
    <xf numFmtId="167" fontId="0" fillId="0" borderId="0" xfId="16" applyNumberFormat="1" applyFont="1" applyAlignment="1">
      <alignment horizontal="center"/>
    </xf>
    <xf numFmtId="41" fontId="4" fillId="0" borderId="2" xfId="1" applyFont="1" applyFill="1" applyBorder="1"/>
    <xf numFmtId="165" fontId="4" fillId="0" borderId="2" xfId="30" applyNumberFormat="1" applyFont="1" applyFill="1" applyBorder="1" applyProtection="1"/>
    <xf numFmtId="0" fontId="1" fillId="0" borderId="0" xfId="0" applyFont="1"/>
    <xf numFmtId="0" fontId="1" fillId="0" borderId="0" xfId="0" applyFont="1" applyBorder="1" applyAlignment="1">
      <alignment horizontal="center"/>
    </xf>
    <xf numFmtId="41" fontId="1" fillId="0" borderId="0" xfId="1" applyNumberFormat="1" applyFont="1" applyBorder="1" applyAlignment="1">
      <alignment horizontal="center"/>
    </xf>
    <xf numFmtId="0" fontId="23" fillId="0" borderId="0" xfId="0" applyFont="1" applyBorder="1"/>
    <xf numFmtId="0" fontId="7" fillId="0" borderId="0" xfId="0" applyFont="1" applyBorder="1" applyAlignment="1">
      <alignment horizontal="center"/>
    </xf>
    <xf numFmtId="0" fontId="7" fillId="0" borderId="0" xfId="0" applyFont="1" applyBorder="1" applyAlignment="1">
      <alignment horizontal="left"/>
    </xf>
    <xf numFmtId="0" fontId="5" fillId="0" borderId="0" xfId="0" applyFont="1" applyAlignment="1">
      <alignment horizontal="right"/>
    </xf>
    <xf numFmtId="171" fontId="0" fillId="0" borderId="0" xfId="0" applyNumberFormat="1" applyFont="1" applyAlignment="1">
      <alignment horizontal="center"/>
    </xf>
    <xf numFmtId="17" fontId="5" fillId="0" borderId="0" xfId="74" applyNumberFormat="1" applyFont="1"/>
    <xf numFmtId="0" fontId="3" fillId="0" borderId="0" xfId="0" applyNumberFormat="1" applyFont="1" applyAlignment="1">
      <alignment horizontal="center"/>
    </xf>
    <xf numFmtId="0" fontId="5" fillId="0" borderId="0" xfId="0" applyFont="1" applyBorder="1" applyAlignment="1">
      <alignment horizontal="left"/>
    </xf>
    <xf numFmtId="166" fontId="0" fillId="0" borderId="0" xfId="1" applyNumberFormat="1" applyFont="1" applyBorder="1" applyAlignment="1">
      <alignment horizontal="center"/>
    </xf>
    <xf numFmtId="41" fontId="0" fillId="0" borderId="0" xfId="1" applyNumberFormat="1" applyFont="1" applyBorder="1" applyAlignment="1">
      <alignment horizontal="center"/>
    </xf>
    <xf numFmtId="164" fontId="0" fillId="0" borderId="0" xfId="6" applyNumberFormat="1" applyFont="1" applyAlignment="1">
      <alignment horizontal="center"/>
    </xf>
    <xf numFmtId="41" fontId="0" fillId="0" borderId="0" xfId="1" applyNumberFormat="1" applyFont="1" applyFill="1" applyBorder="1" applyAlignment="1">
      <alignment horizontal="center"/>
    </xf>
    <xf numFmtId="0" fontId="0" fillId="0" borderId="0" xfId="0" applyFont="1" applyBorder="1" applyAlignment="1">
      <alignment horizontal="left"/>
    </xf>
    <xf numFmtId="0" fontId="0" fillId="0" borderId="0" xfId="0" applyFont="1" applyFill="1" applyBorder="1" applyAlignment="1">
      <alignment horizontal="left"/>
    </xf>
    <xf numFmtId="41" fontId="0" fillId="0" borderId="14" xfId="1" applyNumberFormat="1" applyFont="1" applyBorder="1" applyAlignment="1">
      <alignment horizontal="center"/>
    </xf>
    <xf numFmtId="41" fontId="0" fillId="0" borderId="7" xfId="1" applyNumberFormat="1" applyFont="1" applyBorder="1" applyAlignment="1">
      <alignment horizontal="center"/>
    </xf>
    <xf numFmtId="0" fontId="5" fillId="0" borderId="0" xfId="0" applyFont="1" applyFill="1" applyBorder="1" applyAlignment="1">
      <alignment horizontal="left"/>
    </xf>
    <xf numFmtId="0" fontId="5" fillId="0" borderId="0" xfId="0" applyFont="1" applyBorder="1"/>
    <xf numFmtId="41" fontId="0" fillId="0" borderId="0" xfId="0" applyNumberFormat="1" applyFont="1" applyBorder="1" applyAlignment="1">
      <alignment horizontal="center"/>
    </xf>
    <xf numFmtId="0" fontId="0" fillId="0" borderId="21" xfId="0" applyFont="1" applyBorder="1"/>
    <xf numFmtId="0" fontId="0" fillId="0" borderId="22" xfId="0" applyFont="1" applyBorder="1"/>
    <xf numFmtId="0" fontId="0" fillId="0" borderId="22" xfId="0" applyFont="1" applyBorder="1" applyAlignment="1">
      <alignment horizontal="center"/>
    </xf>
    <xf numFmtId="0" fontId="0" fillId="0" borderId="23" xfId="0" applyFont="1" applyBorder="1" applyAlignment="1">
      <alignment horizontal="center"/>
    </xf>
    <xf numFmtId="0" fontId="0" fillId="0" borderId="24" xfId="0" applyFont="1" applyBorder="1"/>
    <xf numFmtId="0" fontId="0" fillId="0" borderId="0" xfId="0" quotePrefix="1" applyFont="1" applyBorder="1" applyAlignment="1">
      <alignment horizontal="left"/>
    </xf>
    <xf numFmtId="0" fontId="0" fillId="0" borderId="25" xfId="0" applyNumberFormat="1" applyFont="1" applyBorder="1" applyAlignment="1">
      <alignment horizontal="center"/>
    </xf>
    <xf numFmtId="0" fontId="0" fillId="0" borderId="26" xfId="0" applyFont="1" applyBorder="1"/>
    <xf numFmtId="0" fontId="0" fillId="0" borderId="27" xfId="0" applyFont="1" applyBorder="1"/>
    <xf numFmtId="0" fontId="0" fillId="0" borderId="27" xfId="0" applyFont="1" applyBorder="1" applyAlignment="1">
      <alignment horizontal="center"/>
    </xf>
    <xf numFmtId="0" fontId="0" fillId="0" borderId="28" xfId="0" applyFont="1" applyBorder="1" applyAlignment="1">
      <alignment horizontal="center"/>
    </xf>
    <xf numFmtId="41" fontId="0" fillId="0" borderId="0" xfId="1" applyFont="1" applyFill="1" applyBorder="1" applyAlignment="1">
      <alignment horizontal="center"/>
    </xf>
    <xf numFmtId="0" fontId="26" fillId="0" borderId="0" xfId="0" applyNumberFormat="1" applyFont="1" applyAlignment="1">
      <alignment horizontal="center"/>
    </xf>
    <xf numFmtId="0" fontId="26" fillId="0" borderId="0" xfId="0" applyFont="1" applyBorder="1"/>
    <xf numFmtId="0" fontId="26" fillId="0" borderId="0" xfId="0" applyFont="1" applyBorder="1" applyAlignment="1">
      <alignment horizontal="center"/>
    </xf>
    <xf numFmtId="0" fontId="27" fillId="0" borderId="0" xfId="0" applyFont="1" applyBorder="1"/>
    <xf numFmtId="166" fontId="7" fillId="0" borderId="0" xfId="66" applyNumberFormat="1" applyFont="1" applyBorder="1" applyAlignment="1">
      <alignment horizontal="center"/>
    </xf>
    <xf numFmtId="0" fontId="28" fillId="0" borderId="0" xfId="0" applyFont="1" applyAlignment="1">
      <alignment horizontal="center"/>
    </xf>
    <xf numFmtId="17" fontId="0" fillId="0" borderId="0" xfId="0" applyNumberFormat="1" applyFont="1"/>
    <xf numFmtId="0" fontId="29" fillId="0" borderId="0" xfId="0" applyFont="1" applyAlignment="1">
      <alignment horizontal="center"/>
    </xf>
    <xf numFmtId="0" fontId="1" fillId="0" borderId="0" xfId="75" applyFont="1" applyFill="1" applyBorder="1" applyAlignment="1">
      <alignment horizontal="center"/>
    </xf>
    <xf numFmtId="0" fontId="7" fillId="0" borderId="0" xfId="75" applyFont="1" applyBorder="1" applyAlignment="1">
      <alignment horizontal="center"/>
    </xf>
    <xf numFmtId="0" fontId="0" fillId="0" borderId="0" xfId="0" applyFont="1" applyAlignment="1">
      <alignment horizontal="left" indent="1"/>
    </xf>
    <xf numFmtId="0" fontId="0" fillId="0" borderId="0" xfId="75" applyFont="1" applyBorder="1" applyAlignment="1">
      <alignment horizontal="center"/>
    </xf>
    <xf numFmtId="165" fontId="0" fillId="0" borderId="0" xfId="76" applyNumberFormat="1" applyFont="1" applyAlignment="1">
      <alignment horizontal="center"/>
    </xf>
    <xf numFmtId="0" fontId="5" fillId="0" borderId="0" xfId="0" applyFont="1" applyBorder="1" applyAlignment="1">
      <alignment horizontal="left" indent="1"/>
    </xf>
    <xf numFmtId="0" fontId="0" fillId="0" borderId="0" xfId="77" applyFont="1"/>
    <xf numFmtId="0" fontId="0" fillId="0" borderId="0" xfId="75" applyFont="1" applyFill="1" applyBorder="1" applyAlignment="1">
      <alignment horizontal="center"/>
    </xf>
    <xf numFmtId="165" fontId="1" fillId="0" borderId="0" xfId="6" applyNumberFormat="1" applyFont="1" applyFill="1" applyBorder="1" applyAlignment="1">
      <alignment horizontal="center"/>
    </xf>
    <xf numFmtId="166" fontId="1" fillId="0" borderId="0" xfId="1" applyNumberFormat="1" applyFont="1" applyFill="1" applyBorder="1" applyAlignment="1">
      <alignment horizontal="center"/>
    </xf>
    <xf numFmtId="0" fontId="15" fillId="0" borderId="0" xfId="0" quotePrefix="1" applyFont="1" applyAlignment="1">
      <alignment horizontal="center"/>
    </xf>
    <xf numFmtId="41" fontId="7" fillId="0" borderId="0" xfId="78" applyNumberFormat="1" applyFont="1" applyBorder="1" applyAlignment="1">
      <alignment horizontal="center"/>
    </xf>
    <xf numFmtId="164" fontId="7" fillId="0" borderId="0" xfId="79" applyNumberFormat="1" applyFont="1" applyAlignment="1">
      <alignment horizontal="center"/>
    </xf>
    <xf numFmtId="41" fontId="7" fillId="0" borderId="0" xfId="78" applyNumberFormat="1" applyFont="1" applyAlignment="1">
      <alignment horizontal="center"/>
    </xf>
    <xf numFmtId="166" fontId="7" fillId="0" borderId="0" xfId="66" applyNumberFormat="1" applyFont="1"/>
    <xf numFmtId="165" fontId="7" fillId="0" borderId="0" xfId="48" applyNumberFormat="1" applyFont="1" applyAlignment="1">
      <alignment horizontal="center"/>
    </xf>
    <xf numFmtId="0" fontId="21" fillId="0" borderId="0" xfId="0" applyFont="1" applyAlignment="1">
      <alignment horizontal="center"/>
    </xf>
    <xf numFmtId="166" fontId="7" fillId="0" borderId="0" xfId="80" applyNumberFormat="1" applyFont="1"/>
    <xf numFmtId="0" fontId="7" fillId="0" borderId="0" xfId="81" applyFont="1"/>
    <xf numFmtId="0" fontId="7" fillId="0" borderId="0" xfId="71" applyFont="1" applyFill="1" applyBorder="1" applyAlignment="1">
      <alignment horizontal="left" indent="1"/>
    </xf>
    <xf numFmtId="0" fontId="7" fillId="0" borderId="0" xfId="71" applyFont="1" applyFill="1" applyBorder="1"/>
    <xf numFmtId="0" fontId="7" fillId="0" borderId="0" xfId="71" applyNumberFormat="1" applyFont="1" applyFill="1" applyBorder="1" applyAlignment="1">
      <alignment horizontal="center"/>
    </xf>
    <xf numFmtId="0" fontId="7" fillId="0" borderId="0" xfId="68" applyFont="1" applyBorder="1"/>
    <xf numFmtId="0" fontId="7" fillId="0" borderId="0" xfId="71" applyFont="1" applyFill="1"/>
    <xf numFmtId="0" fontId="7" fillId="0" borderId="0" xfId="71" quotePrefix="1" applyFont="1" applyFill="1" applyBorder="1" applyAlignment="1">
      <alignment horizontal="left" indent="1"/>
    </xf>
    <xf numFmtId="166" fontId="7" fillId="0" borderId="7" xfId="80" applyNumberFormat="1" applyFont="1" applyBorder="1"/>
    <xf numFmtId="165" fontId="7" fillId="0" borderId="0" xfId="48" applyNumberFormat="1" applyFont="1" applyBorder="1" applyAlignment="1">
      <alignment horizontal="center"/>
    </xf>
    <xf numFmtId="41" fontId="7" fillId="0" borderId="0" xfId="66" applyNumberFormat="1" applyFont="1" applyFill="1" applyBorder="1" applyAlignment="1">
      <alignment horizontal="center"/>
    </xf>
    <xf numFmtId="41" fontId="7" fillId="0" borderId="7" xfId="66" applyNumberFormat="1" applyFont="1" applyFill="1" applyBorder="1" applyAlignment="1">
      <alignment horizontal="center"/>
    </xf>
    <xf numFmtId="37" fontId="7" fillId="0" borderId="0" xfId="0" applyNumberFormat="1" applyFont="1" applyFill="1" applyBorder="1" applyAlignment="1" applyProtection="1">
      <protection locked="0"/>
    </xf>
    <xf numFmtId="165" fontId="7" fillId="0" borderId="0" xfId="48" applyNumberFormat="1" applyFont="1" applyFill="1" applyAlignment="1">
      <alignment horizontal="center"/>
    </xf>
    <xf numFmtId="165" fontId="7" fillId="0" borderId="0" xfId="48" applyNumberFormat="1" applyFont="1" applyFill="1" applyBorder="1" applyAlignment="1">
      <alignment horizontal="center"/>
    </xf>
    <xf numFmtId="0" fontId="7" fillId="0" borderId="0" xfId="71" quotePrefix="1" applyFont="1" applyFill="1" applyBorder="1" applyAlignment="1">
      <alignment horizontal="left"/>
    </xf>
    <xf numFmtId="41" fontId="7" fillId="0" borderId="29" xfId="66" applyNumberFormat="1" applyFont="1" applyFill="1" applyBorder="1" applyAlignment="1">
      <alignment horizontal="center"/>
    </xf>
    <xf numFmtId="37" fontId="7" fillId="0" borderId="29" xfId="0" applyNumberFormat="1" applyFont="1" applyBorder="1" applyAlignment="1" applyProtection="1">
      <protection locked="0"/>
    </xf>
    <xf numFmtId="37" fontId="7" fillId="0" borderId="0" xfId="0" applyNumberFormat="1" applyFont="1" applyBorder="1" applyAlignment="1" applyProtection="1">
      <protection locked="0"/>
    </xf>
    <xf numFmtId="41" fontId="0" fillId="0" borderId="2" xfId="1" applyFont="1" applyFill="1" applyBorder="1"/>
    <xf numFmtId="41" fontId="0" fillId="0" borderId="7" xfId="0" applyNumberFormat="1" applyBorder="1"/>
    <xf numFmtId="43" fontId="0" fillId="0" borderId="0" xfId="0" applyNumberFormat="1" applyFill="1"/>
    <xf numFmtId="0" fontId="21" fillId="0" borderId="15" xfId="0" applyFont="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21" fillId="0" borderId="15" xfId="0" applyFont="1"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7" fillId="0" borderId="0" xfId="0" applyFont="1" applyBorder="1" applyAlignment="1" applyProtection="1">
      <alignment horizontal="left" vertical="top" wrapText="1"/>
      <protection locked="0"/>
    </xf>
    <xf numFmtId="0" fontId="1" fillId="0" borderId="8" xfId="73" applyFont="1" applyFill="1" applyBorder="1" applyAlignment="1" applyProtection="1">
      <alignment horizontal="left" vertical="top" wrapText="1"/>
      <protection locked="0"/>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xf>
    <xf numFmtId="0" fontId="1" fillId="0" borderId="23" xfId="0" applyFont="1" applyBorder="1" applyAlignment="1">
      <alignment horizontal="left" vertical="top"/>
    </xf>
    <xf numFmtId="0" fontId="1" fillId="0" borderId="24" xfId="0" applyFont="1" applyBorder="1" applyAlignment="1">
      <alignment horizontal="left" vertical="top"/>
    </xf>
    <xf numFmtId="0" fontId="1" fillId="0" borderId="0" xfId="0" applyFont="1" applyBorder="1" applyAlignment="1">
      <alignment horizontal="left" vertical="top"/>
    </xf>
    <xf numFmtId="0" fontId="1" fillId="0" borderId="25" xfId="0" applyFont="1" applyBorder="1" applyAlignment="1">
      <alignment horizontal="left" vertical="top"/>
    </xf>
    <xf numFmtId="0" fontId="1" fillId="0" borderId="26" xfId="0" applyFont="1" applyBorder="1" applyAlignment="1">
      <alignment horizontal="left" vertical="top"/>
    </xf>
    <xf numFmtId="0" fontId="1" fillId="0" borderId="27" xfId="0" applyFont="1" applyBorder="1" applyAlignment="1">
      <alignment horizontal="left" vertical="top"/>
    </xf>
    <xf numFmtId="0" fontId="1" fillId="0" borderId="28" xfId="0" applyFont="1" applyBorder="1" applyAlignment="1">
      <alignment horizontal="left" vertical="top"/>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2" xfId="0" applyFont="1" applyFill="1" applyBorder="1" applyAlignment="1">
      <alignment horizontal="left" wrapText="1"/>
    </xf>
    <xf numFmtId="0" fontId="13" fillId="0" borderId="0" xfId="0" applyFont="1"/>
    <xf numFmtId="0" fontId="0" fillId="0" borderId="8" xfId="0" applyFill="1" applyBorder="1"/>
    <xf numFmtId="0" fontId="0" fillId="0" borderId="9" xfId="0" applyBorder="1"/>
    <xf numFmtId="10" fontId="0" fillId="0" borderId="9" xfId="6" applyNumberFormat="1" applyFont="1" applyBorder="1"/>
    <xf numFmtId="0" fontId="0" fillId="0" borderId="4" xfId="0" applyBorder="1"/>
    <xf numFmtId="0" fontId="0" fillId="0" borderId="5" xfId="0" applyBorder="1"/>
    <xf numFmtId="0" fontId="0" fillId="0" borderId="11" xfId="0" applyBorder="1"/>
    <xf numFmtId="10" fontId="0" fillId="0" borderId="2" xfId="6" applyNumberFormat="1" applyFont="1" applyBorder="1"/>
    <xf numFmtId="0" fontId="15" fillId="0" borderId="0" xfId="0" applyFont="1" applyFill="1" applyAlignment="1">
      <alignment horizontal="center"/>
    </xf>
    <xf numFmtId="166" fontId="7" fillId="0" borderId="0" xfId="2" applyNumberFormat="1" applyFont="1" applyFill="1" applyBorder="1"/>
    <xf numFmtId="165" fontId="7" fillId="0" borderId="0" xfId="22" applyNumberFormat="1" applyFont="1" applyFill="1"/>
    <xf numFmtId="166" fontId="0" fillId="0" borderId="0" xfId="2" applyNumberFormat="1" applyFont="1" applyFill="1" applyBorder="1"/>
    <xf numFmtId="165" fontId="0" fillId="0" borderId="0" xfId="22" applyNumberFormat="1" applyFont="1" applyFill="1" applyBorder="1"/>
    <xf numFmtId="166" fontId="14" fillId="0" borderId="7" xfId="25" applyNumberFormat="1" applyFont="1" applyFill="1" applyBorder="1"/>
    <xf numFmtId="41" fontId="0" fillId="0" borderId="3" xfId="1" applyFont="1" applyFill="1" applyBorder="1"/>
    <xf numFmtId="0" fontId="0" fillId="0" borderId="0" xfId="0" applyFont="1" applyProtection="1">
      <protection locked="0"/>
    </xf>
    <xf numFmtId="0" fontId="0" fillId="0" borderId="0" xfId="0" applyFont="1" applyAlignment="1" applyProtection="1">
      <alignment horizontal="left"/>
      <protection locked="0"/>
    </xf>
    <xf numFmtId="0" fontId="0" fillId="0" borderId="0" xfId="0" applyAlignment="1">
      <alignment horizontal="left" vertical="top" wrapText="1"/>
    </xf>
    <xf numFmtId="165" fontId="4" fillId="0" borderId="0" xfId="6" applyNumberFormat="1" applyFont="1" applyFill="1" applyAlignment="1" applyProtection="1">
      <protection locked="0"/>
    </xf>
    <xf numFmtId="165" fontId="4" fillId="0" borderId="0" xfId="0" applyNumberFormat="1" applyFont="1" applyAlignment="1"/>
    <xf numFmtId="166" fontId="7" fillId="0" borderId="0" xfId="71" applyNumberFormat="1" applyFont="1" applyBorder="1" applyAlignment="1">
      <alignment horizontal="center"/>
    </xf>
    <xf numFmtId="0" fontId="24" fillId="0" borderId="11" xfId="71" applyFont="1" applyBorder="1"/>
    <xf numFmtId="0" fontId="1" fillId="0" borderId="2" xfId="71" quotePrefix="1" applyFont="1" applyBorder="1" applyAlignment="1">
      <alignment horizontal="left"/>
    </xf>
    <xf numFmtId="0" fontId="1" fillId="0" borderId="2" xfId="71" applyFont="1" applyBorder="1"/>
    <xf numFmtId="0" fontId="16" fillId="0" borderId="2" xfId="0" applyFont="1" applyBorder="1"/>
    <xf numFmtId="0" fontId="16" fillId="0" borderId="6" xfId="0" applyFont="1" applyBorder="1"/>
    <xf numFmtId="0" fontId="31" fillId="0" borderId="0" xfId="0" applyFont="1" applyAlignment="1"/>
    <xf numFmtId="0" fontId="7" fillId="0" borderId="0" xfId="0" applyFont="1" applyAlignment="1" applyProtection="1">
      <alignment horizontal="center"/>
    </xf>
    <xf numFmtId="0" fontId="15" fillId="0" borderId="0" xfId="0" applyFont="1" applyBorder="1" applyAlignment="1">
      <alignment horizontal="center"/>
    </xf>
    <xf numFmtId="0" fontId="7" fillId="0" borderId="0" xfId="0" quotePrefix="1" applyFont="1" applyAlignment="1">
      <alignment horizontal="center"/>
    </xf>
    <xf numFmtId="0" fontId="0" fillId="0" borderId="8" xfId="0" applyBorder="1"/>
    <xf numFmtId="0" fontId="0" fillId="0" borderId="10" xfId="0" applyBorder="1"/>
    <xf numFmtId="0" fontId="32" fillId="0" borderId="10" xfId="0" applyFont="1" applyBorder="1" applyAlignment="1">
      <alignment horizontal="left" vertical="top" wrapText="1"/>
    </xf>
    <xf numFmtId="0" fontId="0" fillId="0" borderId="10" xfId="0" quotePrefix="1" applyFill="1" applyBorder="1"/>
    <xf numFmtId="0" fontId="13" fillId="0" borderId="0" xfId="0" applyFont="1" applyAlignment="1">
      <alignment horizontal="right"/>
    </xf>
    <xf numFmtId="0" fontId="0" fillId="0" borderId="10" xfId="0" applyFont="1" applyBorder="1" applyAlignment="1">
      <alignment horizontal="left" vertical="top" wrapText="1"/>
    </xf>
  </cellXfs>
  <cellStyles count="82">
    <cellStyle name="Comma" xfId="1" builtinId="3"/>
    <cellStyle name="Comma [0] 2" xfId="46"/>
    <cellStyle name="Comma [0] 3" xfId="49"/>
    <cellStyle name="Comma [0] 4" xfId="47"/>
    <cellStyle name="Comma 13" xfId="21"/>
    <cellStyle name="Comma 16 8" xfId="80"/>
    <cellStyle name="Comma 2" xfId="2"/>
    <cellStyle name="Comma 2 2" xfId="66"/>
    <cellStyle name="Comma 2 2 2" xfId="11"/>
    <cellStyle name="Comma 2 3" xfId="65"/>
    <cellStyle name="Comma 2 4" xfId="34"/>
    <cellStyle name="Comma 3" xfId="45"/>
    <cellStyle name="Comma 3 2" xfId="67"/>
    <cellStyle name="Comma 3 6" xfId="78"/>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0" xfId="73"/>
    <cellStyle name="Normal 11" xfId="72"/>
    <cellStyle name="Normal 12" xfId="9"/>
    <cellStyle name="Normal 15" xfId="74"/>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26 2" xfId="81"/>
    <cellStyle name="Normal 3" xfId="38"/>
    <cellStyle name="Normal 3 2" xfId="58"/>
    <cellStyle name="Normal 3_Composite Rates" xfId="60"/>
    <cellStyle name="Normal 4" xfId="43"/>
    <cellStyle name="Normal 4 3" xfId="25"/>
    <cellStyle name="Normal 43" xfId="77"/>
    <cellStyle name="Normal 5" xfId="35"/>
    <cellStyle name="Normal 5 3" xfId="19"/>
    <cellStyle name="Normal 6" xfId="44"/>
    <cellStyle name="Normal 7" xfId="23"/>
    <cellStyle name="Normal 7 2" xfId="24"/>
    <cellStyle name="Normal 7 3" xfId="39"/>
    <cellStyle name="Normal 8" xfId="62"/>
    <cellStyle name="Normal 9" xfId="28"/>
    <cellStyle name="Normal_Adjustment Template" xfId="75"/>
    <cellStyle name="Normal_Copy of File50007" xfId="71"/>
    <cellStyle name="Normal_SHEET" xfId="4"/>
    <cellStyle name="Normal_SHEET_3" xfId="5"/>
    <cellStyle name="Percent" xfId="6" builtinId="5"/>
    <cellStyle name="Percent 11" xfId="22"/>
    <cellStyle name="Percent 18" xfId="76"/>
    <cellStyle name="Percent 2" xfId="7"/>
    <cellStyle name="Percent 2 2" xfId="55"/>
    <cellStyle name="Percent 2 2 2" xfId="15"/>
    <cellStyle name="Percent 3" xfId="13"/>
    <cellStyle name="Percent 3 2" xfId="48"/>
    <cellStyle name="Percent 3 3" xfId="37"/>
    <cellStyle name="Percent 3 4" xfId="79"/>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2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73024</xdr:colOff>
      <xdr:row>48</xdr:row>
      <xdr:rowOff>26147</xdr:rowOff>
    </xdr:from>
    <xdr:to>
      <xdr:col>11</xdr:col>
      <xdr:colOff>444500</xdr:colOff>
      <xdr:row>56</xdr:row>
      <xdr:rowOff>0</xdr:rowOff>
    </xdr:to>
    <xdr:sp macro="" textlink="">
      <xdr:nvSpPr>
        <xdr:cNvPr id="3" name="Text 12"/>
        <xdr:cNvSpPr txBox="1">
          <a:spLocks noChangeArrowheads="1"/>
        </xdr:cNvSpPr>
      </xdr:nvSpPr>
      <xdr:spPr bwMode="auto">
        <a:xfrm>
          <a:off x="73024" y="8712947"/>
          <a:ext cx="6638926" cy="1040653"/>
        </a:xfrm>
        <a:prstGeom prst="rect">
          <a:avLst/>
        </a:prstGeom>
        <a:solidFill>
          <a:srgbClr val="FFFFFF"/>
        </a:solidFill>
        <a:ln w="1">
          <a:noFill/>
          <a:miter lim="800000"/>
          <a:headEnd/>
          <a:tailEnd/>
        </a:ln>
      </xdr:spPr>
      <xdr:txBody>
        <a:bodyPr vertOverflow="clip" wrap="square" lIns="27432"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This adjustment walks forward June 2015 AMA depreciation and amortization reserves to end-of-period (EOP) balances as of June 30, 2015. The Company is proposing the use of EOP rate base for historical net plant balances. The Commission has recognized in Orders issued in prior rate cases for the Company and other utilities that use of EOP rate base is an appropriate response to regulatory lag and attritional challenges.  Please refer to the direct testimony of Shelley McCoy and Bryce Dalley for further considerations on the use of EOP rate base.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Public Counsel opposes the use of End-of-Period rate base and therefore rejects this Company adjustment.  Above per-Company amounts exclude accounts that are not allocated or Situs charged to Washington jurisdiction for presentation purposes.</a:t>
          </a: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63</xdr:row>
      <xdr:rowOff>66675</xdr:rowOff>
    </xdr:from>
    <xdr:to>
      <xdr:col>10</xdr:col>
      <xdr:colOff>285750</xdr:colOff>
      <xdr:row>69</xdr:row>
      <xdr:rowOff>0</xdr:rowOff>
    </xdr:to>
    <xdr:sp macro="" textlink="">
      <xdr:nvSpPr>
        <xdr:cNvPr id="3" name="Text 12"/>
        <xdr:cNvSpPr txBox="1">
          <a:spLocks noChangeArrowheads="1"/>
        </xdr:cNvSpPr>
      </xdr:nvSpPr>
      <xdr:spPr bwMode="auto">
        <a:xfrm>
          <a:off x="66675" y="12677775"/>
          <a:ext cx="6724650" cy="91439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adjustment annualizes depreciation expense associated with the end-of-period (EOP) plant balances in adjustment 8.11 and reflects the corresponding tax impacts.  Considerations supporting the use of  EOP rate base  can be found in the direct testimony of Shelley McCoy and Bryce Dalley.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Public Counsel opposes the use of End-of-Period rate base and therefore rejects this Company adjustment.  The above per-Company amounts excludes accounts in which no costs are allocated or Situs charged to the Washington jurisdiction for presentation purposes.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27</xdr:row>
      <xdr:rowOff>104775</xdr:rowOff>
    </xdr:from>
    <xdr:to>
      <xdr:col>11</xdr:col>
      <xdr:colOff>495300</xdr:colOff>
      <xdr:row>33</xdr:row>
      <xdr:rowOff>56030</xdr:rowOff>
    </xdr:to>
    <xdr:sp macro="" textlink="">
      <xdr:nvSpPr>
        <xdr:cNvPr id="2" name="Text 12"/>
        <xdr:cNvSpPr txBox="1">
          <a:spLocks noChangeArrowheads="1"/>
        </xdr:cNvSpPr>
      </xdr:nvSpPr>
      <xdr:spPr bwMode="auto">
        <a:xfrm>
          <a:off x="114300" y="8353425"/>
          <a:ext cx="6905625" cy="147525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latin typeface="Times New Roman" panose="02020603050405020304" pitchFamily="18" charset="0"/>
              <a:ea typeface="+mn-ea"/>
              <a:cs typeface="Times New Roman" panose="02020603050405020304" pitchFamily="18" charset="0"/>
            </a:rPr>
            <a:t>Based on the Company's latest depreciation study approved in Docket UE-130052, an additional $8.85 million is required for the decommissioning of various hydro facilities.  The restating adjustment walks forward June 2015 AMA reserve balances to June 2015 year end balances.  Reserves do not include funds for Powerdale, which was reclassified to unrecovered plant.  </a:t>
          </a:r>
        </a:p>
        <a:p>
          <a:pPr marL="0" marR="0" indent="0" defTabSz="914400" rtl="0" eaLnBrk="1" fontAlgn="auto" latinLnBrk="0" hangingPunct="1">
            <a:lnSpc>
              <a:spcPct val="100000"/>
            </a:lnSpc>
            <a:spcBef>
              <a:spcPts val="0"/>
            </a:spcBef>
            <a:spcAft>
              <a:spcPts val="0"/>
            </a:spcAft>
            <a:buClrTx/>
            <a:buSzTx/>
            <a:buFontTx/>
            <a:buNone/>
            <a:tabLst/>
            <a:defRPr/>
          </a:pPr>
          <a:endParaRPr lang="en-US" sz="1000" b="0" i="0" baseline="0">
            <a:latin typeface="Times New Roman" panose="02020603050405020304" pitchFamily="18" charset="0"/>
            <a:ea typeface="+mn-ea"/>
            <a:cs typeface="Times New Roman" panose="02020603050405020304" pitchFamily="18"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Times New Roman" panose="02020603050405020304" pitchFamily="18" charset="0"/>
              <a:ea typeface="+mn-ea"/>
              <a:cs typeface="Times New Roman" panose="02020603050405020304" pitchFamily="18" charset="0"/>
            </a:rPr>
            <a:t>Public Counsel opposes the use of End-of-Period rate base and therefore rejects this Company adjustment.</a:t>
          </a:r>
        </a:p>
        <a:p>
          <a:pPr marL="0" marR="0" indent="0" defTabSz="914400" rtl="0" eaLnBrk="1" fontAlgn="auto" latinLnBrk="0" hangingPunct="1">
            <a:lnSpc>
              <a:spcPct val="100000"/>
            </a:lnSpc>
            <a:spcBef>
              <a:spcPts val="0"/>
            </a:spcBef>
            <a:spcAft>
              <a:spcPts val="0"/>
            </a:spcAft>
            <a:buClrTx/>
            <a:buSzTx/>
            <a:buFontTx/>
            <a:buNone/>
            <a:tabLst/>
            <a:defRPr/>
          </a:pPr>
          <a:endParaRPr lang="en-US" sz="1000" b="0" i="0" baseline="0">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52</xdr:row>
      <xdr:rowOff>95250</xdr:rowOff>
    </xdr:from>
    <xdr:to>
      <xdr:col>12</xdr:col>
      <xdr:colOff>457200</xdr:colOff>
      <xdr:row>57</xdr:row>
      <xdr:rowOff>85725</xdr:rowOff>
    </xdr:to>
    <xdr:sp macro="" textlink="">
      <xdr:nvSpPr>
        <xdr:cNvPr id="4" name="Text 12"/>
        <xdr:cNvSpPr txBox="1">
          <a:spLocks noChangeArrowheads="1"/>
        </xdr:cNvSpPr>
      </xdr:nvSpPr>
      <xdr:spPr bwMode="auto">
        <a:xfrm>
          <a:off x="180975" y="7543800"/>
          <a:ext cx="7515225" cy="12858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000">
              <a:effectLst/>
              <a:latin typeface="Arial" panose="020B0604020202020204" pitchFamily="34" charset="0"/>
              <a:ea typeface="+mn-ea"/>
              <a:cs typeface="Arial" panose="020B0604020202020204" pitchFamily="34" charset="0"/>
            </a:rPr>
            <a:t>This adjustment reflects the accumulated deferred income tax balances for property on a jurisdictional basis as maintained in the PowerTax System.   </a:t>
          </a:r>
        </a:p>
        <a:p>
          <a:pPr rtl="0" eaLnBrk="1" fontAlgn="auto" latinLnBrk="0" hangingPunct="1"/>
          <a:endParaRPr lang="en-US" sz="1000" b="1" i="1">
            <a:effectLst/>
            <a:latin typeface="Arial" panose="020B0604020202020204" pitchFamily="34" charset="0"/>
            <a:ea typeface="+mn-ea"/>
            <a:cs typeface="Arial" panose="020B0604020202020204" pitchFamily="34" charset="0"/>
          </a:endParaRPr>
        </a:p>
        <a:p>
          <a:pPr rtl="0" eaLnBrk="1" fontAlgn="auto" latinLnBrk="0" hangingPunct="1"/>
          <a:r>
            <a:rPr lang="en-US" sz="1000" b="0" i="0">
              <a:effectLst/>
              <a:latin typeface="Arial" panose="020B0604020202020204" pitchFamily="34" charset="0"/>
              <a:ea typeface="+mn-ea"/>
              <a:cs typeface="Arial" panose="020B0604020202020204" pitchFamily="34" charset="0"/>
            </a:rPr>
            <a:t>The Total Company amount that includes the impacts of the PATH Act was provided in response to Boise Data Request 9 at Attachment Boise 009-2.  The Total Company amount that includes the impacts of the PATH Act and AMA rate base was provided in response to Boise Data Request 13 at Attachment Boise 0013-9.  The Public Counsel amounts are based on the per Company amounts as modified for the impacts of the PATH</a:t>
          </a:r>
          <a:r>
            <a:rPr lang="en-US" sz="1000" b="0" i="0" baseline="0">
              <a:effectLst/>
              <a:latin typeface="Arial" panose="020B0604020202020204" pitchFamily="34" charset="0"/>
              <a:ea typeface="+mn-ea"/>
              <a:cs typeface="Arial" panose="020B0604020202020204" pitchFamily="34" charset="0"/>
            </a:rPr>
            <a:t> Act and AMA rate base, provided at Attachment Boise 0013-9.</a:t>
          </a:r>
        </a:p>
        <a:p>
          <a:pPr rtl="0" eaLnBrk="1" fontAlgn="auto" latinLnBrk="0" hangingPunct="1"/>
          <a:endParaRPr lang="en-US" sz="1000" b="0" i="0">
            <a:effectLst/>
            <a:latin typeface="Arial" panose="020B0604020202020204" pitchFamily="34" charset="0"/>
            <a:ea typeface="+mn-ea"/>
            <a:cs typeface="Arial" panose="020B0604020202020204" pitchFamily="34" charset="0"/>
          </a:endParaRPr>
        </a:p>
        <a:p>
          <a:pPr rtl="0" eaLnBrk="1" fontAlgn="auto" latinLnBrk="0" hangingPunct="1"/>
          <a:endParaRPr lang="en-US" sz="1000" b="1" i="1">
            <a:effectLst/>
            <a:latin typeface="Arial" panose="020B0604020202020204" pitchFamily="34" charset="0"/>
            <a:ea typeface="+mn-ea"/>
            <a:cs typeface="Arial" panose="020B0604020202020204" pitchFamily="34" charset="0"/>
          </a:endParaRPr>
        </a:p>
        <a:p>
          <a:pPr rtl="0" eaLnBrk="1" fontAlgn="auto" latinLnBrk="0" hangingPunct="1"/>
          <a:r>
            <a:rPr lang="en-US" sz="1000">
              <a:effectLst/>
              <a:latin typeface="Arial" panose="020B0604020202020204" pitchFamily="34" charset="0"/>
              <a:ea typeface="+mn-ea"/>
              <a:cs typeface="Arial" panose="020B0604020202020204" pitchFamily="34" charset="0"/>
            </a:rPr>
            <a:t> </a:t>
          </a:r>
          <a:endParaRPr 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tabSelected="1" workbookViewId="0">
      <selection activeCell="B3" sqref="B3"/>
    </sheetView>
  </sheetViews>
  <sheetFormatPr defaultRowHeight="15.75" x14ac:dyDescent="0.25"/>
  <cols>
    <col min="1" max="1" width="3.75" customWidth="1"/>
    <col min="2" max="2" width="36.625" customWidth="1"/>
    <col min="3" max="3" width="5.75" customWidth="1"/>
    <col min="4" max="4" width="9.375" customWidth="1"/>
    <col min="5" max="5" width="10.875" customWidth="1"/>
    <col min="6" max="6" width="10" customWidth="1"/>
    <col min="7" max="7" width="1.125" customWidth="1"/>
    <col min="8" max="8" width="10" customWidth="1"/>
    <col min="9" max="9" width="10.5" customWidth="1"/>
    <col min="10" max="10" width="10.375" customWidth="1"/>
    <col min="11" max="11" width="0.5" customWidth="1"/>
    <col min="12" max="12" width="11.375" customWidth="1"/>
    <col min="13" max="13" width="0.875" customWidth="1"/>
    <col min="14" max="14" width="25.25" customWidth="1"/>
  </cols>
  <sheetData>
    <row r="1" spans="1:14" x14ac:dyDescent="0.25">
      <c r="A1" s="487" t="s">
        <v>392</v>
      </c>
      <c r="B1" s="176"/>
      <c r="C1" s="176"/>
      <c r="D1" s="176"/>
      <c r="E1" s="176"/>
      <c r="F1" s="176"/>
      <c r="G1" s="176"/>
      <c r="H1" s="176"/>
      <c r="I1" s="176"/>
      <c r="J1" s="176"/>
      <c r="K1" s="176"/>
      <c r="L1" s="176"/>
      <c r="M1" s="176"/>
      <c r="N1" s="487" t="s">
        <v>275</v>
      </c>
    </row>
    <row r="2" spans="1:14" x14ac:dyDescent="0.25">
      <c r="A2" s="487" t="s">
        <v>713</v>
      </c>
      <c r="B2" s="176"/>
      <c r="C2" s="176"/>
      <c r="D2" s="176"/>
      <c r="E2" s="176"/>
      <c r="F2" s="176"/>
      <c r="G2" s="176"/>
      <c r="H2" s="176"/>
      <c r="I2" s="176"/>
      <c r="J2" s="176"/>
      <c r="K2" s="176"/>
      <c r="L2" s="176"/>
      <c r="M2" s="176"/>
      <c r="N2" s="487" t="s">
        <v>655</v>
      </c>
    </row>
    <row r="3" spans="1:14" x14ac:dyDescent="0.25">
      <c r="A3" s="176"/>
      <c r="B3" s="176"/>
      <c r="C3" s="176"/>
      <c r="D3" s="176"/>
      <c r="E3" s="176"/>
      <c r="F3" s="176"/>
      <c r="G3" s="176"/>
      <c r="H3" s="176"/>
      <c r="I3" s="176"/>
      <c r="J3" s="176"/>
      <c r="K3" s="176"/>
      <c r="L3" s="176"/>
      <c r="M3" s="176"/>
      <c r="N3" s="487" t="s">
        <v>748</v>
      </c>
    </row>
    <row r="4" spans="1:14" x14ac:dyDescent="0.25">
      <c r="A4" s="176"/>
      <c r="B4" s="176"/>
      <c r="C4" s="176"/>
      <c r="D4" s="176"/>
      <c r="E4" s="176"/>
      <c r="F4" s="176"/>
      <c r="G4" s="176"/>
      <c r="H4" s="176"/>
      <c r="I4" s="176"/>
      <c r="J4" s="176"/>
      <c r="K4" s="176"/>
      <c r="L4" s="176"/>
      <c r="M4" s="176"/>
      <c r="N4" s="487" t="s">
        <v>656</v>
      </c>
    </row>
    <row r="5" spans="1:14" x14ac:dyDescent="0.25">
      <c r="B5" s="176"/>
      <c r="C5" s="176"/>
      <c r="D5" s="176"/>
      <c r="E5" s="176"/>
      <c r="F5" s="176"/>
      <c r="G5" s="176"/>
      <c r="H5" s="176"/>
      <c r="I5" s="176"/>
      <c r="J5" s="176"/>
      <c r="K5" s="176"/>
      <c r="L5" s="176"/>
      <c r="M5" s="176"/>
      <c r="N5" s="176"/>
    </row>
    <row r="6" spans="1:14" ht="18.75" customHeight="1" x14ac:dyDescent="0.25">
      <c r="A6" s="177"/>
      <c r="B6" s="178"/>
      <c r="C6" s="176"/>
      <c r="D6" s="430" t="s">
        <v>393</v>
      </c>
      <c r="E6" s="431"/>
      <c r="F6" s="432"/>
      <c r="G6" s="179"/>
      <c r="H6" s="433" t="s">
        <v>146</v>
      </c>
      <c r="I6" s="434"/>
      <c r="J6" s="435"/>
      <c r="K6" s="176"/>
      <c r="L6" s="180"/>
      <c r="M6" s="176"/>
      <c r="N6" s="181"/>
    </row>
    <row r="7" spans="1:14" ht="26.25" x14ac:dyDescent="0.25">
      <c r="A7" s="182" t="s">
        <v>394</v>
      </c>
      <c r="B7" s="183" t="s">
        <v>1</v>
      </c>
      <c r="C7" s="182" t="s">
        <v>395</v>
      </c>
      <c r="D7" s="184" t="s">
        <v>396</v>
      </c>
      <c r="E7" s="185" t="s">
        <v>70</v>
      </c>
      <c r="F7" s="186" t="s">
        <v>397</v>
      </c>
      <c r="G7" s="176"/>
      <c r="H7" s="184" t="s">
        <v>396</v>
      </c>
      <c r="I7" s="185" t="s">
        <v>70</v>
      </c>
      <c r="J7" s="186" t="s">
        <v>397</v>
      </c>
      <c r="K7" s="176"/>
      <c r="L7" s="187" t="s">
        <v>398</v>
      </c>
      <c r="M7" s="181"/>
      <c r="N7" s="486" t="s">
        <v>657</v>
      </c>
    </row>
    <row r="8" spans="1:14" x14ac:dyDescent="0.25">
      <c r="A8" s="188"/>
      <c r="B8" s="177"/>
      <c r="C8" s="188"/>
      <c r="D8" s="189" t="s">
        <v>399</v>
      </c>
      <c r="E8" s="190" t="s">
        <v>400</v>
      </c>
      <c r="F8" s="191" t="s">
        <v>401</v>
      </c>
      <c r="G8" s="176"/>
      <c r="H8" s="192" t="s">
        <v>651</v>
      </c>
      <c r="I8" s="190" t="s">
        <v>652</v>
      </c>
      <c r="J8" s="191" t="s">
        <v>653</v>
      </c>
      <c r="K8" s="176"/>
      <c r="L8" s="193" t="s">
        <v>654</v>
      </c>
      <c r="M8" s="181"/>
      <c r="N8" s="181"/>
    </row>
    <row r="9" spans="1:14" x14ac:dyDescent="0.25">
      <c r="A9" s="178">
        <v>1</v>
      </c>
      <c r="B9" s="194" t="s">
        <v>402</v>
      </c>
      <c r="C9" s="194"/>
      <c r="D9" s="195">
        <v>53650957</v>
      </c>
      <c r="E9" s="196">
        <v>781321066</v>
      </c>
      <c r="F9" s="197">
        <f>-(D9-(E9*$D$70))/$D$71</f>
        <v>5459220.2051149681</v>
      </c>
      <c r="G9" s="176"/>
      <c r="H9" s="195">
        <v>53650957</v>
      </c>
      <c r="I9" s="196">
        <v>781321066</v>
      </c>
      <c r="J9" s="197">
        <f>-(H9-(I9*$D$70))/$D$71</f>
        <v>5459220.2051149681</v>
      </c>
      <c r="K9" s="176"/>
      <c r="L9" s="198">
        <f>J9-F9</f>
        <v>0</v>
      </c>
      <c r="M9" s="196"/>
      <c r="N9" s="196"/>
    </row>
    <row r="10" spans="1:14" x14ac:dyDescent="0.25">
      <c r="A10" s="178"/>
      <c r="B10" s="188" t="s">
        <v>403</v>
      </c>
      <c r="C10" s="176"/>
      <c r="D10" s="199"/>
      <c r="E10" s="188"/>
      <c r="F10" s="200"/>
      <c r="G10" s="179"/>
      <c r="H10" s="199"/>
      <c r="I10" s="188"/>
      <c r="J10" s="200"/>
      <c r="K10" s="176"/>
      <c r="L10" s="201"/>
      <c r="M10" s="188"/>
      <c r="N10" s="188"/>
    </row>
    <row r="11" spans="1:14" ht="15.75" customHeight="1" x14ac:dyDescent="0.25">
      <c r="A11" s="178">
        <f>A9+1</f>
        <v>2</v>
      </c>
      <c r="B11" s="177" t="s">
        <v>404</v>
      </c>
      <c r="C11" s="202">
        <v>3.1</v>
      </c>
      <c r="D11" s="195">
        <v>-571522.38650000049</v>
      </c>
      <c r="E11" s="196">
        <v>0</v>
      </c>
      <c r="F11" s="197">
        <f t="shared" ref="F11:F16" si="0">-(D11-(E11*$D$70))/$D$71</f>
        <v>921602.19708453002</v>
      </c>
      <c r="G11" s="176"/>
      <c r="H11" s="195">
        <f>DMR3p2to7!F40</f>
        <v>-571522.25</v>
      </c>
      <c r="I11" s="196">
        <v>0</v>
      </c>
      <c r="J11" s="197">
        <f t="shared" ref="J11:J16" si="1">-(H11-(I11*$D$70))/$D$71</f>
        <v>921601.97697294154</v>
      </c>
      <c r="K11" s="176"/>
      <c r="L11" s="198">
        <f t="shared" ref="L11:L16" si="2">J11-F11</f>
        <v>-0.22011158848181367</v>
      </c>
      <c r="M11" s="196"/>
      <c r="N11" s="196" t="s">
        <v>405</v>
      </c>
    </row>
    <row r="12" spans="1:14" x14ac:dyDescent="0.25">
      <c r="A12" s="178">
        <f t="shared" ref="A12:A65" si="3">A11+1</f>
        <v>3</v>
      </c>
      <c r="B12" s="177" t="s">
        <v>406</v>
      </c>
      <c r="C12" s="202">
        <v>3.2</v>
      </c>
      <c r="D12" s="195">
        <v>-5477991.1006968245</v>
      </c>
      <c r="E12" s="196">
        <v>0</v>
      </c>
      <c r="F12" s="197">
        <f t="shared" si="0"/>
        <v>8833474.8616390247</v>
      </c>
      <c r="G12" s="176"/>
      <c r="H12" s="195">
        <f>DMR3p2to7!G40</f>
        <v>-5477991.3499999996</v>
      </c>
      <c r="I12" s="196">
        <v>0</v>
      </c>
      <c r="J12" s="197">
        <f t="shared" si="1"/>
        <v>8833475.2636501417</v>
      </c>
      <c r="K12" s="176"/>
      <c r="L12" s="198">
        <f t="shared" si="2"/>
        <v>0.40201111696660519</v>
      </c>
      <c r="M12" s="196"/>
      <c r="N12" s="196" t="s">
        <v>405</v>
      </c>
    </row>
    <row r="13" spans="1:14" x14ac:dyDescent="0.25">
      <c r="A13" s="178">
        <f t="shared" si="3"/>
        <v>4</v>
      </c>
      <c r="B13" s="177" t="s">
        <v>407</v>
      </c>
      <c r="C13" s="202">
        <v>3.3</v>
      </c>
      <c r="D13" s="195">
        <v>5273122.7090885174</v>
      </c>
      <c r="E13" s="196">
        <v>0</v>
      </c>
      <c r="F13" s="197">
        <f t="shared" si="0"/>
        <v>-8503116.5689820312</v>
      </c>
      <c r="G13" s="176"/>
      <c r="H13" s="195">
        <f>DMR3p2to7!H40</f>
        <v>5273122.4000000004</v>
      </c>
      <c r="I13" s="196">
        <v>0</v>
      </c>
      <c r="J13" s="197">
        <f t="shared" si="1"/>
        <v>-8503116.0705647115</v>
      </c>
      <c r="K13" s="176"/>
      <c r="L13" s="198">
        <f t="shared" si="2"/>
        <v>0.4984173197299242</v>
      </c>
      <c r="M13" s="196"/>
      <c r="N13" s="196" t="s">
        <v>405</v>
      </c>
    </row>
    <row r="14" spans="1:14" x14ac:dyDescent="0.25">
      <c r="A14" s="178">
        <f t="shared" si="3"/>
        <v>5</v>
      </c>
      <c r="B14" s="177" t="s">
        <v>408</v>
      </c>
      <c r="C14" s="202">
        <v>3.4</v>
      </c>
      <c r="D14" s="195">
        <v>1854.5540109881288</v>
      </c>
      <c r="E14" s="196">
        <v>-1645.2066501962654</v>
      </c>
      <c r="F14" s="197">
        <f t="shared" si="0"/>
        <v>-3184.2069475480635</v>
      </c>
      <c r="G14" s="176"/>
      <c r="H14" s="195">
        <f>DMR3p2to7!I40</f>
        <v>1855</v>
      </c>
      <c r="I14" s="196">
        <f>DMR3p2to7!I66</f>
        <v>-1645</v>
      </c>
      <c r="J14" s="197">
        <f t="shared" si="1"/>
        <v>-3184.9017963685619</v>
      </c>
      <c r="K14" s="176"/>
      <c r="L14" s="198">
        <f t="shared" si="2"/>
        <v>-0.69484882049846419</v>
      </c>
      <c r="M14" s="196"/>
      <c r="N14" s="196" t="s">
        <v>405</v>
      </c>
    </row>
    <row r="15" spans="1:14" ht="12.75" customHeight="1" x14ac:dyDescent="0.25">
      <c r="A15" s="178">
        <f t="shared" si="3"/>
        <v>6</v>
      </c>
      <c r="B15" s="177" t="s">
        <v>409</v>
      </c>
      <c r="C15" s="202">
        <v>3.5</v>
      </c>
      <c r="D15" s="195">
        <v>-288402.07972336852</v>
      </c>
      <c r="E15" s="196">
        <v>0</v>
      </c>
      <c r="F15" s="197">
        <f t="shared" si="0"/>
        <v>465059.6312499895</v>
      </c>
      <c r="G15" s="176"/>
      <c r="H15" s="195">
        <f>DMR3p2to7!J40</f>
        <v>-288402.40000000002</v>
      </c>
      <c r="I15" s="196">
        <v>0</v>
      </c>
      <c r="J15" s="197">
        <f t="shared" si="1"/>
        <v>465060.14770858194</v>
      </c>
      <c r="K15" s="176"/>
      <c r="L15" s="198">
        <f t="shared" si="2"/>
        <v>0.51645859243581071</v>
      </c>
      <c r="M15" s="196"/>
      <c r="N15" s="196" t="s">
        <v>405</v>
      </c>
    </row>
    <row r="16" spans="1:14" x14ac:dyDescent="0.25">
      <c r="A16" s="178">
        <f t="shared" si="3"/>
        <v>7</v>
      </c>
      <c r="B16" s="177" t="s">
        <v>410</v>
      </c>
      <c r="C16" s="202">
        <v>3.6</v>
      </c>
      <c r="D16" s="195">
        <v>58935.522167326984</v>
      </c>
      <c r="E16" s="196">
        <v>0</v>
      </c>
      <c r="F16" s="197">
        <f t="shared" si="0"/>
        <v>-95035.834113792022</v>
      </c>
      <c r="G16" s="176"/>
      <c r="H16" s="195">
        <f>DMR3p2to7!K40</f>
        <v>58935.5</v>
      </c>
      <c r="I16" s="196">
        <v>0</v>
      </c>
      <c r="J16" s="197">
        <f t="shared" si="1"/>
        <v>-95035.798368110423</v>
      </c>
      <c r="K16" s="176"/>
      <c r="L16" s="198">
        <f t="shared" si="2"/>
        <v>3.5745681598200463E-2</v>
      </c>
      <c r="M16" s="196"/>
      <c r="N16" s="196" t="s">
        <v>405</v>
      </c>
    </row>
    <row r="17" spans="1:14" x14ac:dyDescent="0.25">
      <c r="A17" s="176"/>
      <c r="B17" s="188" t="s">
        <v>411</v>
      </c>
      <c r="C17" s="178"/>
      <c r="D17" s="195"/>
      <c r="E17" s="196"/>
      <c r="F17" s="197"/>
      <c r="G17" s="176"/>
      <c r="H17" s="195"/>
      <c r="I17" s="196"/>
      <c r="J17" s="197"/>
      <c r="K17" s="176"/>
      <c r="L17" s="198"/>
      <c r="M17" s="196"/>
      <c r="N17" s="196"/>
    </row>
    <row r="18" spans="1:14" x14ac:dyDescent="0.25">
      <c r="A18" s="178">
        <f>A16+1</f>
        <v>8</v>
      </c>
      <c r="B18" s="177" t="s">
        <v>412</v>
      </c>
      <c r="C18" s="202">
        <v>4.0999999999999996</v>
      </c>
      <c r="D18" s="195">
        <v>107518.51367444749</v>
      </c>
      <c r="E18" s="196">
        <v>0</v>
      </c>
      <c r="F18" s="197">
        <f t="shared" ref="F18:F31" si="4">-(D18-(E18*$D$70))/$D$71</f>
        <v>-173377.80771188359</v>
      </c>
      <c r="G18" s="176"/>
      <c r="H18" s="195">
        <f>DMR3p2to7!L40</f>
        <v>107518.58627621373</v>
      </c>
      <c r="I18" s="196">
        <v>0</v>
      </c>
      <c r="J18" s="197">
        <f t="shared" ref="J18:J31" si="5">-(H18-(I18*$D$70))/$D$71</f>
        <v>-173377.92478507067</v>
      </c>
      <c r="K18" s="176"/>
      <c r="L18" s="198">
        <f t="shared" ref="L18:L31" si="6">J18-F18</f>
        <v>-0.1170731870806776</v>
      </c>
      <c r="M18" s="196"/>
      <c r="N18" s="196" t="s">
        <v>405</v>
      </c>
    </row>
    <row r="19" spans="1:14" x14ac:dyDescent="0.25">
      <c r="A19" s="178">
        <f t="shared" ref="A19:A31" si="7">A18+1</f>
        <v>9</v>
      </c>
      <c r="B19" s="177" t="s">
        <v>413</v>
      </c>
      <c r="C19" s="202">
        <v>4.2</v>
      </c>
      <c r="D19" s="195">
        <v>-62647.898917489823</v>
      </c>
      <c r="E19" s="196">
        <v>0</v>
      </c>
      <c r="F19" s="197">
        <f t="shared" si="4"/>
        <v>101022.18679248205</v>
      </c>
      <c r="G19" s="176"/>
      <c r="H19" s="195">
        <f>DMR3p2to7!M40</f>
        <v>-62647.628018375668</v>
      </c>
      <c r="I19" s="196">
        <v>0</v>
      </c>
      <c r="J19" s="197">
        <f t="shared" si="5"/>
        <v>101021.74995706722</v>
      </c>
      <c r="K19" s="176"/>
      <c r="L19" s="198">
        <f t="shared" si="6"/>
        <v>-0.43683541483187582</v>
      </c>
      <c r="M19" s="196"/>
      <c r="N19" s="196" t="s">
        <v>405</v>
      </c>
    </row>
    <row r="20" spans="1:14" x14ac:dyDescent="0.25">
      <c r="A20" s="178">
        <f t="shared" si="7"/>
        <v>10</v>
      </c>
      <c r="B20" s="177" t="s">
        <v>414</v>
      </c>
      <c r="C20" s="202">
        <v>4.3</v>
      </c>
      <c r="D20" s="195">
        <v>65657.023403245519</v>
      </c>
      <c r="E20" s="196">
        <v>0</v>
      </c>
      <c r="F20" s="197">
        <f t="shared" si="4"/>
        <v>-105874.5176947875</v>
      </c>
      <c r="G20" s="176"/>
      <c r="H20" s="195">
        <f>DMR3p2to7!N40</f>
        <v>65657.023403245519</v>
      </c>
      <c r="I20" s="196">
        <v>0</v>
      </c>
      <c r="J20" s="197">
        <f t="shared" si="5"/>
        <v>-105874.5176947875</v>
      </c>
      <c r="K20" s="176"/>
      <c r="L20" s="198">
        <f t="shared" si="6"/>
        <v>0</v>
      </c>
      <c r="M20" s="196"/>
      <c r="N20" s="196" t="s">
        <v>405</v>
      </c>
    </row>
    <row r="21" spans="1:14" x14ac:dyDescent="0.25">
      <c r="A21" s="178">
        <f t="shared" si="7"/>
        <v>11</v>
      </c>
      <c r="B21" s="177" t="s">
        <v>415</v>
      </c>
      <c r="C21" s="202">
        <v>4.4000000000000004</v>
      </c>
      <c r="D21" s="195">
        <v>1650.3047893800017</v>
      </c>
      <c r="E21" s="196">
        <v>0</v>
      </c>
      <c r="F21" s="197">
        <f t="shared" si="4"/>
        <v>-2661.1810065146606</v>
      </c>
      <c r="G21" s="176"/>
      <c r="H21" s="195">
        <f>DMR3p2to7!O40</f>
        <v>1650.35</v>
      </c>
      <c r="I21" s="196">
        <v>0</v>
      </c>
      <c r="J21" s="197">
        <f t="shared" si="5"/>
        <v>-2661.2539104073271</v>
      </c>
      <c r="K21" s="176"/>
      <c r="L21" s="198">
        <f t="shared" si="6"/>
        <v>-7.2903892666545289E-2</v>
      </c>
      <c r="M21" s="196"/>
      <c r="N21" s="196" t="s">
        <v>405</v>
      </c>
    </row>
    <row r="22" spans="1:14" x14ac:dyDescent="0.25">
      <c r="A22" s="178">
        <f t="shared" si="7"/>
        <v>12</v>
      </c>
      <c r="B22" s="177" t="s">
        <v>416</v>
      </c>
      <c r="C22" s="202">
        <v>4.5</v>
      </c>
      <c r="D22" s="195">
        <v>-90925.175799348712</v>
      </c>
      <c r="E22" s="196">
        <v>0</v>
      </c>
      <c r="F22" s="197">
        <f t="shared" si="4"/>
        <v>146620.40152118669</v>
      </c>
      <c r="G22" s="176"/>
      <c r="H22" s="195">
        <f>DMR3p2to7!P40</f>
        <v>-90925.25</v>
      </c>
      <c r="I22" s="196">
        <v>0</v>
      </c>
      <c r="J22" s="197">
        <f t="shared" si="5"/>
        <v>146620.52117263843</v>
      </c>
      <c r="K22" s="176"/>
      <c r="L22" s="198">
        <f t="shared" si="6"/>
        <v>0.11965145173599012</v>
      </c>
      <c r="M22" s="196"/>
      <c r="N22" s="196" t="s">
        <v>405</v>
      </c>
    </row>
    <row r="23" spans="1:14" x14ac:dyDescent="0.25">
      <c r="A23" s="178">
        <f t="shared" si="7"/>
        <v>13</v>
      </c>
      <c r="B23" s="177" t="s">
        <v>417</v>
      </c>
      <c r="C23" s="202">
        <v>4.5999999999999996</v>
      </c>
      <c r="D23" s="195">
        <v>7496439.2555000009</v>
      </c>
      <c r="E23" s="196">
        <v>0</v>
      </c>
      <c r="F23" s="197">
        <f t="shared" si="4"/>
        <v>-12088301.44080369</v>
      </c>
      <c r="G23" s="176"/>
      <c r="H23" s="195">
        <f>DMR3p2to7!Q40</f>
        <v>7496438.9500000002</v>
      </c>
      <c r="I23" s="196">
        <v>0</v>
      </c>
      <c r="J23" s="197">
        <f t="shared" si="5"/>
        <v>-12088300.948172992</v>
      </c>
      <c r="K23" s="176"/>
      <c r="L23" s="198">
        <f t="shared" si="6"/>
        <v>0.49263069778680801</v>
      </c>
      <c r="M23" s="196"/>
      <c r="N23" s="196" t="s">
        <v>405</v>
      </c>
    </row>
    <row r="24" spans="1:14" x14ac:dyDescent="0.25">
      <c r="A24" s="178">
        <f t="shared" si="7"/>
        <v>14</v>
      </c>
      <c r="B24" s="177" t="s">
        <v>418</v>
      </c>
      <c r="C24" s="202">
        <v>4.7</v>
      </c>
      <c r="D24" s="195">
        <v>-184003.05326948501</v>
      </c>
      <c r="E24" s="196">
        <v>0</v>
      </c>
      <c r="F24" s="197">
        <f t="shared" si="4"/>
        <v>296712.1186659222</v>
      </c>
      <c r="G24" s="176"/>
      <c r="H24" s="195">
        <f>DMR3p2to7!R40</f>
        <v>-184003.05326948501</v>
      </c>
      <c r="I24" s="196">
        <v>0</v>
      </c>
      <c r="J24" s="197">
        <f t="shared" si="5"/>
        <v>296712.1186659222</v>
      </c>
      <c r="K24" s="176"/>
      <c r="L24" s="198">
        <f t="shared" si="6"/>
        <v>0</v>
      </c>
      <c r="M24" s="196"/>
      <c r="N24" s="196" t="s">
        <v>405</v>
      </c>
    </row>
    <row r="25" spans="1:14" x14ac:dyDescent="0.25">
      <c r="A25" s="178">
        <f t="shared" si="7"/>
        <v>15</v>
      </c>
      <c r="B25" s="177" t="s">
        <v>326</v>
      </c>
      <c r="C25" s="202">
        <v>4.8</v>
      </c>
      <c r="D25" s="195">
        <v>14.960837543892138</v>
      </c>
      <c r="E25" s="196">
        <v>0</v>
      </c>
      <c r="F25" s="197">
        <f t="shared" si="4"/>
        <v>-24.124935569213626</v>
      </c>
      <c r="G25" s="176"/>
      <c r="H25" s="195">
        <f>DMR3p2to7!S40</f>
        <v>14.950000000000001</v>
      </c>
      <c r="I25" s="196">
        <v>0</v>
      </c>
      <c r="J25" s="197">
        <f t="shared" si="5"/>
        <v>-24.107459605895443</v>
      </c>
      <c r="K25" s="176"/>
      <c r="L25" s="198">
        <f t="shared" si="6"/>
        <v>1.7475963318183574E-2</v>
      </c>
      <c r="M25" s="196"/>
      <c r="N25" s="196" t="s">
        <v>405</v>
      </c>
    </row>
    <row r="26" spans="1:14" x14ac:dyDescent="0.25">
      <c r="A26" s="178">
        <f t="shared" si="7"/>
        <v>16</v>
      </c>
      <c r="B26" s="177" t="s">
        <v>419</v>
      </c>
      <c r="C26" s="202">
        <v>4.9000000000000004</v>
      </c>
      <c r="D26" s="195">
        <v>5873.1857109171269</v>
      </c>
      <c r="E26" s="196">
        <v>0</v>
      </c>
      <c r="F26" s="197">
        <f t="shared" si="4"/>
        <v>-9470.7416243382577</v>
      </c>
      <c r="G26" s="176"/>
      <c r="H26" s="195">
        <f>DMR3p2to7!T40</f>
        <v>5873.4</v>
      </c>
      <c r="I26" s="196">
        <v>0</v>
      </c>
      <c r="J26" s="197">
        <f t="shared" si="5"/>
        <v>-9471.0871738639653</v>
      </c>
      <c r="K26" s="176"/>
      <c r="L26" s="198">
        <f t="shared" si="6"/>
        <v>-0.34554952570761088</v>
      </c>
      <c r="M26" s="196"/>
      <c r="N26" s="196" t="s">
        <v>405</v>
      </c>
    </row>
    <row r="27" spans="1:14" x14ac:dyDescent="0.25">
      <c r="A27" s="178">
        <f t="shared" si="7"/>
        <v>17</v>
      </c>
      <c r="B27" s="177" t="s">
        <v>420</v>
      </c>
      <c r="C27" s="203">
        <v>4.0999999999999996</v>
      </c>
      <c r="D27" s="195">
        <v>-269664.79135568673</v>
      </c>
      <c r="E27" s="196">
        <v>0</v>
      </c>
      <c r="F27" s="197">
        <f t="shared" si="4"/>
        <v>434845.02105280536</v>
      </c>
      <c r="G27" s="176"/>
      <c r="H27" s="195">
        <f>DMR3p2to7!U40</f>
        <v>-269664.84999999998</v>
      </c>
      <c r="I27" s="196">
        <v>0</v>
      </c>
      <c r="J27" s="197">
        <f t="shared" si="5"/>
        <v>434845.11561905371</v>
      </c>
      <c r="K27" s="176"/>
      <c r="L27" s="198">
        <f t="shared" si="6"/>
        <v>9.456624835729599E-2</v>
      </c>
      <c r="M27" s="196"/>
      <c r="N27" s="196" t="s">
        <v>405</v>
      </c>
    </row>
    <row r="28" spans="1:14" x14ac:dyDescent="0.25">
      <c r="A28" s="178">
        <f t="shared" si="7"/>
        <v>18</v>
      </c>
      <c r="B28" s="177" t="s">
        <v>472</v>
      </c>
      <c r="C28" s="203" t="s">
        <v>467</v>
      </c>
      <c r="D28" s="195"/>
      <c r="E28" s="196"/>
      <c r="F28" s="197">
        <f t="shared" si="4"/>
        <v>0</v>
      </c>
      <c r="G28" s="176"/>
      <c r="H28" s="195">
        <f>DMR3p2to7!V40</f>
        <v>426187.4458635631</v>
      </c>
      <c r="I28" s="196"/>
      <c r="J28" s="197">
        <f t="shared" si="5"/>
        <v>-687243.92212010687</v>
      </c>
      <c r="K28" s="176"/>
      <c r="L28" s="198">
        <f t="shared" si="6"/>
        <v>-687243.92212010687</v>
      </c>
      <c r="M28" s="196"/>
      <c r="N28" s="196" t="s">
        <v>421</v>
      </c>
    </row>
    <row r="29" spans="1:14" ht="14.25" customHeight="1" x14ac:dyDescent="0.25">
      <c r="A29" s="178">
        <f t="shared" si="7"/>
        <v>19</v>
      </c>
      <c r="B29" s="177" t="s">
        <v>422</v>
      </c>
      <c r="C29" s="203" t="s">
        <v>468</v>
      </c>
      <c r="D29" s="195"/>
      <c r="E29" s="196"/>
      <c r="F29" s="197">
        <f t="shared" si="4"/>
        <v>0</v>
      </c>
      <c r="G29" s="176"/>
      <c r="H29" s="195">
        <f>DMR3p2to7!W40</f>
        <v>51061.648640839281</v>
      </c>
      <c r="I29" s="196"/>
      <c r="J29" s="197">
        <f t="shared" si="5"/>
        <v>-82338.905151803265</v>
      </c>
      <c r="K29" s="176"/>
      <c r="L29" s="198">
        <f t="shared" si="6"/>
        <v>-82338.905151803265</v>
      </c>
      <c r="M29" s="196"/>
      <c r="N29" s="196" t="s">
        <v>421</v>
      </c>
    </row>
    <row r="30" spans="1:14" x14ac:dyDescent="0.25">
      <c r="A30" s="178">
        <f t="shared" si="7"/>
        <v>20</v>
      </c>
      <c r="B30" s="177" t="s">
        <v>423</v>
      </c>
      <c r="C30" s="203" t="s">
        <v>469</v>
      </c>
      <c r="D30" s="195"/>
      <c r="E30" s="196"/>
      <c r="F30" s="197">
        <f t="shared" si="4"/>
        <v>0</v>
      </c>
      <c r="G30" s="176"/>
      <c r="H30" s="195">
        <f>DMR3p2to7!X40</f>
        <v>116000.55526853602</v>
      </c>
      <c r="I30" s="196"/>
      <c r="J30" s="197">
        <f t="shared" si="5"/>
        <v>-187055.43146472733</v>
      </c>
      <c r="K30" s="176"/>
      <c r="L30" s="198">
        <f t="shared" si="6"/>
        <v>-187055.43146472733</v>
      </c>
      <c r="M30" s="196"/>
      <c r="N30" s="196" t="s">
        <v>421</v>
      </c>
    </row>
    <row r="31" spans="1:14" ht="17.25" customHeight="1" x14ac:dyDescent="0.25">
      <c r="A31" s="178">
        <f t="shared" si="7"/>
        <v>21</v>
      </c>
      <c r="B31" s="177" t="s">
        <v>424</v>
      </c>
      <c r="C31" s="203" t="s">
        <v>470</v>
      </c>
      <c r="D31" s="195"/>
      <c r="E31" s="196"/>
      <c r="F31" s="197">
        <f t="shared" si="4"/>
        <v>0</v>
      </c>
      <c r="G31" s="176"/>
      <c r="H31" s="195">
        <f>DMR3p2to7!Y40</f>
        <v>11882.363123409999</v>
      </c>
      <c r="I31" s="196"/>
      <c r="J31" s="197">
        <f t="shared" si="5"/>
        <v>-19160.775185296865</v>
      </c>
      <c r="K31" s="176"/>
      <c r="L31" s="198">
        <f t="shared" si="6"/>
        <v>-19160.775185296865</v>
      </c>
      <c r="M31" s="196"/>
      <c r="N31" s="196" t="s">
        <v>421</v>
      </c>
    </row>
    <row r="32" spans="1:14" x14ac:dyDescent="0.25">
      <c r="A32" s="178"/>
      <c r="B32" s="188" t="s">
        <v>425</v>
      </c>
      <c r="C32" s="178"/>
      <c r="D32" s="195"/>
      <c r="E32" s="196"/>
      <c r="F32" s="197"/>
      <c r="G32" s="176"/>
      <c r="H32" s="195"/>
      <c r="I32" s="196"/>
      <c r="J32" s="197"/>
      <c r="K32" s="176"/>
      <c r="L32" s="198"/>
      <c r="M32" s="196"/>
      <c r="N32" s="196"/>
    </row>
    <row r="33" spans="1:14" x14ac:dyDescent="0.25">
      <c r="A33" s="178">
        <f>A31+1</f>
        <v>22</v>
      </c>
      <c r="B33" s="177" t="s">
        <v>426</v>
      </c>
      <c r="C33" s="178">
        <v>5.0999999999999996</v>
      </c>
      <c r="D33" s="195">
        <v>4882289.6217848063</v>
      </c>
      <c r="E33" s="196">
        <v>0</v>
      </c>
      <c r="F33" s="197">
        <f>-(D33-(E33*$D$70))/$D$71</f>
        <v>-7872882.9325391138</v>
      </c>
      <c r="G33" s="176"/>
      <c r="H33" s="195">
        <f>DMR3p2to7!Z40</f>
        <v>4882290.400000006</v>
      </c>
      <c r="I33" s="196">
        <v>0</v>
      </c>
      <c r="J33" s="197">
        <f>-(H33-(I33*$D$70))/$D$71</f>
        <v>-7872884.1874415549</v>
      </c>
      <c r="K33" s="176"/>
      <c r="L33" s="198">
        <f>J33-F33</f>
        <v>-1.2549024410545826</v>
      </c>
      <c r="M33" s="196"/>
      <c r="N33" s="196" t="s">
        <v>405</v>
      </c>
    </row>
    <row r="34" spans="1:14" x14ac:dyDescent="0.25">
      <c r="A34" s="178">
        <f t="shared" si="3"/>
        <v>23</v>
      </c>
      <c r="B34" s="177" t="s">
        <v>427</v>
      </c>
      <c r="C34" s="178">
        <v>5.2</v>
      </c>
      <c r="D34" s="195">
        <v>430351.62332530326</v>
      </c>
      <c r="E34" s="196">
        <f>-7809780</f>
        <v>-7809780</v>
      </c>
      <c r="F34" s="197">
        <f>-(D34-(E34*$D$70))/$D$71</f>
        <v>-1613289.8431407474</v>
      </c>
      <c r="G34" s="176"/>
      <c r="H34" s="195">
        <f>DMR3p2to7!AA40</f>
        <v>430351.64403802459</v>
      </c>
      <c r="I34" s="196">
        <f>DMR3p2to7!AA66</f>
        <v>-8010771.2930482887</v>
      </c>
      <c r="J34" s="197">
        <f>-(H34-(I34*$D$70))/$D$71</f>
        <v>-1636949.6378729795</v>
      </c>
      <c r="K34" s="176"/>
      <c r="L34" s="198">
        <f>J34-F34</f>
        <v>-23659.794732232112</v>
      </c>
      <c r="M34" s="196"/>
      <c r="N34" s="196" t="s">
        <v>428</v>
      </c>
    </row>
    <row r="35" spans="1:14" x14ac:dyDescent="0.25">
      <c r="A35" s="178"/>
      <c r="B35" s="188" t="s">
        <v>429</v>
      </c>
      <c r="C35" s="178"/>
      <c r="D35" s="195"/>
      <c r="E35" s="196"/>
      <c r="F35" s="197"/>
      <c r="G35" s="176"/>
      <c r="H35" s="195"/>
      <c r="I35" s="196"/>
      <c r="J35" s="197"/>
      <c r="K35" s="176"/>
      <c r="L35" s="198"/>
      <c r="M35" s="196"/>
      <c r="N35" s="196"/>
    </row>
    <row r="36" spans="1:14" x14ac:dyDescent="0.25">
      <c r="A36" s="178">
        <f>A34+1</f>
        <v>24</v>
      </c>
      <c r="B36" s="177" t="s">
        <v>430</v>
      </c>
      <c r="C36" s="204">
        <v>6.1</v>
      </c>
      <c r="D36" s="195">
        <v>0</v>
      </c>
      <c r="E36" s="196">
        <f>-15072680</f>
        <v>-15072680</v>
      </c>
      <c r="F36" s="197">
        <f>-(D36-(E36*$D$70))/$D$71</f>
        <v>-1774285.87093237</v>
      </c>
      <c r="G36" s="176"/>
      <c r="H36" s="195">
        <f>DMR3p2to7!AB54</f>
        <v>0</v>
      </c>
      <c r="I36" s="196">
        <f>DMR3p2to7!AB66</f>
        <v>0</v>
      </c>
      <c r="J36" s="197">
        <f>-(H36-(I36*$D$70))/$D$71</f>
        <v>0</v>
      </c>
      <c r="K36" s="176"/>
      <c r="L36" s="198">
        <f>J36-F36</f>
        <v>1774285.87093237</v>
      </c>
      <c r="M36" s="196"/>
      <c r="N36" s="196" t="s">
        <v>428</v>
      </c>
    </row>
    <row r="37" spans="1:14" x14ac:dyDescent="0.25">
      <c r="A37" s="178">
        <f t="shared" si="3"/>
        <v>25</v>
      </c>
      <c r="B37" s="177" t="s">
        <v>431</v>
      </c>
      <c r="C37" s="204">
        <v>6.2</v>
      </c>
      <c r="D37" s="195">
        <f>-350091</f>
        <v>-350091</v>
      </c>
      <c r="E37" s="196">
        <v>214125</v>
      </c>
      <c r="F37" s="197">
        <f>-(D37-(E37*$D$70))/$D$71</f>
        <v>589741.22778727382</v>
      </c>
      <c r="G37" s="176"/>
      <c r="H37" s="195">
        <f>DMR3p2to7!AC40</f>
        <v>0</v>
      </c>
      <c r="I37" s="196">
        <f>DMR3p2to7!AC66</f>
        <v>0</v>
      </c>
      <c r="J37" s="197">
        <f>-(H37-(I37*$D$70))/$D$71</f>
        <v>0</v>
      </c>
      <c r="K37" s="176"/>
      <c r="L37" s="198">
        <f>J37-F37</f>
        <v>-589741.22778727382</v>
      </c>
      <c r="M37" s="196"/>
      <c r="N37" s="196" t="s">
        <v>428</v>
      </c>
    </row>
    <row r="38" spans="1:14" x14ac:dyDescent="0.25">
      <c r="A38" s="178">
        <f t="shared" si="3"/>
        <v>26</v>
      </c>
      <c r="B38" s="177" t="s">
        <v>432</v>
      </c>
      <c r="C38" s="204">
        <v>6.3</v>
      </c>
      <c r="D38" s="195">
        <v>0</v>
      </c>
      <c r="E38" s="196">
        <v>-160400</v>
      </c>
      <c r="F38" s="197">
        <f>-(D38-(E38*$D$70))/$D$71</f>
        <v>-18881.542877414773</v>
      </c>
      <c r="G38" s="176"/>
      <c r="H38" s="195">
        <f>DMR3p2to7!AD54</f>
        <v>0</v>
      </c>
      <c r="I38" s="196">
        <f>DMR3p2to7!AD66</f>
        <v>0</v>
      </c>
      <c r="J38" s="197">
        <f>-(H38-(I38*$D$70))/$D$71</f>
        <v>0</v>
      </c>
      <c r="K38" s="176"/>
      <c r="L38" s="198">
        <f>J38-F38</f>
        <v>18881.542877414773</v>
      </c>
      <c r="M38" s="196"/>
      <c r="N38" s="196" t="s">
        <v>428</v>
      </c>
    </row>
    <row r="39" spans="1:14" x14ac:dyDescent="0.25">
      <c r="A39" s="178">
        <f t="shared" si="3"/>
        <v>27</v>
      </c>
      <c r="B39" s="177" t="s">
        <v>433</v>
      </c>
      <c r="C39" s="204">
        <v>6.4</v>
      </c>
      <c r="D39" s="195">
        <v>-6376617.6188079324</v>
      </c>
      <c r="E39" s="196">
        <v>-3188308.6965787043</v>
      </c>
      <c r="F39" s="197">
        <f>-(D39-(E39*$D$70))/$D$71</f>
        <v>9907232.3732668217</v>
      </c>
      <c r="G39" s="176"/>
      <c r="H39" s="195">
        <f>DMR3p2to7!AE40</f>
        <v>0</v>
      </c>
      <c r="I39" s="196">
        <f>DMR3p2to7!AE66</f>
        <v>0</v>
      </c>
      <c r="J39" s="197">
        <f>-(H39-(I39*$D$70))/$D$71</f>
        <v>0</v>
      </c>
      <c r="K39" s="176"/>
      <c r="L39" s="198">
        <f>J39-F39</f>
        <v>-9907232.3732668217</v>
      </c>
      <c r="M39" s="196"/>
      <c r="N39" s="196" t="s">
        <v>434</v>
      </c>
    </row>
    <row r="40" spans="1:14" x14ac:dyDescent="0.25">
      <c r="A40" s="178"/>
      <c r="B40" s="178" t="s">
        <v>435</v>
      </c>
      <c r="C40" s="178"/>
      <c r="D40" s="195"/>
      <c r="E40" s="196"/>
      <c r="F40" s="197"/>
      <c r="G40" s="176"/>
      <c r="H40" s="195"/>
      <c r="I40" s="196"/>
      <c r="J40" s="197"/>
      <c r="K40" s="176"/>
      <c r="L40" s="198"/>
      <c r="M40" s="196"/>
      <c r="N40" s="196"/>
    </row>
    <row r="41" spans="1:14" x14ac:dyDescent="0.25">
      <c r="A41" s="178">
        <f>A39+1</f>
        <v>28</v>
      </c>
      <c r="B41" s="177" t="s">
        <v>436</v>
      </c>
      <c r="C41" s="178">
        <v>7.1</v>
      </c>
      <c r="D41" s="195">
        <v>306887</v>
      </c>
      <c r="E41" s="196">
        <v>0</v>
      </c>
      <c r="F41" s="197">
        <f t="shared" ref="F41:F49" si="8">-(D41-(E41*$D$70))/$D$71</f>
        <v>-494867.28803173476</v>
      </c>
      <c r="G41" s="176"/>
      <c r="H41" s="195">
        <f>DMR3p2to7!AF40</f>
        <v>230399</v>
      </c>
      <c r="I41" s="196">
        <v>0</v>
      </c>
      <c r="J41" s="197">
        <f t="shared" ref="J41:J49" si="9">-(H41-(I41*$D$70))/$D$71</f>
        <v>-371527.39703937818</v>
      </c>
      <c r="K41" s="176"/>
      <c r="L41" s="198">
        <f t="shared" ref="L41:L49" si="10">J41-F41</f>
        <v>123339.89099235658</v>
      </c>
      <c r="M41" s="196"/>
      <c r="N41" s="196" t="s">
        <v>437</v>
      </c>
    </row>
    <row r="42" spans="1:14" x14ac:dyDescent="0.25">
      <c r="A42" s="178">
        <f t="shared" si="3"/>
        <v>29</v>
      </c>
      <c r="B42" s="177" t="s">
        <v>438</v>
      </c>
      <c r="C42" s="178">
        <v>7.2</v>
      </c>
      <c r="D42" s="195">
        <v>-166289.5</v>
      </c>
      <c r="E42" s="196">
        <v>0</v>
      </c>
      <c r="F42" s="197">
        <f t="shared" si="8"/>
        <v>268148.32134679263</v>
      </c>
      <c r="G42" s="176"/>
      <c r="H42" s="195">
        <f>DMR3p2to7!AG40</f>
        <v>-166289.5</v>
      </c>
      <c r="I42" s="196">
        <v>0</v>
      </c>
      <c r="J42" s="197">
        <f t="shared" si="9"/>
        <v>268148.32134679263</v>
      </c>
      <c r="K42" s="176"/>
      <c r="L42" s="198">
        <f t="shared" si="10"/>
        <v>0</v>
      </c>
      <c r="M42" s="196"/>
      <c r="N42" s="196" t="s">
        <v>405</v>
      </c>
    </row>
    <row r="43" spans="1:14" x14ac:dyDescent="0.25">
      <c r="A43" s="178">
        <f t="shared" si="3"/>
        <v>30</v>
      </c>
      <c r="B43" s="177" t="s">
        <v>439</v>
      </c>
      <c r="C43" s="178">
        <v>7.3</v>
      </c>
      <c r="D43" s="195">
        <v>47085.529960868997</v>
      </c>
      <c r="E43" s="196">
        <v>0</v>
      </c>
      <c r="F43" s="197">
        <f t="shared" si="8"/>
        <v>-75927.258297914974</v>
      </c>
      <c r="G43" s="176"/>
      <c r="H43" s="195">
        <f>DMR3p2to7!AH40</f>
        <v>47086</v>
      </c>
      <c r="I43" s="196">
        <v>0</v>
      </c>
      <c r="J43" s="197">
        <f t="shared" si="9"/>
        <v>-75928.01625439417</v>
      </c>
      <c r="K43" s="176"/>
      <c r="L43" s="198">
        <f t="shared" si="10"/>
        <v>-0.75795647919585463</v>
      </c>
      <c r="M43" s="196"/>
      <c r="N43" s="196" t="s">
        <v>405</v>
      </c>
    </row>
    <row r="44" spans="1:14" x14ac:dyDescent="0.25">
      <c r="A44" s="178">
        <f t="shared" si="3"/>
        <v>31</v>
      </c>
      <c r="B44" s="177" t="s">
        <v>440</v>
      </c>
      <c r="C44" s="178">
        <v>7.4</v>
      </c>
      <c r="D44" s="195">
        <v>0</v>
      </c>
      <c r="E44" s="196">
        <v>9290956</v>
      </c>
      <c r="F44" s="197">
        <f t="shared" si="8"/>
        <v>1093688.1800883671</v>
      </c>
      <c r="G44" s="176"/>
      <c r="H44" s="195">
        <v>0</v>
      </c>
      <c r="I44" s="196">
        <f>DMR3p2to7!AI66</f>
        <v>13399694.164268905</v>
      </c>
      <c r="J44" s="197">
        <f t="shared" si="9"/>
        <v>1577349.7500429419</v>
      </c>
      <c r="K44" s="176"/>
      <c r="L44" s="198">
        <f t="shared" si="10"/>
        <v>483661.56995457481</v>
      </c>
      <c r="M44" s="196"/>
      <c r="N44" s="196" t="s">
        <v>428</v>
      </c>
    </row>
    <row r="45" spans="1:14" x14ac:dyDescent="0.25">
      <c r="A45" s="178">
        <f t="shared" si="3"/>
        <v>32</v>
      </c>
      <c r="B45" s="177" t="s">
        <v>441</v>
      </c>
      <c r="C45" s="178">
        <v>7.5</v>
      </c>
      <c r="D45" s="195">
        <v>12288.900000000001</v>
      </c>
      <c r="E45" s="196">
        <v>0</v>
      </c>
      <c r="F45" s="197">
        <f t="shared" si="8"/>
        <v>-19816.331796046055</v>
      </c>
      <c r="G45" s="176"/>
      <c r="H45" s="195">
        <f>DMR3p2to7!AJ40</f>
        <v>12288.900000000001</v>
      </c>
      <c r="I45" s="196">
        <v>0</v>
      </c>
      <c r="J45" s="197">
        <f t="shared" si="9"/>
        <v>-19816.331796046055</v>
      </c>
      <c r="K45" s="176"/>
      <c r="L45" s="198">
        <f t="shared" si="10"/>
        <v>0</v>
      </c>
      <c r="M45" s="196"/>
      <c r="N45" s="196" t="s">
        <v>405</v>
      </c>
    </row>
    <row r="46" spans="1:14" x14ac:dyDescent="0.25">
      <c r="A46" s="178">
        <f t="shared" si="3"/>
        <v>33</v>
      </c>
      <c r="B46" s="177" t="s">
        <v>442</v>
      </c>
      <c r="C46" s="178">
        <v>7.6</v>
      </c>
      <c r="D46" s="195">
        <v>-2123177.948587921</v>
      </c>
      <c r="E46" s="196">
        <v>-2260168.1927129664</v>
      </c>
      <c r="F46" s="197">
        <f t="shared" si="8"/>
        <v>3157650.9667492411</v>
      </c>
      <c r="G46" s="176"/>
      <c r="H46" s="195">
        <f>DMR3p2to7!AK40</f>
        <v>-2123178</v>
      </c>
      <c r="I46" s="196">
        <f>DMR3p2to7!AK66</f>
        <v>-2260168</v>
      </c>
      <c r="J46" s="197">
        <f t="shared" si="9"/>
        <v>3157651.0723385043</v>
      </c>
      <c r="K46" s="176"/>
      <c r="L46" s="198">
        <f t="shared" si="10"/>
        <v>0.10558926314115524</v>
      </c>
      <c r="M46" s="196"/>
      <c r="N46" s="196" t="s">
        <v>405</v>
      </c>
    </row>
    <row r="47" spans="1:14" x14ac:dyDescent="0.25">
      <c r="A47" s="178">
        <f t="shared" si="3"/>
        <v>34</v>
      </c>
      <c r="B47" s="177" t="s">
        <v>443</v>
      </c>
      <c r="C47" s="178">
        <v>7.7</v>
      </c>
      <c r="D47" s="195">
        <v>77895</v>
      </c>
      <c r="E47" s="196">
        <v>-78</v>
      </c>
      <c r="F47" s="197">
        <f t="shared" si="8"/>
        <v>-125617.91530944625</v>
      </c>
      <c r="G47" s="176"/>
      <c r="H47" s="195">
        <f>DMR3p2to7!AL40</f>
        <v>71221</v>
      </c>
      <c r="I47" s="196">
        <f>DMR3p2to7!AL66</f>
        <v>-78</v>
      </c>
      <c r="J47" s="197">
        <f t="shared" si="9"/>
        <v>-114855.82932886122</v>
      </c>
      <c r="K47" s="176"/>
      <c r="L47" s="198">
        <f t="shared" si="10"/>
        <v>10762.085980585034</v>
      </c>
      <c r="M47" s="196"/>
      <c r="N47" s="196" t="s">
        <v>428</v>
      </c>
    </row>
    <row r="48" spans="1:14" x14ac:dyDescent="0.25">
      <c r="A48" s="178">
        <f t="shared" si="3"/>
        <v>35</v>
      </c>
      <c r="B48" s="177" t="s">
        <v>444</v>
      </c>
      <c r="C48" s="178">
        <v>7.8</v>
      </c>
      <c r="D48" s="195">
        <v>-182111.8</v>
      </c>
      <c r="E48" s="196">
        <v>0</v>
      </c>
      <c r="F48" s="197">
        <f t="shared" si="8"/>
        <v>293662.3988131712</v>
      </c>
      <c r="G48" s="176"/>
      <c r="H48" s="195">
        <f>DMR3p2to7!AM40</f>
        <v>-182111.8</v>
      </c>
      <c r="I48" s="196">
        <f>DMR3p2to7!AN66</f>
        <v>0</v>
      </c>
      <c r="J48" s="197">
        <f t="shared" si="9"/>
        <v>293662.3988131712</v>
      </c>
      <c r="K48" s="176"/>
      <c r="L48" s="198">
        <f t="shared" si="10"/>
        <v>0</v>
      </c>
      <c r="M48" s="196"/>
      <c r="N48" s="196" t="s">
        <v>405</v>
      </c>
    </row>
    <row r="49" spans="1:14" x14ac:dyDescent="0.25">
      <c r="A49" s="178">
        <f t="shared" si="3"/>
        <v>36</v>
      </c>
      <c r="B49" s="177" t="s">
        <v>445</v>
      </c>
      <c r="C49" s="178">
        <v>7.9</v>
      </c>
      <c r="D49" s="195">
        <v>-1353.4772961368917</v>
      </c>
      <c r="E49" s="196">
        <v>0</v>
      </c>
      <c r="F49" s="197">
        <f t="shared" si="8"/>
        <v>2182.5350664961002</v>
      </c>
      <c r="G49" s="176"/>
      <c r="H49" s="195">
        <f>DMR3p2to7!AN40</f>
        <v>-1353</v>
      </c>
      <c r="I49" s="196">
        <v>0</v>
      </c>
      <c r="J49" s="197">
        <f t="shared" si="9"/>
        <v>2181.7654078111395</v>
      </c>
      <c r="K49" s="176"/>
      <c r="L49" s="198">
        <f t="shared" si="10"/>
        <v>-0.76965868496063194</v>
      </c>
      <c r="M49" s="196"/>
      <c r="N49" s="196" t="s">
        <v>405</v>
      </c>
    </row>
    <row r="50" spans="1:14" x14ac:dyDescent="0.25">
      <c r="A50" s="178"/>
      <c r="B50" s="194"/>
      <c r="C50" s="178"/>
      <c r="D50" s="195"/>
      <c r="E50" s="196"/>
      <c r="F50" s="197"/>
      <c r="G50" s="176"/>
      <c r="H50" s="195"/>
      <c r="I50" s="196"/>
      <c r="J50" s="197"/>
      <c r="K50" s="176"/>
      <c r="L50" s="198"/>
      <c r="M50" s="196"/>
      <c r="N50" s="196"/>
    </row>
    <row r="51" spans="1:14" x14ac:dyDescent="0.25">
      <c r="A51" s="178"/>
      <c r="B51" s="178" t="s">
        <v>446</v>
      </c>
      <c r="C51" s="178"/>
      <c r="D51" s="195"/>
      <c r="E51" s="196"/>
      <c r="F51" s="197"/>
      <c r="G51" s="176"/>
      <c r="H51" s="195"/>
      <c r="I51" s="196"/>
      <c r="J51" s="197"/>
      <c r="K51" s="176"/>
      <c r="L51" s="198"/>
      <c r="M51" s="196"/>
      <c r="N51" s="196"/>
    </row>
    <row r="52" spans="1:14" x14ac:dyDescent="0.25">
      <c r="A52" s="178">
        <f>A49+1</f>
        <v>37</v>
      </c>
      <c r="B52" s="177" t="s">
        <v>447</v>
      </c>
      <c r="C52" s="178">
        <v>8.1</v>
      </c>
      <c r="D52" s="195">
        <v>0</v>
      </c>
      <c r="E52" s="196">
        <v>27838518</v>
      </c>
      <c r="F52" s="197">
        <f t="shared" ref="F52:F65" si="11">-(D52-(E52*$D$70))/$D$71</f>
        <v>3277021.017834682</v>
      </c>
      <c r="G52" s="176"/>
      <c r="H52" s="195">
        <v>0</v>
      </c>
      <c r="I52" s="196">
        <f>DMR3p2to7!AO66</f>
        <v>28996225.291949898</v>
      </c>
      <c r="J52" s="197">
        <f t="shared" ref="J52:J65" si="12">-(H52-(I52*$D$70))/$D$71</f>
        <v>3413300.9422265007</v>
      </c>
      <c r="K52" s="176"/>
      <c r="L52" s="198">
        <f t="shared" ref="L52:L65" si="13">J52-F52</f>
        <v>136279.9243918187</v>
      </c>
      <c r="M52" s="196"/>
      <c r="N52" s="196" t="s">
        <v>428</v>
      </c>
    </row>
    <row r="53" spans="1:14" x14ac:dyDescent="0.25">
      <c r="A53" s="178">
        <f t="shared" si="3"/>
        <v>38</v>
      </c>
      <c r="B53" s="177" t="s">
        <v>448</v>
      </c>
      <c r="C53" s="178">
        <v>8.1999999999999993</v>
      </c>
      <c r="D53" s="195">
        <v>-434575.00931008649</v>
      </c>
      <c r="E53" s="196">
        <v>-849177.37670514849</v>
      </c>
      <c r="F53" s="197">
        <f t="shared" si="11"/>
        <v>600807.98015062825</v>
      </c>
      <c r="G53" s="176"/>
      <c r="H53" s="195">
        <f>DMR3p2to7!AP40</f>
        <v>-434575</v>
      </c>
      <c r="I53" s="196">
        <f>DMR3p2to7!AP66</f>
        <v>-849177</v>
      </c>
      <c r="J53" s="197">
        <f t="shared" si="12"/>
        <v>600808.00948172994</v>
      </c>
      <c r="K53" s="176"/>
      <c r="L53" s="198">
        <f t="shared" si="13"/>
        <v>2.9331101686693728E-2</v>
      </c>
      <c r="M53" s="196"/>
      <c r="N53" s="196" t="s">
        <v>405</v>
      </c>
    </row>
    <row r="54" spans="1:14" x14ac:dyDescent="0.25">
      <c r="A54" s="178">
        <f t="shared" si="3"/>
        <v>39</v>
      </c>
      <c r="B54" s="177" t="s">
        <v>449</v>
      </c>
      <c r="C54" s="178">
        <v>8.3000000000000007</v>
      </c>
      <c r="D54" s="195">
        <v>0</v>
      </c>
      <c r="E54" s="196">
        <v>-997744.69040887489</v>
      </c>
      <c r="F54" s="197">
        <f t="shared" si="11"/>
        <v>-117449.87002910287</v>
      </c>
      <c r="G54" s="176"/>
      <c r="H54" s="195">
        <v>0</v>
      </c>
      <c r="I54" s="196">
        <f>DMR3p2to7!AQ66</f>
        <v>-997745</v>
      </c>
      <c r="J54" s="197">
        <f t="shared" si="12"/>
        <v>-117449.90647273195</v>
      </c>
      <c r="K54" s="176"/>
      <c r="L54" s="198">
        <f t="shared" si="13"/>
        <v>-3.6443629083805718E-2</v>
      </c>
      <c r="M54" s="196"/>
      <c r="N54" s="196" t="s">
        <v>405</v>
      </c>
    </row>
    <row r="55" spans="1:14" x14ac:dyDescent="0.25">
      <c r="A55" s="178">
        <f t="shared" si="3"/>
        <v>40</v>
      </c>
      <c r="B55" s="177" t="s">
        <v>450</v>
      </c>
      <c r="C55" s="178">
        <v>8.4</v>
      </c>
      <c r="D55" s="195">
        <v>-1338761</v>
      </c>
      <c r="E55" s="196">
        <v>24354578</v>
      </c>
      <c r="F55" s="197">
        <f t="shared" si="11"/>
        <v>5025712.2488470348</v>
      </c>
      <c r="G55" s="176"/>
      <c r="H55" s="195">
        <f>DMR3p2to7!AR40+DMR3p2to7!AS40</f>
        <v>-471941.96885266027</v>
      </c>
      <c r="I55" s="196">
        <f>DMR3p2to7!AR66+DMR3p2to7!AS66</f>
        <v>20323460.174143974</v>
      </c>
      <c r="J55" s="197">
        <f t="shared" si="12"/>
        <v>3153408.2006727029</v>
      </c>
      <c r="K55" s="176"/>
      <c r="L55" s="198">
        <f t="shared" si="13"/>
        <v>-1872304.0481743319</v>
      </c>
      <c r="M55" s="196"/>
      <c r="N55" s="196" t="s">
        <v>649</v>
      </c>
    </row>
    <row r="56" spans="1:14" x14ac:dyDescent="0.25">
      <c r="A56" s="178">
        <f t="shared" si="3"/>
        <v>41</v>
      </c>
      <c r="B56" s="177" t="s">
        <v>451</v>
      </c>
      <c r="C56" s="204">
        <v>8.5</v>
      </c>
      <c r="D56" s="195">
        <v>0</v>
      </c>
      <c r="E56" s="196">
        <v>-23631671.039700955</v>
      </c>
      <c r="F56" s="197">
        <f t="shared" si="11"/>
        <v>-2781810.5361663005</v>
      </c>
      <c r="G56" s="176"/>
      <c r="H56" s="195">
        <v>0</v>
      </c>
      <c r="I56" s="196">
        <f>DMR3p2to7!AT66</f>
        <v>-23631672</v>
      </c>
      <c r="J56" s="197">
        <f t="shared" si="12"/>
        <v>-2781810.649208243</v>
      </c>
      <c r="K56" s="176"/>
      <c r="L56" s="198">
        <f t="shared" si="13"/>
        <v>-0.11304194247350097</v>
      </c>
      <c r="M56" s="196"/>
      <c r="N56" s="196" t="s">
        <v>405</v>
      </c>
    </row>
    <row r="57" spans="1:14" x14ac:dyDescent="0.25">
      <c r="A57" s="178">
        <f t="shared" si="3"/>
        <v>42</v>
      </c>
      <c r="B57" s="177" t="s">
        <v>452</v>
      </c>
      <c r="C57" s="204">
        <v>8.6</v>
      </c>
      <c r="D57" s="195">
        <v>17990.552800000001</v>
      </c>
      <c r="E57" s="196">
        <v>-342058.0861999988</v>
      </c>
      <c r="F57" s="197">
        <f t="shared" si="11"/>
        <v>-69275.958803818343</v>
      </c>
      <c r="G57" s="176"/>
      <c r="H57" s="195">
        <f>DMR3p2to7!AU40</f>
        <v>17991</v>
      </c>
      <c r="I57" s="196">
        <f>DMR3p2to7!AU66</f>
        <v>-342058</v>
      </c>
      <c r="J57" s="197">
        <f t="shared" si="12"/>
        <v>-69276.669784242258</v>
      </c>
      <c r="K57" s="176"/>
      <c r="L57" s="198">
        <f t="shared" si="13"/>
        <v>-0.71098042391531635</v>
      </c>
      <c r="M57" s="196"/>
      <c r="N57" s="196" t="s">
        <v>405</v>
      </c>
    </row>
    <row r="58" spans="1:14" x14ac:dyDescent="0.25">
      <c r="A58" s="178">
        <f t="shared" si="3"/>
        <v>43</v>
      </c>
      <c r="B58" s="177" t="s">
        <v>453</v>
      </c>
      <c r="C58" s="178">
        <v>8.6999999999999993</v>
      </c>
      <c r="D58" s="195">
        <v>2901.1499999999996</v>
      </c>
      <c r="E58" s="196">
        <v>-277123.73666666704</v>
      </c>
      <c r="F58" s="197">
        <f t="shared" si="11"/>
        <v>-37299.936750841247</v>
      </c>
      <c r="G58" s="176"/>
      <c r="H58" s="195">
        <f>DMR3p2to7!AV40</f>
        <v>2901</v>
      </c>
      <c r="I58" s="196">
        <f>DMR3p2to7!AV66</f>
        <v>-277124</v>
      </c>
      <c r="J58" s="197">
        <f t="shared" si="12"/>
        <v>-37299.725868352303</v>
      </c>
      <c r="K58" s="176"/>
      <c r="L58" s="198">
        <f t="shared" si="13"/>
        <v>0.21088248894375283</v>
      </c>
      <c r="M58" s="196"/>
      <c r="N58" s="196" t="s">
        <v>405</v>
      </c>
    </row>
    <row r="59" spans="1:14" x14ac:dyDescent="0.25">
      <c r="A59" s="178">
        <f t="shared" si="3"/>
        <v>44</v>
      </c>
      <c r="B59" s="177" t="s">
        <v>454</v>
      </c>
      <c r="C59" s="178">
        <v>8.8000000000000007</v>
      </c>
      <c r="D59" s="195">
        <v>-2831.0099999999998</v>
      </c>
      <c r="E59" s="196">
        <v>-3272582.9608333334</v>
      </c>
      <c r="F59" s="197">
        <f t="shared" si="11"/>
        <v>-380668.14935471554</v>
      </c>
      <c r="G59" s="176"/>
      <c r="H59" s="195">
        <f>DMR3p2to7!AW40</f>
        <v>-2830.75</v>
      </c>
      <c r="I59" s="196">
        <f>DMR3p2to7!AW66</f>
        <v>-3272583</v>
      </c>
      <c r="J59" s="197">
        <f t="shared" si="12"/>
        <v>-380668.57322540064</v>
      </c>
      <c r="K59" s="176"/>
      <c r="L59" s="198">
        <f t="shared" si="13"/>
        <v>-0.42387068510288373</v>
      </c>
      <c r="M59" s="196"/>
      <c r="N59" s="196" t="s">
        <v>405</v>
      </c>
    </row>
    <row r="60" spans="1:14" x14ac:dyDescent="0.25">
      <c r="A60" s="178">
        <f t="shared" si="3"/>
        <v>45</v>
      </c>
      <c r="B60" s="177" t="s">
        <v>455</v>
      </c>
      <c r="C60" s="178">
        <v>8.9</v>
      </c>
      <c r="D60" s="195">
        <v>0</v>
      </c>
      <c r="E60" s="196">
        <v>210870.414652334</v>
      </c>
      <c r="F60" s="197">
        <f t="shared" si="11"/>
        <v>24822.685634889513</v>
      </c>
      <c r="G60" s="176"/>
      <c r="H60" s="195">
        <v>0</v>
      </c>
      <c r="I60" s="196">
        <f>DMR3p2to7!AX66</f>
        <v>210870</v>
      </c>
      <c r="J60" s="197">
        <f t="shared" si="12"/>
        <v>24822.636823942976</v>
      </c>
      <c r="K60" s="176"/>
      <c r="L60" s="198">
        <f t="shared" si="13"/>
        <v>-4.8810946536832489E-2</v>
      </c>
      <c r="M60" s="196"/>
      <c r="N60" s="196" t="s">
        <v>405</v>
      </c>
    </row>
    <row r="61" spans="1:14" x14ac:dyDescent="0.25">
      <c r="A61" s="178">
        <f t="shared" si="3"/>
        <v>46</v>
      </c>
      <c r="B61" s="177" t="s">
        <v>456</v>
      </c>
      <c r="C61" s="205">
        <v>8.1</v>
      </c>
      <c r="D61" s="195">
        <v>0</v>
      </c>
      <c r="E61" s="196">
        <v>23962204.101914421</v>
      </c>
      <c r="F61" s="197">
        <f t="shared" si="11"/>
        <v>2820719.3527909061</v>
      </c>
      <c r="G61" s="176"/>
      <c r="H61" s="195">
        <v>0</v>
      </c>
      <c r="I61" s="196">
        <f>DMR3p2to7!AY66</f>
        <v>23962204</v>
      </c>
      <c r="J61" s="197">
        <f t="shared" si="12"/>
        <v>2820719.3407940143</v>
      </c>
      <c r="K61" s="176"/>
      <c r="L61" s="198">
        <f t="shared" si="13"/>
        <v>-1.1996891815215349E-2</v>
      </c>
      <c r="M61" s="196"/>
      <c r="N61" s="196" t="s">
        <v>405</v>
      </c>
    </row>
    <row r="62" spans="1:14" x14ac:dyDescent="0.25">
      <c r="A62" s="178">
        <f t="shared" si="3"/>
        <v>47</v>
      </c>
      <c r="B62" s="177" t="s">
        <v>457</v>
      </c>
      <c r="C62" s="178">
        <v>8.11</v>
      </c>
      <c r="D62" s="195">
        <v>0</v>
      </c>
      <c r="E62" s="196">
        <v>27245532</v>
      </c>
      <c r="F62" s="197">
        <f t="shared" si="11"/>
        <v>3207217.4605734185</v>
      </c>
      <c r="G62" s="176"/>
      <c r="H62" s="195">
        <v>0</v>
      </c>
      <c r="I62" s="196">
        <f>DMR3p2to7!AZ66</f>
        <v>0</v>
      </c>
      <c r="J62" s="197">
        <f t="shared" si="12"/>
        <v>0</v>
      </c>
      <c r="K62" s="176"/>
      <c r="L62" s="198">
        <f t="shared" si="13"/>
        <v>-3207217.4605734185</v>
      </c>
      <c r="M62" s="196"/>
      <c r="N62" s="196" t="s">
        <v>428</v>
      </c>
    </row>
    <row r="63" spans="1:14" x14ac:dyDescent="0.25">
      <c r="A63" s="178">
        <f t="shared" si="3"/>
        <v>48</v>
      </c>
      <c r="B63" s="177" t="s">
        <v>458</v>
      </c>
      <c r="C63" s="178">
        <v>8.1199999999999992</v>
      </c>
      <c r="D63" s="195">
        <v>0</v>
      </c>
      <c r="E63" s="196">
        <v>-1861470</v>
      </c>
      <c r="F63" s="197">
        <f t="shared" si="11"/>
        <v>-219123.60112232721</v>
      </c>
      <c r="G63" s="176"/>
      <c r="H63" s="195">
        <v>0</v>
      </c>
      <c r="I63" s="196">
        <f>DMR3p2to7!BA66</f>
        <v>-1861470</v>
      </c>
      <c r="J63" s="197">
        <f t="shared" si="12"/>
        <v>-219123.60112232721</v>
      </c>
      <c r="K63" s="176"/>
      <c r="L63" s="198">
        <f t="shared" si="13"/>
        <v>0</v>
      </c>
      <c r="M63" s="196"/>
      <c r="N63" s="196" t="s">
        <v>405</v>
      </c>
    </row>
    <row r="64" spans="1:14" x14ac:dyDescent="0.25">
      <c r="A64" s="178">
        <f t="shared" si="3"/>
        <v>49</v>
      </c>
      <c r="B64" s="177" t="s">
        <v>459</v>
      </c>
      <c r="C64" s="178">
        <v>8.1300000000000008</v>
      </c>
      <c r="D64" s="195">
        <v>0</v>
      </c>
      <c r="E64" s="196">
        <v>3411203</v>
      </c>
      <c r="F64" s="197">
        <f t="shared" si="11"/>
        <v>401550.9707485406</v>
      </c>
      <c r="G64" s="176"/>
      <c r="H64" s="195">
        <v>0</v>
      </c>
      <c r="I64" s="196">
        <f>DMR3p2to7!BB66</f>
        <v>3118613.7825411363</v>
      </c>
      <c r="J64" s="197">
        <f t="shared" si="12"/>
        <v>367108.72726400965</v>
      </c>
      <c r="K64" s="176"/>
      <c r="L64" s="198">
        <f t="shared" si="13"/>
        <v>-34442.243484530947</v>
      </c>
      <c r="M64" s="196"/>
      <c r="N64" s="196" t="s">
        <v>428</v>
      </c>
    </row>
    <row r="65" spans="1:14" x14ac:dyDescent="0.25">
      <c r="A65" s="178">
        <f t="shared" si="3"/>
        <v>50</v>
      </c>
      <c r="B65" s="177" t="s">
        <v>460</v>
      </c>
      <c r="C65" s="178" t="s">
        <v>471</v>
      </c>
      <c r="D65" s="195"/>
      <c r="E65" s="196"/>
      <c r="F65" s="197">
        <f t="shared" si="11"/>
        <v>0</v>
      </c>
      <c r="G65" s="176"/>
      <c r="H65" s="195">
        <f>DMR3p2to7!BC40</f>
        <v>45128.738479500011</v>
      </c>
      <c r="I65" s="196">
        <f>DMR3p2to7!BC66</f>
        <v>0</v>
      </c>
      <c r="J65" s="197">
        <f t="shared" si="12"/>
        <v>-72771.855515690026</v>
      </c>
      <c r="K65" s="176"/>
      <c r="L65" s="198">
        <f t="shared" si="13"/>
        <v>-72771.855515690026</v>
      </c>
      <c r="M65" s="196"/>
      <c r="N65" s="196" t="s">
        <v>421</v>
      </c>
    </row>
    <row r="66" spans="1:14" x14ac:dyDescent="0.25">
      <c r="A66" s="178"/>
      <c r="B66" s="194"/>
      <c r="C66" s="178"/>
      <c r="D66" s="195"/>
      <c r="E66" s="196"/>
      <c r="F66" s="197"/>
      <c r="G66" s="176"/>
      <c r="H66" s="195"/>
      <c r="I66" s="196"/>
      <c r="J66" s="197"/>
      <c r="K66" s="176"/>
      <c r="L66" s="198"/>
      <c r="M66" s="196"/>
      <c r="N66" s="196"/>
    </row>
    <row r="67" spans="1:14" x14ac:dyDescent="0.25">
      <c r="A67" s="178">
        <f>A65+1</f>
        <v>51</v>
      </c>
      <c r="B67" s="177" t="s">
        <v>461</v>
      </c>
      <c r="C67" s="204">
        <v>9.1</v>
      </c>
      <c r="D67" s="195">
        <v>0</v>
      </c>
      <c r="E67" s="196">
        <v>0</v>
      </c>
      <c r="F67" s="197">
        <f>-(D67-(E67*$D$70))/$D$71</f>
        <v>0</v>
      </c>
      <c r="G67" s="176"/>
      <c r="H67" s="195">
        <v>0</v>
      </c>
      <c r="I67" s="196">
        <v>0</v>
      </c>
      <c r="J67" s="197">
        <f>-(H67-(I67*$D$70))/$D$71</f>
        <v>0</v>
      </c>
      <c r="K67" s="176"/>
      <c r="L67" s="198">
        <f>J67-F67</f>
        <v>0</v>
      </c>
      <c r="M67" s="196"/>
      <c r="N67" s="196"/>
    </row>
    <row r="68" spans="1:14" x14ac:dyDescent="0.25">
      <c r="A68" s="178">
        <f>A67+1</f>
        <v>52</v>
      </c>
      <c r="B68" s="206" t="s">
        <v>462</v>
      </c>
      <c r="C68" s="206"/>
      <c r="D68" s="207">
        <f>SUM(D9:D67)</f>
        <v>54518747.556789063</v>
      </c>
      <c r="E68" s="206">
        <f>SUM(E9:E67)</f>
        <v>838124164.53010988</v>
      </c>
      <c r="F68" s="208">
        <f>SUM(F9:F67)</f>
        <v>10746470.883847121</v>
      </c>
      <c r="G68" s="176"/>
      <c r="H68" s="207">
        <f>SUM(H9:H67)</f>
        <v>62679376.054952808</v>
      </c>
      <c r="I68" s="206">
        <f>SUM(I9:I67)</f>
        <v>829827642.11985564</v>
      </c>
      <c r="J68" s="208">
        <f>SUM(J9:J67)</f>
        <v>-3389489.7607046147</v>
      </c>
      <c r="K68" s="176"/>
      <c r="L68" s="209">
        <f>SUM(L9:L67)</f>
        <v>-14135960.644551739</v>
      </c>
      <c r="M68" s="210"/>
      <c r="N68" s="210"/>
    </row>
    <row r="69" spans="1:14" x14ac:dyDescent="0.25">
      <c r="A69" s="176"/>
      <c r="B69" s="176"/>
      <c r="C69" s="176"/>
      <c r="D69" s="211"/>
      <c r="E69" s="176"/>
      <c r="F69" s="176"/>
      <c r="G69" s="176"/>
      <c r="H69" s="176"/>
      <c r="I69" s="176"/>
      <c r="J69" s="176"/>
      <c r="K69" s="176"/>
      <c r="L69" s="179"/>
      <c r="M69" s="179"/>
      <c r="N69" s="179"/>
    </row>
    <row r="70" spans="1:14" x14ac:dyDescent="0.25">
      <c r="A70" s="178">
        <f>A68+1</f>
        <v>53</v>
      </c>
      <c r="B70" s="176"/>
      <c r="C70" s="212" t="s">
        <v>463</v>
      </c>
      <c r="D70" s="213">
        <v>7.2999999999999995E-2</v>
      </c>
      <c r="E70" s="176" t="s">
        <v>464</v>
      </c>
      <c r="F70" s="176"/>
      <c r="G70" s="176"/>
      <c r="H70" s="176"/>
      <c r="I70" s="176"/>
      <c r="J70" s="176"/>
      <c r="K70" s="176"/>
      <c r="L70" s="179"/>
      <c r="M70" s="179"/>
      <c r="N70" s="179"/>
    </row>
    <row r="71" spans="1:14" x14ac:dyDescent="0.25">
      <c r="A71" s="178">
        <f>A70+1</f>
        <v>54</v>
      </c>
      <c r="B71" s="176"/>
      <c r="C71" s="212" t="s">
        <v>466</v>
      </c>
      <c r="D71" s="215">
        <v>0.62014000000000002</v>
      </c>
      <c r="E71" s="176" t="s">
        <v>464</v>
      </c>
      <c r="F71" s="176"/>
      <c r="G71" s="176"/>
      <c r="H71" s="176"/>
      <c r="I71" s="176"/>
      <c r="J71" s="176"/>
      <c r="K71" s="176"/>
      <c r="L71" s="179"/>
      <c r="M71" s="179"/>
      <c r="N71" s="179"/>
    </row>
    <row r="72" spans="1:14" x14ac:dyDescent="0.25">
      <c r="A72" s="178"/>
      <c r="B72" s="214" t="s">
        <v>465</v>
      </c>
      <c r="C72" s="176"/>
      <c r="D72" s="176"/>
      <c r="E72" s="176"/>
      <c r="F72" s="176"/>
      <c r="G72" s="176"/>
      <c r="H72" s="176"/>
      <c r="I72" s="176"/>
      <c r="J72" s="176"/>
      <c r="K72" s="176"/>
      <c r="L72" s="179"/>
      <c r="M72" s="179"/>
      <c r="N72" s="179"/>
    </row>
    <row r="73" spans="1:14" x14ac:dyDescent="0.25">
      <c r="A73" s="178"/>
      <c r="B73" s="176" t="s">
        <v>650</v>
      </c>
      <c r="C73" s="176"/>
      <c r="D73" s="176"/>
      <c r="E73" s="176"/>
      <c r="F73" s="176"/>
      <c r="G73" s="176"/>
      <c r="H73" s="176"/>
      <c r="I73" s="176"/>
      <c r="J73" s="176"/>
      <c r="K73" s="176"/>
      <c r="L73" s="179"/>
      <c r="M73" s="179"/>
      <c r="N73" s="179"/>
    </row>
  </sheetData>
  <mergeCells count="2">
    <mergeCell ref="D6:F6"/>
    <mergeCell ref="H6:J6"/>
  </mergeCells>
  <pageMargins left="0.7" right="0.7" top="0.75" bottom="0.75" header="0.3" footer="0.3"/>
  <pageSetup scale="58"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O3" sqref="O3"/>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s="487" t="s">
        <v>392</v>
      </c>
      <c r="M1" s="16"/>
      <c r="N1" s="16"/>
      <c r="O1" s="334" t="s">
        <v>275</v>
      </c>
    </row>
    <row r="2" spans="1:15" x14ac:dyDescent="0.25">
      <c r="A2" t="s">
        <v>161</v>
      </c>
      <c r="M2" s="16"/>
      <c r="N2" s="16"/>
      <c r="O2" s="334" t="s">
        <v>189</v>
      </c>
    </row>
    <row r="3" spans="1:15" x14ac:dyDescent="0.25">
      <c r="A3" t="s">
        <v>273</v>
      </c>
      <c r="M3" s="16"/>
      <c r="N3" s="16"/>
      <c r="O3" s="521" t="s">
        <v>748</v>
      </c>
    </row>
    <row r="4" spans="1:15" x14ac:dyDescent="0.25">
      <c r="M4" s="16"/>
      <c r="N4" s="16"/>
      <c r="O4" s="334" t="s">
        <v>727</v>
      </c>
    </row>
    <row r="5" spans="1:15" x14ac:dyDescent="0.25">
      <c r="A5" t="s">
        <v>672</v>
      </c>
      <c r="M5" s="16"/>
      <c r="N5" s="16"/>
      <c r="O5" s="16"/>
    </row>
    <row r="6" spans="1:15" x14ac:dyDescent="0.25">
      <c r="A6" s="157" t="s">
        <v>673</v>
      </c>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58"/>
    </row>
    <row r="8" spans="1:15" x14ac:dyDescent="0.25">
      <c r="G8" s="1"/>
      <c r="H8" s="1"/>
      <c r="I8" s="1" t="s">
        <v>4</v>
      </c>
      <c r="J8" s="1"/>
      <c r="K8" s="1"/>
      <c r="L8" s="1"/>
      <c r="M8" s="1"/>
      <c r="N8" s="1"/>
      <c r="O8" s="1" t="s">
        <v>129</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162</v>
      </c>
      <c r="G13" s="36" t="s">
        <v>73</v>
      </c>
      <c r="I13" s="32">
        <f>I22</f>
        <v>-2846346.0551773505</v>
      </c>
      <c r="K13" s="1" t="s">
        <v>74</v>
      </c>
      <c r="L13" s="1"/>
      <c r="M13" s="1" t="s">
        <v>74</v>
      </c>
      <c r="O13" s="148">
        <f>'PC3p2-OPEB'!F86</f>
        <v>-178462.3927208246</v>
      </c>
    </row>
    <row r="16" spans="1:15" x14ac:dyDescent="0.25">
      <c r="I16" s="32"/>
    </row>
    <row r="17" spans="1:15" x14ac:dyDescent="0.25">
      <c r="C17" s="3" t="s">
        <v>76</v>
      </c>
      <c r="I17" s="154" t="s">
        <v>2</v>
      </c>
      <c r="K17" s="3" t="s">
        <v>295</v>
      </c>
    </row>
    <row r="18" spans="1:15" x14ac:dyDescent="0.25">
      <c r="A18" t="s">
        <v>77</v>
      </c>
      <c r="C18" s="18" t="s">
        <v>163</v>
      </c>
      <c r="D18" s="4"/>
      <c r="E18" s="4"/>
      <c r="F18" s="4"/>
      <c r="G18" s="4"/>
      <c r="H18" s="4"/>
      <c r="I18" s="34">
        <f>-4043010</f>
        <v>-4043010</v>
      </c>
      <c r="J18" s="4"/>
      <c r="K18" t="s">
        <v>248</v>
      </c>
    </row>
    <row r="19" spans="1:15" x14ac:dyDescent="0.25">
      <c r="A19" t="s">
        <v>78</v>
      </c>
      <c r="C19" t="s">
        <v>297</v>
      </c>
      <c r="I19" s="33">
        <f>-8222739</f>
        <v>-8222739</v>
      </c>
      <c r="K19" s="13" t="s">
        <v>173</v>
      </c>
    </row>
    <row r="20" spans="1:15" x14ac:dyDescent="0.25">
      <c r="A20" t="s">
        <v>79</v>
      </c>
      <c r="C20" t="s">
        <v>164</v>
      </c>
      <c r="I20" s="34">
        <f>I19-I18</f>
        <v>-4179729</v>
      </c>
      <c r="K20" t="s">
        <v>160</v>
      </c>
    </row>
    <row r="21" spans="1:15" x14ac:dyDescent="0.25">
      <c r="A21" s="4" t="s">
        <v>80</v>
      </c>
      <c r="B21" s="4"/>
      <c r="C21" s="18" t="s">
        <v>107</v>
      </c>
      <c r="D21" s="4"/>
      <c r="E21" s="4"/>
      <c r="F21" s="4"/>
      <c r="G21" s="4"/>
      <c r="H21" s="4"/>
      <c r="I21" s="53">
        <f>'PC3p2-OPEB'!C86</f>
        <v>0.68098818252986026</v>
      </c>
      <c r="J21" s="4"/>
    </row>
    <row r="22" spans="1:15" x14ac:dyDescent="0.25">
      <c r="A22" s="18" t="s">
        <v>81</v>
      </c>
      <c r="B22" s="4"/>
      <c r="C22" s="18" t="s">
        <v>162</v>
      </c>
      <c r="D22" s="4"/>
      <c r="E22" s="4"/>
      <c r="F22" s="4"/>
      <c r="G22" s="4"/>
      <c r="H22" s="4"/>
      <c r="I22" s="54">
        <f>I20*I21</f>
        <v>-2846346.0551773505</v>
      </c>
      <c r="J22" s="4"/>
    </row>
    <row r="23" spans="1:15" x14ac:dyDescent="0.25">
      <c r="A23" s="4"/>
      <c r="B23" s="4"/>
    </row>
    <row r="24" spans="1:15" x14ac:dyDescent="0.25">
      <c r="A24" s="4"/>
      <c r="B24" s="4"/>
      <c r="C24" s="18"/>
      <c r="D24" s="4"/>
      <c r="E24" s="4"/>
      <c r="F24" s="4"/>
      <c r="G24" s="4"/>
      <c r="H24" s="4"/>
      <c r="I24" s="34"/>
      <c r="J24" s="4"/>
      <c r="K24" s="4"/>
      <c r="L24" s="4"/>
      <c r="M24" s="4"/>
    </row>
    <row r="25" spans="1:15" x14ac:dyDescent="0.25">
      <c r="A25" s="4"/>
      <c r="B25" s="4"/>
      <c r="C25" s="18" t="s">
        <v>276</v>
      </c>
      <c r="D25" s="4"/>
      <c r="E25" s="4"/>
      <c r="F25" s="4"/>
      <c r="G25" s="4"/>
      <c r="H25" s="4"/>
      <c r="I25" s="19"/>
      <c r="J25" s="4"/>
      <c r="K25" s="4"/>
      <c r="L25" s="4"/>
      <c r="M25" s="4"/>
    </row>
    <row r="26" spans="1:15" x14ac:dyDescent="0.25">
      <c r="A26" s="4"/>
      <c r="B26" s="4"/>
      <c r="C26" s="138" t="s">
        <v>298</v>
      </c>
      <c r="D26" s="4"/>
      <c r="E26" s="4"/>
      <c r="F26" s="4"/>
      <c r="G26" s="4"/>
      <c r="H26" s="4"/>
      <c r="I26" s="34"/>
      <c r="J26" s="4"/>
      <c r="K26" s="4"/>
      <c r="L26" s="4"/>
      <c r="M26" s="4"/>
    </row>
    <row r="27" spans="1:15" x14ac:dyDescent="0.25">
      <c r="A27" s="4"/>
      <c r="B27" s="4"/>
      <c r="C27" s="4"/>
      <c r="D27" s="4"/>
      <c r="E27" s="4"/>
      <c r="F27" s="4"/>
      <c r="G27" s="4"/>
      <c r="H27" s="4"/>
      <c r="I27" s="34"/>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75</v>
      </c>
    </row>
    <row r="31" spans="1:15" ht="15.75" customHeight="1" x14ac:dyDescent="0.25">
      <c r="C31" s="436" t="s">
        <v>277</v>
      </c>
      <c r="D31" s="437"/>
      <c r="E31" s="437"/>
      <c r="F31" s="437"/>
      <c r="G31" s="437"/>
      <c r="H31" s="437"/>
      <c r="I31" s="437"/>
      <c r="J31" s="437"/>
      <c r="K31" s="437"/>
      <c r="L31" s="437"/>
      <c r="M31" s="437"/>
      <c r="N31" s="437"/>
      <c r="O31" s="438"/>
    </row>
    <row r="32" spans="1:15" ht="15.75" customHeight="1" x14ac:dyDescent="0.25">
      <c r="C32" s="439"/>
      <c r="D32" s="440"/>
      <c r="E32" s="440"/>
      <c r="F32" s="440"/>
      <c r="G32" s="440"/>
      <c r="H32" s="440"/>
      <c r="I32" s="440"/>
      <c r="J32" s="440"/>
      <c r="K32" s="440"/>
      <c r="L32" s="440"/>
      <c r="M32" s="440"/>
      <c r="N32" s="440"/>
      <c r="O32" s="441"/>
    </row>
    <row r="33" spans="3:15" x14ac:dyDescent="0.25">
      <c r="C33" s="439"/>
      <c r="D33" s="440"/>
      <c r="E33" s="440"/>
      <c r="F33" s="440"/>
      <c r="G33" s="440"/>
      <c r="H33" s="440"/>
      <c r="I33" s="440"/>
      <c r="J33" s="440"/>
      <c r="K33" s="440"/>
      <c r="L33" s="440"/>
      <c r="M33" s="440"/>
      <c r="N33" s="440"/>
      <c r="O33" s="441"/>
    </row>
    <row r="34" spans="3:15" ht="15.75" customHeight="1" x14ac:dyDescent="0.25">
      <c r="C34" s="442"/>
      <c r="D34" s="443"/>
      <c r="E34" s="443"/>
      <c r="F34" s="443"/>
      <c r="G34" s="443"/>
      <c r="H34" s="443"/>
      <c r="I34" s="443"/>
      <c r="J34" s="443"/>
      <c r="K34" s="443"/>
      <c r="L34" s="443"/>
      <c r="M34" s="443"/>
      <c r="N34" s="443"/>
      <c r="O34" s="444"/>
    </row>
  </sheetData>
  <mergeCells count="1">
    <mergeCell ref="C31:O34"/>
  </mergeCells>
  <pageMargins left="0.7" right="0.7" top="0.75" bottom="0.75" header="0.3" footer="0.3"/>
  <pageSetup scale="78"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2"/>
  <sheetViews>
    <sheetView workbookViewId="0">
      <selection activeCell="F3" sqref="F3"/>
    </sheetView>
  </sheetViews>
  <sheetFormatPr defaultRowHeight="15.75" x14ac:dyDescent="0.25"/>
  <cols>
    <col min="1" max="1" width="17.625" style="56" customWidth="1"/>
    <col min="2" max="2" width="14.75" style="56" customWidth="1"/>
    <col min="3" max="3" width="9.625" style="56" customWidth="1"/>
    <col min="4" max="4" width="12" style="56" customWidth="1"/>
    <col min="5" max="5" width="10.875" style="56" customWidth="1"/>
    <col min="6" max="6" width="12.125" style="56" customWidth="1"/>
    <col min="7" max="16384" width="9" style="56"/>
  </cols>
  <sheetData>
    <row r="1" spans="1:7" x14ac:dyDescent="0.25">
      <c r="A1" s="487" t="s">
        <v>392</v>
      </c>
      <c r="B1"/>
      <c r="C1"/>
      <c r="D1"/>
      <c r="E1"/>
      <c r="F1" s="334" t="s">
        <v>275</v>
      </c>
    </row>
    <row r="2" spans="1:7" x14ac:dyDescent="0.25">
      <c r="A2" t="s">
        <v>161</v>
      </c>
      <c r="B2"/>
      <c r="C2"/>
      <c r="D2"/>
      <c r="E2"/>
      <c r="F2" s="334" t="s">
        <v>189</v>
      </c>
    </row>
    <row r="3" spans="1:7" x14ac:dyDescent="0.25">
      <c r="A3" t="s">
        <v>273</v>
      </c>
      <c r="B3"/>
      <c r="C3"/>
      <c r="D3"/>
      <c r="E3"/>
      <c r="F3" s="521" t="s">
        <v>748</v>
      </c>
    </row>
    <row r="4" spans="1:7" x14ac:dyDescent="0.25">
      <c r="A4"/>
      <c r="B4"/>
      <c r="C4"/>
      <c r="D4"/>
      <c r="E4"/>
      <c r="F4" s="334" t="s">
        <v>728</v>
      </c>
    </row>
    <row r="5" spans="1:7" ht="15" customHeight="1" x14ac:dyDescent="0.25">
      <c r="A5" t="s">
        <v>672</v>
      </c>
      <c r="B5"/>
      <c r="C5"/>
      <c r="D5"/>
      <c r="E5" s="178"/>
      <c r="F5" s="22"/>
    </row>
    <row r="6" spans="1:7" ht="15" customHeight="1" x14ac:dyDescent="0.25">
      <c r="A6" s="157" t="s">
        <v>674</v>
      </c>
      <c r="B6"/>
      <c r="C6"/>
      <c r="D6"/>
      <c r="E6" s="178"/>
      <c r="F6" s="22"/>
    </row>
    <row r="7" spans="1:7" x14ac:dyDescent="0.25">
      <c r="A7" s="91"/>
      <c r="B7" s="92" t="s">
        <v>61</v>
      </c>
      <c r="C7" s="93"/>
      <c r="D7" s="22" t="s">
        <v>146</v>
      </c>
      <c r="E7" s="178" t="s">
        <v>8</v>
      </c>
      <c r="F7" s="22" t="s">
        <v>129</v>
      </c>
    </row>
    <row r="8" spans="1:7" x14ac:dyDescent="0.25">
      <c r="A8" s="94" t="s">
        <v>71</v>
      </c>
      <c r="B8" s="95" t="s">
        <v>274</v>
      </c>
      <c r="C8" s="96" t="s">
        <v>8</v>
      </c>
      <c r="D8" s="97" t="s">
        <v>72</v>
      </c>
      <c r="E8" s="495" t="s">
        <v>69</v>
      </c>
      <c r="F8" s="97" t="s">
        <v>2</v>
      </c>
    </row>
    <row r="9" spans="1:7" x14ac:dyDescent="0.25">
      <c r="A9" s="68" t="s">
        <v>131</v>
      </c>
      <c r="B9" s="100">
        <v>67884043.425930023</v>
      </c>
      <c r="C9" s="101">
        <f t="shared" ref="C9:C40" si="0">B9/$B$90</f>
        <v>9.7688313701874058E-2</v>
      </c>
      <c r="D9" s="98">
        <f t="shared" ref="D9:D40" si="1">C9*$D$90</f>
        <v>-408310.67774082033</v>
      </c>
      <c r="E9" s="113">
        <v>0</v>
      </c>
      <c r="F9" s="98">
        <f>D9*E9</f>
        <v>0</v>
      </c>
      <c r="G9" s="70"/>
    </row>
    <row r="10" spans="1:7" x14ac:dyDescent="0.25">
      <c r="A10" s="68" t="s">
        <v>132</v>
      </c>
      <c r="B10" s="100">
        <v>7473965.8163556829</v>
      </c>
      <c r="C10" s="101">
        <f t="shared" si="0"/>
        <v>1.075538639742178E-2</v>
      </c>
      <c r="D10" s="98">
        <f t="shared" si="1"/>
        <v>-44954.600431509338</v>
      </c>
      <c r="E10" s="113">
        <v>0.22437004168265501</v>
      </c>
      <c r="F10" s="98">
        <f t="shared" ref="F10:F73" si="2">D10*E10</f>
        <v>-10086.465572644851</v>
      </c>
      <c r="G10" s="70"/>
    </row>
    <row r="11" spans="1:7" x14ac:dyDescent="0.25">
      <c r="A11" s="68" t="s">
        <v>63</v>
      </c>
      <c r="B11" s="100">
        <v>5688.354078993184</v>
      </c>
      <c r="C11" s="101">
        <f t="shared" si="0"/>
        <v>8.1858075870560602E-6</v>
      </c>
      <c r="D11" s="98">
        <f t="shared" si="1"/>
        <v>-34.214457360038239</v>
      </c>
      <c r="E11" s="113">
        <v>8.2285226967736394E-2</v>
      </c>
      <c r="F11" s="98">
        <f t="shared" si="2"/>
        <v>-2.8153443894486854</v>
      </c>
      <c r="G11" s="70"/>
    </row>
    <row r="12" spans="1:7" x14ac:dyDescent="0.25">
      <c r="A12" s="68" t="s">
        <v>133</v>
      </c>
      <c r="B12" s="102">
        <v>1840130.5347571312</v>
      </c>
      <c r="C12" s="101">
        <f t="shared" si="0"/>
        <v>2.6480339098818076E-3</v>
      </c>
      <c r="D12" s="98">
        <f t="shared" si="1"/>
        <v>-11068.064126116378</v>
      </c>
      <c r="E12" s="113">
        <v>0</v>
      </c>
      <c r="F12" s="98">
        <f t="shared" si="2"/>
        <v>0</v>
      </c>
      <c r="G12" s="70"/>
    </row>
    <row r="13" spans="1:7" x14ac:dyDescent="0.25">
      <c r="A13" s="137" t="s">
        <v>134</v>
      </c>
      <c r="B13" s="100">
        <v>651466.40833665896</v>
      </c>
      <c r="C13" s="101">
        <f t="shared" si="0"/>
        <v>9.3749063332187381E-4</v>
      </c>
      <c r="D13" s="98">
        <f t="shared" si="1"/>
        <v>-3918.4567873238025</v>
      </c>
      <c r="E13" s="113">
        <v>0.22730931045735822</v>
      </c>
      <c r="F13" s="98">
        <f t="shared" si="2"/>
        <v>-890.70171038352873</v>
      </c>
      <c r="G13" s="70"/>
    </row>
    <row r="14" spans="1:7" x14ac:dyDescent="0.25">
      <c r="A14" s="68" t="s">
        <v>64</v>
      </c>
      <c r="B14" s="100">
        <v>325823.58490444999</v>
      </c>
      <c r="C14" s="101">
        <f t="shared" si="0"/>
        <v>4.6887537876768779E-4</v>
      </c>
      <c r="D14" s="98">
        <f t="shared" si="1"/>
        <v>-1959.7720180212889</v>
      </c>
      <c r="E14" s="113">
        <v>7.6800559158639092E-2</v>
      </c>
      <c r="F14" s="98">
        <f t="shared" si="2"/>
        <v>-150.51158680748952</v>
      </c>
      <c r="G14" s="70"/>
    </row>
    <row r="15" spans="1:7" x14ac:dyDescent="0.25">
      <c r="A15" s="68" t="s">
        <v>196</v>
      </c>
      <c r="B15" s="100">
        <v>119826.97067672609</v>
      </c>
      <c r="C15" s="101">
        <f t="shared" si="0"/>
        <v>1.7243661559709033E-4</v>
      </c>
      <c r="D15" s="98">
        <f t="shared" si="1"/>
        <v>-720.7383228730107</v>
      </c>
      <c r="E15" s="113">
        <v>0</v>
      </c>
      <c r="F15" s="98">
        <f t="shared" si="2"/>
        <v>0</v>
      </c>
      <c r="G15" s="70"/>
    </row>
    <row r="16" spans="1:7" x14ac:dyDescent="0.25">
      <c r="A16" s="68" t="s">
        <v>135</v>
      </c>
      <c r="B16" s="100">
        <v>2139.63</v>
      </c>
      <c r="C16" s="101">
        <f t="shared" si="0"/>
        <v>3.0790276491706669E-6</v>
      </c>
      <c r="D16" s="98">
        <f t="shared" si="1"/>
        <v>-12.869501157040462</v>
      </c>
      <c r="E16" s="113">
        <v>0.22565052397253504</v>
      </c>
      <c r="F16" s="98">
        <f t="shared" si="2"/>
        <v>-2.9040096793513261</v>
      </c>
      <c r="G16" s="70"/>
    </row>
    <row r="17" spans="1:7" x14ac:dyDescent="0.25">
      <c r="A17" s="68" t="s">
        <v>197</v>
      </c>
      <c r="B17" s="100">
        <v>32126887.385325186</v>
      </c>
      <c r="C17" s="101">
        <f t="shared" si="0"/>
        <v>4.6232093652270982E-2</v>
      </c>
      <c r="D17" s="98">
        <f t="shared" si="1"/>
        <v>-193237.62256911295</v>
      </c>
      <c r="E17" s="113">
        <v>0</v>
      </c>
      <c r="F17" s="98">
        <f t="shared" si="2"/>
        <v>0</v>
      </c>
      <c r="G17" s="70"/>
    </row>
    <row r="18" spans="1:7" x14ac:dyDescent="0.25">
      <c r="A18" s="68" t="s">
        <v>198</v>
      </c>
      <c r="B18" s="100">
        <v>18043997.810790766</v>
      </c>
      <c r="C18" s="101">
        <f t="shared" si="0"/>
        <v>2.5966156840668598E-2</v>
      </c>
      <c r="D18" s="98">
        <f t="shared" si="1"/>
        <v>-108531.49876549092</v>
      </c>
      <c r="E18" s="113">
        <v>0.22437004168265501</v>
      </c>
      <c r="F18" s="98">
        <f t="shared" si="2"/>
        <v>-24351.216901894219</v>
      </c>
      <c r="G18" s="70"/>
    </row>
    <row r="19" spans="1:7" x14ac:dyDescent="0.25">
      <c r="A19" s="68" t="s">
        <v>199</v>
      </c>
      <c r="B19" s="100">
        <v>-82229.878538628589</v>
      </c>
      <c r="C19" s="101">
        <f t="shared" si="0"/>
        <v>-1.1833264144192363E-4</v>
      </c>
      <c r="D19" s="98">
        <f t="shared" si="1"/>
        <v>494.59837308140999</v>
      </c>
      <c r="E19" s="113">
        <v>0.22565052397253504</v>
      </c>
      <c r="F19" s="98">
        <f t="shared" si="2"/>
        <v>111.60638204178353</v>
      </c>
      <c r="G19" s="70"/>
    </row>
    <row r="20" spans="1:7" x14ac:dyDescent="0.25">
      <c r="A20" s="68" t="s">
        <v>136</v>
      </c>
      <c r="B20" s="100">
        <v>7468677.1259951256</v>
      </c>
      <c r="C20" s="101">
        <f t="shared" si="0"/>
        <v>1.0747775724619445E-2</v>
      </c>
      <c r="D20" s="98">
        <f t="shared" si="1"/>
        <v>-44922.78988168791</v>
      </c>
      <c r="E20" s="113">
        <v>0</v>
      </c>
      <c r="F20" s="98">
        <f t="shared" si="2"/>
        <v>0</v>
      </c>
      <c r="G20" s="70"/>
    </row>
    <row r="21" spans="1:7" x14ac:dyDescent="0.25">
      <c r="A21" s="68" t="s">
        <v>137</v>
      </c>
      <c r="B21" s="100">
        <v>7865931.746117129</v>
      </c>
      <c r="C21" s="101">
        <f t="shared" si="0"/>
        <v>1.1319443704184341E-2</v>
      </c>
      <c r="D21" s="98">
        <f t="shared" si="1"/>
        <v>-47312.20711424671</v>
      </c>
      <c r="E21" s="113">
        <v>0.22565052397253504</v>
      </c>
      <c r="F21" s="98">
        <f t="shared" si="2"/>
        <v>-10676.02432562687</v>
      </c>
      <c r="G21" s="70"/>
    </row>
    <row r="22" spans="1:7" x14ac:dyDescent="0.25">
      <c r="A22" s="68" t="s">
        <v>200</v>
      </c>
      <c r="B22" s="100">
        <v>990352.84525628691</v>
      </c>
      <c r="C22" s="101">
        <f t="shared" si="0"/>
        <v>1.4251640671419574E-3</v>
      </c>
      <c r="D22" s="98">
        <f t="shared" si="1"/>
        <v>-5956.799581191186</v>
      </c>
      <c r="E22" s="113">
        <v>0</v>
      </c>
      <c r="F22" s="98">
        <f t="shared" si="2"/>
        <v>0</v>
      </c>
      <c r="G22" s="70"/>
    </row>
    <row r="23" spans="1:7" x14ac:dyDescent="0.25">
      <c r="A23" s="68" t="s">
        <v>201</v>
      </c>
      <c r="B23" s="100">
        <v>2788048.901278784</v>
      </c>
      <c r="C23" s="101">
        <f t="shared" si="0"/>
        <v>4.0121327772919971E-3</v>
      </c>
      <c r="D23" s="98">
        <f t="shared" si="1"/>
        <v>-16769.627721097902</v>
      </c>
      <c r="E23" s="113">
        <v>0.22565052397253504</v>
      </c>
      <c r="F23" s="98">
        <f t="shared" si="2"/>
        <v>-3784.0752820900902</v>
      </c>
      <c r="G23" s="70"/>
    </row>
    <row r="24" spans="1:7" x14ac:dyDescent="0.25">
      <c r="A24" s="68" t="s">
        <v>202</v>
      </c>
      <c r="B24" s="100">
        <v>54802.150907052463</v>
      </c>
      <c r="C24" s="101">
        <f t="shared" si="0"/>
        <v>7.8862858474052931E-5</v>
      </c>
      <c r="D24" s="98">
        <f t="shared" si="1"/>
        <v>-329.62537658689479</v>
      </c>
      <c r="E24" s="113">
        <v>0</v>
      </c>
      <c r="F24" s="98">
        <f t="shared" si="2"/>
        <v>0</v>
      </c>
      <c r="G24" s="70"/>
    </row>
    <row r="25" spans="1:7" x14ac:dyDescent="0.25">
      <c r="A25" s="68" t="s">
        <v>203</v>
      </c>
      <c r="B25" s="100">
        <v>17719.469690664984</v>
      </c>
      <c r="C25" s="101">
        <f t="shared" si="0"/>
        <v>2.5499145696311553E-5</v>
      </c>
      <c r="D25" s="98">
        <f t="shared" si="1"/>
        <v>-106.57951874209859</v>
      </c>
      <c r="E25" s="113">
        <v>0.22565052397253504</v>
      </c>
      <c r="F25" s="98">
        <f t="shared" si="2"/>
        <v>-24.049724248895163</v>
      </c>
      <c r="G25" s="70"/>
    </row>
    <row r="26" spans="1:7" x14ac:dyDescent="0.25">
      <c r="A26" s="68" t="s">
        <v>204</v>
      </c>
      <c r="B26" s="100">
        <v>4986210.316771457</v>
      </c>
      <c r="C26" s="101">
        <f t="shared" si="0"/>
        <v>7.1753898711082497E-3</v>
      </c>
      <c r="D26" s="98">
        <f t="shared" si="1"/>
        <v>-29991.185130577414</v>
      </c>
      <c r="E26" s="113">
        <v>0</v>
      </c>
      <c r="F26" s="98">
        <f t="shared" si="2"/>
        <v>0</v>
      </c>
      <c r="G26" s="70"/>
    </row>
    <row r="27" spans="1:7" x14ac:dyDescent="0.25">
      <c r="A27" s="68" t="s">
        <v>205</v>
      </c>
      <c r="B27" s="100">
        <v>1718632.846716661</v>
      </c>
      <c r="C27" s="101">
        <f t="shared" si="0"/>
        <v>2.4731930538520641E-3</v>
      </c>
      <c r="D27" s="98">
        <f t="shared" si="1"/>
        <v>-10337.276729784035</v>
      </c>
      <c r="E27" s="113">
        <v>0.22565052397253504</v>
      </c>
      <c r="F27" s="98">
        <f t="shared" si="2"/>
        <v>-2332.6119105248608</v>
      </c>
      <c r="G27" s="70"/>
    </row>
    <row r="28" spans="1:7" x14ac:dyDescent="0.25">
      <c r="A28" s="68" t="s">
        <v>206</v>
      </c>
      <c r="B28" s="100">
        <v>505.11772648143074</v>
      </c>
      <c r="C28" s="101">
        <f t="shared" si="0"/>
        <v>7.2688803481094933E-7</v>
      </c>
      <c r="D28" s="98">
        <f t="shared" si="1"/>
        <v>-3.0381949988523345</v>
      </c>
      <c r="E28" s="113">
        <v>0</v>
      </c>
      <c r="F28" s="98">
        <f t="shared" si="2"/>
        <v>0</v>
      </c>
      <c r="G28" s="70"/>
    </row>
    <row r="29" spans="1:7" x14ac:dyDescent="0.25">
      <c r="A29" s="68" t="s">
        <v>207</v>
      </c>
      <c r="B29" s="100">
        <v>1872310.5679591252</v>
      </c>
      <c r="C29" s="101">
        <f t="shared" si="0"/>
        <v>2.6943424828501103E-3</v>
      </c>
      <c r="D29" s="98">
        <f t="shared" si="1"/>
        <v>-11261.62141150061</v>
      </c>
      <c r="E29" s="113">
        <v>8.2285226967736394E-2</v>
      </c>
      <c r="F29" s="98">
        <f t="shared" si="2"/>
        <v>-926.66507387004754</v>
      </c>
      <c r="G29" s="70"/>
    </row>
    <row r="30" spans="1:7" x14ac:dyDescent="0.25">
      <c r="A30" s="68" t="s">
        <v>208</v>
      </c>
      <c r="B30" s="100">
        <v>1978477.6022114239</v>
      </c>
      <c r="C30" s="101">
        <f t="shared" si="0"/>
        <v>2.8471218110018358E-3</v>
      </c>
      <c r="D30" s="98">
        <f t="shared" si="1"/>
        <v>-11900.197599976893</v>
      </c>
      <c r="E30" s="113">
        <v>0</v>
      </c>
      <c r="F30" s="98">
        <f t="shared" si="2"/>
        <v>0</v>
      </c>
      <c r="G30" s="70"/>
    </row>
    <row r="31" spans="1:7" x14ac:dyDescent="0.25">
      <c r="A31" s="68" t="s">
        <v>209</v>
      </c>
      <c r="B31" s="100">
        <v>899293.5980669097</v>
      </c>
      <c r="C31" s="101">
        <f t="shared" si="0"/>
        <v>1.2941255512262343E-3</v>
      </c>
      <c r="D31" s="98">
        <f t="shared" si="1"/>
        <v>-5409.0940961012766</v>
      </c>
      <c r="E31" s="113">
        <v>0.22565052397253504</v>
      </c>
      <c r="F31" s="98">
        <f t="shared" si="2"/>
        <v>-1220.564917001999</v>
      </c>
      <c r="G31" s="70"/>
    </row>
    <row r="32" spans="1:7" x14ac:dyDescent="0.25">
      <c r="A32" s="68" t="s">
        <v>65</v>
      </c>
      <c r="B32" s="100">
        <v>26766065.187209137</v>
      </c>
      <c r="C32" s="101">
        <f t="shared" si="0"/>
        <v>3.851761976179123E-2</v>
      </c>
      <c r="D32" s="98">
        <f t="shared" si="1"/>
        <v>-160993.2123293319</v>
      </c>
      <c r="E32" s="113">
        <v>8.2285226967736394E-2</v>
      </c>
      <c r="F32" s="98">
        <f t="shared" si="2"/>
        <v>-13247.363016784053</v>
      </c>
      <c r="G32" s="70"/>
    </row>
    <row r="33" spans="1:7" x14ac:dyDescent="0.25">
      <c r="A33" s="68" t="s">
        <v>138</v>
      </c>
      <c r="B33" s="100">
        <v>9704036.161406856</v>
      </c>
      <c r="C33" s="101">
        <f t="shared" si="0"/>
        <v>1.3964561933382731E-2</v>
      </c>
      <c r="D33" s="98">
        <f t="shared" si="1"/>
        <v>-58368.084485255866</v>
      </c>
      <c r="E33" s="113">
        <v>0</v>
      </c>
      <c r="F33" s="98">
        <f t="shared" si="2"/>
        <v>0</v>
      </c>
      <c r="G33" s="70"/>
    </row>
    <row r="34" spans="1:7" x14ac:dyDescent="0.25">
      <c r="A34" s="68" t="s">
        <v>139</v>
      </c>
      <c r="B34" s="100">
        <v>134529.60273698869</v>
      </c>
      <c r="C34" s="101">
        <f t="shared" si="0"/>
        <v>1.9359439083352448E-4</v>
      </c>
      <c r="D34" s="98">
        <f t="shared" si="1"/>
        <v>-809.17208960421647</v>
      </c>
      <c r="E34" s="113">
        <v>0.22565052397253504</v>
      </c>
      <c r="F34" s="98">
        <f t="shared" si="2"/>
        <v>-182.59010600314252</v>
      </c>
      <c r="G34" s="70"/>
    </row>
    <row r="35" spans="1:7" x14ac:dyDescent="0.25">
      <c r="A35" s="68" t="s">
        <v>140</v>
      </c>
      <c r="B35" s="100">
        <v>1640286.7030886197</v>
      </c>
      <c r="C35" s="101">
        <f t="shared" si="0"/>
        <v>2.3604492886045046E-3</v>
      </c>
      <c r="D35" s="98">
        <f t="shared" si="1"/>
        <v>-9866.0383446096166</v>
      </c>
      <c r="E35" s="113">
        <v>0.22437004168265501</v>
      </c>
      <c r="F35" s="98">
        <f t="shared" si="2"/>
        <v>-2213.6434346227325</v>
      </c>
      <c r="G35" s="70"/>
    </row>
    <row r="36" spans="1:7" x14ac:dyDescent="0.25">
      <c r="A36" s="68" t="s">
        <v>141</v>
      </c>
      <c r="B36" s="100">
        <v>3902219.1207062858</v>
      </c>
      <c r="C36" s="101">
        <f t="shared" si="0"/>
        <v>5.6154758373069651E-3</v>
      </c>
      <c r="D36" s="98">
        <f t="shared" si="1"/>
        <v>-23471.167205991205</v>
      </c>
      <c r="E36" s="113">
        <v>0</v>
      </c>
      <c r="F36" s="98">
        <f t="shared" si="2"/>
        <v>0</v>
      </c>
      <c r="G36" s="70"/>
    </row>
    <row r="37" spans="1:7" x14ac:dyDescent="0.25">
      <c r="A37" s="68" t="s">
        <v>142</v>
      </c>
      <c r="B37" s="100">
        <v>204315.4936260535</v>
      </c>
      <c r="C37" s="101">
        <f t="shared" si="0"/>
        <v>2.940195519919668E-4</v>
      </c>
      <c r="D37" s="98">
        <f t="shared" si="1"/>
        <v>-1228.9220480278314</v>
      </c>
      <c r="E37" s="113">
        <v>0.22565052397253504</v>
      </c>
      <c r="F37" s="98">
        <f t="shared" si="2"/>
        <v>-277.306904058881</v>
      </c>
      <c r="G37" s="70"/>
    </row>
    <row r="38" spans="1:7" x14ac:dyDescent="0.25">
      <c r="A38" s="68" t="s">
        <v>66</v>
      </c>
      <c r="B38" s="100">
        <v>15257490.955798399</v>
      </c>
      <c r="C38" s="101">
        <f t="shared" si="0"/>
        <v>2.195624314011051E-2</v>
      </c>
      <c r="D38" s="98">
        <f t="shared" si="1"/>
        <v>-91771.146183770965</v>
      </c>
      <c r="E38" s="113">
        <v>8.2285226967736394E-2</v>
      </c>
      <c r="F38" s="98">
        <f t="shared" si="2"/>
        <v>-7551.4095928209099</v>
      </c>
      <c r="G38" s="70"/>
    </row>
    <row r="39" spans="1:7" x14ac:dyDescent="0.25">
      <c r="A39" s="68" t="s">
        <v>143</v>
      </c>
      <c r="B39" s="100">
        <v>23950.698454310346</v>
      </c>
      <c r="C39" s="101">
        <f t="shared" si="0"/>
        <v>3.4466175347032296E-5</v>
      </c>
      <c r="D39" s="98">
        <f t="shared" si="1"/>
        <v>-144.05927261707595</v>
      </c>
      <c r="E39" s="113">
        <v>0.22437004168265501</v>
      </c>
      <c r="F39" s="98">
        <f t="shared" si="2"/>
        <v>-32.322585001866294</v>
      </c>
      <c r="G39" s="70"/>
    </row>
    <row r="40" spans="1:7" x14ac:dyDescent="0.25">
      <c r="A40" s="68" t="s">
        <v>210</v>
      </c>
      <c r="B40" s="100">
        <v>-2077143.3667929284</v>
      </c>
      <c r="C40" s="101">
        <f t="shared" si="0"/>
        <v>-2.9891064612324911E-3</v>
      </c>
      <c r="D40" s="98">
        <f t="shared" si="1"/>
        <v>12493.654960100819</v>
      </c>
      <c r="E40" s="113">
        <v>0</v>
      </c>
      <c r="F40" s="98">
        <f t="shared" si="2"/>
        <v>0</v>
      </c>
      <c r="G40" s="70"/>
    </row>
    <row r="41" spans="1:7" x14ac:dyDescent="0.25">
      <c r="A41" s="68" t="s">
        <v>211</v>
      </c>
      <c r="B41" s="100">
        <v>50701.957012414874</v>
      </c>
      <c r="C41" s="101">
        <f t="shared" ref="C41:C72" si="3">B41/$B$90</f>
        <v>7.296248767697592E-5</v>
      </c>
      <c r="D41" s="98">
        <f t="shared" ref="D41:D72" si="4">C41*$D$90</f>
        <v>-304.96342565559888</v>
      </c>
      <c r="E41" s="113">
        <v>0.22565052397253504</v>
      </c>
      <c r="F41" s="98">
        <f t="shared" si="2"/>
        <v>-68.815156791645123</v>
      </c>
      <c r="G41" s="70"/>
    </row>
    <row r="42" spans="1:7" x14ac:dyDescent="0.25">
      <c r="A42" s="68" t="s">
        <v>212</v>
      </c>
      <c r="B42" s="100">
        <v>3602262.440574009</v>
      </c>
      <c r="C42" s="101">
        <f t="shared" si="3"/>
        <v>5.183824144406453E-3</v>
      </c>
      <c r="D42" s="98">
        <f t="shared" si="4"/>
        <v>-21666.980107275838</v>
      </c>
      <c r="E42" s="113">
        <v>8.2285226967736394E-2</v>
      </c>
      <c r="F42" s="98">
        <f t="shared" si="2"/>
        <v>-1782.8723758326219</v>
      </c>
      <c r="G42" s="70"/>
    </row>
    <row r="43" spans="1:7" x14ac:dyDescent="0.25">
      <c r="A43" s="68" t="s">
        <v>213</v>
      </c>
      <c r="B43" s="100">
        <v>79030.443447199534</v>
      </c>
      <c r="C43" s="101">
        <f t="shared" si="3"/>
        <v>1.1372850469480523E-4</v>
      </c>
      <c r="D43" s="98">
        <f t="shared" si="4"/>
        <v>-475.35432919951359</v>
      </c>
      <c r="E43" s="113">
        <v>0.22437004168265501</v>
      </c>
      <c r="F43" s="98">
        <f t="shared" si="2"/>
        <v>-106.65527065652537</v>
      </c>
      <c r="G43" s="70"/>
    </row>
    <row r="44" spans="1:7" x14ac:dyDescent="0.25">
      <c r="A44" s="68" t="s">
        <v>99</v>
      </c>
      <c r="B44" s="100">
        <v>769363.03456823027</v>
      </c>
      <c r="C44" s="101">
        <f t="shared" si="3"/>
        <v>1.1071493929723497E-3</v>
      </c>
      <c r="D44" s="98">
        <f t="shared" si="4"/>
        <v>-4627.5844251389262</v>
      </c>
      <c r="E44" s="113">
        <v>0</v>
      </c>
      <c r="F44" s="98">
        <f t="shared" si="2"/>
        <v>0</v>
      </c>
      <c r="G44" s="70"/>
    </row>
    <row r="45" spans="1:7" x14ac:dyDescent="0.25">
      <c r="A45" s="68" t="s">
        <v>214</v>
      </c>
      <c r="B45" s="100">
        <v>1171533.2413468305</v>
      </c>
      <c r="C45" s="101">
        <f t="shared" si="3"/>
        <v>1.6858911316580078E-3</v>
      </c>
      <c r="D45" s="98">
        <f t="shared" si="4"/>
        <v>-7046.5680538337929</v>
      </c>
      <c r="E45" s="113">
        <v>0</v>
      </c>
      <c r="F45" s="98">
        <f t="shared" si="2"/>
        <v>0</v>
      </c>
      <c r="G45" s="70"/>
    </row>
    <row r="46" spans="1:7" x14ac:dyDescent="0.25">
      <c r="A46" s="68" t="s">
        <v>100</v>
      </c>
      <c r="B46" s="100">
        <v>7611604.7200949928</v>
      </c>
      <c r="C46" s="101">
        <f t="shared" si="3"/>
        <v>1.095345521783226E-2</v>
      </c>
      <c r="D46" s="98">
        <f t="shared" si="4"/>
        <v>-45782.474424174812</v>
      </c>
      <c r="E46" s="113">
        <v>0</v>
      </c>
      <c r="F46" s="98">
        <f t="shared" si="2"/>
        <v>0</v>
      </c>
      <c r="G46" s="70"/>
    </row>
    <row r="47" spans="1:7" x14ac:dyDescent="0.25">
      <c r="A47" s="68" t="s">
        <v>67</v>
      </c>
      <c r="B47" s="100">
        <v>22783021.431030944</v>
      </c>
      <c r="C47" s="101">
        <f t="shared" si="3"/>
        <v>3.2785833493544268E-2</v>
      </c>
      <c r="D47" s="98">
        <f t="shared" si="4"/>
        <v>-137035.89904213828</v>
      </c>
      <c r="E47" s="113">
        <v>6.3308872574412173E-2</v>
      </c>
      <c r="F47" s="98">
        <f t="shared" si="2"/>
        <v>-8675.5882705787426</v>
      </c>
      <c r="G47" s="70"/>
    </row>
    <row r="48" spans="1:7" x14ac:dyDescent="0.25">
      <c r="A48" s="68" t="s">
        <v>111</v>
      </c>
      <c r="B48" s="100">
        <v>8978274.9582358953</v>
      </c>
      <c r="C48" s="101">
        <f t="shared" si="3"/>
        <v>1.2920157615225499E-2</v>
      </c>
      <c r="D48" s="98">
        <f t="shared" si="4"/>
        <v>-54002.757468928859</v>
      </c>
      <c r="E48" s="113">
        <v>0</v>
      </c>
      <c r="F48" s="98">
        <f t="shared" si="2"/>
        <v>0</v>
      </c>
      <c r="G48" s="70"/>
    </row>
    <row r="49" spans="1:7" x14ac:dyDescent="0.25">
      <c r="A49" s="68" t="s">
        <v>101</v>
      </c>
      <c r="B49" s="100">
        <v>1595821.2432592155</v>
      </c>
      <c r="C49" s="101">
        <f t="shared" si="3"/>
        <v>2.2964614120801414E-3</v>
      </c>
      <c r="D49" s="98">
        <f t="shared" si="4"/>
        <v>-9598.5863614523169</v>
      </c>
      <c r="E49" s="113">
        <v>1</v>
      </c>
      <c r="F49" s="98">
        <f t="shared" si="2"/>
        <v>-9598.5863614523169</v>
      </c>
      <c r="G49" s="70"/>
    </row>
    <row r="50" spans="1:7" x14ac:dyDescent="0.25">
      <c r="A50" s="68" t="s">
        <v>112</v>
      </c>
      <c r="B50" s="100">
        <v>2099728.7106250674</v>
      </c>
      <c r="C50" s="101">
        <f t="shared" si="3"/>
        <v>3.0216078274150466E-3</v>
      </c>
      <c r="D50" s="98">
        <f t="shared" si="4"/>
        <v>-12629.501862873665</v>
      </c>
      <c r="E50" s="113">
        <v>0</v>
      </c>
      <c r="F50" s="98">
        <f t="shared" si="2"/>
        <v>0</v>
      </c>
      <c r="G50" s="70"/>
    </row>
    <row r="51" spans="1:7" x14ac:dyDescent="0.25">
      <c r="A51" s="68" t="s">
        <v>113</v>
      </c>
      <c r="B51" s="100">
        <v>210694.69676372391</v>
      </c>
      <c r="C51" s="101">
        <f t="shared" si="3"/>
        <v>3.0319952368827101E-4</v>
      </c>
      <c r="D51" s="98">
        <f t="shared" si="4"/>
        <v>-1267.2918419460532</v>
      </c>
      <c r="E51" s="113">
        <v>0</v>
      </c>
      <c r="F51" s="98">
        <f t="shared" si="2"/>
        <v>0</v>
      </c>
      <c r="G51" s="70"/>
    </row>
    <row r="52" spans="1:7" x14ac:dyDescent="0.25">
      <c r="A52" s="68" t="s">
        <v>215</v>
      </c>
      <c r="B52" s="100">
        <v>2388140.3720043534</v>
      </c>
      <c r="C52" s="101">
        <f t="shared" si="3"/>
        <v>3.4366456983226661E-3</v>
      </c>
      <c r="D52" s="98">
        <f t="shared" si="4"/>
        <v>-14364.2476880045</v>
      </c>
      <c r="E52" s="113">
        <v>0</v>
      </c>
      <c r="F52" s="98">
        <f t="shared" si="2"/>
        <v>0</v>
      </c>
      <c r="G52" s="70"/>
    </row>
    <row r="53" spans="1:7" x14ac:dyDescent="0.25">
      <c r="A53" s="68" t="s">
        <v>216</v>
      </c>
      <c r="B53" s="100">
        <v>2338721.3480784995</v>
      </c>
      <c r="C53" s="101">
        <f t="shared" si="3"/>
        <v>3.3655294113652339E-3</v>
      </c>
      <c r="D53" s="98">
        <f t="shared" si="4"/>
        <v>-14067.000881036198</v>
      </c>
      <c r="E53" s="113">
        <v>0</v>
      </c>
      <c r="F53" s="98">
        <f t="shared" si="2"/>
        <v>0</v>
      </c>
      <c r="G53" s="70"/>
    </row>
    <row r="54" spans="1:7" x14ac:dyDescent="0.25">
      <c r="A54" s="68" t="s">
        <v>217</v>
      </c>
      <c r="B54" s="100">
        <v>11729860.600978389</v>
      </c>
      <c r="C54" s="101">
        <f t="shared" si="3"/>
        <v>1.6879818057949327E-2</v>
      </c>
      <c r="D54" s="98">
        <f t="shared" si="4"/>
        <v>-70553.06505153449</v>
      </c>
      <c r="E54" s="113">
        <v>0</v>
      </c>
      <c r="F54" s="98">
        <f t="shared" si="2"/>
        <v>0</v>
      </c>
      <c r="G54" s="70"/>
    </row>
    <row r="55" spans="1:7" x14ac:dyDescent="0.25">
      <c r="A55" s="68" t="s">
        <v>218</v>
      </c>
      <c r="B55" s="100">
        <v>8556255.8106250465</v>
      </c>
      <c r="C55" s="101">
        <f t="shared" si="3"/>
        <v>1.2312852322266792E-2</v>
      </c>
      <c r="D55" s="98">
        <f t="shared" si="4"/>
        <v>-51464.385924095855</v>
      </c>
      <c r="E55" s="113">
        <v>6.3308872574412173E-2</v>
      </c>
      <c r="F55" s="98">
        <f t="shared" si="2"/>
        <v>-3258.1522505889561</v>
      </c>
      <c r="G55" s="70"/>
    </row>
    <row r="56" spans="1:7" x14ac:dyDescent="0.25">
      <c r="A56" s="68" t="s">
        <v>219</v>
      </c>
      <c r="B56" s="100">
        <v>15203315.496409655</v>
      </c>
      <c r="C56" s="101">
        <f t="shared" si="3"/>
        <v>2.1878282120044206E-2</v>
      </c>
      <c r="D56" s="98">
        <f t="shared" si="4"/>
        <v>-91445.290247330253</v>
      </c>
      <c r="E56" s="113">
        <v>0</v>
      </c>
      <c r="F56" s="98">
        <f t="shared" si="2"/>
        <v>0</v>
      </c>
      <c r="G56" s="70"/>
    </row>
    <row r="57" spans="1:7" x14ac:dyDescent="0.25">
      <c r="A57" s="68" t="s">
        <v>220</v>
      </c>
      <c r="B57" s="100">
        <v>1776047.9294476043</v>
      </c>
      <c r="C57" s="101">
        <f t="shared" si="3"/>
        <v>2.5558160434381119E-3</v>
      </c>
      <c r="D57" s="98">
        <f t="shared" si="4"/>
        <v>-10682.618435423536</v>
      </c>
      <c r="E57" s="113">
        <v>1</v>
      </c>
      <c r="F57" s="98">
        <f t="shared" si="2"/>
        <v>-10682.618435423536</v>
      </c>
      <c r="G57" s="70"/>
    </row>
    <row r="58" spans="1:7" x14ac:dyDescent="0.25">
      <c r="A58" s="68" t="s">
        <v>221</v>
      </c>
      <c r="B58" s="100">
        <v>2589172.4950823546</v>
      </c>
      <c r="C58" s="101">
        <f t="shared" si="3"/>
        <v>3.7259403265194322E-3</v>
      </c>
      <c r="D58" s="98">
        <f t="shared" si="4"/>
        <v>-15573.42083502274</v>
      </c>
      <c r="E58" s="113">
        <v>0</v>
      </c>
      <c r="F58" s="98">
        <f t="shared" si="2"/>
        <v>0</v>
      </c>
      <c r="G58" s="70"/>
    </row>
    <row r="59" spans="1:7" x14ac:dyDescent="0.25">
      <c r="A59" s="68" t="s">
        <v>222</v>
      </c>
      <c r="B59" s="100">
        <v>423247.94893862976</v>
      </c>
      <c r="C59" s="101">
        <f t="shared" si="3"/>
        <v>6.0907359554540532E-4</v>
      </c>
      <c r="D59" s="98">
        <f t="shared" si="4"/>
        <v>-2545.7625704354014</v>
      </c>
      <c r="E59" s="113">
        <v>0</v>
      </c>
      <c r="F59" s="98">
        <f t="shared" si="2"/>
        <v>0</v>
      </c>
      <c r="G59" s="70"/>
    </row>
    <row r="60" spans="1:7" x14ac:dyDescent="0.25">
      <c r="A60" s="68" t="s">
        <v>223</v>
      </c>
      <c r="B60" s="100">
        <v>33641169.054122895</v>
      </c>
      <c r="C60" s="101">
        <f t="shared" si="3"/>
        <v>4.8411215802764501E-2</v>
      </c>
      <c r="D60" s="98">
        <f t="shared" si="4"/>
        <v>-202345.76261607307</v>
      </c>
      <c r="E60" s="113">
        <v>6.8836744172887168E-2</v>
      </c>
      <c r="F60" s="98">
        <f t="shared" si="2"/>
        <v>-13928.823495670378</v>
      </c>
      <c r="G60" s="70"/>
    </row>
    <row r="61" spans="1:7" x14ac:dyDescent="0.25">
      <c r="A61" s="68" t="s">
        <v>224</v>
      </c>
      <c r="B61" s="100">
        <v>1161282.7833100678</v>
      </c>
      <c r="C61" s="101">
        <f t="shared" si="3"/>
        <v>1.6711402430876212E-3</v>
      </c>
      <c r="D61" s="98">
        <f t="shared" si="4"/>
        <v>-6984.91333710038</v>
      </c>
      <c r="E61" s="113">
        <v>0</v>
      </c>
      <c r="F61" s="98">
        <f t="shared" si="2"/>
        <v>0</v>
      </c>
      <c r="G61" s="70"/>
    </row>
    <row r="62" spans="1:7" x14ac:dyDescent="0.25">
      <c r="A62" s="68" t="s">
        <v>225</v>
      </c>
      <c r="B62" s="100">
        <v>1040862.3686785746</v>
      </c>
      <c r="C62" s="101">
        <f t="shared" si="3"/>
        <v>1.497849633881841E-3</v>
      </c>
      <c r="D62" s="98">
        <f t="shared" si="4"/>
        <v>-6260.605552375313</v>
      </c>
      <c r="E62" s="113">
        <v>0</v>
      </c>
      <c r="F62" s="98">
        <f t="shared" si="2"/>
        <v>0</v>
      </c>
      <c r="G62" s="70"/>
    </row>
    <row r="63" spans="1:7" x14ac:dyDescent="0.25">
      <c r="A63" s="68" t="s">
        <v>226</v>
      </c>
      <c r="B63" s="100">
        <v>1565974.6592413117</v>
      </c>
      <c r="C63" s="101">
        <f t="shared" si="3"/>
        <v>2.2535107816326243E-3</v>
      </c>
      <c r="D63" s="98">
        <f t="shared" si="4"/>
        <v>-9419.0643658025474</v>
      </c>
      <c r="E63" s="113">
        <v>0</v>
      </c>
      <c r="F63" s="98">
        <f t="shared" si="2"/>
        <v>0</v>
      </c>
      <c r="G63" s="70"/>
    </row>
    <row r="64" spans="1:7" x14ac:dyDescent="0.25">
      <c r="A64" s="68" t="s">
        <v>227</v>
      </c>
      <c r="B64" s="100">
        <v>8659755.6641642787</v>
      </c>
      <c r="C64" s="101">
        <f t="shared" si="3"/>
        <v>1.2461793452617559E-2</v>
      </c>
      <c r="D64" s="98">
        <f t="shared" si="4"/>
        <v>-52086.919485915736</v>
      </c>
      <c r="E64" s="113">
        <v>0</v>
      </c>
      <c r="F64" s="98">
        <f t="shared" si="2"/>
        <v>0</v>
      </c>
      <c r="G64" s="70"/>
    </row>
    <row r="65" spans="1:7" x14ac:dyDescent="0.25">
      <c r="A65" s="68" t="s">
        <v>228</v>
      </c>
      <c r="B65" s="100">
        <v>5063531.091486901</v>
      </c>
      <c r="C65" s="101">
        <f t="shared" si="3"/>
        <v>7.2866580825299201E-3</v>
      </c>
      <c r="D65" s="98">
        <f t="shared" si="4"/>
        <v>-30456.256100634699</v>
      </c>
      <c r="E65" s="113">
        <v>0</v>
      </c>
      <c r="F65" s="98">
        <f t="shared" si="2"/>
        <v>0</v>
      </c>
      <c r="G65" s="70"/>
    </row>
    <row r="66" spans="1:7" x14ac:dyDescent="0.25">
      <c r="A66" s="68" t="s">
        <v>229</v>
      </c>
      <c r="B66" s="100">
        <v>1052182.428081865</v>
      </c>
      <c r="C66" s="101">
        <f t="shared" si="3"/>
        <v>1.5141397288482535E-3</v>
      </c>
      <c r="D66" s="98">
        <f t="shared" si="4"/>
        <v>-6328.6937347191815</v>
      </c>
      <c r="E66" s="113">
        <v>1</v>
      </c>
      <c r="F66" s="98">
        <f t="shared" si="2"/>
        <v>-6328.6937347191815</v>
      </c>
      <c r="G66" s="70"/>
    </row>
    <row r="67" spans="1:7" x14ac:dyDescent="0.25">
      <c r="A67" s="68" t="s">
        <v>230</v>
      </c>
      <c r="B67" s="100">
        <v>207320.58451035304</v>
      </c>
      <c r="C67" s="101">
        <f t="shared" si="3"/>
        <v>2.9834401833475925E-4</v>
      </c>
      <c r="D67" s="98">
        <f t="shared" si="4"/>
        <v>-1246.9971454103249</v>
      </c>
      <c r="E67" s="113">
        <v>0</v>
      </c>
      <c r="F67" s="98">
        <f t="shared" si="2"/>
        <v>0</v>
      </c>
      <c r="G67" s="70"/>
    </row>
    <row r="68" spans="1:7" x14ac:dyDescent="0.25">
      <c r="A68" s="68" t="s">
        <v>231</v>
      </c>
      <c r="B68" s="100">
        <v>2574115.8889564965</v>
      </c>
      <c r="C68" s="101">
        <f t="shared" si="3"/>
        <v>3.7042731660458035E-3</v>
      </c>
      <c r="D68" s="98">
        <f t="shared" si="4"/>
        <v>-15482.85797604346</v>
      </c>
      <c r="E68" s="113">
        <v>6.8836744172887168E-2</v>
      </c>
      <c r="F68" s="98">
        <f t="shared" si="2"/>
        <v>-1065.7895335620492</v>
      </c>
      <c r="G68" s="70"/>
    </row>
    <row r="69" spans="1:7" x14ac:dyDescent="0.25">
      <c r="A69" s="68" t="s">
        <v>232</v>
      </c>
      <c r="B69" s="102">
        <v>1679460.0689229874</v>
      </c>
      <c r="C69" s="101">
        <f t="shared" si="3"/>
        <v>2.4168215943373163E-3</v>
      </c>
      <c r="D69" s="98">
        <f t="shared" si="4"/>
        <v>-10101.659305677917</v>
      </c>
      <c r="E69" s="113">
        <v>0</v>
      </c>
      <c r="F69" s="98">
        <f t="shared" si="2"/>
        <v>0</v>
      </c>
      <c r="G69" s="70"/>
    </row>
    <row r="70" spans="1:7" x14ac:dyDescent="0.25">
      <c r="A70" s="68" t="s">
        <v>233</v>
      </c>
      <c r="B70" s="102">
        <v>52704.45648905819</v>
      </c>
      <c r="C70" s="101">
        <f t="shared" si="3"/>
        <v>7.5844178088885707E-5</v>
      </c>
      <c r="D70" s="98">
        <f t="shared" si="4"/>
        <v>-317.00811063928018</v>
      </c>
      <c r="E70" s="113">
        <v>0</v>
      </c>
      <c r="F70" s="98">
        <f t="shared" si="2"/>
        <v>0</v>
      </c>
      <c r="G70" s="70"/>
    </row>
    <row r="71" spans="1:7" x14ac:dyDescent="0.25">
      <c r="A71" s="68" t="s">
        <v>234</v>
      </c>
      <c r="B71" s="102">
        <v>355365.0965460015</v>
      </c>
      <c r="C71" s="101">
        <f t="shared" si="3"/>
        <v>5.1138699579616196E-4</v>
      </c>
      <c r="D71" s="98">
        <f t="shared" si="4"/>
        <v>-2137.4590565520962</v>
      </c>
      <c r="E71" s="113">
        <v>0</v>
      </c>
      <c r="F71" s="98">
        <f t="shared" si="2"/>
        <v>0</v>
      </c>
      <c r="G71" s="70"/>
    </row>
    <row r="72" spans="1:7" x14ac:dyDescent="0.25">
      <c r="A72" s="68" t="s">
        <v>235</v>
      </c>
      <c r="B72" s="102">
        <v>54425.557778113303</v>
      </c>
      <c r="C72" s="101">
        <f t="shared" si="3"/>
        <v>7.8320923346721872E-5</v>
      </c>
      <c r="D72" s="98">
        <f t="shared" si="4"/>
        <v>-327.36023461907047</v>
      </c>
      <c r="E72" s="113">
        <v>0</v>
      </c>
      <c r="F72" s="98">
        <f t="shared" si="2"/>
        <v>0</v>
      </c>
      <c r="G72" s="70"/>
    </row>
    <row r="73" spans="1:7" x14ac:dyDescent="0.25">
      <c r="A73" s="68" t="s">
        <v>236</v>
      </c>
      <c r="B73" s="100">
        <v>2385041.6751109622</v>
      </c>
      <c r="C73" s="101">
        <f t="shared" ref="C73:C83" si="5">B73/$B$90</f>
        <v>3.4321865285544583E-3</v>
      </c>
      <c r="D73" s="98">
        <f t="shared" ref="D73:D83" si="6">C73*$D$90</f>
        <v>-14345.609566808398</v>
      </c>
      <c r="E73" s="113">
        <v>0</v>
      </c>
      <c r="F73" s="98">
        <f t="shared" si="2"/>
        <v>0</v>
      </c>
      <c r="G73" s="70"/>
    </row>
    <row r="74" spans="1:7" x14ac:dyDescent="0.25">
      <c r="A74" s="68" t="s">
        <v>237</v>
      </c>
      <c r="B74" s="102">
        <v>351194.63940799743</v>
      </c>
      <c r="C74" s="101">
        <f t="shared" si="5"/>
        <v>5.0538551290538376E-4</v>
      </c>
      <c r="D74" s="98">
        <f t="shared" si="6"/>
        <v>-2112.3744844705066</v>
      </c>
      <c r="E74" s="113">
        <v>1</v>
      </c>
      <c r="F74" s="98">
        <f t="shared" ref="F74:F83" si="7">D74*E74</f>
        <v>-2112.3744844705066</v>
      </c>
      <c r="G74" s="70"/>
    </row>
    <row r="75" spans="1:7" x14ac:dyDescent="0.25">
      <c r="A75" s="68" t="s">
        <v>238</v>
      </c>
      <c r="B75" s="100">
        <v>1191314.8376383614</v>
      </c>
      <c r="C75" s="101">
        <f t="shared" si="5"/>
        <v>1.7143577739869877E-3</v>
      </c>
      <c r="D75" s="98">
        <f t="shared" si="6"/>
        <v>-7165.5509043088578</v>
      </c>
      <c r="E75" s="113">
        <v>0</v>
      </c>
      <c r="F75" s="98">
        <f t="shared" si="7"/>
        <v>0</v>
      </c>
      <c r="G75" s="70"/>
    </row>
    <row r="76" spans="1:7" x14ac:dyDescent="0.25">
      <c r="A76" s="68" t="s">
        <v>102</v>
      </c>
      <c r="B76" s="100">
        <v>32109.090801921579</v>
      </c>
      <c r="C76" s="101">
        <f t="shared" si="5"/>
        <v>4.6206483536334824E-5</v>
      </c>
      <c r="D76" s="98">
        <f t="shared" si="6"/>
        <v>-193.13057922484123</v>
      </c>
      <c r="E76" s="113">
        <v>0</v>
      </c>
      <c r="F76" s="98">
        <f t="shared" si="7"/>
        <v>0</v>
      </c>
      <c r="G76" s="70"/>
    </row>
    <row r="77" spans="1:7" x14ac:dyDescent="0.25">
      <c r="A77" s="68" t="s">
        <v>103</v>
      </c>
      <c r="B77" s="100">
        <v>484962.67595560307</v>
      </c>
      <c r="C77" s="101">
        <f t="shared" si="5"/>
        <v>6.9788397437084751E-4</v>
      </c>
      <c r="D77" s="98">
        <f t="shared" si="6"/>
        <v>-2916.965886313088</v>
      </c>
      <c r="E77" s="113">
        <v>0</v>
      </c>
      <c r="F77" s="98">
        <f t="shared" si="7"/>
        <v>0</v>
      </c>
      <c r="G77" s="70"/>
    </row>
    <row r="78" spans="1:7" x14ac:dyDescent="0.25">
      <c r="A78" s="68" t="s">
        <v>68</v>
      </c>
      <c r="B78" s="100">
        <v>101222865.95621783</v>
      </c>
      <c r="C78" s="101">
        <f t="shared" si="5"/>
        <v>0.14566443871486701</v>
      </c>
      <c r="D78" s="98">
        <f t="shared" si="6"/>
        <v>-608837.8787652523</v>
      </c>
      <c r="E78" s="113">
        <v>6.6548046661184135E-2</v>
      </c>
      <c r="F78" s="98">
        <f t="shared" si="7"/>
        <v>-40516.971565166379</v>
      </c>
      <c r="G78" s="70"/>
    </row>
    <row r="79" spans="1:7" x14ac:dyDescent="0.25">
      <c r="A79" s="68" t="s">
        <v>104</v>
      </c>
      <c r="B79" s="100">
        <v>507733.63108115114</v>
      </c>
      <c r="C79" s="101">
        <f t="shared" si="5"/>
        <v>7.3065244388641182E-4</v>
      </c>
      <c r="D79" s="98">
        <f t="shared" si="6"/>
        <v>-3053.9292086329083</v>
      </c>
      <c r="E79" s="113">
        <v>0</v>
      </c>
      <c r="F79" s="98">
        <f t="shared" si="7"/>
        <v>0</v>
      </c>
      <c r="G79" s="70"/>
    </row>
    <row r="80" spans="1:7" x14ac:dyDescent="0.25">
      <c r="A80" s="68" t="s">
        <v>105</v>
      </c>
      <c r="B80" s="136">
        <v>414777.8111685231</v>
      </c>
      <c r="C80" s="101">
        <f t="shared" si="5"/>
        <v>5.968846711115344E-4</v>
      </c>
      <c r="D80" s="98">
        <f t="shared" si="6"/>
        <v>-2494.8161695003428</v>
      </c>
      <c r="E80" s="113">
        <v>1</v>
      </c>
      <c r="F80" s="98">
        <f t="shared" si="7"/>
        <v>-2494.8161695003428</v>
      </c>
      <c r="G80" s="70"/>
    </row>
    <row r="81" spans="1:7" x14ac:dyDescent="0.25">
      <c r="A81" s="68" t="s">
        <v>239</v>
      </c>
      <c r="B81" s="136">
        <v>61606.268722206303</v>
      </c>
      <c r="C81" s="101">
        <f t="shared" si="5"/>
        <v>8.8654302266238212E-5</v>
      </c>
      <c r="D81" s="98">
        <f t="shared" si="6"/>
        <v>-370.5509581569616</v>
      </c>
      <c r="E81" s="113">
        <v>0</v>
      </c>
      <c r="F81" s="98">
        <f t="shared" si="7"/>
        <v>0</v>
      </c>
      <c r="G81" s="70"/>
    </row>
    <row r="82" spans="1:7" x14ac:dyDescent="0.25">
      <c r="A82" s="68" t="s">
        <v>144</v>
      </c>
      <c r="B82" s="136">
        <v>920416.90510690771</v>
      </c>
      <c r="C82" s="101">
        <f t="shared" si="5"/>
        <v>1.3245229780795105E-3</v>
      </c>
      <c r="D82" s="98">
        <f t="shared" si="6"/>
        <v>-5536.1471026452946</v>
      </c>
      <c r="E82" s="113">
        <v>0</v>
      </c>
      <c r="F82" s="98">
        <f t="shared" si="7"/>
        <v>0</v>
      </c>
      <c r="G82" s="70"/>
    </row>
    <row r="83" spans="1:7" x14ac:dyDescent="0.25">
      <c r="A83" s="68" t="s">
        <v>240</v>
      </c>
      <c r="B83" s="136">
        <v>-3709.8577847316133</v>
      </c>
      <c r="C83" s="101">
        <f t="shared" si="5"/>
        <v>-5.3386588773197592E-6</v>
      </c>
      <c r="D83" s="98">
        <f t="shared" si="6"/>
        <v>22.314147330640839</v>
      </c>
      <c r="E83" s="113">
        <v>0</v>
      </c>
      <c r="F83" s="98">
        <f t="shared" si="7"/>
        <v>0</v>
      </c>
      <c r="G83" s="70"/>
    </row>
    <row r="84" spans="1:7" ht="6.75" customHeight="1" x14ac:dyDescent="0.25">
      <c r="A84" s="99"/>
      <c r="B84" s="103"/>
      <c r="C84" s="104"/>
      <c r="D84" s="79"/>
      <c r="E84" s="497"/>
      <c r="F84" s="79"/>
      <c r="G84" s="70"/>
    </row>
    <row r="85" spans="1:7" ht="6.75" customHeight="1" x14ac:dyDescent="0.25">
      <c r="A85" s="99"/>
      <c r="B85" s="105"/>
      <c r="C85" s="106"/>
      <c r="D85" s="79"/>
      <c r="E85" s="499"/>
      <c r="F85" s="79"/>
      <c r="G85" s="70"/>
    </row>
    <row r="86" spans="1:7" x14ac:dyDescent="0.25">
      <c r="A86" s="107" t="s">
        <v>106</v>
      </c>
      <c r="B86" s="108">
        <f>SUM(B9:B83)</f>
        <v>473221715.10178638</v>
      </c>
      <c r="C86" s="109">
        <f>SUM(C9:C83)</f>
        <v>0.68098818252986026</v>
      </c>
      <c r="D86" s="108">
        <f>SUM(D9:D83)</f>
        <v>-2846346.0551773491</v>
      </c>
      <c r="E86" s="499"/>
      <c r="F86" s="108">
        <f>SUM(F9:F85)</f>
        <v>-178462.3927208246</v>
      </c>
      <c r="G86" s="70"/>
    </row>
    <row r="87" spans="1:7" ht="8.25" customHeight="1" x14ac:dyDescent="0.25">
      <c r="A87" s="99"/>
      <c r="B87" s="105"/>
      <c r="C87" s="106"/>
      <c r="D87" s="79"/>
      <c r="E87" s="499"/>
      <c r="F87" s="79"/>
      <c r="G87" s="70"/>
    </row>
    <row r="88" spans="1:7" x14ac:dyDescent="0.25">
      <c r="A88" s="99" t="s">
        <v>145</v>
      </c>
      <c r="B88" s="102">
        <v>221682730</v>
      </c>
      <c r="C88" s="104">
        <f>B88/B90</f>
        <v>0.31901181747014001</v>
      </c>
      <c r="D88" s="98">
        <f>C88*$D$90</f>
        <v>-1333382.9448226509</v>
      </c>
      <c r="E88" s="499"/>
      <c r="F88" s="79"/>
      <c r="G88" s="70"/>
    </row>
    <row r="89" spans="1:7" ht="7.5" customHeight="1" x14ac:dyDescent="0.25">
      <c r="A89" s="99"/>
      <c r="B89" s="105"/>
      <c r="C89" s="106"/>
      <c r="D89" s="79"/>
      <c r="E89" s="499"/>
      <c r="F89" s="79"/>
      <c r="G89" s="70"/>
    </row>
    <row r="90" spans="1:7" x14ac:dyDescent="0.25">
      <c r="A90" s="110" t="s">
        <v>4</v>
      </c>
      <c r="B90" s="111">
        <f>B86+B88</f>
        <v>694904445.10178638</v>
      </c>
      <c r="C90" s="112">
        <f>C86+C88</f>
        <v>1.0000000000000002</v>
      </c>
      <c r="D90" s="111">
        <f>'PC3p1-OPEB'!I20</f>
        <v>-4179729</v>
      </c>
      <c r="E90" s="499"/>
      <c r="F90" s="79"/>
      <c r="G90" s="70"/>
    </row>
    <row r="91" spans="1:7" x14ac:dyDescent="0.25">
      <c r="A91" s="76"/>
      <c r="B91" s="77"/>
      <c r="C91" s="78"/>
      <c r="D91" s="79"/>
      <c r="E91" s="80"/>
      <c r="F91" s="79"/>
      <c r="G91" s="70"/>
    </row>
    <row r="92" spans="1:7" x14ac:dyDescent="0.25">
      <c r="A92" s="76"/>
      <c r="B92" s="77"/>
      <c r="C92" s="78"/>
      <c r="D92" s="79"/>
      <c r="E92" s="80"/>
      <c r="F92" s="79"/>
      <c r="G92" s="70"/>
    </row>
    <row r="93" spans="1:7" x14ac:dyDescent="0.25">
      <c r="A93" s="76"/>
      <c r="B93" s="77"/>
      <c r="C93" s="78"/>
      <c r="D93" s="79"/>
      <c r="E93" s="80"/>
      <c r="F93" s="79"/>
      <c r="G93" s="70"/>
    </row>
    <row r="94" spans="1:7" x14ac:dyDescent="0.25">
      <c r="A94" s="76"/>
      <c r="B94" s="77"/>
      <c r="C94" s="78"/>
      <c r="D94" s="79"/>
      <c r="E94" s="80"/>
      <c r="F94" s="79"/>
      <c r="G94" s="70"/>
    </row>
    <row r="95" spans="1:7" x14ac:dyDescent="0.25">
      <c r="A95" s="76"/>
      <c r="B95" s="77"/>
      <c r="C95" s="78"/>
      <c r="D95" s="79"/>
      <c r="E95" s="80"/>
      <c r="F95" s="79"/>
      <c r="G95" s="70"/>
    </row>
    <row r="96" spans="1:7" x14ac:dyDescent="0.25">
      <c r="A96" s="76"/>
      <c r="B96" s="77"/>
      <c r="C96" s="78"/>
      <c r="D96" s="79"/>
      <c r="E96" s="80"/>
      <c r="F96" s="79"/>
      <c r="G96" s="70"/>
    </row>
    <row r="97" spans="1:7" x14ac:dyDescent="0.25">
      <c r="A97" s="76"/>
      <c r="B97" s="77"/>
      <c r="C97" s="78"/>
      <c r="D97" s="79"/>
      <c r="E97" s="80"/>
      <c r="F97" s="79"/>
      <c r="G97" s="70"/>
    </row>
    <row r="98" spans="1:7" x14ac:dyDescent="0.25">
      <c r="A98" s="76"/>
      <c r="B98" s="77"/>
      <c r="C98" s="78"/>
      <c r="D98" s="79"/>
      <c r="E98" s="80"/>
      <c r="F98" s="79"/>
      <c r="G98" s="70"/>
    </row>
    <row r="99" spans="1:7" x14ac:dyDescent="0.25">
      <c r="A99" s="76"/>
      <c r="B99" s="77"/>
      <c r="C99" s="78"/>
      <c r="D99" s="79"/>
      <c r="E99" s="80"/>
      <c r="F99" s="79"/>
      <c r="G99" s="70"/>
    </row>
    <row r="100" spans="1:7" x14ac:dyDescent="0.25">
      <c r="A100" s="76"/>
      <c r="B100" s="77"/>
      <c r="C100" s="78"/>
      <c r="D100" s="79"/>
      <c r="E100" s="80"/>
      <c r="F100" s="79"/>
      <c r="G100" s="70"/>
    </row>
    <row r="101" spans="1:7" x14ac:dyDescent="0.25">
      <c r="A101" s="76"/>
      <c r="B101" s="77"/>
      <c r="C101" s="78"/>
      <c r="D101" s="79"/>
      <c r="E101" s="80"/>
      <c r="F101" s="79"/>
      <c r="G101" s="70"/>
    </row>
    <row r="102" spans="1:7" x14ac:dyDescent="0.25">
      <c r="A102" s="76"/>
      <c r="B102" s="77"/>
      <c r="C102" s="78"/>
      <c r="D102" s="79"/>
      <c r="E102" s="80"/>
      <c r="F102" s="79"/>
      <c r="G102" s="70"/>
    </row>
    <row r="103" spans="1:7" x14ac:dyDescent="0.25">
      <c r="A103" s="76"/>
      <c r="B103" s="77"/>
      <c r="C103" s="78"/>
      <c r="D103" s="79"/>
      <c r="E103" s="80"/>
      <c r="F103" s="79"/>
      <c r="G103" s="70"/>
    </row>
    <row r="104" spans="1:7" x14ac:dyDescent="0.25">
      <c r="A104" s="76"/>
      <c r="B104" s="77"/>
      <c r="C104" s="78"/>
      <c r="D104" s="79"/>
      <c r="E104" s="80"/>
      <c r="F104" s="79"/>
      <c r="G104" s="70"/>
    </row>
    <row r="105" spans="1:7" x14ac:dyDescent="0.25">
      <c r="A105" s="76"/>
      <c r="B105" s="77"/>
      <c r="C105" s="78"/>
      <c r="D105" s="79"/>
      <c r="E105" s="80"/>
      <c r="F105" s="79"/>
      <c r="G105" s="70"/>
    </row>
    <row r="106" spans="1:7" x14ac:dyDescent="0.25">
      <c r="A106" s="76"/>
      <c r="B106" s="77"/>
      <c r="C106" s="78"/>
      <c r="D106" s="79"/>
      <c r="E106" s="80"/>
      <c r="F106" s="79"/>
      <c r="G106" s="70"/>
    </row>
    <row r="107" spans="1:7" x14ac:dyDescent="0.25">
      <c r="A107" s="76"/>
      <c r="B107" s="77"/>
      <c r="C107" s="78"/>
      <c r="D107" s="79"/>
      <c r="E107" s="80"/>
      <c r="F107" s="79"/>
      <c r="G107" s="70"/>
    </row>
    <row r="108" spans="1:7" x14ac:dyDescent="0.25">
      <c r="A108" s="76"/>
      <c r="B108" s="77"/>
      <c r="C108" s="78"/>
      <c r="D108" s="79"/>
      <c r="E108" s="80"/>
      <c r="F108" s="79"/>
      <c r="G108" s="70"/>
    </row>
    <row r="109" spans="1:7" x14ac:dyDescent="0.25">
      <c r="A109" s="76"/>
      <c r="B109" s="77"/>
      <c r="C109" s="78"/>
      <c r="D109" s="79"/>
      <c r="E109" s="80"/>
      <c r="F109" s="79"/>
      <c r="G109" s="70"/>
    </row>
    <row r="110" spans="1:7" x14ac:dyDescent="0.25">
      <c r="A110" s="76"/>
      <c r="B110" s="77"/>
      <c r="C110" s="78"/>
      <c r="D110" s="79"/>
      <c r="E110" s="80"/>
      <c r="F110" s="79"/>
      <c r="G110" s="70"/>
    </row>
    <row r="111" spans="1:7" x14ac:dyDescent="0.25">
      <c r="A111" s="76"/>
      <c r="B111" s="77"/>
      <c r="C111" s="78"/>
      <c r="D111" s="79"/>
      <c r="E111" s="80"/>
      <c r="F111" s="79"/>
      <c r="G111" s="70"/>
    </row>
    <row r="112" spans="1:7" x14ac:dyDescent="0.25">
      <c r="A112" s="76"/>
      <c r="B112" s="77"/>
      <c r="C112" s="78"/>
      <c r="D112" s="79"/>
      <c r="E112" s="80"/>
      <c r="F112" s="79"/>
      <c r="G112" s="70"/>
    </row>
    <row r="113" spans="1:7" x14ac:dyDescent="0.25">
      <c r="A113" s="76"/>
      <c r="B113" s="77"/>
      <c r="C113" s="78"/>
      <c r="D113" s="79"/>
      <c r="E113" s="80"/>
      <c r="F113" s="79"/>
      <c r="G113" s="70"/>
    </row>
    <row r="114" spans="1:7" x14ac:dyDescent="0.25">
      <c r="A114" s="76"/>
      <c r="B114" s="77"/>
      <c r="C114" s="78"/>
      <c r="D114" s="79"/>
      <c r="E114" s="80"/>
      <c r="F114" s="79"/>
      <c r="G114" s="70"/>
    </row>
    <row r="115" spans="1:7" x14ac:dyDescent="0.25">
      <c r="A115" s="76"/>
      <c r="B115" s="77"/>
      <c r="C115" s="78"/>
      <c r="D115" s="79"/>
      <c r="E115" s="80"/>
      <c r="F115" s="79"/>
      <c r="G115" s="70"/>
    </row>
    <row r="116" spans="1:7" x14ac:dyDescent="0.25">
      <c r="A116" s="76"/>
      <c r="B116" s="77"/>
      <c r="C116" s="78"/>
      <c r="D116" s="79"/>
      <c r="E116" s="80"/>
      <c r="F116" s="79"/>
      <c r="G116" s="70"/>
    </row>
    <row r="117" spans="1:7" x14ac:dyDescent="0.25">
      <c r="A117" s="76"/>
      <c r="B117" s="77"/>
      <c r="C117" s="78"/>
      <c r="D117" s="79"/>
      <c r="E117" s="80"/>
      <c r="F117" s="79"/>
      <c r="G117" s="70"/>
    </row>
    <row r="118" spans="1:7" x14ac:dyDescent="0.25">
      <c r="A118" s="76"/>
      <c r="B118" s="77"/>
      <c r="C118" s="78"/>
      <c r="D118" s="79"/>
      <c r="E118" s="80"/>
      <c r="F118" s="79"/>
      <c r="G118" s="70"/>
    </row>
    <row r="119" spans="1:7" x14ac:dyDescent="0.25">
      <c r="A119" s="76"/>
      <c r="B119" s="77"/>
      <c r="C119" s="78"/>
      <c r="D119" s="79"/>
      <c r="E119" s="80"/>
      <c r="F119" s="79"/>
      <c r="G119" s="70"/>
    </row>
    <row r="120" spans="1:7" x14ac:dyDescent="0.25">
      <c r="A120" s="76"/>
      <c r="B120" s="77"/>
      <c r="C120" s="78"/>
      <c r="D120" s="79"/>
      <c r="E120" s="80"/>
      <c r="F120" s="79"/>
      <c r="G120" s="70"/>
    </row>
    <row r="121" spans="1:7" x14ac:dyDescent="0.25">
      <c r="A121" s="76"/>
      <c r="B121" s="77"/>
      <c r="C121" s="78"/>
      <c r="D121" s="79"/>
      <c r="E121" s="80"/>
      <c r="F121" s="79"/>
      <c r="G121" s="70"/>
    </row>
    <row r="122" spans="1:7" x14ac:dyDescent="0.25">
      <c r="A122" s="76"/>
      <c r="B122" s="77"/>
      <c r="C122" s="78"/>
      <c r="D122" s="79"/>
      <c r="E122" s="80"/>
      <c r="F122" s="79"/>
      <c r="G122" s="70"/>
    </row>
    <row r="123" spans="1:7" x14ac:dyDescent="0.25">
      <c r="A123" s="76"/>
      <c r="B123" s="77"/>
      <c r="C123" s="78"/>
      <c r="D123" s="79"/>
      <c r="E123" s="80"/>
      <c r="F123" s="79"/>
      <c r="G123" s="70"/>
    </row>
    <row r="124" spans="1:7" x14ac:dyDescent="0.25">
      <c r="A124" s="76"/>
      <c r="B124" s="77"/>
      <c r="C124" s="78"/>
      <c r="D124" s="79"/>
      <c r="E124" s="80"/>
      <c r="F124" s="79"/>
      <c r="G124" s="70"/>
    </row>
    <row r="125" spans="1:7" x14ac:dyDescent="0.25">
      <c r="A125" s="76"/>
      <c r="B125" s="77"/>
      <c r="C125" s="78"/>
      <c r="D125" s="79"/>
      <c r="E125" s="80"/>
      <c r="F125" s="79"/>
      <c r="G125" s="70"/>
    </row>
    <row r="126" spans="1:7" x14ac:dyDescent="0.25">
      <c r="A126" s="76"/>
      <c r="B126" s="77"/>
      <c r="C126" s="78"/>
      <c r="D126" s="79"/>
      <c r="E126" s="80"/>
      <c r="F126" s="79"/>
      <c r="G126" s="70"/>
    </row>
    <row r="127" spans="1:7" x14ac:dyDescent="0.25">
      <c r="A127" s="76"/>
      <c r="B127" s="77"/>
      <c r="C127" s="78"/>
      <c r="D127" s="79"/>
      <c r="E127" s="80"/>
      <c r="F127" s="79"/>
      <c r="G127" s="70"/>
    </row>
    <row r="128" spans="1:7" x14ac:dyDescent="0.25">
      <c r="A128" s="76"/>
      <c r="B128" s="77"/>
      <c r="C128" s="78"/>
      <c r="D128" s="79"/>
      <c r="E128" s="80"/>
      <c r="F128" s="79"/>
      <c r="G128" s="70"/>
    </row>
    <row r="129" spans="1:7" x14ac:dyDescent="0.25">
      <c r="A129" s="76"/>
      <c r="B129" s="77"/>
      <c r="C129" s="78"/>
      <c r="D129" s="79"/>
      <c r="E129" s="80"/>
      <c r="F129" s="79"/>
      <c r="G129" s="70"/>
    </row>
    <row r="130" spans="1:7" x14ac:dyDescent="0.25">
      <c r="A130" s="76"/>
      <c r="B130" s="77"/>
      <c r="C130" s="78"/>
      <c r="D130" s="79"/>
      <c r="E130" s="80"/>
      <c r="F130" s="79"/>
      <c r="G130" s="70"/>
    </row>
    <row r="131" spans="1:7" x14ac:dyDescent="0.25">
      <c r="A131" s="76"/>
      <c r="B131" s="77"/>
      <c r="C131" s="78"/>
      <c r="D131" s="79"/>
      <c r="E131" s="80"/>
      <c r="F131" s="79"/>
      <c r="G131" s="70"/>
    </row>
    <row r="132" spans="1:7" x14ac:dyDescent="0.25">
      <c r="A132" s="76"/>
      <c r="B132" s="77"/>
      <c r="C132" s="78"/>
      <c r="D132" s="79"/>
      <c r="E132" s="80"/>
      <c r="F132" s="79"/>
      <c r="G132" s="70"/>
    </row>
    <row r="133" spans="1:7" x14ac:dyDescent="0.25">
      <c r="A133" s="76"/>
      <c r="B133" s="77"/>
      <c r="C133" s="78"/>
      <c r="D133" s="79"/>
      <c r="E133" s="80"/>
      <c r="F133" s="79"/>
      <c r="G133" s="70"/>
    </row>
    <row r="134" spans="1:7" x14ac:dyDescent="0.25">
      <c r="A134" s="76"/>
      <c r="B134" s="77"/>
      <c r="C134" s="78"/>
      <c r="D134" s="79"/>
      <c r="E134" s="80"/>
      <c r="F134" s="79"/>
      <c r="G134" s="70"/>
    </row>
    <row r="135" spans="1:7" x14ac:dyDescent="0.25">
      <c r="A135" s="76"/>
      <c r="B135" s="77"/>
      <c r="C135" s="78"/>
      <c r="D135" s="79"/>
      <c r="E135" s="80"/>
      <c r="F135" s="79"/>
      <c r="G135" s="70"/>
    </row>
    <row r="136" spans="1:7" x14ac:dyDescent="0.25">
      <c r="A136" s="76"/>
      <c r="B136" s="77"/>
      <c r="C136" s="78"/>
      <c r="D136" s="79"/>
      <c r="E136" s="80"/>
      <c r="F136" s="79"/>
      <c r="G136" s="70"/>
    </row>
    <row r="137" spans="1:7" x14ac:dyDescent="0.25">
      <c r="A137" s="76"/>
      <c r="B137" s="77"/>
      <c r="C137" s="78"/>
      <c r="D137" s="79"/>
      <c r="E137" s="80"/>
      <c r="F137" s="79"/>
      <c r="G137" s="70"/>
    </row>
    <row r="138" spans="1:7" x14ac:dyDescent="0.25">
      <c r="A138" s="76"/>
      <c r="B138" s="77"/>
      <c r="C138" s="78"/>
      <c r="D138" s="79"/>
      <c r="E138" s="80"/>
      <c r="F138" s="79"/>
      <c r="G138" s="70"/>
    </row>
    <row r="139" spans="1:7" x14ac:dyDescent="0.25">
      <c r="A139" s="76"/>
      <c r="B139" s="77"/>
      <c r="C139" s="78"/>
      <c r="D139" s="79"/>
      <c r="E139" s="80"/>
      <c r="F139" s="79"/>
      <c r="G139" s="70"/>
    </row>
    <row r="140" spans="1:7" x14ac:dyDescent="0.25">
      <c r="A140" s="76"/>
      <c r="B140" s="77"/>
      <c r="C140" s="78"/>
      <c r="D140" s="79"/>
      <c r="E140" s="80"/>
      <c r="F140" s="79"/>
      <c r="G140" s="70"/>
    </row>
    <row r="141" spans="1:7" x14ac:dyDescent="0.25">
      <c r="A141" s="76"/>
      <c r="B141" s="77"/>
      <c r="C141" s="78"/>
      <c r="D141" s="79"/>
      <c r="E141" s="80"/>
      <c r="F141" s="79"/>
      <c r="G141" s="70"/>
    </row>
    <row r="142" spans="1:7" x14ac:dyDescent="0.25">
      <c r="A142" s="76"/>
      <c r="B142" s="77"/>
      <c r="C142" s="78"/>
      <c r="D142" s="79"/>
      <c r="E142" s="80"/>
      <c r="F142" s="79"/>
      <c r="G142" s="70"/>
    </row>
    <row r="143" spans="1:7" x14ac:dyDescent="0.25">
      <c r="A143" s="76"/>
      <c r="B143" s="77"/>
      <c r="C143" s="78"/>
      <c r="D143" s="79"/>
      <c r="E143" s="80"/>
      <c r="F143" s="79"/>
      <c r="G143" s="70"/>
    </row>
    <row r="144" spans="1:7" x14ac:dyDescent="0.25">
      <c r="A144" s="76"/>
      <c r="B144" s="77"/>
      <c r="C144" s="78"/>
      <c r="D144" s="79"/>
      <c r="E144" s="80"/>
      <c r="F144" s="79"/>
      <c r="G144" s="70"/>
    </row>
    <row r="145" spans="1:7" x14ac:dyDescent="0.25">
      <c r="A145" s="76"/>
      <c r="B145" s="77"/>
      <c r="C145" s="78"/>
      <c r="D145" s="79"/>
      <c r="E145" s="80"/>
      <c r="F145" s="79"/>
      <c r="G145" s="70"/>
    </row>
    <row r="146" spans="1:7" x14ac:dyDescent="0.25">
      <c r="A146" s="76"/>
      <c r="B146" s="77"/>
      <c r="C146" s="78"/>
      <c r="D146" s="79"/>
      <c r="E146" s="80"/>
      <c r="F146" s="79"/>
      <c r="G146" s="70"/>
    </row>
    <row r="147" spans="1:7" x14ac:dyDescent="0.25">
      <c r="A147" s="76"/>
      <c r="B147" s="77"/>
      <c r="C147" s="78"/>
      <c r="D147" s="79"/>
      <c r="E147" s="80"/>
      <c r="F147" s="79"/>
      <c r="G147" s="70"/>
    </row>
    <row r="148" spans="1:7" x14ac:dyDescent="0.25">
      <c r="A148" s="76"/>
      <c r="B148" s="77"/>
      <c r="C148" s="78"/>
      <c r="D148" s="79"/>
      <c r="E148" s="80"/>
      <c r="F148" s="79"/>
      <c r="G148" s="70"/>
    </row>
    <row r="149" spans="1:7" x14ac:dyDescent="0.25">
      <c r="A149" s="76"/>
      <c r="B149" s="77"/>
      <c r="C149" s="78"/>
      <c r="D149" s="79"/>
      <c r="E149" s="80"/>
      <c r="F149" s="79"/>
      <c r="G149" s="70"/>
    </row>
    <row r="150" spans="1:7" x14ac:dyDescent="0.25">
      <c r="A150" s="76"/>
      <c r="B150" s="77"/>
      <c r="C150" s="78"/>
      <c r="D150" s="79"/>
      <c r="E150" s="80"/>
      <c r="F150" s="79"/>
      <c r="G150" s="70"/>
    </row>
    <row r="151" spans="1:7" x14ac:dyDescent="0.25">
      <c r="A151" s="76"/>
      <c r="B151" s="77"/>
      <c r="C151" s="78"/>
      <c r="D151" s="79"/>
      <c r="E151" s="80"/>
      <c r="F151" s="79"/>
      <c r="G151" s="70"/>
    </row>
    <row r="152" spans="1:7" x14ac:dyDescent="0.25">
      <c r="A152" s="76"/>
      <c r="B152" s="77"/>
      <c r="C152" s="78"/>
      <c r="D152" s="79"/>
      <c r="E152" s="80"/>
      <c r="F152" s="79"/>
      <c r="G152" s="70"/>
    </row>
    <row r="153" spans="1:7" x14ac:dyDescent="0.25">
      <c r="A153" s="76"/>
      <c r="B153" s="77"/>
      <c r="C153" s="78"/>
      <c r="D153" s="79"/>
      <c r="E153" s="80"/>
      <c r="F153" s="79"/>
      <c r="G153" s="70"/>
    </row>
    <row r="154" spans="1:7" x14ac:dyDescent="0.25">
      <c r="A154" s="76"/>
      <c r="B154" s="77"/>
      <c r="C154" s="78"/>
      <c r="D154" s="79"/>
      <c r="E154" s="80"/>
      <c r="F154" s="79"/>
      <c r="G154" s="70"/>
    </row>
    <row r="155" spans="1:7" x14ac:dyDescent="0.25">
      <c r="A155" s="76"/>
      <c r="B155" s="77"/>
      <c r="C155" s="78"/>
      <c r="D155" s="79"/>
      <c r="E155" s="80"/>
      <c r="F155" s="79"/>
      <c r="G155" s="70"/>
    </row>
    <row r="156" spans="1:7" x14ac:dyDescent="0.25">
      <c r="A156" s="76"/>
      <c r="B156" s="77"/>
      <c r="C156" s="78"/>
      <c r="D156" s="79"/>
      <c r="E156" s="80"/>
      <c r="F156" s="79"/>
      <c r="G156" s="70"/>
    </row>
    <row r="157" spans="1:7" x14ac:dyDescent="0.25">
      <c r="A157" s="76"/>
      <c r="B157" s="77"/>
      <c r="C157" s="78"/>
      <c r="D157" s="79"/>
      <c r="E157" s="80"/>
      <c r="F157" s="79"/>
      <c r="G157" s="70"/>
    </row>
    <row r="158" spans="1:7" x14ac:dyDescent="0.25">
      <c r="A158" s="76"/>
      <c r="B158" s="77"/>
      <c r="C158" s="78"/>
      <c r="D158" s="79"/>
      <c r="E158" s="80"/>
      <c r="F158" s="79"/>
      <c r="G158" s="70"/>
    </row>
    <row r="159" spans="1:7" x14ac:dyDescent="0.25">
      <c r="A159" s="76"/>
      <c r="B159" s="77"/>
      <c r="C159" s="78"/>
      <c r="D159" s="79"/>
      <c r="E159" s="80"/>
      <c r="F159" s="79"/>
      <c r="G159" s="70"/>
    </row>
    <row r="160" spans="1:7" x14ac:dyDescent="0.25">
      <c r="A160" s="76"/>
      <c r="B160" s="77"/>
      <c r="C160" s="78"/>
      <c r="D160" s="79"/>
      <c r="E160" s="80"/>
      <c r="F160" s="79"/>
      <c r="G160" s="70"/>
    </row>
    <row r="161" spans="1:7" x14ac:dyDescent="0.25">
      <c r="A161" s="76"/>
      <c r="B161" s="77"/>
      <c r="C161" s="78"/>
      <c r="D161" s="79"/>
      <c r="E161" s="80"/>
      <c r="F161" s="79"/>
      <c r="G161" s="70"/>
    </row>
    <row r="162" spans="1:7" x14ac:dyDescent="0.25">
      <c r="A162" s="76"/>
      <c r="B162" s="77"/>
      <c r="C162" s="78"/>
      <c r="D162" s="79"/>
      <c r="E162" s="80"/>
      <c r="F162" s="79"/>
      <c r="G162" s="70"/>
    </row>
    <row r="163" spans="1:7" x14ac:dyDescent="0.25">
      <c r="A163" s="76"/>
      <c r="B163" s="77"/>
      <c r="C163" s="78"/>
      <c r="D163" s="79"/>
      <c r="E163" s="80"/>
      <c r="F163" s="79"/>
      <c r="G163" s="70"/>
    </row>
    <row r="164" spans="1:7" x14ac:dyDescent="0.25">
      <c r="A164" s="76"/>
      <c r="B164" s="77"/>
      <c r="C164" s="78"/>
      <c r="D164" s="79"/>
      <c r="E164" s="80"/>
      <c r="F164" s="79"/>
      <c r="G164" s="70"/>
    </row>
    <row r="165" spans="1:7" x14ac:dyDescent="0.25">
      <c r="A165" s="76"/>
      <c r="B165" s="77"/>
      <c r="C165" s="78"/>
      <c r="D165" s="79"/>
      <c r="E165" s="80"/>
      <c r="F165" s="79"/>
      <c r="G165" s="70"/>
    </row>
    <row r="166" spans="1:7" x14ac:dyDescent="0.25">
      <c r="A166" s="76"/>
      <c r="B166" s="77"/>
      <c r="C166" s="78"/>
      <c r="D166" s="79"/>
      <c r="E166" s="80"/>
      <c r="F166" s="79"/>
      <c r="G166" s="70"/>
    </row>
    <row r="167" spans="1:7" x14ac:dyDescent="0.25">
      <c r="A167" s="76"/>
      <c r="B167" s="77"/>
      <c r="C167" s="78"/>
      <c r="D167" s="79"/>
      <c r="E167" s="80"/>
      <c r="F167" s="79"/>
      <c r="G167" s="70"/>
    </row>
    <row r="168" spans="1:7" x14ac:dyDescent="0.25">
      <c r="A168" s="76"/>
      <c r="B168" s="77"/>
      <c r="C168" s="78"/>
      <c r="D168" s="79"/>
      <c r="E168" s="80"/>
      <c r="F168" s="79"/>
      <c r="G168" s="70"/>
    </row>
    <row r="169" spans="1:7" x14ac:dyDescent="0.25">
      <c r="A169" s="76"/>
      <c r="B169" s="77"/>
      <c r="C169" s="78"/>
      <c r="D169" s="79"/>
      <c r="E169" s="80"/>
      <c r="F169" s="79"/>
      <c r="G169" s="70"/>
    </row>
    <row r="170" spans="1:7" x14ac:dyDescent="0.25">
      <c r="A170" s="76"/>
      <c r="B170" s="77"/>
      <c r="C170" s="78"/>
      <c r="D170" s="79"/>
      <c r="E170" s="80"/>
      <c r="F170" s="79"/>
      <c r="G170" s="70"/>
    </row>
    <row r="171" spans="1:7" x14ac:dyDescent="0.25">
      <c r="A171" s="76"/>
      <c r="B171" s="77"/>
      <c r="C171" s="78"/>
      <c r="D171" s="79"/>
      <c r="E171" s="80"/>
      <c r="F171" s="79"/>
      <c r="G171" s="70"/>
    </row>
    <row r="172" spans="1:7" x14ac:dyDescent="0.25">
      <c r="A172" s="76"/>
      <c r="B172" s="77"/>
      <c r="C172" s="78"/>
      <c r="D172" s="79"/>
      <c r="E172" s="80"/>
      <c r="F172" s="79"/>
      <c r="G172" s="70"/>
    </row>
    <row r="173" spans="1:7" x14ac:dyDescent="0.25">
      <c r="A173" s="76"/>
      <c r="B173" s="77"/>
      <c r="C173" s="78"/>
      <c r="D173" s="79"/>
      <c r="E173" s="80"/>
      <c r="F173" s="79"/>
      <c r="G173" s="70"/>
    </row>
    <row r="174" spans="1:7" x14ac:dyDescent="0.25">
      <c r="A174" s="76"/>
      <c r="B174" s="77"/>
      <c r="C174" s="78"/>
      <c r="D174" s="79"/>
      <c r="E174" s="80"/>
      <c r="F174" s="79"/>
      <c r="G174" s="70"/>
    </row>
    <row r="175" spans="1:7" x14ac:dyDescent="0.25">
      <c r="A175" s="76"/>
      <c r="B175" s="77"/>
      <c r="C175" s="78"/>
      <c r="D175" s="79"/>
      <c r="E175" s="80"/>
      <c r="F175" s="79"/>
      <c r="G175" s="70"/>
    </row>
    <row r="176" spans="1:7" x14ac:dyDescent="0.25">
      <c r="A176" s="76"/>
      <c r="B176" s="77"/>
      <c r="C176" s="78"/>
      <c r="D176" s="79"/>
      <c r="E176" s="80"/>
      <c r="F176" s="79"/>
      <c r="G176" s="70"/>
    </row>
    <row r="177" spans="1:7" x14ac:dyDescent="0.25">
      <c r="A177" s="76"/>
      <c r="B177" s="77"/>
      <c r="C177" s="78"/>
      <c r="D177" s="79"/>
      <c r="E177" s="80"/>
      <c r="F177" s="79"/>
      <c r="G177" s="70"/>
    </row>
    <row r="178" spans="1:7" x14ac:dyDescent="0.25">
      <c r="A178" s="76"/>
      <c r="B178" s="77"/>
      <c r="C178" s="78"/>
      <c r="D178" s="79"/>
      <c r="E178" s="80"/>
      <c r="F178" s="79"/>
      <c r="G178" s="70"/>
    </row>
    <row r="179" spans="1:7" x14ac:dyDescent="0.25">
      <c r="A179" s="76"/>
      <c r="B179" s="77"/>
      <c r="C179" s="78"/>
      <c r="D179" s="79"/>
      <c r="E179" s="80"/>
      <c r="F179" s="79"/>
      <c r="G179" s="70"/>
    </row>
    <row r="180" spans="1:7" x14ac:dyDescent="0.25">
      <c r="A180" s="76"/>
      <c r="B180" s="77"/>
      <c r="C180" s="78"/>
      <c r="D180" s="79"/>
      <c r="E180" s="80"/>
      <c r="F180" s="79"/>
      <c r="G180" s="70"/>
    </row>
    <row r="181" spans="1:7" x14ac:dyDescent="0.25">
      <c r="A181" s="76"/>
      <c r="B181" s="77"/>
      <c r="C181" s="78"/>
      <c r="D181" s="79"/>
      <c r="E181" s="80"/>
      <c r="F181" s="79"/>
      <c r="G181" s="70"/>
    </row>
    <row r="182" spans="1:7" x14ac:dyDescent="0.25">
      <c r="A182" s="76"/>
      <c r="B182" s="77"/>
      <c r="C182" s="78"/>
      <c r="D182" s="79"/>
      <c r="E182" s="80"/>
      <c r="F182" s="79"/>
      <c r="G182" s="70"/>
    </row>
    <row r="183" spans="1:7" x14ac:dyDescent="0.25">
      <c r="A183" s="76"/>
      <c r="B183" s="77"/>
      <c r="C183" s="78"/>
      <c r="D183" s="79"/>
      <c r="E183" s="80"/>
      <c r="F183" s="79"/>
      <c r="G183" s="70"/>
    </row>
    <row r="184" spans="1:7" x14ac:dyDescent="0.25">
      <c r="A184" s="76"/>
      <c r="B184" s="77"/>
      <c r="C184" s="78"/>
      <c r="D184" s="79"/>
      <c r="E184" s="80"/>
      <c r="F184" s="79"/>
      <c r="G184" s="70"/>
    </row>
    <row r="185" spans="1:7" x14ac:dyDescent="0.25">
      <c r="A185" s="76"/>
      <c r="B185" s="77"/>
      <c r="C185" s="78"/>
      <c r="D185" s="79"/>
      <c r="E185" s="80"/>
      <c r="F185" s="79"/>
      <c r="G185" s="70"/>
    </row>
    <row r="186" spans="1:7" x14ac:dyDescent="0.25">
      <c r="A186" s="76"/>
      <c r="B186" s="77"/>
      <c r="C186" s="78"/>
      <c r="D186" s="79"/>
      <c r="E186" s="80"/>
      <c r="F186" s="79"/>
      <c r="G186" s="70"/>
    </row>
    <row r="187" spans="1:7" x14ac:dyDescent="0.25">
      <c r="A187" s="76"/>
      <c r="B187" s="77"/>
      <c r="C187" s="78"/>
      <c r="D187" s="79"/>
      <c r="E187" s="80"/>
      <c r="F187" s="79"/>
      <c r="G187" s="70"/>
    </row>
    <row r="188" spans="1:7" x14ac:dyDescent="0.25">
      <c r="A188" s="76"/>
      <c r="B188" s="77"/>
      <c r="C188" s="78"/>
      <c r="D188" s="79"/>
      <c r="E188" s="80"/>
      <c r="F188" s="79"/>
      <c r="G188" s="70"/>
    </row>
    <row r="189" spans="1:7" x14ac:dyDescent="0.25">
      <c r="A189" s="76"/>
      <c r="B189" s="77"/>
      <c r="C189" s="78"/>
      <c r="D189" s="79"/>
      <c r="E189" s="80"/>
      <c r="F189" s="79"/>
      <c r="G189" s="70"/>
    </row>
    <row r="190" spans="1:7" x14ac:dyDescent="0.25">
      <c r="A190" s="76"/>
      <c r="B190" s="77"/>
      <c r="C190" s="78"/>
      <c r="D190" s="79"/>
      <c r="E190" s="80"/>
      <c r="F190" s="79"/>
      <c r="G190" s="70"/>
    </row>
    <row r="191" spans="1:7" x14ac:dyDescent="0.25">
      <c r="A191" s="76"/>
      <c r="B191" s="77"/>
      <c r="C191" s="78"/>
      <c r="D191" s="79"/>
      <c r="E191" s="80"/>
      <c r="F191" s="79"/>
      <c r="G191" s="70"/>
    </row>
    <row r="192" spans="1:7" x14ac:dyDescent="0.25">
      <c r="A192" s="76"/>
      <c r="B192" s="77"/>
      <c r="C192" s="78"/>
      <c r="D192" s="79"/>
      <c r="E192" s="80"/>
      <c r="F192" s="79"/>
      <c r="G192" s="70"/>
    </row>
    <row r="193" spans="1:7" x14ac:dyDescent="0.25">
      <c r="A193" s="76"/>
      <c r="B193" s="77"/>
      <c r="C193" s="78"/>
      <c r="D193" s="79"/>
      <c r="E193" s="80"/>
      <c r="F193" s="79"/>
      <c r="G193" s="70"/>
    </row>
    <row r="194" spans="1:7" x14ac:dyDescent="0.25">
      <c r="A194" s="76"/>
      <c r="B194" s="77"/>
      <c r="C194" s="78"/>
      <c r="D194" s="79"/>
      <c r="E194" s="80"/>
      <c r="F194" s="79"/>
      <c r="G194" s="70"/>
    </row>
    <row r="195" spans="1:7" x14ac:dyDescent="0.25">
      <c r="A195" s="76"/>
      <c r="B195" s="77"/>
      <c r="C195" s="78"/>
      <c r="D195" s="79"/>
      <c r="E195" s="80"/>
      <c r="F195" s="79"/>
      <c r="G195" s="70"/>
    </row>
    <row r="196" spans="1:7" x14ac:dyDescent="0.25">
      <c r="A196" s="76"/>
      <c r="B196" s="77"/>
      <c r="C196" s="78"/>
      <c r="D196" s="79"/>
      <c r="E196" s="80"/>
      <c r="F196" s="79"/>
      <c r="G196" s="70"/>
    </row>
    <row r="197" spans="1:7" x14ac:dyDescent="0.25">
      <c r="A197" s="76"/>
      <c r="B197" s="77"/>
      <c r="C197" s="78"/>
      <c r="D197" s="79"/>
      <c r="E197" s="80"/>
      <c r="F197" s="79"/>
      <c r="G197" s="70"/>
    </row>
    <row r="198" spans="1:7" x14ac:dyDescent="0.25">
      <c r="A198" s="76"/>
      <c r="B198" s="77"/>
      <c r="C198" s="78"/>
      <c r="D198" s="79"/>
      <c r="E198" s="80"/>
      <c r="F198" s="79"/>
      <c r="G198" s="70"/>
    </row>
    <row r="199" spans="1:7" x14ac:dyDescent="0.25">
      <c r="A199" s="76"/>
      <c r="B199" s="77"/>
      <c r="C199" s="78"/>
      <c r="D199" s="79"/>
      <c r="E199" s="80"/>
      <c r="F199" s="79"/>
      <c r="G199" s="70"/>
    </row>
    <row r="200" spans="1:7" x14ac:dyDescent="0.25">
      <c r="A200" s="76"/>
      <c r="B200" s="77"/>
      <c r="C200" s="78"/>
      <c r="D200" s="79"/>
      <c r="E200" s="80"/>
      <c r="F200" s="79"/>
      <c r="G200" s="70"/>
    </row>
    <row r="201" spans="1:7" x14ac:dyDescent="0.25">
      <c r="A201" s="76"/>
      <c r="B201" s="77"/>
      <c r="C201" s="78"/>
      <c r="D201" s="79"/>
      <c r="E201" s="80"/>
      <c r="F201" s="79"/>
      <c r="G201" s="70"/>
    </row>
    <row r="202" spans="1:7" x14ac:dyDescent="0.25">
      <c r="A202" s="76"/>
      <c r="B202" s="77"/>
      <c r="C202" s="78"/>
      <c r="D202" s="79"/>
      <c r="E202" s="80"/>
      <c r="F202" s="79"/>
      <c r="G202" s="70"/>
    </row>
    <row r="203" spans="1:7" x14ac:dyDescent="0.25">
      <c r="A203" s="76"/>
      <c r="B203" s="77"/>
      <c r="C203" s="78"/>
      <c r="D203" s="79"/>
      <c r="E203" s="80"/>
      <c r="F203" s="79"/>
      <c r="G203" s="70"/>
    </row>
    <row r="204" spans="1:7" x14ac:dyDescent="0.25">
      <c r="A204" s="76"/>
      <c r="B204" s="77"/>
      <c r="C204" s="78"/>
      <c r="D204" s="79"/>
      <c r="E204" s="80"/>
      <c r="F204" s="79"/>
      <c r="G204" s="70"/>
    </row>
    <row r="205" spans="1:7" x14ac:dyDescent="0.25">
      <c r="A205" s="76"/>
      <c r="B205" s="77"/>
      <c r="C205" s="78"/>
      <c r="D205" s="79"/>
      <c r="E205" s="80"/>
      <c r="F205" s="79"/>
      <c r="G205" s="70"/>
    </row>
    <row r="206" spans="1:7" x14ac:dyDescent="0.25">
      <c r="A206" s="76"/>
      <c r="B206" s="77"/>
      <c r="C206" s="78"/>
      <c r="D206" s="79"/>
      <c r="E206" s="80"/>
      <c r="F206" s="79"/>
      <c r="G206" s="70"/>
    </row>
    <row r="207" spans="1:7" x14ac:dyDescent="0.25">
      <c r="A207" s="76"/>
      <c r="B207" s="77"/>
      <c r="C207" s="78"/>
      <c r="D207" s="79"/>
      <c r="E207" s="80"/>
      <c r="F207" s="79"/>
      <c r="G207" s="70"/>
    </row>
    <row r="208" spans="1:7" x14ac:dyDescent="0.25">
      <c r="A208" s="76"/>
      <c r="B208" s="77"/>
      <c r="C208" s="78"/>
      <c r="D208" s="79"/>
      <c r="E208" s="80"/>
      <c r="F208" s="79"/>
      <c r="G208" s="70"/>
    </row>
    <row r="209" spans="1:7" x14ac:dyDescent="0.25">
      <c r="A209" s="76"/>
      <c r="B209" s="77"/>
      <c r="C209" s="78"/>
      <c r="D209" s="79"/>
      <c r="E209" s="80"/>
      <c r="F209" s="79"/>
      <c r="G209" s="70"/>
    </row>
    <row r="210" spans="1:7" x14ac:dyDescent="0.25">
      <c r="A210" s="76"/>
      <c r="B210" s="77"/>
      <c r="C210" s="78"/>
      <c r="D210" s="79"/>
      <c r="E210" s="80"/>
      <c r="F210" s="79"/>
      <c r="G210" s="70"/>
    </row>
    <row r="211" spans="1:7" x14ac:dyDescent="0.25">
      <c r="A211" s="81"/>
      <c r="B211" s="82"/>
      <c r="C211" s="78"/>
      <c r="D211" s="79"/>
      <c r="E211" s="80"/>
      <c r="F211" s="79"/>
      <c r="G211" s="70"/>
    </row>
    <row r="212" spans="1:7" x14ac:dyDescent="0.25">
      <c r="A212" s="76"/>
      <c r="B212" s="77"/>
      <c r="C212" s="78"/>
      <c r="D212" s="79"/>
      <c r="E212" s="80"/>
      <c r="F212" s="79"/>
      <c r="G212" s="70"/>
    </row>
    <row r="213" spans="1:7" x14ac:dyDescent="0.25">
      <c r="A213" s="76"/>
      <c r="B213" s="77"/>
      <c r="C213" s="78"/>
      <c r="D213" s="79"/>
      <c r="E213" s="80"/>
      <c r="F213" s="79"/>
      <c r="G213" s="70"/>
    </row>
    <row r="214" spans="1:7" x14ac:dyDescent="0.25">
      <c r="A214" s="76"/>
      <c r="B214" s="77"/>
      <c r="C214" s="78"/>
      <c r="D214" s="79"/>
      <c r="E214" s="80"/>
      <c r="F214" s="79"/>
      <c r="G214" s="70"/>
    </row>
    <row r="215" spans="1:7" x14ac:dyDescent="0.25">
      <c r="A215" s="76"/>
      <c r="B215" s="77"/>
      <c r="C215" s="78"/>
      <c r="D215" s="79"/>
      <c r="E215" s="80"/>
      <c r="F215" s="79"/>
      <c r="G215" s="70"/>
    </row>
    <row r="216" spans="1:7" x14ac:dyDescent="0.25">
      <c r="A216" s="76"/>
      <c r="B216" s="77"/>
      <c r="C216" s="78"/>
      <c r="D216" s="79"/>
      <c r="E216" s="80"/>
      <c r="F216" s="79"/>
      <c r="G216" s="70"/>
    </row>
    <row r="217" spans="1:7" x14ac:dyDescent="0.25">
      <c r="A217" s="76"/>
      <c r="B217" s="77"/>
      <c r="C217" s="78"/>
      <c r="D217" s="79"/>
      <c r="E217" s="80"/>
      <c r="F217" s="79"/>
      <c r="G217" s="70"/>
    </row>
    <row r="218" spans="1:7" x14ac:dyDescent="0.25">
      <c r="A218" s="76"/>
      <c r="B218" s="83"/>
      <c r="C218" s="83"/>
      <c r="D218" s="70"/>
      <c r="E218" s="84"/>
      <c r="F218" s="70"/>
      <c r="G218" s="70"/>
    </row>
    <row r="219" spans="1:7" x14ac:dyDescent="0.25">
      <c r="A219" s="85"/>
      <c r="B219" s="86"/>
      <c r="C219" s="87"/>
      <c r="D219" s="86"/>
      <c r="E219" s="84"/>
      <c r="F219" s="86"/>
      <c r="G219" s="70"/>
    </row>
    <row r="220" spans="1:7" x14ac:dyDescent="0.25">
      <c r="A220" s="88"/>
      <c r="B220" s="89"/>
      <c r="C220" s="83"/>
      <c r="D220" s="79"/>
      <c r="E220" s="84"/>
      <c r="F220" s="79"/>
      <c r="G220" s="70"/>
    </row>
    <row r="221" spans="1:7" x14ac:dyDescent="0.25">
      <c r="A221" s="88"/>
      <c r="B221" s="82"/>
      <c r="C221" s="78"/>
      <c r="D221" s="90"/>
      <c r="E221" s="84"/>
      <c r="F221" s="79"/>
      <c r="G221" s="70"/>
    </row>
    <row r="222" spans="1:7" x14ac:dyDescent="0.25">
      <c r="A222" s="88"/>
      <c r="B222" s="89"/>
      <c r="C222" s="83"/>
      <c r="D222" s="89"/>
      <c r="E222" s="84"/>
      <c r="F222" s="79"/>
      <c r="G222" s="70"/>
    </row>
    <row r="223" spans="1:7" x14ac:dyDescent="0.25">
      <c r="A223" s="85"/>
      <c r="B223" s="86"/>
      <c r="C223" s="87"/>
      <c r="D223" s="86"/>
      <c r="E223" s="84"/>
      <c r="F223" s="79"/>
      <c r="G223" s="70"/>
    </row>
    <row r="224" spans="1:7" x14ac:dyDescent="0.25">
      <c r="A224" s="88"/>
      <c r="B224" s="70"/>
      <c r="C224" s="70"/>
      <c r="D224" s="70"/>
      <c r="E224" s="70"/>
      <c r="F224" s="70"/>
      <c r="G224" s="70"/>
    </row>
    <row r="225" spans="1:7" x14ac:dyDescent="0.25">
      <c r="A225" s="70"/>
      <c r="B225" s="70"/>
      <c r="C225" s="70"/>
      <c r="D225" s="70"/>
      <c r="E225" s="70"/>
      <c r="F225" s="70"/>
      <c r="G225" s="70"/>
    </row>
    <row r="226" spans="1:7" x14ac:dyDescent="0.25">
      <c r="A226" s="70"/>
      <c r="B226" s="70"/>
      <c r="C226" s="70"/>
      <c r="D226" s="70"/>
      <c r="E226" s="70"/>
      <c r="F226" s="70"/>
      <c r="G226" s="70"/>
    </row>
    <row r="227" spans="1:7" x14ac:dyDescent="0.25">
      <c r="A227" s="70"/>
      <c r="B227" s="70"/>
      <c r="C227" s="70"/>
      <c r="D227" s="70"/>
      <c r="E227" s="70"/>
      <c r="F227" s="70"/>
      <c r="G227" s="70"/>
    </row>
    <row r="228" spans="1:7" x14ac:dyDescent="0.25">
      <c r="A228" s="70"/>
      <c r="B228" s="70"/>
      <c r="C228" s="70"/>
      <c r="D228" s="70"/>
      <c r="E228" s="70"/>
      <c r="F228" s="70"/>
      <c r="G228" s="70"/>
    </row>
    <row r="229" spans="1:7" x14ac:dyDescent="0.25">
      <c r="A229" s="70"/>
      <c r="B229" s="70"/>
      <c r="C229" s="70"/>
      <c r="D229" s="70"/>
      <c r="E229" s="70"/>
      <c r="F229" s="70"/>
      <c r="G229" s="70"/>
    </row>
    <row r="230" spans="1:7" x14ac:dyDescent="0.25">
      <c r="A230" s="70"/>
      <c r="B230" s="70"/>
      <c r="C230" s="70"/>
      <c r="D230" s="70"/>
      <c r="E230" s="70"/>
      <c r="F230" s="70"/>
      <c r="G230" s="70"/>
    </row>
    <row r="231" spans="1:7" x14ac:dyDescent="0.25">
      <c r="A231" s="70"/>
      <c r="B231" s="70"/>
      <c r="C231" s="70"/>
      <c r="D231" s="70"/>
      <c r="E231" s="70"/>
      <c r="F231" s="70"/>
      <c r="G231" s="70"/>
    </row>
    <row r="232" spans="1:7" x14ac:dyDescent="0.25">
      <c r="A232" s="70"/>
      <c r="B232" s="70"/>
      <c r="C232" s="70"/>
      <c r="D232" s="70"/>
      <c r="E232" s="70"/>
      <c r="F232" s="70"/>
      <c r="G232" s="70"/>
    </row>
  </sheetData>
  <pageMargins left="0.7" right="0.7" top="0.75" bottom="0.75" header="0.3" footer="0.3"/>
  <pageSetup scale="47"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workbookViewId="0">
      <selection activeCell="O3" sqref="O3"/>
    </sheetView>
  </sheetViews>
  <sheetFormatPr defaultRowHeight="15.75" x14ac:dyDescent="0.25"/>
  <cols>
    <col min="1" max="1" width="3.875" customWidth="1"/>
    <col min="2" max="2" width="1.625" customWidth="1"/>
    <col min="3" max="3" width="34.375" customWidth="1"/>
    <col min="4" max="4" width="2" customWidth="1"/>
    <col min="5" max="5" width="3.25" customWidth="1"/>
    <col min="6" max="6" width="1" customWidth="1"/>
    <col min="7" max="7" width="9.5" customWidth="1"/>
    <col min="8" max="8" width="0.875" customWidth="1"/>
    <col min="9" max="9" width="12.25" customWidth="1"/>
    <col min="10" max="10" width="1" customWidth="1"/>
    <col min="11" max="11" width="9.125" customWidth="1"/>
    <col min="12" max="12" width="1" customWidth="1"/>
    <col min="13" max="13" width="9.125" customWidth="1"/>
    <col min="14" max="14" width="1.625" customWidth="1"/>
    <col min="15" max="15" width="11.375" customWidth="1"/>
  </cols>
  <sheetData>
    <row r="1" spans="1:16" x14ac:dyDescent="0.25">
      <c r="A1" s="487" t="s">
        <v>392</v>
      </c>
      <c r="M1" s="16"/>
      <c r="N1" s="16"/>
      <c r="O1" s="334" t="s">
        <v>275</v>
      </c>
    </row>
    <row r="2" spans="1:16" x14ac:dyDescent="0.25">
      <c r="A2" t="s">
        <v>272</v>
      </c>
      <c r="M2" s="16"/>
      <c r="N2" s="16"/>
      <c r="O2" s="334" t="s">
        <v>189</v>
      </c>
    </row>
    <row r="3" spans="1:16" x14ac:dyDescent="0.25">
      <c r="A3" t="s">
        <v>273</v>
      </c>
      <c r="M3" s="16"/>
      <c r="N3" s="16"/>
      <c r="O3" s="521" t="s">
        <v>748</v>
      </c>
    </row>
    <row r="4" spans="1:16" x14ac:dyDescent="0.25">
      <c r="M4" s="16"/>
      <c r="N4" s="16"/>
      <c r="O4" s="334" t="s">
        <v>729</v>
      </c>
    </row>
    <row r="5" spans="1:16" x14ac:dyDescent="0.25">
      <c r="A5" t="s">
        <v>675</v>
      </c>
      <c r="M5" s="16"/>
      <c r="N5" s="16"/>
      <c r="O5" s="16"/>
    </row>
    <row r="6" spans="1:16" x14ac:dyDescent="0.25">
      <c r="A6" s="157" t="s">
        <v>676</v>
      </c>
      <c r="B6" s="16"/>
      <c r="C6" s="16"/>
      <c r="D6" s="16"/>
      <c r="E6" s="16"/>
      <c r="F6" s="16"/>
      <c r="G6" s="16"/>
      <c r="H6" s="16"/>
      <c r="I6" s="16"/>
      <c r="J6" s="16"/>
      <c r="K6" s="16"/>
      <c r="L6" s="16"/>
      <c r="M6" s="16"/>
      <c r="N6" s="16"/>
      <c r="O6" s="16"/>
    </row>
    <row r="7" spans="1:16" x14ac:dyDescent="0.25">
      <c r="A7" s="16"/>
      <c r="B7" s="16"/>
      <c r="C7" s="16"/>
      <c r="D7" s="16"/>
      <c r="E7" s="16"/>
      <c r="F7" s="16"/>
      <c r="G7" s="16"/>
      <c r="H7" s="16"/>
      <c r="I7" s="16"/>
      <c r="J7" s="16"/>
      <c r="K7" s="16"/>
      <c r="L7" s="16"/>
      <c r="M7" s="16"/>
      <c r="N7" s="16"/>
      <c r="O7" s="157"/>
    </row>
    <row r="8" spans="1:16" x14ac:dyDescent="0.25">
      <c r="G8" s="1"/>
      <c r="H8" s="1"/>
      <c r="I8" s="1" t="s">
        <v>4</v>
      </c>
      <c r="J8" s="1"/>
      <c r="K8" s="1"/>
      <c r="L8" s="1"/>
      <c r="M8" s="1"/>
      <c r="N8" s="1"/>
      <c r="O8" s="1" t="s">
        <v>129</v>
      </c>
    </row>
    <row r="9" spans="1:16" x14ac:dyDescent="0.25">
      <c r="A9" s="4"/>
      <c r="C9" s="2" t="s">
        <v>1</v>
      </c>
      <c r="D9" s="4"/>
      <c r="E9" s="14"/>
      <c r="G9" s="10" t="s">
        <v>10</v>
      </c>
      <c r="H9" s="1"/>
      <c r="I9" s="10" t="s">
        <v>6</v>
      </c>
      <c r="J9" s="1"/>
      <c r="K9" s="10" t="s">
        <v>7</v>
      </c>
      <c r="L9" s="1"/>
      <c r="M9" s="11" t="s">
        <v>9</v>
      </c>
      <c r="N9" s="1"/>
      <c r="O9" s="10" t="s">
        <v>8</v>
      </c>
    </row>
    <row r="11" spans="1:16" x14ac:dyDescent="0.25">
      <c r="C11" s="3" t="s">
        <v>11</v>
      </c>
    </row>
    <row r="12" spans="1:16" ht="16.5" thickBot="1" x14ac:dyDescent="0.3">
      <c r="A12" s="8">
        <v>1</v>
      </c>
      <c r="B12" s="4"/>
      <c r="C12" s="4" t="s">
        <v>255</v>
      </c>
      <c r="D12" s="29"/>
      <c r="E12" s="30"/>
      <c r="F12" s="29"/>
      <c r="G12" s="119" t="s">
        <v>177</v>
      </c>
      <c r="H12" s="29"/>
      <c r="I12" s="118">
        <f>I25</f>
        <v>-291561.685409247</v>
      </c>
      <c r="J12" s="30"/>
      <c r="K12" s="52" t="s">
        <v>74</v>
      </c>
      <c r="L12" s="29"/>
      <c r="M12" s="69" t="s">
        <v>74</v>
      </c>
      <c r="N12" s="4"/>
      <c r="O12" s="501">
        <f>'PC4p2-SalaryOH'!F86</f>
        <v>-18280.558651400002</v>
      </c>
    </row>
    <row r="13" spans="1:16" ht="16.5" thickTop="1" x14ac:dyDescent="0.25">
      <c r="A13" s="8"/>
      <c r="B13" s="4"/>
      <c r="C13" s="4"/>
      <c r="D13" s="4"/>
      <c r="E13" s="4"/>
      <c r="F13" s="4"/>
      <c r="G13" s="4"/>
      <c r="H13" s="4"/>
      <c r="I13" s="4"/>
      <c r="J13" s="4"/>
      <c r="K13" s="4"/>
      <c r="L13" s="4"/>
      <c r="M13" s="4"/>
      <c r="N13" s="4"/>
      <c r="O13" s="4"/>
    </row>
    <row r="14" spans="1:16" x14ac:dyDescent="0.25">
      <c r="A14" s="8"/>
      <c r="B14" s="4"/>
      <c r="C14" s="18"/>
      <c r="D14" s="4"/>
      <c r="E14" s="4"/>
      <c r="F14" s="4"/>
      <c r="G14" s="12"/>
      <c r="H14" s="4"/>
      <c r="I14" s="4"/>
      <c r="J14" s="4"/>
      <c r="K14" s="4"/>
      <c r="L14" s="4"/>
      <c r="M14" s="12"/>
      <c r="N14" s="4"/>
      <c r="O14" s="4"/>
      <c r="P14" s="4"/>
    </row>
    <row r="15" spans="1:16" x14ac:dyDescent="0.25">
      <c r="A15" s="8"/>
      <c r="B15" s="4"/>
      <c r="C15" s="4"/>
      <c r="D15" s="4"/>
      <c r="E15" s="4"/>
      <c r="F15" s="4"/>
      <c r="G15" s="4"/>
      <c r="H15" s="4"/>
      <c r="I15" s="4"/>
      <c r="J15" s="4"/>
      <c r="K15" s="4"/>
      <c r="L15" s="4"/>
      <c r="M15" s="4"/>
      <c r="N15" s="4"/>
      <c r="O15" s="4"/>
    </row>
    <row r="16" spans="1:16" x14ac:dyDescent="0.25">
      <c r="A16" s="1"/>
    </row>
    <row r="17" spans="1:13" x14ac:dyDescent="0.25">
      <c r="A17" s="1"/>
    </row>
    <row r="18" spans="1:13" x14ac:dyDescent="0.25">
      <c r="A18" s="8"/>
      <c r="B18" s="4"/>
      <c r="C18" s="26" t="s">
        <v>256</v>
      </c>
      <c r="D18" s="4"/>
      <c r="E18" s="4"/>
      <c r="F18" s="4"/>
      <c r="G18" s="4"/>
      <c r="H18" s="4"/>
      <c r="I18" s="10" t="s">
        <v>2</v>
      </c>
      <c r="J18" s="4"/>
      <c r="K18" s="26" t="s">
        <v>295</v>
      </c>
      <c r="L18" s="4"/>
      <c r="M18" s="4"/>
    </row>
    <row r="19" spans="1:13" x14ac:dyDescent="0.25">
      <c r="A19" s="8"/>
      <c r="B19" s="4"/>
      <c r="C19" s="4" t="s">
        <v>251</v>
      </c>
      <c r="D19" s="4"/>
      <c r="E19" s="4"/>
      <c r="F19" s="4"/>
      <c r="G19" s="4"/>
      <c r="H19" s="4"/>
      <c r="I19" s="34">
        <v>1437813</v>
      </c>
      <c r="J19" s="4"/>
      <c r="K19" s="155" t="s">
        <v>173</v>
      </c>
      <c r="L19" s="4"/>
      <c r="M19" s="4"/>
    </row>
    <row r="20" spans="1:13" x14ac:dyDescent="0.25">
      <c r="A20" s="8"/>
      <c r="B20" s="4"/>
      <c r="C20" s="70" t="s">
        <v>252</v>
      </c>
      <c r="D20" s="4"/>
      <c r="E20" s="4"/>
      <c r="F20" s="4"/>
      <c r="G20" s="4"/>
      <c r="H20" s="4"/>
      <c r="I20" s="33">
        <v>1191391</v>
      </c>
      <c r="J20" s="4"/>
      <c r="K20" s="155" t="s">
        <v>173</v>
      </c>
      <c r="L20" s="4"/>
      <c r="M20" s="4"/>
    </row>
    <row r="21" spans="1:13" x14ac:dyDescent="0.25">
      <c r="A21" s="8"/>
      <c r="B21" s="4"/>
      <c r="C21" s="4" t="s">
        <v>253</v>
      </c>
      <c r="D21" s="4"/>
      <c r="E21" s="4"/>
      <c r="F21" s="4"/>
      <c r="G21" s="31"/>
      <c r="H21" s="4"/>
      <c r="I21" s="34">
        <f>AVERAGE(I19:I20)</f>
        <v>1314602</v>
      </c>
      <c r="J21" s="4"/>
      <c r="K21" s="4"/>
      <c r="L21" s="4"/>
      <c r="M21" s="4"/>
    </row>
    <row r="22" spans="1:13" x14ac:dyDescent="0.25">
      <c r="A22" s="8"/>
      <c r="B22" s="4"/>
      <c r="C22" s="18" t="s">
        <v>254</v>
      </c>
      <c r="D22" s="4"/>
      <c r="E22" s="4"/>
      <c r="F22" s="4"/>
      <c r="G22" s="31"/>
      <c r="H22" s="4"/>
      <c r="I22" s="33">
        <v>1742747</v>
      </c>
      <c r="J22" s="4"/>
      <c r="K22" s="155" t="s">
        <v>174</v>
      </c>
      <c r="L22" s="4"/>
      <c r="M22" s="4"/>
    </row>
    <row r="23" spans="1:13" x14ac:dyDescent="0.25">
      <c r="A23" s="8"/>
      <c r="B23" s="4"/>
      <c r="C23" s="18" t="s">
        <v>257</v>
      </c>
      <c r="D23" s="4"/>
      <c r="E23" s="4"/>
      <c r="F23" s="4"/>
      <c r="G23" s="12"/>
      <c r="H23" s="4"/>
      <c r="I23" s="34">
        <f>I21-I22</f>
        <v>-428145</v>
      </c>
      <c r="J23" s="4"/>
      <c r="K23" s="4"/>
      <c r="L23" s="4"/>
      <c r="M23" s="4"/>
    </row>
    <row r="24" spans="1:13" x14ac:dyDescent="0.25">
      <c r="C24" s="18" t="s">
        <v>107</v>
      </c>
      <c r="D24" s="4"/>
      <c r="E24" s="4"/>
      <c r="F24" s="4"/>
      <c r="G24" s="4"/>
      <c r="H24" s="4"/>
      <c r="I24" s="53">
        <f>'PC4p2-SalaryOH'!C86</f>
        <v>0.68098818252986026</v>
      </c>
    </row>
    <row r="25" spans="1:13" x14ac:dyDescent="0.25">
      <c r="C25" s="18" t="s">
        <v>677</v>
      </c>
      <c r="D25" s="4"/>
      <c r="E25" s="4"/>
      <c r="F25" s="4"/>
      <c r="G25" s="4"/>
      <c r="H25" s="4"/>
      <c r="I25" s="54">
        <f>I23*I24</f>
        <v>-291561.685409247</v>
      </c>
    </row>
    <row r="27" spans="1:13" x14ac:dyDescent="0.25">
      <c r="C27" s="3" t="s">
        <v>276</v>
      </c>
    </row>
    <row r="28" spans="1:13" x14ac:dyDescent="0.25">
      <c r="C28" s="13" t="s">
        <v>299</v>
      </c>
    </row>
    <row r="29" spans="1:13" x14ac:dyDescent="0.25">
      <c r="C29" s="13" t="s">
        <v>300</v>
      </c>
    </row>
  </sheetData>
  <pageMargins left="0.7" right="0.7" top="0.75" bottom="0.75" header="0.3" footer="0.3"/>
  <pageSetup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workbookViewId="0">
      <selection activeCell="F3" sqref="F3"/>
    </sheetView>
  </sheetViews>
  <sheetFormatPr defaultRowHeight="15.75" x14ac:dyDescent="0.25"/>
  <cols>
    <col min="1" max="1" width="17.625" customWidth="1"/>
    <col min="2" max="2" width="14.75" customWidth="1"/>
    <col min="3" max="3" width="9.625" customWidth="1"/>
    <col min="4" max="4" width="12" customWidth="1"/>
    <col min="5" max="5" width="10.875" customWidth="1"/>
    <col min="6" max="6" width="12.125" customWidth="1"/>
  </cols>
  <sheetData>
    <row r="1" spans="1:6" x14ac:dyDescent="0.25">
      <c r="A1" s="487" t="s">
        <v>392</v>
      </c>
      <c r="F1" s="334" t="s">
        <v>275</v>
      </c>
    </row>
    <row r="2" spans="1:6" x14ac:dyDescent="0.25">
      <c r="A2" t="s">
        <v>272</v>
      </c>
      <c r="F2" s="334" t="s">
        <v>189</v>
      </c>
    </row>
    <row r="3" spans="1:6" x14ac:dyDescent="0.25">
      <c r="A3" t="s">
        <v>273</v>
      </c>
      <c r="F3" s="521" t="s">
        <v>748</v>
      </c>
    </row>
    <row r="4" spans="1:6" x14ac:dyDescent="0.25">
      <c r="F4" s="334" t="s">
        <v>730</v>
      </c>
    </row>
    <row r="5" spans="1:6" x14ac:dyDescent="0.25">
      <c r="A5" t="s">
        <v>675</v>
      </c>
      <c r="E5" s="178"/>
      <c r="F5" s="178"/>
    </row>
    <row r="6" spans="1:6" x14ac:dyDescent="0.25">
      <c r="A6" s="157" t="s">
        <v>678</v>
      </c>
      <c r="E6" s="178"/>
      <c r="F6" s="178"/>
    </row>
    <row r="7" spans="1:6" x14ac:dyDescent="0.25">
      <c r="A7" s="91"/>
      <c r="B7" s="92" t="s">
        <v>61</v>
      </c>
      <c r="C7" s="93"/>
      <c r="D7" s="22" t="s">
        <v>146</v>
      </c>
      <c r="E7" s="178" t="s">
        <v>8</v>
      </c>
      <c r="F7" s="178" t="s">
        <v>129</v>
      </c>
    </row>
    <row r="8" spans="1:6" x14ac:dyDescent="0.25">
      <c r="A8" s="94" t="s">
        <v>71</v>
      </c>
      <c r="B8" s="95" t="s">
        <v>274</v>
      </c>
      <c r="C8" s="96" t="s">
        <v>8</v>
      </c>
      <c r="D8" s="97" t="s">
        <v>72</v>
      </c>
      <c r="E8" s="495" t="s">
        <v>69</v>
      </c>
      <c r="F8" s="495" t="s">
        <v>2</v>
      </c>
    </row>
    <row r="9" spans="1:6" x14ac:dyDescent="0.25">
      <c r="A9" s="68" t="s">
        <v>131</v>
      </c>
      <c r="B9" s="100">
        <v>67884043.425930023</v>
      </c>
      <c r="C9" s="101">
        <f t="shared" ref="C9:C40" si="0">B9/$B$90</f>
        <v>9.7688313701874058E-2</v>
      </c>
      <c r="D9" s="98">
        <f t="shared" ref="D9:D40" si="1">C9*$D$90</f>
        <v>-41824.763069888868</v>
      </c>
      <c r="E9" s="113">
        <v>0</v>
      </c>
      <c r="F9" s="496">
        <f>D9*E9</f>
        <v>0</v>
      </c>
    </row>
    <row r="10" spans="1:6" x14ac:dyDescent="0.25">
      <c r="A10" s="68" t="s">
        <v>132</v>
      </c>
      <c r="B10" s="100">
        <v>7473965.8163556829</v>
      </c>
      <c r="C10" s="101">
        <f t="shared" si="0"/>
        <v>1.075538639742178E-2</v>
      </c>
      <c r="D10" s="98">
        <f t="shared" si="1"/>
        <v>-4604.8649091241477</v>
      </c>
      <c r="E10" s="113">
        <v>0.22437004168265501</v>
      </c>
      <c r="F10" s="496">
        <f t="shared" ref="F10:F73" si="2">D10*E10</f>
        <v>-1033.1937316031804</v>
      </c>
    </row>
    <row r="11" spans="1:6" x14ac:dyDescent="0.25">
      <c r="A11" s="68" t="s">
        <v>63</v>
      </c>
      <c r="B11" s="100">
        <v>5688.354078993184</v>
      </c>
      <c r="C11" s="101">
        <f t="shared" si="0"/>
        <v>8.1858075870560602E-6</v>
      </c>
      <c r="D11" s="98">
        <f t="shared" si="1"/>
        <v>-3.5047125893601168</v>
      </c>
      <c r="E11" s="113">
        <v>8.2285226967736394E-2</v>
      </c>
      <c r="F11" s="496">
        <f t="shared" si="2"/>
        <v>-0.28838607087218032</v>
      </c>
    </row>
    <row r="12" spans="1:6" x14ac:dyDescent="0.25">
      <c r="A12" s="68" t="s">
        <v>133</v>
      </c>
      <c r="B12" s="102">
        <v>1840130.5347571312</v>
      </c>
      <c r="C12" s="101">
        <f t="shared" si="0"/>
        <v>2.6480339098818076E-3</v>
      </c>
      <c r="D12" s="98">
        <f t="shared" si="1"/>
        <v>-1133.7424783463466</v>
      </c>
      <c r="E12" s="113">
        <v>0</v>
      </c>
      <c r="F12" s="496">
        <f t="shared" si="2"/>
        <v>0</v>
      </c>
    </row>
    <row r="13" spans="1:6" x14ac:dyDescent="0.25">
      <c r="A13" s="137" t="s">
        <v>134</v>
      </c>
      <c r="B13" s="100">
        <v>651466.40833665896</v>
      </c>
      <c r="C13" s="101">
        <f t="shared" si="0"/>
        <v>9.3749063332187381E-4</v>
      </c>
      <c r="D13" s="98">
        <f t="shared" si="1"/>
        <v>-401.38192720359365</v>
      </c>
      <c r="E13" s="113">
        <v>0.22730931045735822</v>
      </c>
      <c r="F13" s="496">
        <f t="shared" si="2"/>
        <v>-91.237849102694426</v>
      </c>
    </row>
    <row r="14" spans="1:6" x14ac:dyDescent="0.25">
      <c r="A14" s="68" t="s">
        <v>64</v>
      </c>
      <c r="B14" s="100">
        <v>325823.58490444999</v>
      </c>
      <c r="C14" s="101">
        <f t="shared" si="0"/>
        <v>4.6887537876768779E-4</v>
      </c>
      <c r="D14" s="98">
        <f t="shared" si="1"/>
        <v>-200.7466490424917</v>
      </c>
      <c r="E14" s="113">
        <v>7.6800559158639092E-2</v>
      </c>
      <c r="F14" s="496">
        <f t="shared" si="2"/>
        <v>-15.417454895686443</v>
      </c>
    </row>
    <row r="15" spans="1:6" x14ac:dyDescent="0.25">
      <c r="A15" s="68" t="s">
        <v>196</v>
      </c>
      <c r="B15" s="100">
        <v>119826.97067672609</v>
      </c>
      <c r="C15" s="101">
        <f t="shared" si="0"/>
        <v>1.7243661559709033E-4</v>
      </c>
      <c r="D15" s="98">
        <f t="shared" si="1"/>
        <v>-73.827874784816231</v>
      </c>
      <c r="E15" s="113">
        <v>0</v>
      </c>
      <c r="F15" s="496">
        <f t="shared" si="2"/>
        <v>0</v>
      </c>
    </row>
    <row r="16" spans="1:6" x14ac:dyDescent="0.25">
      <c r="A16" s="68" t="s">
        <v>135</v>
      </c>
      <c r="B16" s="100">
        <v>2139.63</v>
      </c>
      <c r="C16" s="101">
        <f t="shared" si="0"/>
        <v>3.0790276491706669E-6</v>
      </c>
      <c r="D16" s="98">
        <f t="shared" si="1"/>
        <v>-1.3182702928541752</v>
      </c>
      <c r="E16" s="113">
        <v>0.22565052397253504</v>
      </c>
      <c r="F16" s="496">
        <f t="shared" si="2"/>
        <v>-0.29746838231997186</v>
      </c>
    </row>
    <row r="17" spans="1:6" x14ac:dyDescent="0.25">
      <c r="A17" s="68" t="s">
        <v>197</v>
      </c>
      <c r="B17" s="100">
        <v>32126887.385325186</v>
      </c>
      <c r="C17" s="101">
        <f t="shared" si="0"/>
        <v>4.6232093652270982E-2</v>
      </c>
      <c r="D17" s="98">
        <f t="shared" si="1"/>
        <v>-19794.039736751558</v>
      </c>
      <c r="E17" s="113">
        <v>0</v>
      </c>
      <c r="F17" s="496">
        <f t="shared" si="2"/>
        <v>0</v>
      </c>
    </row>
    <row r="18" spans="1:6" x14ac:dyDescent="0.25">
      <c r="A18" s="68" t="s">
        <v>198</v>
      </c>
      <c r="B18" s="100">
        <v>18043997.810790766</v>
      </c>
      <c r="C18" s="101">
        <f t="shared" si="0"/>
        <v>2.5966156840668598E-2</v>
      </c>
      <c r="D18" s="98">
        <f t="shared" si="1"/>
        <v>-11117.280220548057</v>
      </c>
      <c r="E18" s="113">
        <v>0.22437004168265501</v>
      </c>
      <c r="F18" s="496">
        <f t="shared" si="2"/>
        <v>-2494.3846264821236</v>
      </c>
    </row>
    <row r="19" spans="1:6" x14ac:dyDescent="0.25">
      <c r="A19" s="68" t="s">
        <v>199</v>
      </c>
      <c r="B19" s="100">
        <v>-82229.878538628589</v>
      </c>
      <c r="C19" s="101">
        <f t="shared" si="0"/>
        <v>-1.1833264144192363E-4</v>
      </c>
      <c r="D19" s="98">
        <f t="shared" si="1"/>
        <v>50.663528770152389</v>
      </c>
      <c r="E19" s="113">
        <v>0.22565052397253504</v>
      </c>
      <c r="F19" s="496">
        <f t="shared" si="2"/>
        <v>11.432251813282491</v>
      </c>
    </row>
    <row r="20" spans="1:6" x14ac:dyDescent="0.25">
      <c r="A20" s="68" t="s">
        <v>136</v>
      </c>
      <c r="B20" s="100">
        <v>7468677.1259951256</v>
      </c>
      <c r="C20" s="101">
        <f t="shared" si="0"/>
        <v>1.0747775724619445E-2</v>
      </c>
      <c r="D20" s="98">
        <f t="shared" si="1"/>
        <v>-4601.6064376171926</v>
      </c>
      <c r="E20" s="113">
        <v>0</v>
      </c>
      <c r="F20" s="496">
        <f t="shared" si="2"/>
        <v>0</v>
      </c>
    </row>
    <row r="21" spans="1:6" x14ac:dyDescent="0.25">
      <c r="A21" s="68" t="s">
        <v>137</v>
      </c>
      <c r="B21" s="100">
        <v>7865931.746117129</v>
      </c>
      <c r="C21" s="101">
        <f t="shared" si="0"/>
        <v>1.1319443704184341E-2</v>
      </c>
      <c r="D21" s="98">
        <f t="shared" si="1"/>
        <v>-4846.3632247280048</v>
      </c>
      <c r="E21" s="113">
        <v>0.22565052397253504</v>
      </c>
      <c r="F21" s="496">
        <f t="shared" si="2"/>
        <v>-1093.584401021099</v>
      </c>
    </row>
    <row r="22" spans="1:6" x14ac:dyDescent="0.25">
      <c r="A22" s="68" t="s">
        <v>200</v>
      </c>
      <c r="B22" s="100">
        <v>990352.84525628691</v>
      </c>
      <c r="C22" s="101">
        <f t="shared" si="0"/>
        <v>1.4251640671419574E-3</v>
      </c>
      <c r="D22" s="98">
        <f t="shared" si="1"/>
        <v>-610.17686952649331</v>
      </c>
      <c r="E22" s="113">
        <v>0</v>
      </c>
      <c r="F22" s="496">
        <f t="shared" si="2"/>
        <v>0</v>
      </c>
    </row>
    <row r="23" spans="1:6" x14ac:dyDescent="0.25">
      <c r="A23" s="68" t="s">
        <v>201</v>
      </c>
      <c r="B23" s="100">
        <v>2788048.901278784</v>
      </c>
      <c r="C23" s="101">
        <f t="shared" si="0"/>
        <v>4.0121327772919971E-3</v>
      </c>
      <c r="D23" s="98">
        <f t="shared" si="1"/>
        <v>-1717.7745879336821</v>
      </c>
      <c r="E23" s="113">
        <v>0.22565052397253504</v>
      </c>
      <c r="F23" s="496">
        <f t="shared" si="2"/>
        <v>-387.61673583394082</v>
      </c>
    </row>
    <row r="24" spans="1:6" x14ac:dyDescent="0.25">
      <c r="A24" s="68" t="s">
        <v>202</v>
      </c>
      <c r="B24" s="100">
        <v>54802.150907052463</v>
      </c>
      <c r="C24" s="101">
        <f t="shared" si="0"/>
        <v>7.8862858474052931E-5</v>
      </c>
      <c r="D24" s="98">
        <f t="shared" si="1"/>
        <v>-33.76473854137339</v>
      </c>
      <c r="E24" s="113">
        <v>0</v>
      </c>
      <c r="F24" s="496">
        <f t="shared" si="2"/>
        <v>0</v>
      </c>
    </row>
    <row r="25" spans="1:6" x14ac:dyDescent="0.25">
      <c r="A25" s="68" t="s">
        <v>203</v>
      </c>
      <c r="B25" s="100">
        <v>17719.469690664984</v>
      </c>
      <c r="C25" s="101">
        <f t="shared" si="0"/>
        <v>2.5499145696311553E-5</v>
      </c>
      <c r="D25" s="98">
        <f t="shared" si="1"/>
        <v>-10.917331734147311</v>
      </c>
      <c r="E25" s="113">
        <v>0.22565052397253504</v>
      </c>
      <c r="F25" s="496">
        <f t="shared" si="2"/>
        <v>-2.4635016261923255</v>
      </c>
    </row>
    <row r="26" spans="1:6" x14ac:dyDescent="0.25">
      <c r="A26" s="68" t="s">
        <v>204</v>
      </c>
      <c r="B26" s="100">
        <v>4986210.316771457</v>
      </c>
      <c r="C26" s="101">
        <f t="shared" si="0"/>
        <v>7.1753898711082497E-3</v>
      </c>
      <c r="D26" s="98">
        <f t="shared" si="1"/>
        <v>-3072.1072963656416</v>
      </c>
      <c r="E26" s="113">
        <v>0</v>
      </c>
      <c r="F26" s="496">
        <f t="shared" si="2"/>
        <v>0</v>
      </c>
    </row>
    <row r="27" spans="1:6" x14ac:dyDescent="0.25">
      <c r="A27" s="68" t="s">
        <v>205</v>
      </c>
      <c r="B27" s="100">
        <v>1718632.846716661</v>
      </c>
      <c r="C27" s="101">
        <f t="shared" si="0"/>
        <v>2.4731930538520641E-3</v>
      </c>
      <c r="D27" s="98">
        <f t="shared" si="1"/>
        <v>-1058.8852400414919</v>
      </c>
      <c r="E27" s="113">
        <v>0.22565052397253504</v>
      </c>
      <c r="F27" s="496">
        <f t="shared" si="2"/>
        <v>-238.93800924214619</v>
      </c>
    </row>
    <row r="28" spans="1:6" x14ac:dyDescent="0.25">
      <c r="A28" s="68" t="s">
        <v>206</v>
      </c>
      <c r="B28" s="100">
        <v>505.11772648143074</v>
      </c>
      <c r="C28" s="101">
        <f t="shared" si="0"/>
        <v>7.2688803481094933E-7</v>
      </c>
      <c r="D28" s="98">
        <f t="shared" si="1"/>
        <v>-0.31121347766413388</v>
      </c>
      <c r="E28" s="113">
        <v>0</v>
      </c>
      <c r="F28" s="496">
        <f t="shared" si="2"/>
        <v>0</v>
      </c>
    </row>
    <row r="29" spans="1:6" x14ac:dyDescent="0.25">
      <c r="A29" s="68" t="s">
        <v>207</v>
      </c>
      <c r="B29" s="100">
        <v>1872310.5679591252</v>
      </c>
      <c r="C29" s="101">
        <f t="shared" si="0"/>
        <v>2.6943424828501103E-3</v>
      </c>
      <c r="D29" s="98">
        <f t="shared" si="1"/>
        <v>-1153.5692623198604</v>
      </c>
      <c r="E29" s="113">
        <v>8.2285226967736394E-2</v>
      </c>
      <c r="F29" s="496">
        <f t="shared" si="2"/>
        <v>-94.92170857299395</v>
      </c>
    </row>
    <row r="30" spans="1:6" x14ac:dyDescent="0.25">
      <c r="A30" s="68" t="s">
        <v>208</v>
      </c>
      <c r="B30" s="100">
        <v>1978477.6022114239</v>
      </c>
      <c r="C30" s="101">
        <f t="shared" si="0"/>
        <v>2.8471218110018358E-3</v>
      </c>
      <c r="D30" s="98">
        <f t="shared" si="1"/>
        <v>-1218.9809677713811</v>
      </c>
      <c r="E30" s="113">
        <v>0</v>
      </c>
      <c r="F30" s="496">
        <f t="shared" si="2"/>
        <v>0</v>
      </c>
    </row>
    <row r="31" spans="1:6" x14ac:dyDescent="0.25">
      <c r="A31" s="68" t="s">
        <v>209</v>
      </c>
      <c r="B31" s="100">
        <v>899293.5980669097</v>
      </c>
      <c r="C31" s="101">
        <f t="shared" si="0"/>
        <v>1.2941255512262343E-3</v>
      </c>
      <c r="D31" s="98">
        <f t="shared" si="1"/>
        <v>-554.07338412975605</v>
      </c>
      <c r="E31" s="113">
        <v>0.22565052397253504</v>
      </c>
      <c r="F31" s="496">
        <f t="shared" si="2"/>
        <v>-125.02694944811513</v>
      </c>
    </row>
    <row r="32" spans="1:6" x14ac:dyDescent="0.25">
      <c r="A32" s="68" t="s">
        <v>65</v>
      </c>
      <c r="B32" s="100">
        <v>26766065.187209137</v>
      </c>
      <c r="C32" s="101">
        <f t="shared" si="0"/>
        <v>3.851761976179123E-2</v>
      </c>
      <c r="D32" s="98">
        <f t="shared" si="1"/>
        <v>-16491.126312912107</v>
      </c>
      <c r="E32" s="113">
        <v>8.2285226967736394E-2</v>
      </c>
      <c r="F32" s="496">
        <f t="shared" si="2"/>
        <v>-1356.9760716115825</v>
      </c>
    </row>
    <row r="33" spans="1:6" x14ac:dyDescent="0.25">
      <c r="A33" s="68" t="s">
        <v>138</v>
      </c>
      <c r="B33" s="100">
        <v>9704036.161406856</v>
      </c>
      <c r="C33" s="101">
        <f t="shared" si="0"/>
        <v>1.3964561933382731E-2</v>
      </c>
      <c r="D33" s="98">
        <f t="shared" si="1"/>
        <v>-5978.8573689681489</v>
      </c>
      <c r="E33" s="113">
        <v>0</v>
      </c>
      <c r="F33" s="496">
        <f t="shared" si="2"/>
        <v>0</v>
      </c>
    </row>
    <row r="34" spans="1:6" x14ac:dyDescent="0.25">
      <c r="A34" s="68" t="s">
        <v>139</v>
      </c>
      <c r="B34" s="100">
        <v>134529.60273698869</v>
      </c>
      <c r="C34" s="101">
        <f t="shared" si="0"/>
        <v>1.9359439083352448E-4</v>
      </c>
      <c r="D34" s="98">
        <f t="shared" si="1"/>
        <v>-82.886470463419343</v>
      </c>
      <c r="E34" s="113">
        <v>0.22565052397253504</v>
      </c>
      <c r="F34" s="496">
        <f t="shared" si="2"/>
        <v>-18.703375490304623</v>
      </c>
    </row>
    <row r="35" spans="1:6" x14ac:dyDescent="0.25">
      <c r="A35" s="68" t="s">
        <v>140</v>
      </c>
      <c r="B35" s="100">
        <v>1640286.7030886197</v>
      </c>
      <c r="C35" s="101">
        <f t="shared" si="0"/>
        <v>2.3604492886045046E-3</v>
      </c>
      <c r="D35" s="98">
        <f t="shared" si="1"/>
        <v>-1010.6145606695757</v>
      </c>
      <c r="E35" s="113">
        <v>0.22437004168265501</v>
      </c>
      <c r="F35" s="496">
        <f t="shared" si="2"/>
        <v>-226.75163110253078</v>
      </c>
    </row>
    <row r="36" spans="1:6" x14ac:dyDescent="0.25">
      <c r="A36" s="68" t="s">
        <v>141</v>
      </c>
      <c r="B36" s="100">
        <v>3902219.1207062858</v>
      </c>
      <c r="C36" s="101">
        <f t="shared" si="0"/>
        <v>5.6154758373069651E-3</v>
      </c>
      <c r="D36" s="98">
        <f t="shared" si="1"/>
        <v>-2404.2379023637905</v>
      </c>
      <c r="E36" s="113">
        <v>0</v>
      </c>
      <c r="F36" s="496">
        <f t="shared" si="2"/>
        <v>0</v>
      </c>
    </row>
    <row r="37" spans="1:6" x14ac:dyDescent="0.25">
      <c r="A37" s="68" t="s">
        <v>142</v>
      </c>
      <c r="B37" s="100">
        <v>204315.4936260535</v>
      </c>
      <c r="C37" s="101">
        <f t="shared" si="0"/>
        <v>2.940195519919668E-4</v>
      </c>
      <c r="D37" s="98">
        <f t="shared" si="1"/>
        <v>-125.88300108760063</v>
      </c>
      <c r="E37" s="113">
        <v>0.22565052397253504</v>
      </c>
      <c r="F37" s="496">
        <f t="shared" si="2"/>
        <v>-28.405565154652283</v>
      </c>
    </row>
    <row r="38" spans="1:6" x14ac:dyDescent="0.25">
      <c r="A38" s="68" t="s">
        <v>66</v>
      </c>
      <c r="B38" s="100">
        <v>15257490.955798399</v>
      </c>
      <c r="C38" s="101">
        <f t="shared" si="0"/>
        <v>2.195624314011051E-2</v>
      </c>
      <c r="D38" s="98">
        <f t="shared" si="1"/>
        <v>-9400.4557192226148</v>
      </c>
      <c r="E38" s="113">
        <v>8.2285226967736394E-2</v>
      </c>
      <c r="F38" s="496">
        <f t="shared" si="2"/>
        <v>-773.51863245638856</v>
      </c>
    </row>
    <row r="39" spans="1:6" x14ac:dyDescent="0.25">
      <c r="A39" s="68" t="s">
        <v>143</v>
      </c>
      <c r="B39" s="100">
        <v>23950.698454310346</v>
      </c>
      <c r="C39" s="101">
        <f t="shared" si="0"/>
        <v>3.4466175347032296E-5</v>
      </c>
      <c r="D39" s="98">
        <f t="shared" si="1"/>
        <v>-14.756520643955142</v>
      </c>
      <c r="E39" s="113">
        <v>0.22437004168265501</v>
      </c>
      <c r="F39" s="496">
        <f t="shared" si="2"/>
        <v>-3.3109211519751742</v>
      </c>
    </row>
    <row r="40" spans="1:6" x14ac:dyDescent="0.25">
      <c r="A40" s="68" t="s">
        <v>210</v>
      </c>
      <c r="B40" s="100">
        <v>-2077143.3667929284</v>
      </c>
      <c r="C40" s="101">
        <f t="shared" si="0"/>
        <v>-2.9891064612324911E-3</v>
      </c>
      <c r="D40" s="98">
        <f t="shared" si="1"/>
        <v>1279.770985844385</v>
      </c>
      <c r="E40" s="113">
        <v>0</v>
      </c>
      <c r="F40" s="496">
        <f t="shared" si="2"/>
        <v>0</v>
      </c>
    </row>
    <row r="41" spans="1:6" x14ac:dyDescent="0.25">
      <c r="A41" s="68" t="s">
        <v>211</v>
      </c>
      <c r="B41" s="100">
        <v>50701.957012414874</v>
      </c>
      <c r="C41" s="101">
        <f t="shared" ref="C41:C72" si="3">B41/$B$90</f>
        <v>7.296248767697592E-5</v>
      </c>
      <c r="D41" s="98">
        <f t="shared" ref="D41:D72" si="4">C41*$D$90</f>
        <v>-31.238524286458855</v>
      </c>
      <c r="E41" s="113">
        <v>0.22565052397253504</v>
      </c>
      <c r="F41" s="496">
        <f t="shared" si="2"/>
        <v>-7.0489893733682019</v>
      </c>
    </row>
    <row r="42" spans="1:6" x14ac:dyDescent="0.25">
      <c r="A42" s="68" t="s">
        <v>212</v>
      </c>
      <c r="B42" s="100">
        <v>3602262.440574009</v>
      </c>
      <c r="C42" s="101">
        <f t="shared" si="3"/>
        <v>5.183824144406453E-3</v>
      </c>
      <c r="D42" s="98">
        <f t="shared" si="4"/>
        <v>-2219.4283883069006</v>
      </c>
      <c r="E42" s="113">
        <v>8.2285226967736394E-2</v>
      </c>
      <c r="F42" s="496">
        <f t="shared" si="2"/>
        <v>-182.62616867047069</v>
      </c>
    </row>
    <row r="43" spans="1:6" x14ac:dyDescent="0.25">
      <c r="A43" s="68" t="s">
        <v>213</v>
      </c>
      <c r="B43" s="100">
        <v>79030.443447199534</v>
      </c>
      <c r="C43" s="101">
        <f t="shared" si="3"/>
        <v>1.1372850469480523E-4</v>
      </c>
      <c r="D43" s="98">
        <f t="shared" si="4"/>
        <v>-48.692290642557381</v>
      </c>
      <c r="E43" s="113">
        <v>0.22437004168265501</v>
      </c>
      <c r="F43" s="496">
        <f t="shared" si="2"/>
        <v>-10.925091281094552</v>
      </c>
    </row>
    <row r="44" spans="1:6" x14ac:dyDescent="0.25">
      <c r="A44" s="68" t="s">
        <v>99</v>
      </c>
      <c r="B44" s="100">
        <v>769363.03456823027</v>
      </c>
      <c r="C44" s="101">
        <f t="shared" si="3"/>
        <v>1.1071493929723497E-3</v>
      </c>
      <c r="D44" s="98">
        <f t="shared" si="4"/>
        <v>-474.02047685414669</v>
      </c>
      <c r="E44" s="113">
        <v>0</v>
      </c>
      <c r="F44" s="496">
        <f t="shared" si="2"/>
        <v>0</v>
      </c>
    </row>
    <row r="45" spans="1:6" x14ac:dyDescent="0.25">
      <c r="A45" s="68" t="s">
        <v>214</v>
      </c>
      <c r="B45" s="100">
        <v>1171533.2413468305</v>
      </c>
      <c r="C45" s="101">
        <f t="shared" si="3"/>
        <v>1.6858911316580078E-3</v>
      </c>
      <c r="D45" s="98">
        <f t="shared" si="4"/>
        <v>-721.80585856371772</v>
      </c>
      <c r="E45" s="113">
        <v>0</v>
      </c>
      <c r="F45" s="496">
        <f t="shared" si="2"/>
        <v>0</v>
      </c>
    </row>
    <row r="46" spans="1:6" x14ac:dyDescent="0.25">
      <c r="A46" s="68" t="s">
        <v>100</v>
      </c>
      <c r="B46" s="100">
        <v>7611604.7200949928</v>
      </c>
      <c r="C46" s="101">
        <f t="shared" si="3"/>
        <v>1.095345521783226E-2</v>
      </c>
      <c r="D46" s="98">
        <f t="shared" si="4"/>
        <v>-4689.667084238793</v>
      </c>
      <c r="E46" s="113">
        <v>0</v>
      </c>
      <c r="F46" s="496">
        <f t="shared" si="2"/>
        <v>0</v>
      </c>
    </row>
    <row r="47" spans="1:6" x14ac:dyDescent="0.25">
      <c r="A47" s="68" t="s">
        <v>67</v>
      </c>
      <c r="B47" s="100">
        <v>22783021.431030944</v>
      </c>
      <c r="C47" s="101">
        <f t="shared" si="3"/>
        <v>3.2785833493544268E-2</v>
      </c>
      <c r="D47" s="98">
        <f t="shared" si="4"/>
        <v>-14037.09068109351</v>
      </c>
      <c r="E47" s="113">
        <v>6.3308872574412173E-2</v>
      </c>
      <c r="F47" s="496">
        <f t="shared" si="2"/>
        <v>-888.67238524481763</v>
      </c>
    </row>
    <row r="48" spans="1:6" x14ac:dyDescent="0.25">
      <c r="A48" s="68" t="s">
        <v>111</v>
      </c>
      <c r="B48" s="100">
        <v>8978274.9582358953</v>
      </c>
      <c r="C48" s="101">
        <f t="shared" si="3"/>
        <v>1.2920157615225499E-2</v>
      </c>
      <c r="D48" s="98">
        <f t="shared" si="4"/>
        <v>-5531.7008821707213</v>
      </c>
      <c r="E48" s="113">
        <v>0</v>
      </c>
      <c r="F48" s="496">
        <f t="shared" si="2"/>
        <v>0</v>
      </c>
    </row>
    <row r="49" spans="1:6" x14ac:dyDescent="0.25">
      <c r="A49" s="68" t="s">
        <v>101</v>
      </c>
      <c r="B49" s="100">
        <v>1595821.2432592155</v>
      </c>
      <c r="C49" s="101">
        <f t="shared" si="3"/>
        <v>2.2964614120801414E-3</v>
      </c>
      <c r="D49" s="98">
        <f t="shared" si="4"/>
        <v>-983.21847127505214</v>
      </c>
      <c r="E49" s="113">
        <v>1</v>
      </c>
      <c r="F49" s="496">
        <f t="shared" si="2"/>
        <v>-983.21847127505214</v>
      </c>
    </row>
    <row r="50" spans="1:6" x14ac:dyDescent="0.25">
      <c r="A50" s="68" t="s">
        <v>112</v>
      </c>
      <c r="B50" s="100">
        <v>2099728.7106250674</v>
      </c>
      <c r="C50" s="101">
        <f t="shared" si="3"/>
        <v>3.0216078274150466E-3</v>
      </c>
      <c r="D50" s="98">
        <f t="shared" si="4"/>
        <v>-1293.6862832686152</v>
      </c>
      <c r="E50" s="113">
        <v>0</v>
      </c>
      <c r="F50" s="496">
        <f t="shared" si="2"/>
        <v>0</v>
      </c>
    </row>
    <row r="51" spans="1:6" x14ac:dyDescent="0.25">
      <c r="A51" s="68" t="s">
        <v>113</v>
      </c>
      <c r="B51" s="100">
        <v>210694.69676372391</v>
      </c>
      <c r="C51" s="101">
        <f t="shared" si="3"/>
        <v>3.0319952368827101E-4</v>
      </c>
      <c r="D51" s="98">
        <f t="shared" si="4"/>
        <v>-129.8133600695148</v>
      </c>
      <c r="E51" s="113">
        <v>0</v>
      </c>
      <c r="F51" s="496">
        <f t="shared" si="2"/>
        <v>0</v>
      </c>
    </row>
    <row r="52" spans="1:6" x14ac:dyDescent="0.25">
      <c r="A52" s="68" t="s">
        <v>215</v>
      </c>
      <c r="B52" s="100">
        <v>2388140.3720043534</v>
      </c>
      <c r="C52" s="101">
        <f t="shared" si="3"/>
        <v>3.4366456983226661E-3</v>
      </c>
      <c r="D52" s="98">
        <f t="shared" si="4"/>
        <v>-1471.3826725083579</v>
      </c>
      <c r="E52" s="113">
        <v>0</v>
      </c>
      <c r="F52" s="496">
        <f t="shared" si="2"/>
        <v>0</v>
      </c>
    </row>
    <row r="53" spans="1:6" x14ac:dyDescent="0.25">
      <c r="A53" s="68" t="s">
        <v>216</v>
      </c>
      <c r="B53" s="100">
        <v>2338721.3480784995</v>
      </c>
      <c r="C53" s="101">
        <f t="shared" si="3"/>
        <v>3.3655294113652339E-3</v>
      </c>
      <c r="D53" s="98">
        <f t="shared" si="4"/>
        <v>-1440.934589828968</v>
      </c>
      <c r="E53" s="113">
        <v>0</v>
      </c>
      <c r="F53" s="496">
        <f t="shared" si="2"/>
        <v>0</v>
      </c>
    </row>
    <row r="54" spans="1:6" x14ac:dyDescent="0.25">
      <c r="A54" s="68" t="s">
        <v>217</v>
      </c>
      <c r="B54" s="100">
        <v>11729860.600978389</v>
      </c>
      <c r="C54" s="101">
        <f t="shared" si="3"/>
        <v>1.6879818057949327E-2</v>
      </c>
      <c r="D54" s="98">
        <f t="shared" si="4"/>
        <v>-7227.0097024207143</v>
      </c>
      <c r="E54" s="113">
        <v>0</v>
      </c>
      <c r="F54" s="496">
        <f t="shared" si="2"/>
        <v>0</v>
      </c>
    </row>
    <row r="55" spans="1:6" x14ac:dyDescent="0.25">
      <c r="A55" s="68" t="s">
        <v>218</v>
      </c>
      <c r="B55" s="100">
        <v>8556255.8106250465</v>
      </c>
      <c r="C55" s="101">
        <f t="shared" si="3"/>
        <v>1.2312852322266792E-2</v>
      </c>
      <c r="D55" s="98">
        <f t="shared" si="4"/>
        <v>-5271.686157516916</v>
      </c>
      <c r="E55" s="113">
        <v>6.3308872574412173E-2</v>
      </c>
      <c r="F55" s="496">
        <f t="shared" si="2"/>
        <v>-333.74450719853098</v>
      </c>
    </row>
    <row r="56" spans="1:6" x14ac:dyDescent="0.25">
      <c r="A56" s="68" t="s">
        <v>219</v>
      </c>
      <c r="B56" s="100">
        <v>15203315.496409655</v>
      </c>
      <c r="C56" s="101">
        <f t="shared" si="3"/>
        <v>2.1878282120044206E-2</v>
      </c>
      <c r="D56" s="98">
        <f t="shared" si="4"/>
        <v>-9367.0770982863269</v>
      </c>
      <c r="E56" s="113">
        <v>0</v>
      </c>
      <c r="F56" s="496">
        <f t="shared" si="2"/>
        <v>0</v>
      </c>
    </row>
    <row r="57" spans="1:6" x14ac:dyDescent="0.25">
      <c r="A57" s="68" t="s">
        <v>220</v>
      </c>
      <c r="B57" s="100">
        <v>1776047.9294476043</v>
      </c>
      <c r="C57" s="101">
        <f t="shared" si="3"/>
        <v>2.5558160434381119E-3</v>
      </c>
      <c r="D57" s="98">
        <f t="shared" si="4"/>
        <v>-1094.2598599178104</v>
      </c>
      <c r="E57" s="113">
        <v>1</v>
      </c>
      <c r="F57" s="496">
        <f t="shared" si="2"/>
        <v>-1094.2598599178104</v>
      </c>
    </row>
    <row r="58" spans="1:6" x14ac:dyDescent="0.25">
      <c r="A58" s="68" t="s">
        <v>221</v>
      </c>
      <c r="B58" s="100">
        <v>2589172.4950823546</v>
      </c>
      <c r="C58" s="101">
        <f t="shared" si="3"/>
        <v>3.7259403265194322E-3</v>
      </c>
      <c r="D58" s="98">
        <f t="shared" si="4"/>
        <v>-1595.2427210976623</v>
      </c>
      <c r="E58" s="113">
        <v>0</v>
      </c>
      <c r="F58" s="496">
        <f t="shared" si="2"/>
        <v>0</v>
      </c>
    </row>
    <row r="59" spans="1:6" x14ac:dyDescent="0.25">
      <c r="A59" s="68" t="s">
        <v>222</v>
      </c>
      <c r="B59" s="100">
        <v>423247.94893862976</v>
      </c>
      <c r="C59" s="101">
        <f t="shared" si="3"/>
        <v>6.0907359554540532E-4</v>
      </c>
      <c r="D59" s="98">
        <f t="shared" si="4"/>
        <v>-260.77181456478758</v>
      </c>
      <c r="E59" s="113">
        <v>0</v>
      </c>
      <c r="F59" s="496">
        <f t="shared" si="2"/>
        <v>0</v>
      </c>
    </row>
    <row r="60" spans="1:6" x14ac:dyDescent="0.25">
      <c r="A60" s="68" t="s">
        <v>223</v>
      </c>
      <c r="B60" s="100">
        <v>33641169.054122895</v>
      </c>
      <c r="C60" s="101">
        <f t="shared" si="3"/>
        <v>4.8411215802764501E-2</v>
      </c>
      <c r="D60" s="98">
        <f t="shared" si="4"/>
        <v>-20727.019989874607</v>
      </c>
      <c r="E60" s="113">
        <v>6.8836744172887168E-2</v>
      </c>
      <c r="F60" s="496">
        <f t="shared" si="2"/>
        <v>-1426.7805725093167</v>
      </c>
    </row>
    <row r="61" spans="1:6" x14ac:dyDescent="0.25">
      <c r="A61" s="68" t="s">
        <v>224</v>
      </c>
      <c r="B61" s="100">
        <v>1161282.7833100678</v>
      </c>
      <c r="C61" s="101">
        <f t="shared" si="3"/>
        <v>1.6711402430876212E-3</v>
      </c>
      <c r="D61" s="98">
        <f t="shared" si="4"/>
        <v>-715.4903393767496</v>
      </c>
      <c r="E61" s="113">
        <v>0</v>
      </c>
      <c r="F61" s="496">
        <f t="shared" si="2"/>
        <v>0</v>
      </c>
    </row>
    <row r="62" spans="1:6" x14ac:dyDescent="0.25">
      <c r="A62" s="68" t="s">
        <v>225</v>
      </c>
      <c r="B62" s="100">
        <v>1040862.3686785746</v>
      </c>
      <c r="C62" s="101">
        <f t="shared" si="3"/>
        <v>1.497849633881841E-3</v>
      </c>
      <c r="D62" s="98">
        <f t="shared" si="4"/>
        <v>-641.29683149834079</v>
      </c>
      <c r="E62" s="113">
        <v>0</v>
      </c>
      <c r="F62" s="496">
        <f t="shared" si="2"/>
        <v>0</v>
      </c>
    </row>
    <row r="63" spans="1:6" x14ac:dyDescent="0.25">
      <c r="A63" s="68" t="s">
        <v>226</v>
      </c>
      <c r="B63" s="100">
        <v>1565974.6592413117</v>
      </c>
      <c r="C63" s="101">
        <f t="shared" si="3"/>
        <v>2.2535107816326243E-3</v>
      </c>
      <c r="D63" s="98">
        <f t="shared" si="4"/>
        <v>-964.82937360209996</v>
      </c>
      <c r="E63" s="113">
        <v>0</v>
      </c>
      <c r="F63" s="496">
        <f t="shared" si="2"/>
        <v>0</v>
      </c>
    </row>
    <row r="64" spans="1:6" x14ac:dyDescent="0.25">
      <c r="A64" s="68" t="s">
        <v>227</v>
      </c>
      <c r="B64" s="100">
        <v>8659755.6641642787</v>
      </c>
      <c r="C64" s="101">
        <f t="shared" si="3"/>
        <v>1.2461793452617559E-2</v>
      </c>
      <c r="D64" s="98">
        <f t="shared" si="4"/>
        <v>-5335.454557770945</v>
      </c>
      <c r="E64" s="113">
        <v>0</v>
      </c>
      <c r="F64" s="496">
        <f t="shared" si="2"/>
        <v>0</v>
      </c>
    </row>
    <row r="65" spans="1:6" x14ac:dyDescent="0.25">
      <c r="A65" s="68" t="s">
        <v>228</v>
      </c>
      <c r="B65" s="100">
        <v>5063531.091486901</v>
      </c>
      <c r="C65" s="101">
        <f t="shared" si="3"/>
        <v>7.2866580825299201E-3</v>
      </c>
      <c r="D65" s="98">
        <f t="shared" si="4"/>
        <v>-3119.7462247447725</v>
      </c>
      <c r="E65" s="113">
        <v>0</v>
      </c>
      <c r="F65" s="496">
        <f t="shared" si="2"/>
        <v>0</v>
      </c>
    </row>
    <row r="66" spans="1:6" x14ac:dyDescent="0.25">
      <c r="A66" s="68" t="s">
        <v>229</v>
      </c>
      <c r="B66" s="100">
        <v>1052182.428081865</v>
      </c>
      <c r="C66" s="101">
        <f t="shared" si="3"/>
        <v>1.5141397288482535E-3</v>
      </c>
      <c r="D66" s="98">
        <f t="shared" si="4"/>
        <v>-648.2713542077355</v>
      </c>
      <c r="E66" s="113">
        <v>1</v>
      </c>
      <c r="F66" s="496">
        <f t="shared" si="2"/>
        <v>-648.2713542077355</v>
      </c>
    </row>
    <row r="67" spans="1:6" x14ac:dyDescent="0.25">
      <c r="A67" s="68" t="s">
        <v>230</v>
      </c>
      <c r="B67" s="100">
        <v>207320.58451035304</v>
      </c>
      <c r="C67" s="101">
        <f t="shared" si="3"/>
        <v>2.9834401833475925E-4</v>
      </c>
      <c r="D67" s="98">
        <f t="shared" si="4"/>
        <v>-127.73449972993549</v>
      </c>
      <c r="E67" s="113">
        <v>0</v>
      </c>
      <c r="F67" s="496">
        <f t="shared" si="2"/>
        <v>0</v>
      </c>
    </row>
    <row r="68" spans="1:6" x14ac:dyDescent="0.25">
      <c r="A68" s="68" t="s">
        <v>231</v>
      </c>
      <c r="B68" s="100">
        <v>2574115.8889564965</v>
      </c>
      <c r="C68" s="101">
        <f t="shared" si="3"/>
        <v>3.7042731660458035E-3</v>
      </c>
      <c r="D68" s="98">
        <f t="shared" si="4"/>
        <v>-1585.9660346766805</v>
      </c>
      <c r="E68" s="113">
        <v>6.8836744172887168E-2</v>
      </c>
      <c r="F68" s="496">
        <f t="shared" si="2"/>
        <v>-109.17273819592695</v>
      </c>
    </row>
    <row r="69" spans="1:6" x14ac:dyDescent="0.25">
      <c r="A69" s="68" t="s">
        <v>232</v>
      </c>
      <c r="B69" s="102">
        <v>1679460.0689229874</v>
      </c>
      <c r="C69" s="101">
        <f t="shared" si="3"/>
        <v>2.4168215943373163E-3</v>
      </c>
      <c r="D69" s="98">
        <f t="shared" si="4"/>
        <v>-1034.7500815075502</v>
      </c>
      <c r="E69" s="113">
        <v>0</v>
      </c>
      <c r="F69" s="496">
        <f t="shared" si="2"/>
        <v>0</v>
      </c>
    </row>
    <row r="70" spans="1:6" x14ac:dyDescent="0.25">
      <c r="A70" s="68" t="s">
        <v>233</v>
      </c>
      <c r="B70" s="102">
        <v>52704.45648905819</v>
      </c>
      <c r="C70" s="101">
        <f t="shared" si="3"/>
        <v>7.5844178088885707E-5</v>
      </c>
      <c r="D70" s="98">
        <f t="shared" si="4"/>
        <v>-32.472305627865971</v>
      </c>
      <c r="E70" s="113">
        <v>0</v>
      </c>
      <c r="F70" s="496">
        <f t="shared" si="2"/>
        <v>0</v>
      </c>
    </row>
    <row r="71" spans="1:6" x14ac:dyDescent="0.25">
      <c r="A71" s="68" t="s">
        <v>234</v>
      </c>
      <c r="B71" s="102">
        <v>355365.0965460015</v>
      </c>
      <c r="C71" s="101">
        <f t="shared" si="3"/>
        <v>5.1138699579616196E-4</v>
      </c>
      <c r="D71" s="98">
        <f t="shared" si="4"/>
        <v>-218.94778531514777</v>
      </c>
      <c r="E71" s="113">
        <v>0</v>
      </c>
      <c r="F71" s="496">
        <f t="shared" si="2"/>
        <v>0</v>
      </c>
    </row>
    <row r="72" spans="1:6" x14ac:dyDescent="0.25">
      <c r="A72" s="68" t="s">
        <v>235</v>
      </c>
      <c r="B72" s="102">
        <v>54425.557778113303</v>
      </c>
      <c r="C72" s="101">
        <f t="shared" si="3"/>
        <v>7.8320923346721872E-5</v>
      </c>
      <c r="D72" s="98">
        <f t="shared" si="4"/>
        <v>-33.532711726282237</v>
      </c>
      <c r="E72" s="113">
        <v>0</v>
      </c>
      <c r="F72" s="496">
        <f t="shared" si="2"/>
        <v>0</v>
      </c>
    </row>
    <row r="73" spans="1:6" x14ac:dyDescent="0.25">
      <c r="A73" s="68" t="s">
        <v>236</v>
      </c>
      <c r="B73" s="100">
        <v>2385041.6751109622</v>
      </c>
      <c r="C73" s="101">
        <f t="shared" ref="C73:C83" si="5">B73/$B$90</f>
        <v>3.4321865285544583E-3</v>
      </c>
      <c r="D73" s="98">
        <f t="shared" ref="D73:D83" si="6">C73*$D$90</f>
        <v>-1469.4735012679484</v>
      </c>
      <c r="E73" s="113">
        <v>0</v>
      </c>
      <c r="F73" s="496">
        <f t="shared" si="2"/>
        <v>0</v>
      </c>
    </row>
    <row r="74" spans="1:6" x14ac:dyDescent="0.25">
      <c r="A74" s="68" t="s">
        <v>237</v>
      </c>
      <c r="B74" s="102">
        <v>351194.63940799743</v>
      </c>
      <c r="C74" s="101">
        <f t="shared" si="5"/>
        <v>5.0538551290538376E-4</v>
      </c>
      <c r="D74" s="98">
        <f t="shared" si="6"/>
        <v>-216.37828042287552</v>
      </c>
      <c r="E74" s="113">
        <v>1</v>
      </c>
      <c r="F74" s="496">
        <f t="shared" ref="F74:F83" si="7">D74*E74</f>
        <v>-216.37828042287552</v>
      </c>
    </row>
    <row r="75" spans="1:6" x14ac:dyDescent="0.25">
      <c r="A75" s="68" t="s">
        <v>238</v>
      </c>
      <c r="B75" s="100">
        <v>1191314.8376383614</v>
      </c>
      <c r="C75" s="101">
        <f t="shared" si="5"/>
        <v>1.7143577739869877E-3</v>
      </c>
      <c r="D75" s="98">
        <f t="shared" si="6"/>
        <v>-733.99370914365886</v>
      </c>
      <c r="E75" s="113">
        <v>0</v>
      </c>
      <c r="F75" s="496">
        <f t="shared" si="7"/>
        <v>0</v>
      </c>
    </row>
    <row r="76" spans="1:6" x14ac:dyDescent="0.25">
      <c r="A76" s="68" t="s">
        <v>102</v>
      </c>
      <c r="B76" s="100">
        <v>32109.090801921579</v>
      </c>
      <c r="C76" s="101">
        <f t="shared" si="5"/>
        <v>4.6206483536334824E-5</v>
      </c>
      <c r="D76" s="98">
        <f t="shared" si="6"/>
        <v>-19.783074893664072</v>
      </c>
      <c r="E76" s="113">
        <v>0</v>
      </c>
      <c r="F76" s="496">
        <f t="shared" si="7"/>
        <v>0</v>
      </c>
    </row>
    <row r="77" spans="1:6" x14ac:dyDescent="0.25">
      <c r="A77" s="68" t="s">
        <v>103</v>
      </c>
      <c r="B77" s="100">
        <v>484962.67595560307</v>
      </c>
      <c r="C77" s="101">
        <f t="shared" si="5"/>
        <v>6.9788397437084751E-4</v>
      </c>
      <c r="D77" s="98">
        <f t="shared" si="6"/>
        <v>-298.79553420700648</v>
      </c>
      <c r="E77" s="113">
        <v>0</v>
      </c>
      <c r="F77" s="496">
        <f t="shared" si="7"/>
        <v>0</v>
      </c>
    </row>
    <row r="78" spans="1:6" x14ac:dyDescent="0.25">
      <c r="A78" s="68" t="s">
        <v>68</v>
      </c>
      <c r="B78" s="100">
        <v>101222865.95621783</v>
      </c>
      <c r="C78" s="101">
        <f t="shared" si="5"/>
        <v>0.14566443871486701</v>
      </c>
      <c r="D78" s="98">
        <f t="shared" si="6"/>
        <v>-62365.501113576734</v>
      </c>
      <c r="E78" s="113">
        <v>6.6548046661184135E-2</v>
      </c>
      <c r="F78" s="496">
        <f t="shared" si="7"/>
        <v>-4150.302278154436</v>
      </c>
    </row>
    <row r="79" spans="1:6" x14ac:dyDescent="0.25">
      <c r="A79" s="68" t="s">
        <v>104</v>
      </c>
      <c r="B79" s="100">
        <v>507733.63108115114</v>
      </c>
      <c r="C79" s="101">
        <f t="shared" si="5"/>
        <v>7.3065244388641182E-4</v>
      </c>
      <c r="D79" s="98">
        <f t="shared" si="6"/>
        <v>-312.82519058774778</v>
      </c>
      <c r="E79" s="113">
        <v>0</v>
      </c>
      <c r="F79" s="496">
        <f t="shared" si="7"/>
        <v>0</v>
      </c>
    </row>
    <row r="80" spans="1:6" x14ac:dyDescent="0.25">
      <c r="A80" s="68" t="s">
        <v>105</v>
      </c>
      <c r="B80" s="136">
        <v>414777.8111685231</v>
      </c>
      <c r="C80" s="101">
        <f t="shared" si="5"/>
        <v>5.968846711115344E-4</v>
      </c>
      <c r="D80" s="98">
        <f t="shared" si="6"/>
        <v>-255.5531875130479</v>
      </c>
      <c r="E80" s="113">
        <v>1</v>
      </c>
      <c r="F80" s="496">
        <f t="shared" si="7"/>
        <v>-255.5531875130479</v>
      </c>
    </row>
    <row r="81" spans="1:6" x14ac:dyDescent="0.25">
      <c r="A81" s="68" t="s">
        <v>239</v>
      </c>
      <c r="B81" s="136">
        <v>61606.268722206303</v>
      </c>
      <c r="C81" s="101">
        <f t="shared" si="5"/>
        <v>8.8654302266238212E-5</v>
      </c>
      <c r="D81" s="98">
        <f t="shared" si="6"/>
        <v>-37.956896243778559</v>
      </c>
      <c r="E81" s="113">
        <v>0</v>
      </c>
      <c r="F81" s="496">
        <f t="shared" si="7"/>
        <v>0</v>
      </c>
    </row>
    <row r="82" spans="1:6" x14ac:dyDescent="0.25">
      <c r="A82" s="68" t="s">
        <v>144</v>
      </c>
      <c r="B82" s="136">
        <v>920416.90510690771</v>
      </c>
      <c r="C82" s="101">
        <f t="shared" si="5"/>
        <v>1.3245229780795105E-3</v>
      </c>
      <c r="D82" s="98">
        <f t="shared" si="6"/>
        <v>-567.08789044985201</v>
      </c>
      <c r="E82" s="113">
        <v>0</v>
      </c>
      <c r="F82" s="496">
        <f t="shared" si="7"/>
        <v>0</v>
      </c>
    </row>
    <row r="83" spans="1:6" x14ac:dyDescent="0.25">
      <c r="A83" s="68" t="s">
        <v>240</v>
      </c>
      <c r="B83" s="136">
        <v>-3709.8577847316133</v>
      </c>
      <c r="C83" s="101">
        <f t="shared" si="5"/>
        <v>-5.3386588773197592E-6</v>
      </c>
      <c r="D83" s="98">
        <f t="shared" si="6"/>
        <v>2.2857201050300682</v>
      </c>
      <c r="E83" s="113">
        <v>0</v>
      </c>
      <c r="F83" s="496">
        <f t="shared" si="7"/>
        <v>0</v>
      </c>
    </row>
    <row r="84" spans="1:6" ht="7.5" customHeight="1" x14ac:dyDescent="0.25">
      <c r="A84" s="99"/>
      <c r="B84" s="103"/>
      <c r="C84" s="104"/>
      <c r="D84" s="79"/>
      <c r="E84" s="497"/>
      <c r="F84" s="498"/>
    </row>
    <row r="85" spans="1:6" ht="4.5" customHeight="1" x14ac:dyDescent="0.25">
      <c r="A85" s="99"/>
      <c r="B85" s="105"/>
      <c r="C85" s="106"/>
      <c r="D85" s="79"/>
      <c r="E85" s="499"/>
      <c r="F85" s="498"/>
    </row>
    <row r="86" spans="1:6" x14ac:dyDescent="0.25">
      <c r="A86" s="107" t="s">
        <v>106</v>
      </c>
      <c r="B86" s="108">
        <f>SUM(B9:B83)</f>
        <v>473221715.10178638</v>
      </c>
      <c r="C86" s="109">
        <f>SUM(C9:C83)</f>
        <v>0.68098818252986026</v>
      </c>
      <c r="D86" s="108">
        <f>SUM(D9:D83)</f>
        <v>-291561.685409247</v>
      </c>
      <c r="E86" s="80"/>
      <c r="F86" s="108">
        <f>SUM(F9:F85)</f>
        <v>-18280.558651400002</v>
      </c>
    </row>
    <row r="87" spans="1:6" ht="6.75" customHeight="1" x14ac:dyDescent="0.25">
      <c r="A87" s="99"/>
      <c r="B87" s="105"/>
      <c r="C87" s="106"/>
      <c r="D87" s="79"/>
      <c r="E87" s="80"/>
      <c r="F87" s="79"/>
    </row>
    <row r="88" spans="1:6" x14ac:dyDescent="0.25">
      <c r="A88" s="99" t="s">
        <v>145</v>
      </c>
      <c r="B88" s="102">
        <v>221682730</v>
      </c>
      <c r="C88" s="104">
        <f>B88/B90</f>
        <v>0.31901181747014001</v>
      </c>
      <c r="D88" s="98">
        <f>C88*$D$90</f>
        <v>-136583.31459075309</v>
      </c>
      <c r="E88" s="80"/>
      <c r="F88" s="79"/>
    </row>
    <row r="89" spans="1:6" ht="6" customHeight="1" x14ac:dyDescent="0.25">
      <c r="A89" s="99"/>
      <c r="B89" s="105"/>
      <c r="C89" s="106"/>
      <c r="D89" s="79"/>
      <c r="E89" s="80"/>
      <c r="F89" s="79"/>
    </row>
    <row r="90" spans="1:6" x14ac:dyDescent="0.25">
      <c r="A90" s="110" t="s">
        <v>4</v>
      </c>
      <c r="B90" s="111">
        <f>B86+B88</f>
        <v>694904445.10178638</v>
      </c>
      <c r="C90" s="112">
        <f>C86+C88</f>
        <v>1.0000000000000002</v>
      </c>
      <c r="D90" s="111">
        <f>PC4p1_SalaryOH!I23</f>
        <v>-428145</v>
      </c>
      <c r="E90" s="80"/>
      <c r="F90" s="79"/>
    </row>
  </sheetData>
  <pageMargins left="0.7" right="0.7" top="0.75" bottom="0.75" header="0.3" footer="0.3"/>
  <pageSetup scale="51"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workbookViewId="0">
      <selection activeCell="M3" sqref="M3"/>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s="487" t="s">
        <v>392</v>
      </c>
      <c r="L1" s="7"/>
      <c r="M1" s="334" t="s">
        <v>275</v>
      </c>
    </row>
    <row r="2" spans="1:13" x14ac:dyDescent="0.25">
      <c r="A2" t="s">
        <v>259</v>
      </c>
      <c r="L2" s="7"/>
      <c r="M2" s="334" t="s">
        <v>189</v>
      </c>
    </row>
    <row r="3" spans="1:13" x14ac:dyDescent="0.25">
      <c r="A3" t="s">
        <v>273</v>
      </c>
      <c r="L3" s="7"/>
      <c r="M3" s="521" t="s">
        <v>748</v>
      </c>
    </row>
    <row r="4" spans="1:13" x14ac:dyDescent="0.25">
      <c r="L4" s="7"/>
      <c r="M4" s="334" t="s">
        <v>731</v>
      </c>
    </row>
    <row r="5" spans="1:13" x14ac:dyDescent="0.25">
      <c r="A5" t="s">
        <v>680</v>
      </c>
      <c r="B5" s="7"/>
      <c r="C5" s="7"/>
      <c r="D5" s="7"/>
      <c r="E5" s="7"/>
      <c r="F5" s="7"/>
      <c r="G5" s="7"/>
      <c r="H5" s="7"/>
      <c r="I5" s="7"/>
      <c r="J5" s="7"/>
      <c r="K5" s="7"/>
      <c r="L5" s="7"/>
      <c r="M5" s="7"/>
    </row>
    <row r="6" spans="1:13" x14ac:dyDescent="0.25">
      <c r="A6" s="7"/>
      <c r="B6" s="7"/>
      <c r="C6" s="7"/>
      <c r="D6" s="15"/>
      <c r="E6" s="7"/>
      <c r="F6" s="7"/>
      <c r="G6" s="7"/>
      <c r="H6" s="7"/>
      <c r="I6" s="7"/>
      <c r="J6" s="7"/>
      <c r="K6" s="7"/>
      <c r="L6" s="7"/>
      <c r="M6" s="7"/>
    </row>
    <row r="7" spans="1:13" x14ac:dyDescent="0.25">
      <c r="A7" s="7"/>
      <c r="B7" s="7"/>
      <c r="C7" s="7"/>
      <c r="D7" s="7"/>
      <c r="E7" s="7"/>
      <c r="F7" s="7"/>
      <c r="H7" s="24"/>
      <c r="I7" s="24"/>
      <c r="J7" s="24"/>
      <c r="K7" s="24"/>
      <c r="L7" s="25"/>
      <c r="M7" s="7"/>
    </row>
    <row r="8" spans="1:13" x14ac:dyDescent="0.25">
      <c r="A8" s="7"/>
      <c r="B8" s="7"/>
      <c r="C8" s="7"/>
      <c r="D8" s="7"/>
      <c r="E8" s="7"/>
      <c r="F8" s="7"/>
      <c r="G8" s="25"/>
      <c r="H8" s="25"/>
      <c r="I8" s="25"/>
      <c r="J8" s="25"/>
      <c r="K8" s="25"/>
      <c r="L8" s="25"/>
      <c r="M8" s="7"/>
    </row>
    <row r="9" spans="1:13" x14ac:dyDescent="0.25">
      <c r="A9" t="s">
        <v>0</v>
      </c>
      <c r="E9" s="1"/>
      <c r="F9" s="1"/>
      <c r="G9" s="1" t="s">
        <v>4</v>
      </c>
      <c r="H9" s="1"/>
      <c r="I9" s="1"/>
      <c r="J9" s="1"/>
      <c r="K9" s="1"/>
      <c r="L9" s="1"/>
      <c r="M9" s="1" t="s">
        <v>129</v>
      </c>
    </row>
    <row r="10" spans="1:13" x14ac:dyDescent="0.25">
      <c r="A10" s="2" t="s">
        <v>3</v>
      </c>
      <c r="C10" s="2" t="s">
        <v>1</v>
      </c>
      <c r="E10" s="10" t="s">
        <v>62</v>
      </c>
      <c r="F10" s="1"/>
      <c r="G10" s="10" t="s">
        <v>6</v>
      </c>
      <c r="H10" s="1"/>
      <c r="I10" s="10" t="s">
        <v>7</v>
      </c>
      <c r="J10" s="1"/>
      <c r="K10" s="11" t="s">
        <v>9</v>
      </c>
      <c r="L10" s="1"/>
      <c r="M10" s="10" t="s">
        <v>8</v>
      </c>
    </row>
    <row r="12" spans="1:13" x14ac:dyDescent="0.25">
      <c r="C12" s="3" t="s">
        <v>171</v>
      </c>
    </row>
    <row r="13" spans="1:13" x14ac:dyDescent="0.25">
      <c r="A13" s="7">
        <v>1</v>
      </c>
      <c r="B13" s="7"/>
      <c r="C13" s="56" t="s">
        <v>262</v>
      </c>
      <c r="D13" s="7"/>
      <c r="E13" s="57" t="s">
        <v>172</v>
      </c>
      <c r="F13" s="7"/>
      <c r="G13" s="139">
        <f>-K20</f>
        <v>-132952</v>
      </c>
      <c r="H13" s="25"/>
      <c r="I13" s="116" t="s">
        <v>168</v>
      </c>
      <c r="J13" s="24"/>
      <c r="K13" s="67">
        <v>0.22437000000000001</v>
      </c>
      <c r="L13" s="25"/>
      <c r="M13" s="50">
        <f>G13*K13</f>
        <v>-29830.440240000004</v>
      </c>
    </row>
    <row r="14" spans="1:13" x14ac:dyDescent="0.25">
      <c r="A14" s="7">
        <v>2</v>
      </c>
      <c r="B14" s="7"/>
      <c r="C14" t="s">
        <v>175</v>
      </c>
      <c r="D14" s="7"/>
      <c r="E14" s="57" t="s">
        <v>172</v>
      </c>
      <c r="F14" s="7"/>
      <c r="G14" s="141">
        <f>-K21</f>
        <v>-176487</v>
      </c>
      <c r="H14" s="25"/>
      <c r="I14" s="116" t="s">
        <v>168</v>
      </c>
      <c r="J14" s="24"/>
      <c r="K14" s="140">
        <f>K13</f>
        <v>0.22437000000000001</v>
      </c>
      <c r="L14" s="25"/>
      <c r="M14" s="141">
        <f>G14*K14</f>
        <v>-39598.388190000005</v>
      </c>
    </row>
    <row r="16" spans="1:13" x14ac:dyDescent="0.25">
      <c r="A16">
        <v>3</v>
      </c>
      <c r="C16" t="s">
        <v>109</v>
      </c>
      <c r="G16" s="28">
        <f>SUM(G13:G15)</f>
        <v>-309439</v>
      </c>
      <c r="M16" s="28">
        <f>SUM(M13:M15)</f>
        <v>-69428.828430000009</v>
      </c>
    </row>
    <row r="18" spans="1:13" x14ac:dyDescent="0.25">
      <c r="I18" s="1" t="s">
        <v>169</v>
      </c>
      <c r="K18" s="1" t="s">
        <v>169</v>
      </c>
    </row>
    <row r="19" spans="1:13" x14ac:dyDescent="0.25">
      <c r="C19" s="3" t="s">
        <v>264</v>
      </c>
      <c r="G19" s="23" t="s">
        <v>166</v>
      </c>
      <c r="I19" s="23" t="s">
        <v>170</v>
      </c>
      <c r="K19" s="23" t="s">
        <v>98</v>
      </c>
      <c r="M19" s="3" t="s">
        <v>283</v>
      </c>
    </row>
    <row r="20" spans="1:13" x14ac:dyDescent="0.25">
      <c r="A20" t="s">
        <v>77</v>
      </c>
      <c r="C20" t="s">
        <v>260</v>
      </c>
      <c r="G20" s="32">
        <v>4648682</v>
      </c>
      <c r="I20" s="142">
        <v>2.86E-2</v>
      </c>
      <c r="K20" s="32">
        <f>ROUND(G20*I20,0)</f>
        <v>132952</v>
      </c>
    </row>
    <row r="21" spans="1:13" x14ac:dyDescent="0.25">
      <c r="A21" t="s">
        <v>78</v>
      </c>
      <c r="C21" t="s">
        <v>261</v>
      </c>
      <c r="G21" s="34">
        <v>5252603</v>
      </c>
      <c r="I21" s="142">
        <v>3.3599999999999998E-2</v>
      </c>
      <c r="K21" s="33">
        <f>ROUND(G21*I21,0)</f>
        <v>176487</v>
      </c>
    </row>
    <row r="22" spans="1:13" x14ac:dyDescent="0.25">
      <c r="A22" t="s">
        <v>79</v>
      </c>
      <c r="C22" t="s">
        <v>263</v>
      </c>
      <c r="G22" s="32"/>
      <c r="I22" s="142"/>
      <c r="K22" s="35">
        <f>SUM(K20:K21)</f>
        <v>309439</v>
      </c>
      <c r="M22" s="33">
        <f>K22*K14</f>
        <v>69428.828430000009</v>
      </c>
    </row>
    <row r="23" spans="1:13" x14ac:dyDescent="0.25">
      <c r="G23" s="32"/>
      <c r="I23" s="142"/>
      <c r="K23" s="32"/>
    </row>
    <row r="24" spans="1:13" x14ac:dyDescent="0.25">
      <c r="C24" s="3" t="s">
        <v>265</v>
      </c>
      <c r="G24" s="32"/>
      <c r="I24" s="142"/>
      <c r="K24" s="32"/>
    </row>
    <row r="25" spans="1:13" x14ac:dyDescent="0.25">
      <c r="A25" t="s">
        <v>147</v>
      </c>
      <c r="C25" t="s">
        <v>260</v>
      </c>
      <c r="G25" s="32">
        <v>4648682</v>
      </c>
      <c r="I25" s="142">
        <v>7.1400000000000005E-2</v>
      </c>
      <c r="K25" s="32">
        <f>ROUND(G25*I25,0)</f>
        <v>331916</v>
      </c>
    </row>
    <row r="26" spans="1:13" x14ac:dyDescent="0.25">
      <c r="A26" t="s">
        <v>148</v>
      </c>
      <c r="C26" t="s">
        <v>261</v>
      </c>
      <c r="G26" s="34">
        <v>5252603</v>
      </c>
      <c r="I26" s="142">
        <v>7.4300000000000005E-2</v>
      </c>
      <c r="K26" s="33">
        <f>ROUND(G26*I26,0)</f>
        <v>390268</v>
      </c>
    </row>
    <row r="27" spans="1:13" x14ac:dyDescent="0.25">
      <c r="A27" t="s">
        <v>149</v>
      </c>
      <c r="C27" t="s">
        <v>266</v>
      </c>
      <c r="G27" s="32"/>
      <c r="I27" s="142"/>
      <c r="K27" s="35">
        <f>SUM(K25:K26)</f>
        <v>722184</v>
      </c>
      <c r="M27" s="33">
        <f>K27*K14</f>
        <v>162036.42408</v>
      </c>
    </row>
    <row r="29" spans="1:13" x14ac:dyDescent="0.25">
      <c r="C29" t="s">
        <v>5</v>
      </c>
    </row>
    <row r="31" spans="1:13" x14ac:dyDescent="0.25">
      <c r="C31" s="445" t="s">
        <v>301</v>
      </c>
      <c r="D31" s="446"/>
      <c r="E31" s="446"/>
      <c r="F31" s="446"/>
      <c r="G31" s="446"/>
      <c r="H31" s="446"/>
      <c r="I31" s="446"/>
      <c r="J31" s="446"/>
      <c r="K31" s="446"/>
      <c r="L31" s="446"/>
      <c r="M31" s="447"/>
    </row>
    <row r="32" spans="1:13" x14ac:dyDescent="0.25">
      <c r="C32" s="448"/>
      <c r="D32" s="449"/>
      <c r="E32" s="449"/>
      <c r="F32" s="449"/>
      <c r="G32" s="449"/>
      <c r="H32" s="449"/>
      <c r="I32" s="449"/>
      <c r="J32" s="449"/>
      <c r="K32" s="449"/>
      <c r="L32" s="449"/>
      <c r="M32" s="450"/>
    </row>
    <row r="33" spans="3:13" x14ac:dyDescent="0.25">
      <c r="C33" s="448"/>
      <c r="D33" s="449"/>
      <c r="E33" s="449"/>
      <c r="F33" s="449"/>
      <c r="G33" s="449"/>
      <c r="H33" s="449"/>
      <c r="I33" s="449"/>
      <c r="J33" s="449"/>
      <c r="K33" s="449"/>
      <c r="L33" s="449"/>
      <c r="M33" s="450"/>
    </row>
    <row r="34" spans="3:13" x14ac:dyDescent="0.25">
      <c r="C34" s="448"/>
      <c r="D34" s="449"/>
      <c r="E34" s="449"/>
      <c r="F34" s="449"/>
      <c r="G34" s="449"/>
      <c r="H34" s="449"/>
      <c r="I34" s="449"/>
      <c r="J34" s="449"/>
      <c r="K34" s="449"/>
      <c r="L34" s="449"/>
      <c r="M34" s="450"/>
    </row>
    <row r="35" spans="3:13" x14ac:dyDescent="0.25">
      <c r="C35" s="448"/>
      <c r="D35" s="449"/>
      <c r="E35" s="449"/>
      <c r="F35" s="449"/>
      <c r="G35" s="449"/>
      <c r="H35" s="449"/>
      <c r="I35" s="449"/>
      <c r="J35" s="449"/>
      <c r="K35" s="449"/>
      <c r="L35" s="449"/>
      <c r="M35" s="450"/>
    </row>
    <row r="36" spans="3:13" x14ac:dyDescent="0.25">
      <c r="C36" s="448"/>
      <c r="D36" s="449"/>
      <c r="E36" s="449"/>
      <c r="F36" s="449"/>
      <c r="G36" s="449"/>
      <c r="H36" s="449"/>
      <c r="I36" s="449"/>
      <c r="J36" s="449"/>
      <c r="K36" s="449"/>
      <c r="L36" s="449"/>
      <c r="M36" s="450"/>
    </row>
    <row r="37" spans="3:13" x14ac:dyDescent="0.25">
      <c r="C37" s="448"/>
      <c r="D37" s="449"/>
      <c r="E37" s="449"/>
      <c r="F37" s="449"/>
      <c r="G37" s="449"/>
      <c r="H37" s="449"/>
      <c r="I37" s="449"/>
      <c r="J37" s="449"/>
      <c r="K37" s="449"/>
      <c r="L37" s="449"/>
      <c r="M37" s="450"/>
    </row>
    <row r="38" spans="3:13" x14ac:dyDescent="0.25">
      <c r="C38" s="448"/>
      <c r="D38" s="449"/>
      <c r="E38" s="449"/>
      <c r="F38" s="449"/>
      <c r="G38" s="449"/>
      <c r="H38" s="449"/>
      <c r="I38" s="449"/>
      <c r="J38" s="449"/>
      <c r="K38" s="449"/>
      <c r="L38" s="449"/>
      <c r="M38" s="450"/>
    </row>
    <row r="39" spans="3:13" x14ac:dyDescent="0.25">
      <c r="C39" s="451"/>
      <c r="D39" s="452"/>
      <c r="E39" s="452"/>
      <c r="F39" s="452"/>
      <c r="G39" s="452"/>
      <c r="H39" s="452"/>
      <c r="I39" s="452"/>
      <c r="J39" s="452"/>
      <c r="K39" s="452"/>
      <c r="L39" s="452"/>
      <c r="M39" s="453"/>
    </row>
  </sheetData>
  <mergeCells count="1">
    <mergeCell ref="C31:M39"/>
  </mergeCells>
  <pageMargins left="0.7" right="0.7" top="0.75" bottom="0.75" header="0.3" footer="0.3"/>
  <pageSetup scale="92"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workbookViewId="0">
      <selection activeCell="K3" sqref="K3"/>
    </sheetView>
  </sheetViews>
  <sheetFormatPr defaultRowHeight="15.75" x14ac:dyDescent="0.25"/>
  <cols>
    <col min="1" max="1" width="2.25" style="56" customWidth="1"/>
    <col min="2" max="2" width="6.25" style="56" customWidth="1"/>
    <col min="3" max="3" width="18.375" style="56" customWidth="1"/>
    <col min="4" max="4" width="9.75" style="56" customWidth="1"/>
    <col min="5" max="5" width="5.625" style="56" customWidth="1"/>
    <col min="6" max="6" width="12.625" style="56" customWidth="1"/>
    <col min="7" max="7" width="1.125" style="56" customWidth="1"/>
    <col min="8" max="8" width="13.125" style="56" customWidth="1"/>
    <col min="9" max="9" width="11.125" style="56" customWidth="1"/>
    <col min="10" max="10" width="9.875" style="56" bestFit="1" customWidth="1"/>
    <col min="11" max="11" width="11.375" style="56" customWidth="1"/>
    <col min="12" max="12" width="2.25" style="56" customWidth="1"/>
    <col min="13" max="16384" width="9" style="56"/>
  </cols>
  <sheetData>
    <row r="1" spans="1:12" x14ac:dyDescent="0.25">
      <c r="A1" s="218"/>
      <c r="B1" s="487" t="s">
        <v>392</v>
      </c>
      <c r="C1" s="218"/>
      <c r="D1" s="218"/>
      <c r="E1" s="220"/>
      <c r="F1" s="220"/>
      <c r="G1" s="220"/>
      <c r="H1" s="220"/>
      <c r="I1" s="220"/>
      <c r="J1" s="220"/>
      <c r="K1" s="334" t="s">
        <v>275</v>
      </c>
      <c r="L1" s="221"/>
    </row>
    <row r="2" spans="1:12" x14ac:dyDescent="0.25">
      <c r="A2" s="218"/>
      <c r="B2" s="56" t="s">
        <v>681</v>
      </c>
      <c r="C2" s="218"/>
      <c r="D2" s="218"/>
      <c r="E2" s="220"/>
      <c r="F2" s="220"/>
      <c r="G2" s="220"/>
      <c r="H2" s="220"/>
      <c r="I2" s="220"/>
      <c r="J2" s="220"/>
      <c r="K2" s="334" t="s">
        <v>189</v>
      </c>
      <c r="L2" s="221"/>
    </row>
    <row r="3" spans="1:12" x14ac:dyDescent="0.25">
      <c r="A3" s="218"/>
      <c r="B3" s="56" t="s">
        <v>273</v>
      </c>
      <c r="C3" s="218"/>
      <c r="D3" s="218"/>
      <c r="E3" s="220"/>
      <c r="F3" s="219"/>
      <c r="G3" s="220"/>
      <c r="H3" s="220"/>
      <c r="I3" s="220"/>
      <c r="J3" s="220"/>
      <c r="K3" s="521" t="s">
        <v>748</v>
      </c>
      <c r="L3" s="221"/>
    </row>
    <row r="4" spans="1:12" x14ac:dyDescent="0.25">
      <c r="A4" s="218"/>
      <c r="B4" s="502"/>
      <c r="C4" s="218"/>
      <c r="D4" s="218"/>
      <c r="E4" s="220"/>
      <c r="F4" s="220"/>
      <c r="G4" s="220"/>
      <c r="H4" s="220"/>
      <c r="I4" s="220"/>
      <c r="J4" s="220"/>
      <c r="K4" s="334" t="s">
        <v>732</v>
      </c>
      <c r="L4" s="221"/>
    </row>
    <row r="5" spans="1:12" x14ac:dyDescent="0.25">
      <c r="A5" s="218"/>
      <c r="B5" s="503" t="s">
        <v>506</v>
      </c>
      <c r="C5" s="218"/>
      <c r="D5" s="218"/>
      <c r="E5" s="220"/>
      <c r="F5" s="220"/>
      <c r="G5" s="220"/>
      <c r="I5" s="220"/>
      <c r="J5" s="220"/>
      <c r="K5" s="220"/>
      <c r="L5" s="221"/>
    </row>
    <row r="6" spans="1:12" x14ac:dyDescent="0.25">
      <c r="A6" s="218"/>
      <c r="B6" s="503"/>
      <c r="C6" s="218"/>
      <c r="D6" s="218"/>
      <c r="E6" s="220"/>
      <c r="F6" s="220"/>
      <c r="G6" s="220"/>
      <c r="H6" s="220" t="s">
        <v>510</v>
      </c>
      <c r="I6" s="220"/>
      <c r="J6" s="220"/>
      <c r="K6" s="220"/>
      <c r="L6" s="221"/>
    </row>
    <row r="7" spans="1:12" x14ac:dyDescent="0.25">
      <c r="A7" s="218"/>
      <c r="B7" s="218"/>
      <c r="C7" s="218"/>
      <c r="D7" s="218"/>
      <c r="E7" s="220"/>
      <c r="F7" s="220" t="s">
        <v>477</v>
      </c>
      <c r="G7" s="220"/>
      <c r="H7" s="220" t="s">
        <v>511</v>
      </c>
      <c r="I7" s="220"/>
      <c r="J7" s="220"/>
      <c r="K7" s="218" t="s">
        <v>478</v>
      </c>
      <c r="L7" s="221"/>
    </row>
    <row r="8" spans="1:12" x14ac:dyDescent="0.25">
      <c r="A8" s="218"/>
      <c r="B8" s="218"/>
      <c r="C8" s="218"/>
      <c r="D8" s="222" t="s">
        <v>479</v>
      </c>
      <c r="E8" s="222" t="s">
        <v>480</v>
      </c>
      <c r="F8" s="222" t="s">
        <v>481</v>
      </c>
      <c r="G8" s="222"/>
      <c r="H8" s="222" t="s">
        <v>508</v>
      </c>
      <c r="I8" s="222" t="s">
        <v>482</v>
      </c>
      <c r="J8" s="222" t="s">
        <v>483</v>
      </c>
      <c r="K8" s="222" t="s">
        <v>484</v>
      </c>
      <c r="L8" s="223"/>
    </row>
    <row r="9" spans="1:12" x14ac:dyDescent="0.25">
      <c r="A9" s="218"/>
      <c r="B9" s="218"/>
      <c r="C9" s="218"/>
      <c r="D9" s="218"/>
      <c r="E9" s="222"/>
      <c r="F9" s="220" t="s">
        <v>507</v>
      </c>
      <c r="G9" s="222"/>
      <c r="H9" s="220" t="s">
        <v>509</v>
      </c>
      <c r="I9" s="222"/>
      <c r="J9" s="222"/>
      <c r="K9" s="222"/>
      <c r="L9" s="223"/>
    </row>
    <row r="10" spans="1:12" x14ac:dyDescent="0.25">
      <c r="A10" s="224"/>
      <c r="B10" s="225" t="s">
        <v>11</v>
      </c>
      <c r="C10" s="224"/>
      <c r="D10" s="226"/>
      <c r="E10" s="226"/>
      <c r="F10" s="227"/>
      <c r="G10" s="227"/>
      <c r="H10" s="227"/>
      <c r="I10" s="227"/>
      <c r="J10" s="227"/>
      <c r="K10" s="228"/>
      <c r="L10" s="221"/>
    </row>
    <row r="11" spans="1:12" x14ac:dyDescent="0.25">
      <c r="A11" s="224"/>
      <c r="B11" s="218" t="s">
        <v>485</v>
      </c>
      <c r="C11" s="224"/>
      <c r="D11" s="226" t="s">
        <v>172</v>
      </c>
      <c r="E11" s="220" t="s">
        <v>486</v>
      </c>
      <c r="F11" s="229">
        <v>-2415198</v>
      </c>
      <c r="G11" s="229"/>
      <c r="H11" s="229">
        <v>-2415198</v>
      </c>
      <c r="I11" s="229" t="s">
        <v>167</v>
      </c>
      <c r="J11" s="230">
        <v>0.22565052397253504</v>
      </c>
      <c r="K11" s="231">
        <f>H11*J11</f>
        <v>-544990.69419741875</v>
      </c>
      <c r="L11" s="221"/>
    </row>
    <row r="12" spans="1:12" x14ac:dyDescent="0.25">
      <c r="A12" s="224"/>
      <c r="B12" s="232" t="s">
        <v>487</v>
      </c>
      <c r="C12" s="224"/>
      <c r="D12" s="226" t="s">
        <v>172</v>
      </c>
      <c r="E12" s="220" t="s">
        <v>486</v>
      </c>
      <c r="F12" s="229">
        <v>-299182</v>
      </c>
      <c r="G12" s="229"/>
      <c r="H12" s="229">
        <v>-299182</v>
      </c>
      <c r="I12" s="229" t="s">
        <v>167</v>
      </c>
      <c r="J12" s="230">
        <v>0.22565052397253504</v>
      </c>
      <c r="K12" s="231">
        <f t="shared" ref="K12:K14" si="0">H12*J12</f>
        <v>-67510.575063150973</v>
      </c>
      <c r="L12" s="221"/>
    </row>
    <row r="13" spans="1:12" x14ac:dyDescent="0.25">
      <c r="A13" s="224"/>
      <c r="B13" s="233" t="s">
        <v>488</v>
      </c>
      <c r="C13" s="234"/>
      <c r="D13" s="227">
        <v>408</v>
      </c>
      <c r="E13" s="220" t="s">
        <v>486</v>
      </c>
      <c r="F13" s="229">
        <v>-592855</v>
      </c>
      <c r="G13" s="229"/>
      <c r="H13" s="229">
        <v>-592855</v>
      </c>
      <c r="I13" s="229" t="s">
        <v>489</v>
      </c>
      <c r="J13" s="230">
        <v>6.6547999999999996E-2</v>
      </c>
      <c r="K13" s="231">
        <f t="shared" si="0"/>
        <v>-39453.314539999999</v>
      </c>
      <c r="L13" s="221"/>
    </row>
    <row r="14" spans="1:12" x14ac:dyDescent="0.25">
      <c r="A14" s="224"/>
      <c r="B14" s="233" t="s">
        <v>490</v>
      </c>
      <c r="C14" s="234"/>
      <c r="D14" s="227" t="s">
        <v>491</v>
      </c>
      <c r="E14" s="220" t="s">
        <v>486</v>
      </c>
      <c r="F14" s="235">
        <v>1754720</v>
      </c>
      <c r="G14" s="235"/>
      <c r="H14" s="235">
        <v>1754720</v>
      </c>
      <c r="I14" s="235" t="s">
        <v>167</v>
      </c>
      <c r="J14" s="230">
        <v>0.22565052397253504</v>
      </c>
      <c r="K14" s="231">
        <f t="shared" si="0"/>
        <v>395953.48742508667</v>
      </c>
      <c r="L14" s="221"/>
    </row>
    <row r="15" spans="1:12" x14ac:dyDescent="0.25">
      <c r="A15" s="224"/>
      <c r="B15" s="233"/>
      <c r="C15" s="234"/>
      <c r="D15" s="227"/>
      <c r="E15" s="227"/>
      <c r="F15" s="229" t="s">
        <v>492</v>
      </c>
      <c r="G15" s="229"/>
      <c r="H15" s="229" t="s">
        <v>492</v>
      </c>
      <c r="I15" s="229"/>
      <c r="J15" s="230"/>
      <c r="K15" s="231"/>
      <c r="L15" s="221"/>
    </row>
    <row r="16" spans="1:12" x14ac:dyDescent="0.25">
      <c r="A16" s="224"/>
      <c r="B16" s="233" t="s">
        <v>493</v>
      </c>
      <c r="C16" s="234"/>
      <c r="D16" s="227">
        <v>41010</v>
      </c>
      <c r="E16" s="220" t="s">
        <v>486</v>
      </c>
      <c r="F16" s="229">
        <v>665934</v>
      </c>
      <c r="G16" s="229"/>
      <c r="H16" s="229">
        <v>665934</v>
      </c>
      <c r="I16" s="229" t="s">
        <v>167</v>
      </c>
      <c r="J16" s="230">
        <v>0.22565052397253504</v>
      </c>
      <c r="K16" s="231">
        <f>H16*J16</f>
        <v>150268.35603112614</v>
      </c>
      <c r="L16" s="221"/>
    </row>
    <row r="17" spans="1:12" x14ac:dyDescent="0.25">
      <c r="A17" s="224"/>
      <c r="B17" s="233"/>
      <c r="C17" s="234"/>
      <c r="D17" s="227"/>
      <c r="E17" s="220"/>
      <c r="F17" s="229"/>
      <c r="G17" s="229"/>
      <c r="H17" s="229"/>
      <c r="I17" s="229"/>
      <c r="J17" s="230"/>
      <c r="K17" s="231"/>
      <c r="L17" s="221"/>
    </row>
    <row r="18" spans="1:12" x14ac:dyDescent="0.25">
      <c r="A18" s="224"/>
      <c r="B18" s="225" t="s">
        <v>193</v>
      </c>
      <c r="C18" s="224"/>
      <c r="D18" s="226"/>
      <c r="E18" s="226"/>
      <c r="F18" s="229"/>
      <c r="G18" s="229"/>
      <c r="H18" s="229"/>
      <c r="I18" s="229"/>
      <c r="J18" s="230"/>
      <c r="K18" s="231"/>
      <c r="L18" s="221"/>
    </row>
    <row r="19" spans="1:12" x14ac:dyDescent="0.25">
      <c r="A19" s="224"/>
      <c r="B19" s="218" t="s">
        <v>494</v>
      </c>
      <c r="C19" s="224"/>
      <c r="D19" s="226">
        <v>312</v>
      </c>
      <c r="E19" s="220" t="s">
        <v>486</v>
      </c>
      <c r="F19" s="229">
        <v>-110283000</v>
      </c>
      <c r="G19" s="229"/>
      <c r="H19" s="229">
        <v>-110283000</v>
      </c>
      <c r="I19" s="229" t="s">
        <v>167</v>
      </c>
      <c r="J19" s="230">
        <v>0.22565052397253504</v>
      </c>
      <c r="K19" s="231">
        <f t="shared" ref="K19:K24" si="1">H19*J19</f>
        <v>-24885416.735263083</v>
      </c>
      <c r="L19" s="221"/>
    </row>
    <row r="20" spans="1:12" x14ac:dyDescent="0.25">
      <c r="A20" s="224"/>
      <c r="B20" s="232" t="s">
        <v>495</v>
      </c>
      <c r="C20" s="224"/>
      <c r="D20" s="226">
        <v>312</v>
      </c>
      <c r="E20" s="220" t="s">
        <v>486</v>
      </c>
      <c r="F20" s="229">
        <v>-14179469</v>
      </c>
      <c r="G20" s="229"/>
      <c r="H20" s="229">
        <v>-14047299</v>
      </c>
      <c r="I20" s="229" t="s">
        <v>167</v>
      </c>
      <c r="J20" s="230">
        <v>0.22565052397253504</v>
      </c>
      <c r="K20" s="231">
        <f t="shared" si="1"/>
        <v>-3169780.3797488674</v>
      </c>
      <c r="L20" s="221"/>
    </row>
    <row r="21" spans="1:12" x14ac:dyDescent="0.25">
      <c r="A21" s="224"/>
      <c r="B21" s="232" t="s">
        <v>496</v>
      </c>
      <c r="C21" s="224"/>
      <c r="D21" s="226" t="s">
        <v>176</v>
      </c>
      <c r="E21" s="220" t="s">
        <v>486</v>
      </c>
      <c r="F21" s="229">
        <v>82221196</v>
      </c>
      <c r="G21" s="229"/>
      <c r="H21" s="229">
        <v>81013597</v>
      </c>
      <c r="I21" s="229" t="s">
        <v>167</v>
      </c>
      <c r="J21" s="230">
        <v>0.22565052397253504</v>
      </c>
      <c r="K21" s="231">
        <f t="shared" si="1"/>
        <v>18280760.611949794</v>
      </c>
      <c r="L21" s="221"/>
    </row>
    <row r="22" spans="1:12" x14ac:dyDescent="0.25">
      <c r="A22" s="224"/>
      <c r="B22" s="232" t="s">
        <v>497</v>
      </c>
      <c r="C22" s="224"/>
      <c r="D22" s="226" t="s">
        <v>176</v>
      </c>
      <c r="E22" s="220" t="s">
        <v>486</v>
      </c>
      <c r="F22" s="229">
        <v>2517770</v>
      </c>
      <c r="G22" s="229"/>
      <c r="H22" s="229">
        <v>2365248</v>
      </c>
      <c r="I22" s="229" t="s">
        <v>167</v>
      </c>
      <c r="J22" s="230">
        <v>0.22565052397253504</v>
      </c>
      <c r="K22" s="231">
        <f t="shared" si="1"/>
        <v>533719.45052499056</v>
      </c>
      <c r="L22" s="221"/>
    </row>
    <row r="23" spans="1:12" x14ac:dyDescent="0.25">
      <c r="A23" s="224"/>
      <c r="B23" s="233" t="s">
        <v>498</v>
      </c>
      <c r="C23" s="234"/>
      <c r="D23" s="227">
        <v>282</v>
      </c>
      <c r="E23" s="220" t="s">
        <v>486</v>
      </c>
      <c r="F23" s="229">
        <v>511612</v>
      </c>
      <c r="G23" s="229"/>
      <c r="H23" s="229">
        <v>5447020</v>
      </c>
      <c r="I23" s="229" t="s">
        <v>167</v>
      </c>
      <c r="J23" s="230">
        <v>0.22565052397253504</v>
      </c>
      <c r="K23" s="231">
        <f t="shared" si="1"/>
        <v>1229122.9170888779</v>
      </c>
      <c r="L23" s="221"/>
    </row>
    <row r="24" spans="1:12" x14ac:dyDescent="0.25">
      <c r="A24" s="224"/>
      <c r="B24" s="233" t="s">
        <v>499</v>
      </c>
      <c r="C24" s="234"/>
      <c r="D24" s="227">
        <v>255</v>
      </c>
      <c r="E24" s="220" t="s">
        <v>486</v>
      </c>
      <c r="F24" s="229">
        <v>3080</v>
      </c>
      <c r="G24" s="229"/>
      <c r="H24" s="229">
        <v>6159</v>
      </c>
      <c r="I24" s="229" t="s">
        <v>500</v>
      </c>
      <c r="J24" s="230">
        <v>0.1336</v>
      </c>
      <c r="K24" s="231">
        <f t="shared" si="1"/>
        <v>822.8424</v>
      </c>
      <c r="L24" s="221"/>
    </row>
    <row r="25" spans="1:12" x14ac:dyDescent="0.25">
      <c r="A25" s="224"/>
      <c r="B25" s="233"/>
      <c r="C25" s="234"/>
      <c r="D25" s="227"/>
      <c r="E25" s="220"/>
      <c r="F25" s="229"/>
      <c r="G25" s="229"/>
      <c r="H25" s="229"/>
      <c r="I25" s="229"/>
      <c r="J25" s="230"/>
      <c r="K25" s="231"/>
      <c r="L25" s="221"/>
    </row>
    <row r="26" spans="1:12" x14ac:dyDescent="0.25">
      <c r="A26" s="237"/>
      <c r="B26" s="238" t="s">
        <v>501</v>
      </c>
      <c r="C26" s="234"/>
      <c r="D26" s="227"/>
      <c r="E26" s="227"/>
      <c r="F26" s="229"/>
      <c r="G26" s="229"/>
      <c r="H26" s="229"/>
      <c r="I26" s="229"/>
      <c r="J26" s="239"/>
      <c r="K26" s="240"/>
      <c r="L26" s="241"/>
    </row>
    <row r="27" spans="1:12" x14ac:dyDescent="0.25">
      <c r="A27" s="237"/>
      <c r="B27" s="233" t="s">
        <v>502</v>
      </c>
      <c r="C27" s="234"/>
      <c r="D27" s="227" t="s">
        <v>503</v>
      </c>
      <c r="E27" s="220" t="s">
        <v>486</v>
      </c>
      <c r="F27" s="229">
        <v>-52188</v>
      </c>
      <c r="G27" s="229"/>
      <c r="H27" s="229">
        <v>-52188</v>
      </c>
      <c r="I27" s="229"/>
      <c r="J27" s="239" t="s">
        <v>505</v>
      </c>
      <c r="K27" s="231">
        <f>H27</f>
        <v>-52188</v>
      </c>
      <c r="L27" s="241"/>
    </row>
    <row r="28" spans="1:12" x14ac:dyDescent="0.25">
      <c r="A28" s="224"/>
      <c r="B28" s="233"/>
      <c r="C28" s="234"/>
      <c r="D28" s="227"/>
      <c r="E28" s="227"/>
      <c r="F28" s="229"/>
      <c r="G28" s="229"/>
      <c r="H28" s="229"/>
      <c r="I28" s="229"/>
      <c r="J28" s="230"/>
      <c r="K28" s="231"/>
      <c r="L28" s="236"/>
    </row>
    <row r="29" spans="1:12" x14ac:dyDescent="0.25">
      <c r="A29" s="218"/>
      <c r="B29" s="232"/>
      <c r="C29" s="224"/>
      <c r="D29" s="224"/>
      <c r="E29" s="226"/>
      <c r="F29" s="242"/>
      <c r="G29" s="242"/>
      <c r="H29" s="242"/>
      <c r="I29" s="242"/>
      <c r="J29" s="243"/>
      <c r="K29" s="231"/>
      <c r="L29" s="221"/>
    </row>
    <row r="30" spans="1:12" x14ac:dyDescent="0.25">
      <c r="A30" s="218"/>
      <c r="B30" s="232"/>
      <c r="C30" s="224"/>
      <c r="D30" s="224"/>
      <c r="E30" s="226"/>
      <c r="F30" s="242"/>
      <c r="G30" s="242"/>
      <c r="H30" s="242"/>
      <c r="I30" s="242"/>
      <c r="J30" s="243"/>
      <c r="K30" s="231"/>
      <c r="L30" s="221"/>
    </row>
    <row r="31" spans="1:12" x14ac:dyDescent="0.25">
      <c r="A31" s="218"/>
      <c r="B31" s="232"/>
      <c r="C31" s="224"/>
      <c r="D31" s="224"/>
      <c r="E31" s="226"/>
      <c r="F31" s="242"/>
      <c r="G31" s="242"/>
      <c r="H31" s="242"/>
      <c r="I31" s="242"/>
      <c r="J31" s="243"/>
      <c r="K31" s="231"/>
      <c r="L31" s="221"/>
    </row>
    <row r="32" spans="1:12" x14ac:dyDescent="0.25">
      <c r="A32" s="218"/>
      <c r="B32" s="232"/>
      <c r="C32" s="224"/>
      <c r="D32" s="224"/>
      <c r="E32" s="226"/>
      <c r="F32" s="242"/>
      <c r="G32" s="242"/>
      <c r="H32" s="242"/>
      <c r="I32" s="242"/>
      <c r="J32" s="243"/>
      <c r="K32" s="231"/>
      <c r="L32" s="221"/>
    </row>
    <row r="33" spans="1:12" x14ac:dyDescent="0.25">
      <c r="A33" s="224"/>
      <c r="B33" s="232"/>
      <c r="C33" s="224"/>
      <c r="D33" s="224"/>
      <c r="E33" s="226"/>
      <c r="F33" s="242"/>
      <c r="G33" s="242"/>
      <c r="H33" s="242"/>
      <c r="I33" s="242"/>
      <c r="J33" s="243"/>
      <c r="K33" s="231"/>
      <c r="L33" s="221"/>
    </row>
    <row r="34" spans="1:12" x14ac:dyDescent="0.25">
      <c r="A34" s="224"/>
      <c r="B34" s="232"/>
      <c r="C34" s="224"/>
      <c r="D34" s="224"/>
      <c r="E34" s="226"/>
      <c r="F34" s="242"/>
      <c r="G34" s="242"/>
      <c r="H34" s="242"/>
      <c r="I34" s="242"/>
      <c r="J34" s="243"/>
      <c r="K34" s="231"/>
      <c r="L34" s="221"/>
    </row>
    <row r="35" spans="1:12" x14ac:dyDescent="0.25">
      <c r="A35" s="224"/>
      <c r="B35" s="232"/>
      <c r="C35" s="224"/>
      <c r="D35" s="224"/>
      <c r="E35" s="226"/>
      <c r="F35" s="242"/>
      <c r="G35" s="242"/>
      <c r="H35" s="242"/>
      <c r="I35" s="242"/>
      <c r="J35" s="243"/>
      <c r="K35" s="231"/>
      <c r="L35" s="221"/>
    </row>
    <row r="36" spans="1:12" x14ac:dyDescent="0.25">
      <c r="A36" s="224"/>
      <c r="B36" s="232"/>
      <c r="C36" s="224"/>
      <c r="D36" s="224"/>
      <c r="E36" s="226"/>
      <c r="F36" s="242"/>
      <c r="G36" s="242"/>
      <c r="H36" s="242"/>
      <c r="I36" s="242"/>
      <c r="J36" s="243"/>
      <c r="K36" s="231"/>
      <c r="L36" s="221"/>
    </row>
    <row r="37" spans="1:12" x14ac:dyDescent="0.25">
      <c r="A37" s="224"/>
      <c r="B37" s="232"/>
      <c r="C37" s="224"/>
      <c r="D37" s="224"/>
      <c r="E37" s="226"/>
      <c r="F37" s="242"/>
      <c r="G37" s="242"/>
      <c r="H37" s="242"/>
      <c r="I37" s="242"/>
      <c r="J37" s="243"/>
      <c r="K37" s="231"/>
      <c r="L37" s="221"/>
    </row>
    <row r="38" spans="1:12" x14ac:dyDescent="0.25">
      <c r="A38" s="224"/>
      <c r="B38" s="244" t="s">
        <v>5</v>
      </c>
      <c r="C38" s="224"/>
      <c r="D38" s="224"/>
      <c r="E38" s="226"/>
      <c r="F38" s="245"/>
      <c r="G38" s="245"/>
      <c r="H38" s="245"/>
      <c r="I38" s="245"/>
      <c r="J38" s="226"/>
      <c r="K38" s="226"/>
      <c r="L38" s="221"/>
    </row>
    <row r="39" spans="1:12" x14ac:dyDescent="0.25">
      <c r="A39" s="478" t="s">
        <v>682</v>
      </c>
      <c r="B39" s="479"/>
      <c r="C39" s="479"/>
      <c r="D39" s="479"/>
      <c r="E39" s="479"/>
      <c r="F39" s="479"/>
      <c r="G39" s="479"/>
      <c r="H39" s="479"/>
      <c r="I39" s="479"/>
      <c r="J39" s="479"/>
      <c r="K39" s="479"/>
      <c r="L39" s="480"/>
    </row>
    <row r="40" spans="1:12" x14ac:dyDescent="0.25">
      <c r="A40" s="458"/>
      <c r="B40" s="504"/>
      <c r="C40" s="504"/>
      <c r="D40" s="504"/>
      <c r="E40" s="504"/>
      <c r="F40" s="504"/>
      <c r="G40" s="504"/>
      <c r="H40" s="504"/>
      <c r="I40" s="504"/>
      <c r="J40" s="504"/>
      <c r="K40" s="504"/>
      <c r="L40" s="460"/>
    </row>
    <row r="41" spans="1:12" x14ac:dyDescent="0.25">
      <c r="A41" s="481" t="s">
        <v>683</v>
      </c>
      <c r="B41" s="454"/>
      <c r="C41" s="454"/>
      <c r="D41" s="454"/>
      <c r="E41" s="454"/>
      <c r="F41" s="454"/>
      <c r="G41" s="454"/>
      <c r="H41" s="454"/>
      <c r="I41" s="454"/>
      <c r="J41" s="454"/>
      <c r="K41" s="454"/>
      <c r="L41" s="482"/>
    </row>
    <row r="42" spans="1:12" x14ac:dyDescent="0.25">
      <c r="A42" s="481"/>
      <c r="B42" s="454"/>
      <c r="C42" s="454"/>
      <c r="D42" s="454"/>
      <c r="E42" s="454"/>
      <c r="F42" s="454"/>
      <c r="G42" s="454"/>
      <c r="H42" s="454"/>
      <c r="I42" s="454"/>
      <c r="J42" s="454"/>
      <c r="K42" s="454"/>
      <c r="L42" s="482"/>
    </row>
    <row r="43" spans="1:12" x14ac:dyDescent="0.25">
      <c r="A43" s="483"/>
      <c r="B43" s="484"/>
      <c r="C43" s="484"/>
      <c r="D43" s="484"/>
      <c r="E43" s="484"/>
      <c r="F43" s="484"/>
      <c r="G43" s="484"/>
      <c r="H43" s="484"/>
      <c r="I43" s="484"/>
      <c r="J43" s="484"/>
      <c r="K43" s="484"/>
      <c r="L43" s="485"/>
    </row>
  </sheetData>
  <mergeCells count="2">
    <mergeCell ref="A41:L43"/>
    <mergeCell ref="A39:L40"/>
  </mergeCells>
  <conditionalFormatting sqref="B10 B18">
    <cfRule type="cellIs" dxfId="27" priority="1" stopIfTrue="1" operator="equal">
      <formula>"Adjustment to Income/Expense/Rate Base:"</formula>
    </cfRule>
  </conditionalFormatting>
  <conditionalFormatting sqref="L1">
    <cfRule type="cellIs" dxfId="26" priority="2" stopIfTrue="1" operator="equal">
      <formula>"x.x"</formula>
    </cfRule>
  </conditionalFormatting>
  <conditionalFormatting sqref="B11 B19">
    <cfRule type="cellIs" dxfId="25" priority="3" stopIfTrue="1" operator="equal">
      <formula>"Title"</formula>
    </cfRule>
  </conditionalFormatting>
  <dataValidations disablePrompts="1"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5 E28:E37 E26 E18">
      <formula1>"1, 2, 3"</formula1>
    </dataValidation>
  </dataValidations>
  <pageMargins left="0.7" right="0.7" top="0.75" bottom="0.75" header="0.3" footer="0.3"/>
  <pageSetup scale="81"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37" workbookViewId="0">
      <selection activeCell="D47" sqref="D47"/>
    </sheetView>
  </sheetViews>
  <sheetFormatPr defaultRowHeight="15.75" x14ac:dyDescent="0.25"/>
  <cols>
    <col min="1" max="1" width="2.25" style="7" customWidth="1"/>
    <col min="2" max="2" width="6.25" style="7" customWidth="1"/>
    <col min="3" max="3" width="13.75" style="7" customWidth="1"/>
    <col min="4" max="4" width="9" style="7" customWidth="1"/>
    <col min="5" max="5" width="5.25" style="7" customWidth="1"/>
    <col min="6" max="6" width="12.625" style="7" customWidth="1"/>
    <col min="7" max="7" width="1" style="7" customWidth="1"/>
    <col min="8" max="8" width="9.5" style="7" customWidth="1"/>
    <col min="9" max="9" width="9.75" style="7" customWidth="1"/>
    <col min="10" max="10" width="9" style="7" customWidth="1"/>
    <col min="11" max="11" width="11.375" style="7" customWidth="1"/>
    <col min="12" max="12" width="4.75" style="7" customWidth="1"/>
    <col min="13" max="16384" width="9" style="7"/>
  </cols>
  <sheetData>
    <row r="1" spans="1:12" x14ac:dyDescent="0.25">
      <c r="A1" s="254"/>
      <c r="B1" s="487" t="s">
        <v>392</v>
      </c>
      <c r="C1" s="254"/>
      <c r="D1" s="256"/>
      <c r="E1" s="256"/>
      <c r="F1" s="256"/>
      <c r="G1" s="256"/>
      <c r="H1" s="256"/>
      <c r="I1" s="256"/>
      <c r="J1" s="256"/>
      <c r="K1" s="334" t="s">
        <v>275</v>
      </c>
      <c r="L1" s="257"/>
    </row>
    <row r="2" spans="1:12" x14ac:dyDescent="0.25">
      <c r="A2" s="254"/>
      <c r="B2" s="56" t="s">
        <v>684</v>
      </c>
      <c r="C2" s="254"/>
      <c r="D2" s="256"/>
      <c r="E2" s="256"/>
      <c r="F2" s="256"/>
      <c r="G2" s="256"/>
      <c r="H2" s="256"/>
      <c r="I2" s="256"/>
      <c r="J2" s="256"/>
      <c r="K2" s="334" t="s">
        <v>189</v>
      </c>
      <c r="L2" s="257"/>
    </row>
    <row r="3" spans="1:12" x14ac:dyDescent="0.25">
      <c r="A3" s="254"/>
      <c r="B3" s="56" t="s">
        <v>273</v>
      </c>
      <c r="C3" s="254"/>
      <c r="D3" s="256"/>
      <c r="E3" s="256"/>
      <c r="F3" s="256"/>
      <c r="G3" s="256"/>
      <c r="H3" s="255"/>
      <c r="I3" s="256"/>
      <c r="J3" s="256"/>
      <c r="K3" s="521" t="s">
        <v>748</v>
      </c>
      <c r="L3" s="257"/>
    </row>
    <row r="4" spans="1:12" x14ac:dyDescent="0.25">
      <c r="A4" s="254"/>
      <c r="B4" s="502"/>
      <c r="C4" s="254"/>
      <c r="D4" s="256"/>
      <c r="E4" s="256"/>
      <c r="F4" s="256"/>
      <c r="G4" s="256"/>
      <c r="H4" s="256"/>
      <c r="I4" s="256"/>
      <c r="J4" s="256"/>
      <c r="K4" s="334" t="s">
        <v>733</v>
      </c>
      <c r="L4" s="257"/>
    </row>
    <row r="5" spans="1:12" x14ac:dyDescent="0.25">
      <c r="A5" s="254"/>
      <c r="B5" s="503" t="s">
        <v>513</v>
      </c>
      <c r="C5" s="254"/>
      <c r="D5" s="256"/>
      <c r="E5" s="256"/>
      <c r="F5" s="256"/>
      <c r="G5" s="256"/>
      <c r="H5" s="256"/>
      <c r="I5" s="256"/>
      <c r="J5" s="256"/>
      <c r="K5" s="256"/>
      <c r="L5" s="257"/>
    </row>
    <row r="6" spans="1:12" x14ac:dyDescent="0.25">
      <c r="A6" s="254"/>
      <c r="B6" s="254"/>
      <c r="C6" s="254"/>
      <c r="D6" s="256"/>
      <c r="E6" s="256"/>
      <c r="F6" s="256" t="s">
        <v>477</v>
      </c>
      <c r="G6" s="256"/>
      <c r="H6" s="256" t="s">
        <v>510</v>
      </c>
      <c r="I6" s="256"/>
      <c r="J6" s="256"/>
      <c r="K6" s="256" t="s">
        <v>478</v>
      </c>
      <c r="L6" s="257"/>
    </row>
    <row r="7" spans="1:12" x14ac:dyDescent="0.25">
      <c r="A7" s="254"/>
      <c r="B7" s="254"/>
      <c r="C7" s="254"/>
      <c r="D7" s="258" t="s">
        <v>479</v>
      </c>
      <c r="E7" s="258" t="s">
        <v>480</v>
      </c>
      <c r="F7" s="258" t="s">
        <v>481</v>
      </c>
      <c r="G7" s="258"/>
      <c r="H7" s="258" t="s">
        <v>511</v>
      </c>
      <c r="I7" s="258" t="s">
        <v>482</v>
      </c>
      <c r="J7" s="258" t="s">
        <v>483</v>
      </c>
      <c r="K7" s="258" t="s">
        <v>484</v>
      </c>
      <c r="L7" s="259"/>
    </row>
    <row r="8" spans="1:12" x14ac:dyDescent="0.25">
      <c r="A8" s="260"/>
      <c r="B8" s="261"/>
      <c r="C8" s="260"/>
      <c r="D8" s="262"/>
      <c r="E8" s="262"/>
      <c r="F8" s="262" t="s">
        <v>507</v>
      </c>
      <c r="G8" s="262"/>
      <c r="H8" s="262"/>
      <c r="I8" s="262"/>
      <c r="J8" s="262"/>
      <c r="K8" s="263"/>
      <c r="L8" s="257"/>
    </row>
    <row r="9" spans="1:12" x14ac:dyDescent="0.25">
      <c r="A9" s="260"/>
      <c r="B9" s="261" t="s">
        <v>193</v>
      </c>
      <c r="C9" s="260"/>
      <c r="D9" s="264"/>
      <c r="E9" s="265"/>
      <c r="F9" s="266"/>
      <c r="G9" s="266"/>
      <c r="H9" s="266"/>
      <c r="I9" s="267"/>
      <c r="J9" s="268"/>
      <c r="K9" s="269"/>
      <c r="L9" s="257"/>
    </row>
    <row r="10" spans="1:12" x14ac:dyDescent="0.25">
      <c r="D10" s="15">
        <v>108360</v>
      </c>
      <c r="E10" s="57" t="s">
        <v>486</v>
      </c>
      <c r="F10" s="160">
        <v>-4350</v>
      </c>
      <c r="G10" s="160"/>
      <c r="H10" s="160">
        <v>0</v>
      </c>
      <c r="I10" s="57" t="s">
        <v>504</v>
      </c>
      <c r="J10" s="57" t="s">
        <v>505</v>
      </c>
      <c r="K10" s="160">
        <v>0</v>
      </c>
    </row>
    <row r="11" spans="1:12" x14ac:dyDescent="0.25">
      <c r="D11" s="15">
        <v>108361</v>
      </c>
      <c r="E11" s="57" t="s">
        <v>486</v>
      </c>
      <c r="F11" s="160">
        <v>-19481</v>
      </c>
      <c r="G11" s="160"/>
      <c r="H11" s="160">
        <v>0</v>
      </c>
      <c r="I11" s="57" t="s">
        <v>504</v>
      </c>
      <c r="J11" s="57" t="s">
        <v>505</v>
      </c>
      <c r="K11" s="160">
        <v>0</v>
      </c>
    </row>
    <row r="12" spans="1:12" x14ac:dyDescent="0.25">
      <c r="D12" s="15">
        <v>108362</v>
      </c>
      <c r="E12" s="57" t="s">
        <v>486</v>
      </c>
      <c r="F12" s="160">
        <v>-421994</v>
      </c>
      <c r="G12" s="160"/>
      <c r="H12" s="160">
        <v>0</v>
      </c>
      <c r="I12" s="57" t="s">
        <v>504</v>
      </c>
      <c r="J12" s="57" t="s">
        <v>505</v>
      </c>
      <c r="K12" s="160">
        <v>0</v>
      </c>
    </row>
    <row r="13" spans="1:12" x14ac:dyDescent="0.25">
      <c r="D13" s="15">
        <v>108364</v>
      </c>
      <c r="E13" s="57" t="s">
        <v>486</v>
      </c>
      <c r="F13" s="160">
        <v>-1284051</v>
      </c>
      <c r="G13" s="160"/>
      <c r="H13" s="160">
        <v>0</v>
      </c>
      <c r="I13" s="57" t="s">
        <v>504</v>
      </c>
      <c r="J13" s="57" t="s">
        <v>505</v>
      </c>
      <c r="K13" s="160">
        <v>0</v>
      </c>
    </row>
    <row r="14" spans="1:12" x14ac:dyDescent="0.25">
      <c r="D14" s="15">
        <v>108365</v>
      </c>
      <c r="E14" s="57" t="s">
        <v>486</v>
      </c>
      <c r="F14" s="160">
        <v>-442542</v>
      </c>
      <c r="G14" s="160"/>
      <c r="H14" s="160">
        <v>0</v>
      </c>
      <c r="I14" s="57" t="s">
        <v>504</v>
      </c>
      <c r="J14" s="57" t="s">
        <v>505</v>
      </c>
      <c r="K14" s="160">
        <v>0</v>
      </c>
    </row>
    <row r="15" spans="1:12" x14ac:dyDescent="0.25">
      <c r="D15" s="15">
        <v>108366</v>
      </c>
      <c r="E15" s="57" t="s">
        <v>486</v>
      </c>
      <c r="F15" s="160">
        <v>-242668</v>
      </c>
      <c r="G15" s="160"/>
      <c r="H15" s="160">
        <v>0</v>
      </c>
      <c r="I15" s="57" t="s">
        <v>504</v>
      </c>
      <c r="J15" s="57" t="s">
        <v>505</v>
      </c>
      <c r="K15" s="160">
        <v>0</v>
      </c>
    </row>
    <row r="16" spans="1:12" x14ac:dyDescent="0.25">
      <c r="D16" s="15">
        <v>108367</v>
      </c>
      <c r="E16" s="57" t="s">
        <v>486</v>
      </c>
      <c r="F16" s="160">
        <v>-315704</v>
      </c>
      <c r="G16" s="160"/>
      <c r="H16" s="160">
        <v>0</v>
      </c>
      <c r="I16" s="57" t="s">
        <v>504</v>
      </c>
      <c r="J16" s="57" t="s">
        <v>505</v>
      </c>
      <c r="K16" s="160">
        <v>0</v>
      </c>
    </row>
    <row r="17" spans="4:11" x14ac:dyDescent="0.25">
      <c r="D17" s="15">
        <v>108368</v>
      </c>
      <c r="E17" s="57" t="s">
        <v>486</v>
      </c>
      <c r="F17" s="160">
        <v>-969968</v>
      </c>
      <c r="G17" s="160"/>
      <c r="H17" s="160">
        <v>0</v>
      </c>
      <c r="I17" s="57" t="s">
        <v>504</v>
      </c>
      <c r="J17" s="57" t="s">
        <v>505</v>
      </c>
      <c r="K17" s="160">
        <v>0</v>
      </c>
    </row>
    <row r="18" spans="4:11" x14ac:dyDescent="0.25">
      <c r="D18" s="15">
        <v>108369</v>
      </c>
      <c r="E18" s="57" t="s">
        <v>486</v>
      </c>
      <c r="F18" s="160">
        <v>-664152</v>
      </c>
      <c r="G18" s="160"/>
      <c r="H18" s="160">
        <v>0</v>
      </c>
      <c r="I18" s="57" t="s">
        <v>504</v>
      </c>
      <c r="J18" s="57" t="s">
        <v>505</v>
      </c>
      <c r="K18" s="160">
        <v>0</v>
      </c>
    </row>
    <row r="19" spans="4:11" x14ac:dyDescent="0.25">
      <c r="D19" s="15">
        <v>108370</v>
      </c>
      <c r="E19" s="57" t="s">
        <v>486</v>
      </c>
      <c r="F19" s="160">
        <v>-259553</v>
      </c>
      <c r="G19" s="160"/>
      <c r="H19" s="160">
        <v>0</v>
      </c>
      <c r="I19" s="57" t="s">
        <v>504</v>
      </c>
      <c r="J19" s="57" t="s">
        <v>505</v>
      </c>
      <c r="K19" s="160">
        <v>0</v>
      </c>
    </row>
    <row r="20" spans="4:11" x14ac:dyDescent="0.25">
      <c r="D20" s="15">
        <v>108371</v>
      </c>
      <c r="E20" s="57" t="s">
        <v>486</v>
      </c>
      <c r="F20" s="160">
        <v>1268</v>
      </c>
      <c r="G20" s="160"/>
      <c r="H20" s="160">
        <v>0</v>
      </c>
      <c r="I20" s="57" t="s">
        <v>504</v>
      </c>
      <c r="J20" s="57" t="s">
        <v>505</v>
      </c>
      <c r="K20" s="160">
        <v>0</v>
      </c>
    </row>
    <row r="21" spans="4:11" x14ac:dyDescent="0.25">
      <c r="D21" s="15">
        <v>108373</v>
      </c>
      <c r="E21" s="57" t="s">
        <v>486</v>
      </c>
      <c r="F21" s="160">
        <v>-30257</v>
      </c>
      <c r="G21" s="160"/>
      <c r="H21" s="160">
        <v>0</v>
      </c>
      <c r="I21" s="57" t="s">
        <v>504</v>
      </c>
      <c r="J21" s="57" t="s">
        <v>505</v>
      </c>
      <c r="K21" s="160">
        <v>0</v>
      </c>
    </row>
    <row r="22" spans="4:11" x14ac:dyDescent="0.25">
      <c r="D22" s="57" t="s">
        <v>512</v>
      </c>
      <c r="E22" s="57" t="s">
        <v>486</v>
      </c>
      <c r="F22" s="160">
        <v>-47915</v>
      </c>
      <c r="G22" s="160"/>
      <c r="H22" s="160">
        <v>0</v>
      </c>
      <c r="I22" s="57" t="s">
        <v>504</v>
      </c>
      <c r="J22" s="57" t="s">
        <v>505</v>
      </c>
      <c r="K22" s="160">
        <v>0</v>
      </c>
    </row>
    <row r="23" spans="4:11" x14ac:dyDescent="0.25">
      <c r="D23" s="57" t="s">
        <v>514</v>
      </c>
      <c r="E23" s="57" t="s">
        <v>486</v>
      </c>
      <c r="F23" s="160">
        <f>-1509132</f>
        <v>-1509132</v>
      </c>
      <c r="G23" s="160"/>
      <c r="H23" s="160">
        <v>0</v>
      </c>
      <c r="I23" s="57" t="s">
        <v>167</v>
      </c>
      <c r="J23" s="288">
        <v>0.22565052397253504</v>
      </c>
      <c r="K23" s="160">
        <f>H23*J23</f>
        <v>0</v>
      </c>
    </row>
    <row r="24" spans="4:11" x14ac:dyDescent="0.25">
      <c r="D24" s="57" t="s">
        <v>514</v>
      </c>
      <c r="E24" s="57" t="s">
        <v>486</v>
      </c>
      <c r="F24" s="160">
        <v>-366264</v>
      </c>
      <c r="G24" s="160"/>
      <c r="H24" s="160">
        <v>0</v>
      </c>
      <c r="I24" s="57" t="s">
        <v>516</v>
      </c>
      <c r="J24" s="289">
        <v>6.8839999999999998E-2</v>
      </c>
      <c r="K24" s="160">
        <f t="shared" ref="K24:K26" si="0">H24*J24</f>
        <v>0</v>
      </c>
    </row>
    <row r="25" spans="4:11" x14ac:dyDescent="0.25">
      <c r="D25" s="57" t="s">
        <v>514</v>
      </c>
      <c r="E25" s="57" t="s">
        <v>486</v>
      </c>
      <c r="F25" s="160">
        <v>-374406</v>
      </c>
      <c r="G25" s="160"/>
      <c r="H25" s="160">
        <v>0</v>
      </c>
      <c r="I25" s="57" t="s">
        <v>168</v>
      </c>
      <c r="J25" s="288">
        <v>0.22437000000000001</v>
      </c>
      <c r="K25" s="160">
        <f t="shared" si="0"/>
        <v>0</v>
      </c>
    </row>
    <row r="26" spans="4:11" x14ac:dyDescent="0.25">
      <c r="D26" s="57" t="s">
        <v>514</v>
      </c>
      <c r="E26" s="57" t="s">
        <v>486</v>
      </c>
      <c r="F26" s="160">
        <v>-517072</v>
      </c>
      <c r="G26" s="160"/>
      <c r="H26" s="160">
        <v>0</v>
      </c>
      <c r="I26" s="57" t="s">
        <v>515</v>
      </c>
      <c r="J26" s="290">
        <v>6.6549999999999998E-2</v>
      </c>
      <c r="K26" s="160">
        <f t="shared" si="0"/>
        <v>0</v>
      </c>
    </row>
    <row r="27" spans="4:11" x14ac:dyDescent="0.25">
      <c r="D27" s="57" t="s">
        <v>514</v>
      </c>
      <c r="E27" s="57" t="s">
        <v>486</v>
      </c>
      <c r="F27" s="160">
        <v>160308</v>
      </c>
      <c r="G27" s="160"/>
      <c r="H27" s="160">
        <v>0</v>
      </c>
      <c r="I27" s="57" t="s">
        <v>504</v>
      </c>
      <c r="J27" s="57" t="s">
        <v>505</v>
      </c>
      <c r="K27" s="160">
        <v>0</v>
      </c>
    </row>
    <row r="28" spans="4:11" x14ac:dyDescent="0.25">
      <c r="D28" s="57" t="s">
        <v>517</v>
      </c>
      <c r="E28" s="57" t="s">
        <v>486</v>
      </c>
      <c r="F28" s="160">
        <v>10939756</v>
      </c>
      <c r="G28" s="160"/>
      <c r="H28" s="160">
        <v>0</v>
      </c>
      <c r="I28" s="57" t="s">
        <v>167</v>
      </c>
      <c r="J28" s="288">
        <v>0.22565052397253504</v>
      </c>
      <c r="K28" s="160">
        <f>H28*J28</f>
        <v>0</v>
      </c>
    </row>
    <row r="29" spans="4:11" x14ac:dyDescent="0.25">
      <c r="D29" s="57" t="s">
        <v>518</v>
      </c>
      <c r="E29" s="57" t="s">
        <v>486</v>
      </c>
      <c r="F29" s="160">
        <v>874665</v>
      </c>
      <c r="G29" s="160"/>
      <c r="H29" s="160">
        <v>0</v>
      </c>
      <c r="I29" s="57" t="s">
        <v>167</v>
      </c>
      <c r="J29" s="288">
        <v>0.22565052397253504</v>
      </c>
      <c r="K29" s="160">
        <f>H29*J29</f>
        <v>0</v>
      </c>
    </row>
    <row r="30" spans="4:11" x14ac:dyDescent="0.25">
      <c r="D30" s="57" t="s">
        <v>176</v>
      </c>
      <c r="E30" s="57" t="s">
        <v>486</v>
      </c>
      <c r="F30" s="160">
        <v>-1575199</v>
      </c>
      <c r="G30" s="160"/>
      <c r="H30" s="160">
        <v>0</v>
      </c>
      <c r="I30" s="57" t="s">
        <v>167</v>
      </c>
      <c r="J30" s="288">
        <v>0.22565052397253504</v>
      </c>
      <c r="K30" s="160">
        <f>H30*J30</f>
        <v>0</v>
      </c>
    </row>
    <row r="31" spans="4:11" x14ac:dyDescent="0.25">
      <c r="D31" s="57" t="s">
        <v>176</v>
      </c>
      <c r="E31" s="57" t="s">
        <v>486</v>
      </c>
      <c r="F31" s="160">
        <v>-10482091</v>
      </c>
      <c r="G31" s="160"/>
      <c r="H31" s="160">
        <v>0</v>
      </c>
      <c r="I31" s="57" t="s">
        <v>168</v>
      </c>
      <c r="J31" s="288">
        <v>0.22437000000000001</v>
      </c>
      <c r="K31" s="160">
        <f t="shared" ref="K31" si="1">H31*J31</f>
        <v>0</v>
      </c>
    </row>
    <row r="32" spans="4:11" x14ac:dyDescent="0.25">
      <c r="D32" s="57" t="s">
        <v>519</v>
      </c>
      <c r="E32" s="57" t="s">
        <v>486</v>
      </c>
      <c r="F32" s="160">
        <v>-6146398</v>
      </c>
      <c r="G32" s="160"/>
      <c r="H32" s="160">
        <v>0</v>
      </c>
      <c r="I32" s="57" t="s">
        <v>167</v>
      </c>
      <c r="J32" s="288">
        <v>0.22565052397253504</v>
      </c>
      <c r="K32" s="160">
        <f>H32*J32</f>
        <v>0</v>
      </c>
    </row>
    <row r="33" spans="1:13" x14ac:dyDescent="0.25">
      <c r="D33" s="57" t="s">
        <v>519</v>
      </c>
      <c r="E33" s="57" t="s">
        <v>486</v>
      </c>
      <c r="F33" s="160">
        <v>-6496431</v>
      </c>
      <c r="G33" s="160"/>
      <c r="H33" s="160">
        <v>0</v>
      </c>
      <c r="I33" s="57" t="s">
        <v>168</v>
      </c>
      <c r="J33" s="288">
        <v>0.22437000000000001</v>
      </c>
      <c r="K33" s="160">
        <f t="shared" ref="K33:K34" si="2">H33*J33</f>
        <v>0</v>
      </c>
    </row>
    <row r="34" spans="1:13" x14ac:dyDescent="0.25">
      <c r="D34" s="57" t="s">
        <v>519</v>
      </c>
      <c r="E34" s="57" t="s">
        <v>486</v>
      </c>
      <c r="F34" s="160">
        <v>635</v>
      </c>
      <c r="G34" s="160"/>
      <c r="H34" s="160">
        <v>0</v>
      </c>
      <c r="I34" s="57" t="s">
        <v>520</v>
      </c>
      <c r="J34" s="288">
        <v>8.2290000000000002E-2</v>
      </c>
      <c r="K34" s="160">
        <f t="shared" si="2"/>
        <v>0</v>
      </c>
    </row>
    <row r="35" spans="1:13" x14ac:dyDescent="0.25">
      <c r="D35" s="57" t="s">
        <v>521</v>
      </c>
      <c r="E35" s="57" t="s">
        <v>486</v>
      </c>
      <c r="F35" s="160">
        <v>-31936</v>
      </c>
      <c r="G35" s="160"/>
      <c r="H35" s="160">
        <v>0</v>
      </c>
      <c r="I35" s="57" t="s">
        <v>167</v>
      </c>
      <c r="J35" s="288">
        <v>0.22565052397253504</v>
      </c>
      <c r="K35" s="160">
        <f>H35*J35</f>
        <v>0</v>
      </c>
    </row>
    <row r="36" spans="1:13" x14ac:dyDescent="0.25">
      <c r="D36" s="57" t="s">
        <v>521</v>
      </c>
      <c r="E36" s="57" t="s">
        <v>486</v>
      </c>
      <c r="F36" s="160">
        <v>1612921</v>
      </c>
      <c r="G36" s="160"/>
      <c r="H36" s="160">
        <v>0</v>
      </c>
      <c r="I36" s="57" t="s">
        <v>516</v>
      </c>
      <c r="J36" s="289">
        <v>6.8839999999999998E-2</v>
      </c>
      <c r="K36" s="160">
        <f t="shared" ref="K36:K37" si="3">H36*J36</f>
        <v>0</v>
      </c>
    </row>
    <row r="37" spans="1:13" x14ac:dyDescent="0.25">
      <c r="D37" s="57" t="s">
        <v>521</v>
      </c>
      <c r="E37" s="57" t="s">
        <v>486</v>
      </c>
      <c r="F37" s="160">
        <v>-246800</v>
      </c>
      <c r="G37" s="160"/>
      <c r="H37" s="160">
        <v>0</v>
      </c>
      <c r="I37" s="57" t="s">
        <v>515</v>
      </c>
      <c r="J37" s="290">
        <v>6.6549999999999998E-2</v>
      </c>
      <c r="K37" s="160">
        <f t="shared" si="3"/>
        <v>0</v>
      </c>
    </row>
    <row r="38" spans="1:13" x14ac:dyDescent="0.25">
      <c r="D38" s="57" t="s">
        <v>521</v>
      </c>
      <c r="E38" s="57" t="s">
        <v>486</v>
      </c>
      <c r="F38" s="160">
        <v>-35201</v>
      </c>
      <c r="G38" s="160"/>
      <c r="H38" s="160">
        <v>0</v>
      </c>
      <c r="I38" s="57" t="s">
        <v>504</v>
      </c>
      <c r="J38" s="57" t="s">
        <v>505</v>
      </c>
      <c r="K38" s="160">
        <f>H38</f>
        <v>0</v>
      </c>
    </row>
    <row r="39" spans="1:13" x14ac:dyDescent="0.25">
      <c r="D39" s="57" t="s">
        <v>522</v>
      </c>
      <c r="E39" s="57" t="s">
        <v>486</v>
      </c>
      <c r="F39" s="160">
        <v>-137520</v>
      </c>
      <c r="G39" s="160"/>
      <c r="H39" s="160">
        <v>0</v>
      </c>
      <c r="I39" s="57" t="s">
        <v>167</v>
      </c>
      <c r="J39" s="288">
        <v>0.22565052397253504</v>
      </c>
      <c r="K39" s="160">
        <f>H39*J39</f>
        <v>0</v>
      </c>
    </row>
    <row r="40" spans="1:13" x14ac:dyDescent="0.25">
      <c r="D40" s="57" t="s">
        <v>523</v>
      </c>
      <c r="E40" s="57" t="s">
        <v>486</v>
      </c>
      <c r="F40" s="160">
        <v>-7062184</v>
      </c>
      <c r="G40" s="160"/>
      <c r="H40" s="160">
        <v>0</v>
      </c>
      <c r="I40" s="57" t="s">
        <v>167</v>
      </c>
      <c r="J40" s="288">
        <v>0.22565052397253504</v>
      </c>
      <c r="K40" s="160">
        <f>H40*J40</f>
        <v>0</v>
      </c>
    </row>
    <row r="41" spans="1:13" x14ac:dyDescent="0.25">
      <c r="D41" s="57" t="s">
        <v>523</v>
      </c>
      <c r="E41" s="57" t="s">
        <v>486</v>
      </c>
      <c r="F41" s="160">
        <v>-1568309</v>
      </c>
      <c r="G41" s="160"/>
      <c r="H41" s="160">
        <v>0</v>
      </c>
      <c r="I41" s="57" t="s">
        <v>516</v>
      </c>
      <c r="J41" s="289">
        <v>6.8839999999999998E-2</v>
      </c>
      <c r="K41" s="160">
        <f t="shared" ref="K41:K44" si="4">H41*J41</f>
        <v>0</v>
      </c>
    </row>
    <row r="42" spans="1:13" x14ac:dyDescent="0.25">
      <c r="D42" s="57" t="s">
        <v>523</v>
      </c>
      <c r="E42" s="57" t="s">
        <v>486</v>
      </c>
      <c r="F42" s="160">
        <v>-138060</v>
      </c>
      <c r="G42" s="160"/>
      <c r="H42" s="160">
        <v>0</v>
      </c>
      <c r="I42" s="57" t="s">
        <v>168</v>
      </c>
      <c r="J42" s="288">
        <v>0.22437000000000001</v>
      </c>
      <c r="K42" s="160">
        <f t="shared" si="4"/>
        <v>0</v>
      </c>
    </row>
    <row r="43" spans="1:13" x14ac:dyDescent="0.25">
      <c r="D43" s="57" t="s">
        <v>523</v>
      </c>
      <c r="E43" s="57" t="s">
        <v>486</v>
      </c>
      <c r="F43" s="160">
        <v>1243648</v>
      </c>
      <c r="G43" s="160"/>
      <c r="H43" s="160">
        <v>0</v>
      </c>
      <c r="I43" s="57" t="s">
        <v>520</v>
      </c>
      <c r="J43" s="288">
        <v>8.2290000000000002E-2</v>
      </c>
      <c r="K43" s="160">
        <f t="shared" si="4"/>
        <v>0</v>
      </c>
    </row>
    <row r="44" spans="1:13" x14ac:dyDescent="0.25">
      <c r="D44" s="57" t="s">
        <v>523</v>
      </c>
      <c r="E44" s="57" t="s">
        <v>486</v>
      </c>
      <c r="F44" s="160">
        <v>-4594176</v>
      </c>
      <c r="G44" s="160"/>
      <c r="H44" s="170">
        <v>0</v>
      </c>
      <c r="I44" s="57" t="s">
        <v>515</v>
      </c>
      <c r="J44" s="290">
        <v>6.6549999999999998E-2</v>
      </c>
      <c r="K44" s="170">
        <f t="shared" si="4"/>
        <v>0</v>
      </c>
    </row>
    <row r="45" spans="1:13" x14ac:dyDescent="0.25">
      <c r="C45" s="56" t="s">
        <v>524</v>
      </c>
      <c r="D45" s="57"/>
      <c r="E45" s="15"/>
      <c r="F45" s="160"/>
      <c r="G45" s="160"/>
      <c r="H45" s="171">
        <f>SUM(H10:H44)</f>
        <v>0</v>
      </c>
      <c r="I45" s="15"/>
      <c r="J45" s="15"/>
      <c r="K45" s="171">
        <f>SUM(K10:K44)</f>
        <v>0</v>
      </c>
    </row>
    <row r="46" spans="1:13" x14ac:dyDescent="0.25">
      <c r="D46" s="57"/>
      <c r="E46" s="15"/>
      <c r="F46" s="160"/>
      <c r="G46" s="160"/>
      <c r="H46" s="160"/>
      <c r="I46" s="15"/>
      <c r="J46" s="15"/>
    </row>
    <row r="47" spans="1:13" x14ac:dyDescent="0.25">
      <c r="A47" s="250"/>
      <c r="B47" s="270"/>
      <c r="C47" s="270"/>
      <c r="D47" s="271"/>
      <c r="E47" s="271"/>
      <c r="F47" s="272"/>
      <c r="G47" s="272"/>
      <c r="H47" s="272"/>
      <c r="I47" s="272"/>
      <c r="J47" s="252"/>
      <c r="K47" s="253"/>
      <c r="L47" s="249"/>
      <c r="M47" s="248"/>
    </row>
    <row r="48" spans="1:13" ht="16.5" thickBot="1" x14ac:dyDescent="0.3">
      <c r="A48" s="250"/>
      <c r="B48" s="273" t="s">
        <v>526</v>
      </c>
      <c r="C48" s="270"/>
      <c r="D48" s="271"/>
      <c r="E48" s="271"/>
      <c r="F48" s="272"/>
      <c r="G48" s="272"/>
      <c r="H48" s="272"/>
      <c r="I48" s="272"/>
      <c r="J48" s="252"/>
      <c r="K48" s="253"/>
      <c r="L48" s="249"/>
      <c r="M48" s="248"/>
    </row>
    <row r="49" spans="1:13" x14ac:dyDescent="0.25">
      <c r="A49" s="274"/>
      <c r="B49" s="275"/>
      <c r="C49" s="276"/>
      <c r="D49" s="277"/>
      <c r="E49" s="278" t="s">
        <v>492</v>
      </c>
      <c r="F49" s="278"/>
      <c r="G49" s="278"/>
      <c r="H49" s="278"/>
      <c r="I49" s="278"/>
      <c r="J49" s="278"/>
      <c r="K49" s="278"/>
      <c r="L49" s="279"/>
      <c r="M49" s="248"/>
    </row>
    <row r="50" spans="1:13" x14ac:dyDescent="0.25">
      <c r="A50" s="280"/>
      <c r="B50" s="281"/>
      <c r="C50" s="250"/>
      <c r="D50" s="271"/>
      <c r="E50" s="251" t="s">
        <v>492</v>
      </c>
      <c r="F50" s="251"/>
      <c r="G50" s="251"/>
      <c r="H50" s="251"/>
      <c r="I50" s="251"/>
      <c r="J50" s="251"/>
      <c r="K50" s="251"/>
      <c r="L50" s="282"/>
      <c r="M50" s="248"/>
    </row>
    <row r="51" spans="1:13" x14ac:dyDescent="0.25">
      <c r="A51" s="280"/>
      <c r="B51" s="281"/>
      <c r="C51" s="250"/>
      <c r="D51" s="271"/>
      <c r="E51" s="251"/>
      <c r="F51" s="251"/>
      <c r="G51" s="251"/>
      <c r="H51" s="251"/>
      <c r="I51" s="251"/>
      <c r="J51" s="251"/>
      <c r="K51" s="251"/>
      <c r="L51" s="282"/>
      <c r="M51" s="248"/>
    </row>
    <row r="52" spans="1:13" x14ac:dyDescent="0.25">
      <c r="A52" s="280"/>
      <c r="B52" s="281"/>
      <c r="C52" s="250"/>
      <c r="D52" s="271"/>
      <c r="E52" s="251"/>
      <c r="F52" s="251"/>
      <c r="G52" s="251"/>
      <c r="H52" s="251"/>
      <c r="I52" s="251"/>
      <c r="J52" s="251"/>
      <c r="K52" s="251"/>
      <c r="L52" s="282"/>
      <c r="M52" s="248"/>
    </row>
    <row r="53" spans="1:13" x14ac:dyDescent="0.25">
      <c r="A53" s="280"/>
      <c r="B53" s="281"/>
      <c r="C53" s="250"/>
      <c r="D53" s="271"/>
      <c r="E53" s="251"/>
      <c r="F53" s="251"/>
      <c r="G53" s="251"/>
      <c r="H53" s="251"/>
      <c r="I53" s="251"/>
      <c r="J53" s="251"/>
      <c r="K53" s="251"/>
      <c r="L53" s="282"/>
      <c r="M53" s="248"/>
    </row>
    <row r="54" spans="1:13" x14ac:dyDescent="0.25">
      <c r="A54" s="280"/>
      <c r="B54" s="281"/>
      <c r="C54" s="250"/>
      <c r="D54" s="271"/>
      <c r="E54" s="251" t="s">
        <v>492</v>
      </c>
      <c r="F54" s="251"/>
      <c r="G54" s="251"/>
      <c r="H54" s="251"/>
      <c r="I54" s="251"/>
      <c r="J54" s="251"/>
      <c r="K54" s="251"/>
      <c r="L54" s="282"/>
      <c r="M54" s="248"/>
    </row>
    <row r="55" spans="1:13" x14ac:dyDescent="0.25">
      <c r="A55" s="280"/>
      <c r="B55" s="281"/>
      <c r="C55" s="250"/>
      <c r="D55" s="271"/>
      <c r="E55" s="251" t="s">
        <v>492</v>
      </c>
      <c r="F55" s="251"/>
      <c r="G55" s="251"/>
      <c r="H55" s="251"/>
      <c r="I55" s="251"/>
      <c r="J55" s="251"/>
      <c r="K55" s="251"/>
      <c r="L55" s="282"/>
      <c r="M55" s="248"/>
    </row>
    <row r="56" spans="1:13" x14ac:dyDescent="0.25">
      <c r="A56" s="280"/>
      <c r="B56" s="281"/>
      <c r="C56" s="250"/>
      <c r="D56" s="271"/>
      <c r="E56" s="251"/>
      <c r="F56" s="251"/>
      <c r="G56" s="251"/>
      <c r="H56" s="251"/>
      <c r="I56" s="251"/>
      <c r="J56" s="251"/>
      <c r="K56" s="251"/>
      <c r="L56" s="282"/>
      <c r="M56" s="248"/>
    </row>
    <row r="57" spans="1:13" ht="16.5" thickBot="1" x14ac:dyDescent="0.3">
      <c r="A57" s="283"/>
      <c r="B57" s="284"/>
      <c r="C57" s="284"/>
      <c r="D57" s="285"/>
      <c r="E57" s="286" t="s">
        <v>492</v>
      </c>
      <c r="F57" s="286"/>
      <c r="G57" s="286"/>
      <c r="H57" s="286"/>
      <c r="I57" s="286"/>
      <c r="J57" s="286"/>
      <c r="K57" s="286"/>
      <c r="L57" s="287"/>
      <c r="M57" s="250"/>
    </row>
    <row r="58" spans="1:13" x14ac:dyDescent="0.25">
      <c r="A58" s="250"/>
      <c r="B58" s="250"/>
      <c r="C58" s="250"/>
      <c r="D58" s="271"/>
      <c r="E58" s="251" t="s">
        <v>492</v>
      </c>
      <c r="F58" s="250"/>
      <c r="G58" s="250"/>
      <c r="H58" s="250"/>
      <c r="I58" s="251"/>
      <c r="J58" s="250"/>
      <c r="K58" s="250"/>
      <c r="L58" s="250"/>
      <c r="M58" s="250"/>
    </row>
  </sheetData>
  <conditionalFormatting sqref="B8:B9">
    <cfRule type="cellIs" dxfId="24" priority="1" stopIfTrue="1" operator="equal">
      <formula>"Adjustment to Income/Expense/Rate Base:"</formula>
    </cfRule>
  </conditionalFormatting>
  <conditionalFormatting sqref="L1">
    <cfRule type="cellIs" dxfId="23" priority="2" stopIfTrue="1" operator="equal">
      <formula>"x.x"</formula>
    </cfRule>
  </conditionalFormatting>
  <pageMargins left="0.7" right="0.7" top="0.75" bottom="0.75" header="0.3" footer="0.3"/>
  <pageSetup scale="77"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workbookViewId="0">
      <selection activeCell="K3" sqref="K3"/>
    </sheetView>
  </sheetViews>
  <sheetFormatPr defaultRowHeight="15.75" x14ac:dyDescent="0.25"/>
  <cols>
    <col min="1" max="1" width="1.75" style="7" customWidth="1"/>
    <col min="2" max="2" width="6.25" style="7" customWidth="1"/>
    <col min="3" max="3" width="17.625" style="7" customWidth="1"/>
    <col min="4" max="4" width="9.75" style="7" customWidth="1"/>
    <col min="5" max="5" width="5.75" style="7" customWidth="1"/>
    <col min="6" max="6" width="12.625" style="7" customWidth="1"/>
    <col min="7" max="7" width="1.5" style="7" customWidth="1"/>
    <col min="8" max="8" width="9.75" style="7" customWidth="1"/>
    <col min="9" max="9" width="10.25" style="7" customWidth="1"/>
    <col min="10" max="10" width="9" style="7"/>
    <col min="11" max="11" width="10.375" style="7" customWidth="1"/>
    <col min="12" max="16384" width="9" style="7"/>
  </cols>
  <sheetData>
    <row r="1" spans="1:11" x14ac:dyDescent="0.25">
      <c r="A1" s="292"/>
      <c r="B1" s="487" t="s">
        <v>392</v>
      </c>
      <c r="C1" s="254"/>
      <c r="D1" s="256"/>
      <c r="E1" s="256"/>
      <c r="F1" s="256"/>
      <c r="I1" s="256"/>
      <c r="J1" s="256"/>
      <c r="K1" s="334" t="s">
        <v>275</v>
      </c>
    </row>
    <row r="2" spans="1:11" x14ac:dyDescent="0.25">
      <c r="A2" s="292"/>
      <c r="B2" s="56" t="s">
        <v>685</v>
      </c>
      <c r="C2" s="254"/>
      <c r="D2" s="256"/>
      <c r="E2" s="256"/>
      <c r="F2" s="256"/>
      <c r="I2" s="256"/>
      <c r="J2" s="256"/>
      <c r="K2" s="334" t="s">
        <v>189</v>
      </c>
    </row>
    <row r="3" spans="1:11" x14ac:dyDescent="0.25">
      <c r="A3" s="292"/>
      <c r="B3" s="56" t="s">
        <v>273</v>
      </c>
      <c r="C3" s="254"/>
      <c r="D3" s="256"/>
      <c r="E3" s="256"/>
      <c r="F3" s="255"/>
      <c r="I3" s="256"/>
      <c r="J3" s="256"/>
      <c r="K3" s="521" t="s">
        <v>748</v>
      </c>
    </row>
    <row r="4" spans="1:11" x14ac:dyDescent="0.25">
      <c r="A4" s="292"/>
      <c r="B4" s="502"/>
      <c r="C4" s="254"/>
      <c r="D4" s="256"/>
      <c r="E4" s="256"/>
      <c r="F4" s="256"/>
      <c r="I4" s="256"/>
      <c r="J4" s="256"/>
      <c r="K4" s="334" t="s">
        <v>734</v>
      </c>
    </row>
    <row r="5" spans="1:11" x14ac:dyDescent="0.25">
      <c r="A5" s="292"/>
      <c r="B5" s="503" t="s">
        <v>525</v>
      </c>
      <c r="C5" s="254"/>
      <c r="D5" s="256"/>
      <c r="E5" s="256"/>
      <c r="F5" s="256"/>
      <c r="I5" s="256"/>
      <c r="J5" s="256"/>
      <c r="K5" s="256"/>
    </row>
    <row r="6" spans="1:11" x14ac:dyDescent="0.25">
      <c r="A6" s="292"/>
      <c r="B6" s="254"/>
      <c r="C6" s="254"/>
      <c r="D6" s="256"/>
      <c r="E6" s="256"/>
      <c r="F6" s="256" t="s">
        <v>477</v>
      </c>
      <c r="H6" s="256" t="s">
        <v>510</v>
      </c>
      <c r="I6" s="256"/>
      <c r="J6" s="256"/>
      <c r="K6" s="256" t="s">
        <v>478</v>
      </c>
    </row>
    <row r="7" spans="1:11" x14ac:dyDescent="0.25">
      <c r="A7" s="292"/>
      <c r="B7" s="254"/>
      <c r="C7" s="254"/>
      <c r="D7" s="258" t="s">
        <v>479</v>
      </c>
      <c r="E7" s="258" t="s">
        <v>480</v>
      </c>
      <c r="F7" s="258" t="s">
        <v>481</v>
      </c>
      <c r="H7" s="258" t="s">
        <v>511</v>
      </c>
      <c r="I7" s="258" t="s">
        <v>482</v>
      </c>
      <c r="J7" s="258" t="s">
        <v>483</v>
      </c>
      <c r="K7" s="258" t="s">
        <v>484</v>
      </c>
    </row>
    <row r="8" spans="1:11" x14ac:dyDescent="0.25">
      <c r="A8" s="293"/>
      <c r="B8" s="261" t="s">
        <v>11</v>
      </c>
      <c r="C8" s="260"/>
      <c r="D8" s="262"/>
      <c r="E8" s="262"/>
      <c r="F8" s="262" t="s">
        <v>507</v>
      </c>
      <c r="G8" s="262"/>
      <c r="H8" s="262"/>
      <c r="I8" s="294"/>
    </row>
    <row r="9" spans="1:11" x14ac:dyDescent="0.25">
      <c r="A9" s="293"/>
      <c r="C9" s="260" t="s">
        <v>175</v>
      </c>
      <c r="D9" s="15">
        <v>403360</v>
      </c>
      <c r="E9" s="15" t="s">
        <v>486</v>
      </c>
      <c r="F9" s="160">
        <v>1523</v>
      </c>
      <c r="G9" s="160"/>
      <c r="H9" s="160">
        <v>0</v>
      </c>
      <c r="I9" s="15" t="s">
        <v>504</v>
      </c>
      <c r="J9" s="15" t="s">
        <v>505</v>
      </c>
      <c r="K9" s="160">
        <v>0</v>
      </c>
    </row>
    <row r="10" spans="1:11" x14ac:dyDescent="0.25">
      <c r="C10" s="260" t="s">
        <v>175</v>
      </c>
      <c r="D10" s="15">
        <v>403361</v>
      </c>
      <c r="E10" s="15" t="s">
        <v>486</v>
      </c>
      <c r="F10" s="160">
        <v>4123</v>
      </c>
      <c r="G10" s="160"/>
      <c r="H10" s="160">
        <v>0</v>
      </c>
      <c r="I10" s="15" t="s">
        <v>504</v>
      </c>
      <c r="J10" s="15" t="s">
        <v>505</v>
      </c>
      <c r="K10" s="160">
        <v>0</v>
      </c>
    </row>
    <row r="11" spans="1:11" x14ac:dyDescent="0.25">
      <c r="C11" s="260" t="s">
        <v>175</v>
      </c>
      <c r="D11" s="15">
        <v>403362</v>
      </c>
      <c r="E11" s="15" t="s">
        <v>486</v>
      </c>
      <c r="F11" s="160">
        <v>95898</v>
      </c>
      <c r="G11" s="160"/>
      <c r="H11" s="160">
        <v>0</v>
      </c>
      <c r="I11" s="15" t="s">
        <v>504</v>
      </c>
      <c r="J11" s="15" t="s">
        <v>505</v>
      </c>
      <c r="K11" s="160">
        <v>0</v>
      </c>
    </row>
    <row r="12" spans="1:11" x14ac:dyDescent="0.25">
      <c r="C12" s="260" t="s">
        <v>175</v>
      </c>
      <c r="D12" s="15">
        <v>403364</v>
      </c>
      <c r="E12" s="15" t="s">
        <v>486</v>
      </c>
      <c r="F12" s="160">
        <v>30907</v>
      </c>
      <c r="G12" s="160"/>
      <c r="H12" s="160">
        <v>0</v>
      </c>
      <c r="I12" s="15" t="s">
        <v>504</v>
      </c>
      <c r="J12" s="15" t="s">
        <v>505</v>
      </c>
      <c r="K12" s="160">
        <v>0</v>
      </c>
    </row>
    <row r="13" spans="1:11" x14ac:dyDescent="0.25">
      <c r="C13" s="260" t="s">
        <v>175</v>
      </c>
      <c r="D13" s="15">
        <v>403365</v>
      </c>
      <c r="E13" s="15" t="s">
        <v>486</v>
      </c>
      <c r="F13" s="160">
        <v>41246</v>
      </c>
      <c r="G13" s="160"/>
      <c r="H13" s="160">
        <v>0</v>
      </c>
      <c r="I13" s="15" t="s">
        <v>504</v>
      </c>
      <c r="J13" s="15" t="s">
        <v>505</v>
      </c>
      <c r="K13" s="160">
        <v>0</v>
      </c>
    </row>
    <row r="14" spans="1:11" x14ac:dyDescent="0.25">
      <c r="C14" s="260" t="s">
        <v>175</v>
      </c>
      <c r="D14" s="15">
        <v>403366</v>
      </c>
      <c r="E14" s="15" t="s">
        <v>486</v>
      </c>
      <c r="F14" s="160">
        <v>7217</v>
      </c>
      <c r="G14" s="160"/>
      <c r="H14" s="160">
        <v>0</v>
      </c>
      <c r="I14" s="15" t="s">
        <v>504</v>
      </c>
      <c r="J14" s="15" t="s">
        <v>505</v>
      </c>
      <c r="K14" s="160">
        <v>0</v>
      </c>
    </row>
    <row r="15" spans="1:11" x14ac:dyDescent="0.25">
      <c r="C15" s="260" t="s">
        <v>175</v>
      </c>
      <c r="D15" s="15">
        <v>403367</v>
      </c>
      <c r="E15" s="15" t="s">
        <v>486</v>
      </c>
      <c r="F15" s="160">
        <v>14428</v>
      </c>
      <c r="G15" s="160"/>
      <c r="H15" s="160">
        <v>0</v>
      </c>
      <c r="I15" s="15" t="s">
        <v>504</v>
      </c>
      <c r="J15" s="15" t="s">
        <v>505</v>
      </c>
      <c r="K15" s="160">
        <v>0</v>
      </c>
    </row>
    <row r="16" spans="1:11" x14ac:dyDescent="0.25">
      <c r="C16" s="260" t="s">
        <v>175</v>
      </c>
      <c r="D16" s="15">
        <v>403368</v>
      </c>
      <c r="E16" s="15" t="s">
        <v>486</v>
      </c>
      <c r="F16" s="160">
        <v>30586</v>
      </c>
      <c r="G16" s="160"/>
      <c r="H16" s="160">
        <v>0</v>
      </c>
      <c r="I16" s="15" t="s">
        <v>504</v>
      </c>
      <c r="J16" s="15" t="s">
        <v>505</v>
      </c>
      <c r="K16" s="160">
        <v>0</v>
      </c>
    </row>
    <row r="17" spans="3:11" x14ac:dyDescent="0.25">
      <c r="C17" s="260" t="s">
        <v>175</v>
      </c>
      <c r="D17" s="15">
        <v>403369</v>
      </c>
      <c r="E17" s="15" t="s">
        <v>486</v>
      </c>
      <c r="F17" s="160">
        <v>25140</v>
      </c>
      <c r="G17" s="160"/>
      <c r="H17" s="160">
        <v>0</v>
      </c>
      <c r="I17" s="15" t="s">
        <v>504</v>
      </c>
      <c r="J17" s="15" t="s">
        <v>505</v>
      </c>
      <c r="K17" s="160">
        <v>0</v>
      </c>
    </row>
    <row r="18" spans="3:11" x14ac:dyDescent="0.25">
      <c r="C18" s="260" t="s">
        <v>175</v>
      </c>
      <c r="D18" s="15">
        <v>403370</v>
      </c>
      <c r="E18" s="15" t="s">
        <v>486</v>
      </c>
      <c r="F18" s="160">
        <v>2663</v>
      </c>
      <c r="G18" s="160"/>
      <c r="H18" s="160">
        <v>0</v>
      </c>
      <c r="I18" s="15" t="s">
        <v>504</v>
      </c>
      <c r="J18" s="15" t="s">
        <v>505</v>
      </c>
      <c r="K18" s="160">
        <v>0</v>
      </c>
    </row>
    <row r="19" spans="3:11" x14ac:dyDescent="0.25">
      <c r="C19" s="260" t="s">
        <v>175</v>
      </c>
      <c r="D19" s="15">
        <v>403371</v>
      </c>
      <c r="E19" s="15" t="s">
        <v>486</v>
      </c>
      <c r="F19" s="160">
        <v>-12</v>
      </c>
      <c r="G19" s="160"/>
      <c r="H19" s="160">
        <v>0</v>
      </c>
      <c r="I19" s="15" t="s">
        <v>504</v>
      </c>
      <c r="J19" s="15" t="s">
        <v>505</v>
      </c>
      <c r="K19" s="160">
        <v>0</v>
      </c>
    </row>
    <row r="20" spans="3:11" x14ac:dyDescent="0.25">
      <c r="C20" s="260" t="s">
        <v>175</v>
      </c>
      <c r="D20" s="15">
        <v>403373</v>
      </c>
      <c r="E20" s="15" t="s">
        <v>486</v>
      </c>
      <c r="F20" s="160">
        <v>847</v>
      </c>
      <c r="G20" s="160"/>
      <c r="H20" s="160">
        <v>0</v>
      </c>
      <c r="I20" s="15" t="s">
        <v>504</v>
      </c>
      <c r="J20" s="15" t="s">
        <v>505</v>
      </c>
      <c r="K20" s="160">
        <v>0</v>
      </c>
    </row>
    <row r="21" spans="3:11" x14ac:dyDescent="0.25">
      <c r="C21" s="260" t="s">
        <v>175</v>
      </c>
      <c r="D21" s="57" t="s">
        <v>527</v>
      </c>
      <c r="E21" s="15" t="s">
        <v>486</v>
      </c>
      <c r="F21" s="160">
        <v>31808</v>
      </c>
      <c r="G21" s="160"/>
      <c r="H21" s="160">
        <v>0</v>
      </c>
      <c r="I21" s="15" t="s">
        <v>167</v>
      </c>
      <c r="J21" s="505">
        <v>0.22565052397253504</v>
      </c>
      <c r="K21" s="160">
        <f>H21*J21</f>
        <v>0</v>
      </c>
    </row>
    <row r="22" spans="3:11" x14ac:dyDescent="0.25">
      <c r="C22" s="260" t="s">
        <v>175</v>
      </c>
      <c r="D22" s="57" t="s">
        <v>527</v>
      </c>
      <c r="E22" s="15" t="s">
        <v>486</v>
      </c>
      <c r="F22" s="160">
        <v>-102056</v>
      </c>
      <c r="G22" s="160"/>
      <c r="H22" s="160">
        <v>0</v>
      </c>
      <c r="I22" s="15" t="s">
        <v>516</v>
      </c>
      <c r="J22" s="506">
        <v>6.8839999999999998E-2</v>
      </c>
      <c r="K22" s="160">
        <f t="shared" ref="K22:K24" si="0">H22*J22</f>
        <v>0</v>
      </c>
    </row>
    <row r="23" spans="3:11" x14ac:dyDescent="0.25">
      <c r="C23" s="260" t="s">
        <v>175</v>
      </c>
      <c r="D23" s="57" t="s">
        <v>527</v>
      </c>
      <c r="E23" s="15" t="s">
        <v>486</v>
      </c>
      <c r="F23" s="160">
        <v>6434</v>
      </c>
      <c r="G23" s="160"/>
      <c r="H23" s="160">
        <v>0</v>
      </c>
      <c r="I23" s="15" t="s">
        <v>168</v>
      </c>
      <c r="J23" s="505">
        <v>0.22437000000000001</v>
      </c>
      <c r="K23" s="160">
        <f t="shared" si="0"/>
        <v>0</v>
      </c>
    </row>
    <row r="24" spans="3:11" x14ac:dyDescent="0.25">
      <c r="C24" s="260" t="s">
        <v>175</v>
      </c>
      <c r="D24" s="57" t="s">
        <v>527</v>
      </c>
      <c r="E24" s="15" t="s">
        <v>486</v>
      </c>
      <c r="F24" s="160">
        <v>153768</v>
      </c>
      <c r="G24" s="160"/>
      <c r="H24" s="160">
        <v>0</v>
      </c>
      <c r="I24" s="15" t="s">
        <v>515</v>
      </c>
      <c r="J24" s="505">
        <v>6.6549999999999998E-2</v>
      </c>
      <c r="K24" s="160">
        <f t="shared" si="0"/>
        <v>0</v>
      </c>
    </row>
    <row r="25" spans="3:11" x14ac:dyDescent="0.25">
      <c r="C25" s="260" t="s">
        <v>175</v>
      </c>
      <c r="D25" s="57" t="s">
        <v>527</v>
      </c>
      <c r="E25" s="15" t="s">
        <v>486</v>
      </c>
      <c r="F25" s="160">
        <v>-7227</v>
      </c>
      <c r="G25" s="160"/>
      <c r="H25" s="160">
        <v>0</v>
      </c>
      <c r="I25" s="15" t="s">
        <v>504</v>
      </c>
      <c r="J25" s="15" t="s">
        <v>505</v>
      </c>
      <c r="K25" s="160">
        <v>0</v>
      </c>
    </row>
    <row r="26" spans="3:11" x14ac:dyDescent="0.25">
      <c r="C26" s="260" t="s">
        <v>175</v>
      </c>
      <c r="D26" s="57" t="s">
        <v>528</v>
      </c>
      <c r="E26" s="15" t="s">
        <v>486</v>
      </c>
      <c r="F26" s="160">
        <v>250760</v>
      </c>
      <c r="G26" s="160"/>
      <c r="H26" s="160">
        <v>0</v>
      </c>
      <c r="I26" s="15" t="s">
        <v>167</v>
      </c>
      <c r="J26" s="505">
        <v>0.22565052397253504</v>
      </c>
      <c r="K26" s="160">
        <f>H26*J26</f>
        <v>0</v>
      </c>
    </row>
    <row r="27" spans="3:11" x14ac:dyDescent="0.25">
      <c r="C27" s="260" t="s">
        <v>175</v>
      </c>
      <c r="D27" s="57" t="s">
        <v>529</v>
      </c>
      <c r="E27" s="15" t="s">
        <v>486</v>
      </c>
      <c r="F27" s="160">
        <v>249626</v>
      </c>
      <c r="G27" s="160"/>
      <c r="H27" s="160">
        <v>0</v>
      </c>
      <c r="I27" s="15" t="s">
        <v>167</v>
      </c>
      <c r="J27" s="505">
        <v>0.22565052397253504</v>
      </c>
      <c r="K27" s="160">
        <f>H27*J27</f>
        <v>0</v>
      </c>
    </row>
    <row r="28" spans="3:11" x14ac:dyDescent="0.25">
      <c r="C28" s="260" t="s">
        <v>175</v>
      </c>
      <c r="D28" s="57" t="s">
        <v>172</v>
      </c>
      <c r="E28" s="15" t="s">
        <v>486</v>
      </c>
      <c r="F28" s="160">
        <v>7844</v>
      </c>
      <c r="G28" s="160"/>
      <c r="H28" s="160">
        <v>0</v>
      </c>
      <c r="I28" s="15" t="s">
        <v>167</v>
      </c>
      <c r="J28" s="505">
        <v>0.22565052397253504</v>
      </c>
      <c r="K28" s="160">
        <f>H28*J28</f>
        <v>0</v>
      </c>
    </row>
    <row r="29" spans="3:11" x14ac:dyDescent="0.25">
      <c r="C29" s="260" t="s">
        <v>175</v>
      </c>
      <c r="D29" s="57" t="s">
        <v>172</v>
      </c>
      <c r="E29" s="15" t="s">
        <v>486</v>
      </c>
      <c r="F29" s="160">
        <v>354952</v>
      </c>
      <c r="G29" s="160"/>
      <c r="H29" s="160">
        <v>0</v>
      </c>
      <c r="I29" s="15" t="s">
        <v>168</v>
      </c>
      <c r="J29" s="505">
        <v>0.22437000000000001</v>
      </c>
      <c r="K29" s="160">
        <f t="shared" ref="K29" si="1">H29*J29</f>
        <v>0</v>
      </c>
    </row>
    <row r="30" spans="3:11" x14ac:dyDescent="0.25">
      <c r="C30" s="260" t="s">
        <v>175</v>
      </c>
      <c r="D30" s="57" t="s">
        <v>530</v>
      </c>
      <c r="E30" s="15" t="s">
        <v>486</v>
      </c>
      <c r="F30" s="160">
        <v>274502</v>
      </c>
      <c r="G30" s="160"/>
      <c r="H30" s="160">
        <v>0</v>
      </c>
      <c r="I30" s="15" t="s">
        <v>167</v>
      </c>
      <c r="J30" s="505">
        <v>0.22565052397253504</v>
      </c>
      <c r="K30" s="160">
        <f>H30*J30</f>
        <v>0</v>
      </c>
    </row>
    <row r="31" spans="3:11" x14ac:dyDescent="0.25">
      <c r="C31" s="260" t="s">
        <v>175</v>
      </c>
      <c r="D31" s="57" t="s">
        <v>530</v>
      </c>
      <c r="E31" s="15" t="s">
        <v>486</v>
      </c>
      <c r="F31" s="160">
        <v>22784</v>
      </c>
      <c r="G31" s="160"/>
      <c r="H31" s="160">
        <v>0</v>
      </c>
      <c r="I31" s="15" t="s">
        <v>168</v>
      </c>
      <c r="J31" s="505">
        <v>0.22437000000000001</v>
      </c>
      <c r="K31" s="160">
        <f t="shared" ref="K31:K32" si="2">H31*J31</f>
        <v>0</v>
      </c>
    </row>
    <row r="32" spans="3:11" x14ac:dyDescent="0.25">
      <c r="C32" s="260" t="s">
        <v>175</v>
      </c>
      <c r="D32" s="57" t="s">
        <v>530</v>
      </c>
      <c r="E32" s="15" t="s">
        <v>486</v>
      </c>
      <c r="F32" s="160">
        <v>1</v>
      </c>
      <c r="G32" s="160"/>
      <c r="H32" s="160">
        <v>0</v>
      </c>
      <c r="I32" s="15" t="s">
        <v>520</v>
      </c>
      <c r="J32" s="505">
        <v>8.2290000000000002E-2</v>
      </c>
      <c r="K32" s="160">
        <f t="shared" si="2"/>
        <v>0</v>
      </c>
    </row>
    <row r="33" spans="2:11" x14ac:dyDescent="0.25">
      <c r="C33" s="260" t="s">
        <v>175</v>
      </c>
      <c r="D33" s="57" t="s">
        <v>531</v>
      </c>
      <c r="E33" s="15" t="s">
        <v>486</v>
      </c>
      <c r="F33" s="160">
        <v>108212</v>
      </c>
      <c r="G33" s="160"/>
      <c r="H33" s="160">
        <v>0</v>
      </c>
      <c r="I33" s="15" t="s">
        <v>167</v>
      </c>
      <c r="J33" s="505">
        <v>0.22565052397253504</v>
      </c>
      <c r="K33" s="160">
        <f>H33*J33</f>
        <v>0</v>
      </c>
    </row>
    <row r="34" spans="2:11" x14ac:dyDescent="0.25">
      <c r="C34" s="260" t="s">
        <v>175</v>
      </c>
      <c r="D34" s="57" t="s">
        <v>531</v>
      </c>
      <c r="E34" s="15" t="s">
        <v>486</v>
      </c>
      <c r="F34" s="160">
        <v>90058</v>
      </c>
      <c r="G34" s="160"/>
      <c r="H34" s="160">
        <v>0</v>
      </c>
      <c r="I34" s="15" t="s">
        <v>516</v>
      </c>
      <c r="J34" s="506">
        <v>6.8839999999999998E-2</v>
      </c>
      <c r="K34" s="160">
        <f t="shared" ref="K34:K35" si="3">H34*J34</f>
        <v>0</v>
      </c>
    </row>
    <row r="35" spans="2:11" x14ac:dyDescent="0.25">
      <c r="C35" s="260" t="s">
        <v>175</v>
      </c>
      <c r="D35" s="57" t="s">
        <v>531</v>
      </c>
      <c r="E35" s="15" t="s">
        <v>486</v>
      </c>
      <c r="F35" s="160">
        <v>196125</v>
      </c>
      <c r="G35" s="160"/>
      <c r="H35" s="170">
        <v>0</v>
      </c>
      <c r="I35" s="15" t="s">
        <v>515</v>
      </c>
      <c r="J35" s="505">
        <v>6.6549999999999998E-2</v>
      </c>
      <c r="K35" s="170">
        <f t="shared" si="3"/>
        <v>0</v>
      </c>
    </row>
    <row r="36" spans="2:11" x14ac:dyDescent="0.25">
      <c r="B36" s="261" t="s">
        <v>195</v>
      </c>
      <c r="D36" s="24"/>
      <c r="E36" s="24"/>
      <c r="F36" s="169"/>
      <c r="G36" s="169"/>
      <c r="H36" s="171">
        <f>SUM(H9:H35)</f>
        <v>0</v>
      </c>
      <c r="I36" s="24"/>
      <c r="J36" s="24"/>
      <c r="K36" s="171">
        <f>SUM(K9:K35)</f>
        <v>0</v>
      </c>
    </row>
    <row r="37" spans="2:11" ht="7.5" customHeight="1" x14ac:dyDescent="0.25">
      <c r="B37" s="261"/>
      <c r="D37" s="24"/>
      <c r="E37" s="24"/>
      <c r="F37" s="169"/>
      <c r="G37" s="169"/>
      <c r="H37" s="169"/>
      <c r="I37" s="24"/>
      <c r="J37" s="295"/>
      <c r="K37" s="169"/>
    </row>
    <row r="38" spans="2:11" x14ac:dyDescent="0.25">
      <c r="B38" s="261" t="s">
        <v>532</v>
      </c>
      <c r="D38" s="24"/>
      <c r="E38" s="24"/>
      <c r="F38" s="169"/>
      <c r="G38" s="169"/>
      <c r="H38" s="169"/>
      <c r="I38" s="24"/>
      <c r="J38" s="295"/>
      <c r="K38" s="169"/>
    </row>
    <row r="39" spans="2:11" x14ac:dyDescent="0.25">
      <c r="B39" s="261"/>
      <c r="C39" s="68" t="s">
        <v>533</v>
      </c>
      <c r="D39" s="116" t="s">
        <v>503</v>
      </c>
      <c r="E39" s="116" t="s">
        <v>486</v>
      </c>
      <c r="F39" s="169">
        <v>922752</v>
      </c>
      <c r="G39" s="169"/>
      <c r="H39" s="169">
        <v>0</v>
      </c>
      <c r="I39" s="15" t="s">
        <v>167</v>
      </c>
      <c r="J39" s="288">
        <v>0.22565052397253504</v>
      </c>
      <c r="K39" s="160">
        <f>H39*J39</f>
        <v>0</v>
      </c>
    </row>
    <row r="40" spans="2:11" x14ac:dyDescent="0.25">
      <c r="B40" s="261"/>
      <c r="C40" s="68" t="s">
        <v>533</v>
      </c>
      <c r="D40" s="116" t="s">
        <v>503</v>
      </c>
      <c r="E40" s="116" t="s">
        <v>486</v>
      </c>
      <c r="F40" s="169">
        <v>-11998</v>
      </c>
      <c r="G40" s="169"/>
      <c r="H40" s="169">
        <v>0</v>
      </c>
      <c r="I40" s="15" t="s">
        <v>516</v>
      </c>
      <c r="J40" s="289">
        <v>6.8839999999999998E-2</v>
      </c>
      <c r="K40" s="160">
        <f t="shared" ref="K40:K43" si="4">H40*J40</f>
        <v>0</v>
      </c>
    </row>
    <row r="41" spans="2:11" x14ac:dyDescent="0.25">
      <c r="B41" s="261"/>
      <c r="C41" s="68" t="s">
        <v>533</v>
      </c>
      <c r="D41" s="116" t="s">
        <v>503</v>
      </c>
      <c r="E41" s="116" t="s">
        <v>486</v>
      </c>
      <c r="F41" s="169">
        <v>384169</v>
      </c>
      <c r="G41" s="169"/>
      <c r="H41" s="169">
        <v>0</v>
      </c>
      <c r="I41" s="15" t="s">
        <v>168</v>
      </c>
      <c r="J41" s="288">
        <v>0.22437000000000001</v>
      </c>
      <c r="K41" s="160">
        <f t="shared" si="4"/>
        <v>0</v>
      </c>
    </row>
    <row r="42" spans="2:11" x14ac:dyDescent="0.25">
      <c r="C42" s="68" t="s">
        <v>533</v>
      </c>
      <c r="D42" s="116" t="s">
        <v>503</v>
      </c>
      <c r="E42" s="116" t="s">
        <v>486</v>
      </c>
      <c r="F42" s="169">
        <v>1</v>
      </c>
      <c r="G42" s="169"/>
      <c r="H42" s="169">
        <v>0</v>
      </c>
      <c r="I42" s="15" t="s">
        <v>520</v>
      </c>
      <c r="J42" s="288">
        <v>8.2290000000000002E-2</v>
      </c>
      <c r="K42" s="160">
        <f t="shared" si="4"/>
        <v>0</v>
      </c>
    </row>
    <row r="43" spans="2:11" x14ac:dyDescent="0.25">
      <c r="C43" s="68" t="s">
        <v>533</v>
      </c>
      <c r="D43" s="116" t="s">
        <v>503</v>
      </c>
      <c r="E43" s="116" t="s">
        <v>486</v>
      </c>
      <c r="F43" s="169">
        <v>349893</v>
      </c>
      <c r="G43" s="169"/>
      <c r="H43" s="169">
        <v>0</v>
      </c>
      <c r="I43" s="15" t="s">
        <v>515</v>
      </c>
      <c r="J43" s="288">
        <v>6.6549999999999998E-2</v>
      </c>
      <c r="K43" s="160">
        <f t="shared" si="4"/>
        <v>0</v>
      </c>
    </row>
    <row r="44" spans="2:11" x14ac:dyDescent="0.25">
      <c r="C44" s="68" t="s">
        <v>533</v>
      </c>
      <c r="D44" s="116" t="s">
        <v>503</v>
      </c>
      <c r="E44" s="116" t="s">
        <v>486</v>
      </c>
      <c r="F44" s="160">
        <v>247341</v>
      </c>
      <c r="G44" s="160"/>
      <c r="H44" s="170">
        <v>0</v>
      </c>
      <c r="I44" s="15" t="s">
        <v>504</v>
      </c>
      <c r="J44" s="15" t="s">
        <v>505</v>
      </c>
      <c r="K44" s="170">
        <v>0</v>
      </c>
    </row>
    <row r="45" spans="2:11" x14ac:dyDescent="0.25">
      <c r="B45" s="261"/>
      <c r="C45" s="68" t="s">
        <v>534</v>
      </c>
      <c r="H45" s="296">
        <f>SUM(H39:H44)</f>
        <v>0</v>
      </c>
      <c r="K45" s="296">
        <f>SUM(K39:K44)</f>
        <v>0</v>
      </c>
    </row>
    <row r="46" spans="2:11" ht="8.25" customHeight="1" x14ac:dyDescent="0.25">
      <c r="C46" s="68"/>
    </row>
    <row r="47" spans="2:11" x14ac:dyDescent="0.25">
      <c r="C47" s="68" t="s">
        <v>535</v>
      </c>
      <c r="D47" s="15">
        <v>41010</v>
      </c>
      <c r="E47" s="297" t="s">
        <v>486</v>
      </c>
      <c r="F47" s="169">
        <v>-350193</v>
      </c>
      <c r="H47" s="298">
        <v>0</v>
      </c>
      <c r="I47" s="15" t="s">
        <v>167</v>
      </c>
      <c r="J47" s="288">
        <v>0.22565052397253504</v>
      </c>
      <c r="K47" s="160">
        <f>H47*J47</f>
        <v>0</v>
      </c>
    </row>
    <row r="48" spans="2:11" x14ac:dyDescent="0.25">
      <c r="C48" s="68" t="s">
        <v>535</v>
      </c>
      <c r="D48" s="15">
        <v>41010</v>
      </c>
      <c r="E48" s="297" t="s">
        <v>486</v>
      </c>
      <c r="F48" s="169">
        <v>4553</v>
      </c>
      <c r="H48" s="298">
        <v>0</v>
      </c>
      <c r="I48" s="15" t="s">
        <v>516</v>
      </c>
      <c r="J48" s="289">
        <v>6.8839999999999998E-2</v>
      </c>
      <c r="K48" s="160">
        <f t="shared" ref="K48:K51" si="5">H48*J48</f>
        <v>0</v>
      </c>
    </row>
    <row r="49" spans="1:11" x14ac:dyDescent="0.25">
      <c r="C49" s="68" t="s">
        <v>535</v>
      </c>
      <c r="D49" s="15">
        <v>41010</v>
      </c>
      <c r="E49" s="297" t="s">
        <v>486</v>
      </c>
      <c r="F49" s="169">
        <f>-145796-1</f>
        <v>-145797</v>
      </c>
      <c r="H49" s="298">
        <v>0</v>
      </c>
      <c r="I49" s="15" t="s">
        <v>168</v>
      </c>
      <c r="J49" s="288">
        <v>0.22437000000000001</v>
      </c>
      <c r="K49" s="160">
        <f t="shared" si="5"/>
        <v>0</v>
      </c>
    </row>
    <row r="50" spans="1:11" x14ac:dyDescent="0.25">
      <c r="C50" s="68" t="s">
        <v>535</v>
      </c>
      <c r="D50" s="15">
        <v>41010</v>
      </c>
      <c r="E50" s="297" t="s">
        <v>486</v>
      </c>
      <c r="F50" s="169">
        <v>-1</v>
      </c>
      <c r="H50" s="298">
        <v>0</v>
      </c>
      <c r="I50" s="15" t="s">
        <v>520</v>
      </c>
      <c r="J50" s="288">
        <v>8.2290000000000002E-2</v>
      </c>
      <c r="K50" s="160">
        <f t="shared" si="5"/>
        <v>0</v>
      </c>
    </row>
    <row r="51" spans="1:11" x14ac:dyDescent="0.25">
      <c r="C51" s="68" t="s">
        <v>535</v>
      </c>
      <c r="D51" s="15">
        <v>41010</v>
      </c>
      <c r="E51" s="297" t="s">
        <v>486</v>
      </c>
      <c r="F51" s="169">
        <v>-132788</v>
      </c>
      <c r="H51" s="298">
        <v>0</v>
      </c>
      <c r="I51" s="15" t="s">
        <v>515</v>
      </c>
      <c r="J51" s="288">
        <v>6.6549999999999998E-2</v>
      </c>
      <c r="K51" s="160">
        <f t="shared" si="5"/>
        <v>0</v>
      </c>
    </row>
    <row r="52" spans="1:11" x14ac:dyDescent="0.25">
      <c r="C52" s="68" t="s">
        <v>535</v>
      </c>
      <c r="D52" s="15">
        <v>41010</v>
      </c>
      <c r="E52" s="297" t="s">
        <v>486</v>
      </c>
      <c r="F52" s="169">
        <v>-93868</v>
      </c>
      <c r="H52" s="299">
        <v>0</v>
      </c>
      <c r="I52" s="15" t="s">
        <v>504</v>
      </c>
      <c r="J52" s="15" t="s">
        <v>505</v>
      </c>
      <c r="K52" s="170">
        <v>0</v>
      </c>
    </row>
    <row r="53" spans="1:11" x14ac:dyDescent="0.25">
      <c r="C53" s="68" t="s">
        <v>536</v>
      </c>
      <c r="H53" s="296">
        <f>SUM(H47:H52)</f>
        <v>0</v>
      </c>
      <c r="K53" s="296">
        <f>SUM(K47:K52)</f>
        <v>0</v>
      </c>
    </row>
    <row r="54" spans="1:11" ht="7.5" customHeight="1" x14ac:dyDescent="0.25">
      <c r="C54" s="68"/>
    </row>
    <row r="55" spans="1:11" x14ac:dyDescent="0.25">
      <c r="B55" s="261" t="s">
        <v>537</v>
      </c>
      <c r="C55" s="68"/>
    </row>
    <row r="56" spans="1:11" x14ac:dyDescent="0.25">
      <c r="C56" s="68" t="s">
        <v>538</v>
      </c>
      <c r="D56" s="15">
        <v>282</v>
      </c>
      <c r="E56" s="57" t="s">
        <v>486</v>
      </c>
      <c r="F56" s="169">
        <v>350193</v>
      </c>
      <c r="H56" s="298">
        <v>0</v>
      </c>
      <c r="I56" s="15" t="s">
        <v>167</v>
      </c>
      <c r="J56" s="288">
        <v>0.22565052397253504</v>
      </c>
      <c r="K56" s="160">
        <f>H56*J56</f>
        <v>0</v>
      </c>
    </row>
    <row r="57" spans="1:11" x14ac:dyDescent="0.25">
      <c r="C57" s="68" t="s">
        <v>538</v>
      </c>
      <c r="D57" s="15">
        <v>282</v>
      </c>
      <c r="E57" s="57" t="s">
        <v>486</v>
      </c>
      <c r="F57" s="169">
        <v>-4553</v>
      </c>
      <c r="H57" s="298">
        <v>0</v>
      </c>
      <c r="I57" s="15" t="s">
        <v>516</v>
      </c>
      <c r="J57" s="289">
        <v>6.8839999999999998E-2</v>
      </c>
      <c r="K57" s="160">
        <f t="shared" ref="K57:K60" si="6">H57*J57</f>
        <v>0</v>
      </c>
    </row>
    <row r="58" spans="1:11" x14ac:dyDescent="0.25">
      <c r="C58" s="68" t="s">
        <v>538</v>
      </c>
      <c r="D58" s="15">
        <v>282</v>
      </c>
      <c r="E58" s="57" t="s">
        <v>486</v>
      </c>
      <c r="F58" s="169">
        <v>145796</v>
      </c>
      <c r="H58" s="298">
        <v>0</v>
      </c>
      <c r="I58" s="15" t="s">
        <v>168</v>
      </c>
      <c r="J58" s="288">
        <v>0.22437000000000001</v>
      </c>
      <c r="K58" s="160">
        <f t="shared" si="6"/>
        <v>0</v>
      </c>
    </row>
    <row r="59" spans="1:11" x14ac:dyDescent="0.25">
      <c r="C59" s="68" t="s">
        <v>538</v>
      </c>
      <c r="D59" s="15">
        <v>282</v>
      </c>
      <c r="E59" s="57" t="s">
        <v>486</v>
      </c>
      <c r="F59" s="169">
        <v>1</v>
      </c>
      <c r="H59" s="298">
        <v>0</v>
      </c>
      <c r="I59" s="15" t="s">
        <v>520</v>
      </c>
      <c r="J59" s="288">
        <v>8.2290000000000002E-2</v>
      </c>
      <c r="K59" s="160">
        <f t="shared" si="6"/>
        <v>0</v>
      </c>
    </row>
    <row r="60" spans="1:11" x14ac:dyDescent="0.25">
      <c r="C60" s="68" t="s">
        <v>538</v>
      </c>
      <c r="D60" s="15">
        <v>282</v>
      </c>
      <c r="E60" s="57" t="s">
        <v>486</v>
      </c>
      <c r="F60" s="169">
        <v>132788</v>
      </c>
      <c r="H60" s="298">
        <v>0</v>
      </c>
      <c r="I60" s="15" t="s">
        <v>515</v>
      </c>
      <c r="J60" s="288">
        <v>6.6549999999999998E-2</v>
      </c>
      <c r="K60" s="160">
        <f t="shared" si="6"/>
        <v>0</v>
      </c>
    </row>
    <row r="61" spans="1:11" x14ac:dyDescent="0.25">
      <c r="C61" s="68" t="s">
        <v>538</v>
      </c>
      <c r="D61" s="15">
        <v>282</v>
      </c>
      <c r="E61" s="57" t="s">
        <v>486</v>
      </c>
      <c r="F61" s="169">
        <v>93868</v>
      </c>
      <c r="H61" s="299">
        <v>0</v>
      </c>
      <c r="I61" s="15" t="s">
        <v>504</v>
      </c>
      <c r="J61" s="15" t="s">
        <v>505</v>
      </c>
      <c r="K61" s="170">
        <v>0</v>
      </c>
    </row>
    <row r="62" spans="1:11" x14ac:dyDescent="0.25">
      <c r="C62" s="68"/>
      <c r="H62" s="302">
        <f>SUM(H56:H61)</f>
        <v>0</v>
      </c>
      <c r="K62" s="302">
        <f>SUM(K56:K61)</f>
        <v>0</v>
      </c>
    </row>
    <row r="63" spans="1:11" x14ac:dyDescent="0.25">
      <c r="A63" s="291"/>
      <c r="B63" s="300" t="s">
        <v>5</v>
      </c>
      <c r="C63" s="250"/>
      <c r="D63" s="301"/>
      <c r="E63" s="301"/>
      <c r="F63" s="301"/>
      <c r="G63" s="301"/>
      <c r="H63" s="301"/>
      <c r="I63" s="301"/>
      <c r="J63" s="301"/>
      <c r="K63" s="301"/>
    </row>
    <row r="64" spans="1:11" x14ac:dyDescent="0.25">
      <c r="A64" s="303"/>
      <c r="B64" s="304"/>
      <c r="C64" s="304"/>
      <c r="D64" s="305"/>
      <c r="E64" s="305"/>
      <c r="F64" s="305"/>
      <c r="G64" s="305"/>
      <c r="H64" s="305"/>
      <c r="I64" s="305"/>
      <c r="J64" s="305"/>
      <c r="K64" s="306"/>
    </row>
    <row r="65" spans="1:11" x14ac:dyDescent="0.25">
      <c r="A65" s="307"/>
      <c r="B65" s="281"/>
      <c r="C65" s="250"/>
      <c r="D65" s="301"/>
      <c r="E65" s="301"/>
      <c r="F65" s="301"/>
      <c r="G65" s="301"/>
      <c r="H65" s="301"/>
      <c r="I65" s="301"/>
      <c r="J65" s="301"/>
      <c r="K65" s="308"/>
    </row>
    <row r="66" spans="1:11" x14ac:dyDescent="0.25">
      <c r="A66" s="307"/>
      <c r="B66" s="281"/>
      <c r="C66" s="250"/>
      <c r="D66" s="301"/>
      <c r="E66" s="301"/>
      <c r="F66" s="301"/>
      <c r="G66" s="301"/>
      <c r="H66" s="301"/>
      <c r="I66" s="301"/>
      <c r="J66" s="301"/>
      <c r="K66" s="308"/>
    </row>
    <row r="67" spans="1:11" x14ac:dyDescent="0.25">
      <c r="A67" s="307"/>
      <c r="B67" s="281"/>
      <c r="C67" s="250"/>
      <c r="D67" s="301"/>
      <c r="E67" s="301"/>
      <c r="F67" s="301"/>
      <c r="G67" s="301"/>
      <c r="H67" s="301"/>
      <c r="I67" s="301"/>
      <c r="J67" s="301"/>
      <c r="K67" s="308"/>
    </row>
    <row r="68" spans="1:11" x14ac:dyDescent="0.25">
      <c r="A68" s="307"/>
      <c r="B68" s="281"/>
      <c r="C68" s="250"/>
      <c r="D68" s="301"/>
      <c r="E68" s="301"/>
      <c r="F68" s="301"/>
      <c r="G68" s="301"/>
      <c r="H68" s="301"/>
      <c r="I68" s="301"/>
      <c r="J68" s="301"/>
      <c r="K68" s="308"/>
    </row>
    <row r="69" spans="1:11" x14ac:dyDescent="0.25">
      <c r="A69" s="508"/>
      <c r="B69" s="509"/>
      <c r="C69" s="510"/>
      <c r="D69" s="511"/>
      <c r="E69" s="511"/>
      <c r="F69" s="511"/>
      <c r="G69" s="511"/>
      <c r="H69" s="511"/>
      <c r="I69" s="511"/>
      <c r="J69" s="511"/>
      <c r="K69" s="512"/>
    </row>
    <row r="70" spans="1:11" x14ac:dyDescent="0.25">
      <c r="C70" s="68"/>
    </row>
    <row r="71" spans="1:11" x14ac:dyDescent="0.25">
      <c r="C71" s="68"/>
    </row>
    <row r="72" spans="1:11" x14ac:dyDescent="0.25">
      <c r="C72" s="68"/>
    </row>
    <row r="73" spans="1:11" x14ac:dyDescent="0.25">
      <c r="C73" s="68"/>
    </row>
    <row r="74" spans="1:11" x14ac:dyDescent="0.25">
      <c r="C74" s="68"/>
    </row>
    <row r="75" spans="1:11" x14ac:dyDescent="0.25">
      <c r="C75" s="68"/>
    </row>
    <row r="76" spans="1:11" x14ac:dyDescent="0.25">
      <c r="C76" s="68"/>
    </row>
    <row r="77" spans="1:11" x14ac:dyDescent="0.25">
      <c r="C77" s="68"/>
    </row>
    <row r="78" spans="1:11" x14ac:dyDescent="0.25">
      <c r="C78" s="68"/>
    </row>
    <row r="79" spans="1:11" x14ac:dyDescent="0.25">
      <c r="C79" s="68"/>
    </row>
    <row r="80" spans="1:11" x14ac:dyDescent="0.25">
      <c r="C80" s="68"/>
    </row>
    <row r="81" spans="3:3" x14ac:dyDescent="0.25">
      <c r="C81" s="68"/>
    </row>
    <row r="82" spans="3:3" x14ac:dyDescent="0.25">
      <c r="C82" s="68"/>
    </row>
    <row r="83" spans="3:3" x14ac:dyDescent="0.25">
      <c r="C83" s="68"/>
    </row>
    <row r="84" spans="3:3" x14ac:dyDescent="0.25">
      <c r="C84" s="68"/>
    </row>
    <row r="85" spans="3:3" x14ac:dyDescent="0.25">
      <c r="C85" s="68"/>
    </row>
    <row r="86" spans="3:3" x14ac:dyDescent="0.25">
      <c r="C86" s="68"/>
    </row>
    <row r="87" spans="3:3" x14ac:dyDescent="0.25">
      <c r="C87" s="68"/>
    </row>
    <row r="88" spans="3:3" x14ac:dyDescent="0.25">
      <c r="C88" s="68"/>
    </row>
    <row r="89" spans="3:3" x14ac:dyDescent="0.25">
      <c r="C89" s="68"/>
    </row>
    <row r="90" spans="3:3" x14ac:dyDescent="0.25">
      <c r="C90" s="68"/>
    </row>
    <row r="91" spans="3:3" x14ac:dyDescent="0.25">
      <c r="C91" s="68"/>
    </row>
    <row r="92" spans="3:3" x14ac:dyDescent="0.25">
      <c r="C92" s="68"/>
    </row>
    <row r="93" spans="3:3" x14ac:dyDescent="0.25">
      <c r="C93" s="68"/>
    </row>
    <row r="94" spans="3:3" x14ac:dyDescent="0.25">
      <c r="C94" s="68"/>
    </row>
    <row r="95" spans="3:3" x14ac:dyDescent="0.25">
      <c r="C95" s="68"/>
    </row>
    <row r="96" spans="3:3" x14ac:dyDescent="0.25">
      <c r="C96" s="68"/>
    </row>
    <row r="97" spans="3:3" x14ac:dyDescent="0.25">
      <c r="C97" s="68"/>
    </row>
    <row r="98" spans="3:3" x14ac:dyDescent="0.25">
      <c r="C98" s="68"/>
    </row>
    <row r="99" spans="3:3" x14ac:dyDescent="0.25">
      <c r="C99" s="68"/>
    </row>
  </sheetData>
  <conditionalFormatting sqref="B8">
    <cfRule type="cellIs" dxfId="22" priority="4" stopIfTrue="1" operator="equal">
      <formula>"Adjustment to Income/Expense/Rate Base:"</formula>
    </cfRule>
  </conditionalFormatting>
  <conditionalFormatting sqref="B36:B41">
    <cfRule type="cellIs" dxfId="21" priority="3" stopIfTrue="1" operator="equal">
      <formula>"Adjustment to Income/Expense/Rate Base:"</formula>
    </cfRule>
  </conditionalFormatting>
  <conditionalFormatting sqref="B45">
    <cfRule type="cellIs" dxfId="20" priority="2" stopIfTrue="1" operator="equal">
      <formula>"Adjustment to Income/Expense/Rate Base:"</formula>
    </cfRule>
  </conditionalFormatting>
  <conditionalFormatting sqref="B55">
    <cfRule type="cellIs" dxfId="19" priority="1" stopIfTrue="1" operator="equal">
      <formula>"Adjustment to Income/Expense/Rate Base:"</formula>
    </cfRule>
  </conditionalFormatting>
  <pageMargins left="0.7" right="0.7" top="0.75" bottom="0.75" header="0.3" footer="0.3"/>
  <pageSetup scale="66"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K3" sqref="K3"/>
    </sheetView>
  </sheetViews>
  <sheetFormatPr defaultRowHeight="15.75" x14ac:dyDescent="0.25"/>
  <cols>
    <col min="1" max="1" width="2.25" style="7" customWidth="1"/>
    <col min="2" max="2" width="6.25" style="7" customWidth="1"/>
    <col min="3" max="3" width="24.375" style="7" customWidth="1"/>
    <col min="4" max="4" width="8.5" style="7" customWidth="1"/>
    <col min="5" max="5" width="5.25" style="7" customWidth="1"/>
    <col min="6" max="6" width="12.625" style="7" customWidth="1"/>
    <col min="7" max="7" width="0.75" style="7" customWidth="1"/>
    <col min="8" max="8" width="12.625" style="7" customWidth="1"/>
    <col min="9" max="9" width="9.75" style="7" customWidth="1"/>
    <col min="10" max="10" width="10.25" style="7" customWidth="1"/>
    <col min="11" max="11" width="11.375" style="7" customWidth="1"/>
    <col min="12" max="12" width="4.375" style="7" customWidth="1"/>
    <col min="13" max="13" width="9" style="7" customWidth="1"/>
    <col min="14" max="16384" width="9" style="7"/>
  </cols>
  <sheetData>
    <row r="1" spans="1:11" x14ac:dyDescent="0.25">
      <c r="A1" s="309"/>
      <c r="B1" s="487" t="s">
        <v>392</v>
      </c>
      <c r="C1" s="309"/>
      <c r="D1" s="311"/>
      <c r="E1" s="311"/>
      <c r="F1" s="311"/>
      <c r="G1" s="311"/>
      <c r="H1" s="311"/>
      <c r="I1" s="311"/>
      <c r="J1" s="311"/>
      <c r="K1" s="334" t="s">
        <v>275</v>
      </c>
    </row>
    <row r="2" spans="1:11" x14ac:dyDescent="0.25">
      <c r="A2" s="309"/>
      <c r="B2" s="56" t="s">
        <v>686</v>
      </c>
      <c r="C2" s="309"/>
      <c r="D2" s="311"/>
      <c r="E2" s="311"/>
      <c r="F2" s="311"/>
      <c r="G2" s="311"/>
      <c r="H2" s="311"/>
      <c r="I2" s="311"/>
      <c r="J2" s="311"/>
      <c r="K2" s="334" t="s">
        <v>189</v>
      </c>
    </row>
    <row r="3" spans="1:11" x14ac:dyDescent="0.25">
      <c r="A3" s="309"/>
      <c r="B3" s="56" t="s">
        <v>273</v>
      </c>
      <c r="C3" s="309"/>
      <c r="D3" s="311"/>
      <c r="E3" s="311"/>
      <c r="F3" s="310"/>
      <c r="G3" s="311"/>
      <c r="H3" s="311"/>
      <c r="I3" s="311"/>
      <c r="J3" s="311"/>
      <c r="K3" s="521" t="s">
        <v>748</v>
      </c>
    </row>
    <row r="4" spans="1:11" x14ac:dyDescent="0.25">
      <c r="A4" s="309"/>
      <c r="B4" s="502"/>
      <c r="C4" s="309"/>
      <c r="D4" s="311"/>
      <c r="E4" s="311"/>
      <c r="F4" s="310"/>
      <c r="G4" s="311"/>
      <c r="H4" s="311"/>
      <c r="I4" s="311"/>
      <c r="J4" s="311"/>
      <c r="K4" s="334" t="s">
        <v>735</v>
      </c>
    </row>
    <row r="5" spans="1:11" x14ac:dyDescent="0.25">
      <c r="A5" s="309"/>
      <c r="B5" s="503" t="s">
        <v>541</v>
      </c>
      <c r="C5" s="309"/>
      <c r="D5" s="311"/>
      <c r="E5" s="311"/>
      <c r="F5" s="310"/>
      <c r="G5" s="311"/>
      <c r="H5" s="311"/>
      <c r="I5" s="311"/>
      <c r="J5" s="311"/>
      <c r="K5" s="311"/>
    </row>
    <row r="6" spans="1:11" x14ac:dyDescent="0.25">
      <c r="A6" s="309"/>
      <c r="B6" s="309"/>
      <c r="C6" s="309"/>
      <c r="D6" s="311"/>
      <c r="E6" s="311"/>
      <c r="F6" s="311"/>
      <c r="G6" s="311"/>
      <c r="H6" s="311"/>
      <c r="I6" s="311"/>
      <c r="J6" s="311"/>
      <c r="K6" s="311"/>
    </row>
    <row r="7" spans="1:11" x14ac:dyDescent="0.25">
      <c r="A7" s="309"/>
      <c r="B7" s="309"/>
      <c r="C7" s="309"/>
      <c r="D7" s="311"/>
      <c r="E7" s="311"/>
      <c r="F7" s="311"/>
      <c r="G7" s="311"/>
      <c r="H7" s="311"/>
      <c r="I7" s="311"/>
      <c r="J7" s="311"/>
      <c r="K7" s="311"/>
    </row>
    <row r="8" spans="1:11" x14ac:dyDescent="0.25">
      <c r="A8" s="309"/>
      <c r="B8" s="309"/>
      <c r="C8" s="309"/>
      <c r="D8" s="256"/>
      <c r="E8" s="256"/>
      <c r="F8" s="256" t="s">
        <v>477</v>
      </c>
      <c r="G8" s="256"/>
      <c r="H8" s="256" t="s">
        <v>510</v>
      </c>
      <c r="I8" s="256"/>
      <c r="J8" s="256"/>
      <c r="K8" s="256" t="s">
        <v>478</v>
      </c>
    </row>
    <row r="9" spans="1:11" x14ac:dyDescent="0.25">
      <c r="A9" s="309"/>
      <c r="B9" s="309"/>
      <c r="C9" s="309"/>
      <c r="D9" s="258" t="s">
        <v>479</v>
      </c>
      <c r="E9" s="258" t="s">
        <v>480</v>
      </c>
      <c r="F9" s="258" t="s">
        <v>481</v>
      </c>
      <c r="G9" s="258"/>
      <c r="H9" s="258" t="s">
        <v>511</v>
      </c>
      <c r="I9" s="258" t="s">
        <v>482</v>
      </c>
      <c r="J9" s="258" t="s">
        <v>483</v>
      </c>
      <c r="K9" s="258" t="s">
        <v>484</v>
      </c>
    </row>
    <row r="10" spans="1:11" x14ac:dyDescent="0.25">
      <c r="A10" s="312"/>
      <c r="B10" s="313"/>
      <c r="C10" s="312"/>
      <c r="D10" s="314"/>
      <c r="E10" s="314"/>
      <c r="F10" s="507" t="s">
        <v>507</v>
      </c>
      <c r="G10" s="315"/>
      <c r="H10" s="315"/>
      <c r="I10" s="314"/>
      <c r="J10" s="316"/>
      <c r="K10" s="317"/>
    </row>
    <row r="11" spans="1:11" x14ac:dyDescent="0.25">
      <c r="B11" s="313" t="s">
        <v>539</v>
      </c>
      <c r="C11" s="312"/>
    </row>
    <row r="12" spans="1:11" x14ac:dyDescent="0.25">
      <c r="B12" s="318" t="s">
        <v>540</v>
      </c>
      <c r="C12" s="319"/>
      <c r="D12" s="15" t="s">
        <v>517</v>
      </c>
      <c r="E12" s="15" t="s">
        <v>486</v>
      </c>
      <c r="F12" s="50">
        <v>-710834.37958333315</v>
      </c>
      <c r="G12" s="50"/>
      <c r="H12" s="50">
        <v>0</v>
      </c>
      <c r="I12" s="7" t="s">
        <v>167</v>
      </c>
      <c r="J12" s="288">
        <v>0.22565052397253504</v>
      </c>
      <c r="K12" s="50">
        <f>H12*J12</f>
        <v>0</v>
      </c>
    </row>
    <row r="13" spans="1:11" x14ac:dyDescent="0.25">
      <c r="B13" s="318" t="s">
        <v>540</v>
      </c>
      <c r="C13" s="319"/>
      <c r="D13" s="15" t="s">
        <v>517</v>
      </c>
      <c r="E13" s="15" t="s">
        <v>486</v>
      </c>
      <c r="F13" s="141">
        <v>153601.98000000068</v>
      </c>
      <c r="G13" s="50"/>
      <c r="H13" s="141">
        <v>0</v>
      </c>
      <c r="I13" s="7" t="s">
        <v>543</v>
      </c>
      <c r="J13" s="288">
        <v>0</v>
      </c>
      <c r="K13" s="141">
        <f>H13*J13</f>
        <v>0</v>
      </c>
    </row>
    <row r="14" spans="1:11" x14ac:dyDescent="0.25">
      <c r="D14" s="15"/>
      <c r="E14" s="15"/>
    </row>
    <row r="15" spans="1:11" x14ac:dyDescent="0.25">
      <c r="B15" s="7" t="s">
        <v>544</v>
      </c>
      <c r="D15" s="15"/>
      <c r="E15" s="15"/>
      <c r="F15" s="141">
        <f>SUM(F12:F14)</f>
        <v>-557232.39958333247</v>
      </c>
      <c r="H15" s="141">
        <f>SUM(H12:H14)</f>
        <v>0</v>
      </c>
      <c r="K15" s="141">
        <f>SUM(K12:K14)</f>
        <v>0</v>
      </c>
    </row>
    <row r="16" spans="1:11" x14ac:dyDescent="0.25">
      <c r="D16" s="15"/>
      <c r="E16" s="15"/>
    </row>
    <row r="17" spans="1:13" x14ac:dyDescent="0.25">
      <c r="B17" s="320"/>
      <c r="C17" s="321"/>
      <c r="D17" s="15"/>
      <c r="E17" s="15"/>
    </row>
    <row r="18" spans="1:13" x14ac:dyDescent="0.25">
      <c r="B18" s="319"/>
      <c r="C18" s="321"/>
      <c r="D18" s="15"/>
      <c r="E18" s="15"/>
    </row>
    <row r="19" spans="1:13" x14ac:dyDescent="0.25">
      <c r="B19" s="319"/>
      <c r="C19" s="321"/>
      <c r="D19" s="15"/>
      <c r="E19" s="15"/>
    </row>
    <row r="20" spans="1:13" x14ac:dyDescent="0.25">
      <c r="B20" s="321"/>
      <c r="C20" s="321"/>
      <c r="D20" s="15"/>
      <c r="E20" s="15"/>
    </row>
    <row r="21" spans="1:13" x14ac:dyDescent="0.25">
      <c r="D21" s="15"/>
      <c r="E21" s="15"/>
    </row>
    <row r="26" spans="1:13" x14ac:dyDescent="0.25">
      <c r="A26" s="312"/>
      <c r="B26" s="309"/>
      <c r="C26" s="312"/>
      <c r="D26" s="312"/>
      <c r="E26" s="312"/>
      <c r="F26" s="312"/>
      <c r="G26" s="312"/>
      <c r="H26" s="312"/>
      <c r="I26" s="312"/>
      <c r="J26" s="312"/>
      <c r="K26" s="312"/>
      <c r="L26" s="312"/>
      <c r="M26" s="309"/>
    </row>
    <row r="27" spans="1:13" ht="16.5" thickBot="1" x14ac:dyDescent="0.3">
      <c r="A27" s="312"/>
      <c r="B27" s="322" t="s">
        <v>5</v>
      </c>
      <c r="C27" s="312"/>
      <c r="D27" s="312"/>
      <c r="E27" s="312"/>
      <c r="F27" s="312"/>
      <c r="G27" s="312"/>
      <c r="H27" s="312"/>
      <c r="I27" s="312"/>
      <c r="J27" s="312"/>
      <c r="K27" s="312"/>
      <c r="L27" s="312"/>
      <c r="M27" s="309"/>
    </row>
    <row r="28" spans="1:13" x14ac:dyDescent="0.25">
      <c r="A28" s="323"/>
      <c r="B28" s="324"/>
      <c r="C28" s="324"/>
      <c r="D28" s="325"/>
      <c r="E28" s="325"/>
      <c r="F28" s="325"/>
      <c r="G28" s="325"/>
      <c r="H28" s="325"/>
      <c r="I28" s="325"/>
      <c r="J28" s="325"/>
      <c r="K28" s="325"/>
      <c r="L28" s="326"/>
      <c r="M28" s="309"/>
    </row>
    <row r="29" spans="1:13" x14ac:dyDescent="0.25">
      <c r="A29" s="327"/>
      <c r="B29" s="328"/>
      <c r="C29" s="312"/>
      <c r="D29" s="314"/>
      <c r="E29" s="314"/>
      <c r="F29" s="314"/>
      <c r="G29" s="314"/>
      <c r="H29" s="314"/>
      <c r="I29" s="314"/>
      <c r="J29" s="314"/>
      <c r="K29" s="314"/>
      <c r="L29" s="329"/>
      <c r="M29" s="309"/>
    </row>
    <row r="30" spans="1:13" x14ac:dyDescent="0.25">
      <c r="A30" s="327"/>
      <c r="B30" s="328"/>
      <c r="C30" s="312"/>
      <c r="D30" s="314"/>
      <c r="E30" s="314"/>
      <c r="F30" s="314"/>
      <c r="G30" s="314"/>
      <c r="H30" s="314"/>
      <c r="I30" s="314"/>
      <c r="J30" s="314"/>
      <c r="K30" s="314"/>
      <c r="L30" s="329"/>
      <c r="M30" s="309"/>
    </row>
    <row r="31" spans="1:13" x14ac:dyDescent="0.25">
      <c r="A31" s="327"/>
      <c r="B31" s="328"/>
      <c r="C31" s="312"/>
      <c r="D31" s="314"/>
      <c r="E31" s="314"/>
      <c r="F31" s="314"/>
      <c r="G31" s="314"/>
      <c r="H31" s="314"/>
      <c r="I31" s="314"/>
      <c r="J31" s="314"/>
      <c r="K31" s="314"/>
      <c r="L31" s="329"/>
      <c r="M31" s="309"/>
    </row>
    <row r="32" spans="1:13" x14ac:dyDescent="0.25">
      <c r="A32" s="327"/>
      <c r="B32" s="328"/>
      <c r="C32" s="312"/>
      <c r="D32" s="314"/>
      <c r="E32" s="314"/>
      <c r="F32" s="314"/>
      <c r="G32" s="314"/>
      <c r="H32" s="314"/>
      <c r="I32" s="314"/>
      <c r="J32" s="314"/>
      <c r="K32" s="314"/>
      <c r="L32" s="329"/>
      <c r="M32" s="309"/>
    </row>
    <row r="33" spans="1:13" x14ac:dyDescent="0.25">
      <c r="A33" s="327"/>
      <c r="B33" s="328"/>
      <c r="C33" s="312"/>
      <c r="D33" s="314"/>
      <c r="E33" s="314"/>
      <c r="F33" s="314"/>
      <c r="G33" s="314"/>
      <c r="H33" s="314"/>
      <c r="I33" s="314"/>
      <c r="J33" s="314"/>
      <c r="K33" s="314"/>
      <c r="L33" s="329"/>
      <c r="M33" s="309"/>
    </row>
    <row r="34" spans="1:13" ht="16.5" thickBot="1" x14ac:dyDescent="0.3">
      <c r="A34" s="330"/>
      <c r="B34" s="331"/>
      <c r="C34" s="331"/>
      <c r="D34" s="332"/>
      <c r="E34" s="332"/>
      <c r="F34" s="332"/>
      <c r="G34" s="332"/>
      <c r="H34" s="332"/>
      <c r="I34" s="332"/>
      <c r="J34" s="332"/>
      <c r="K34" s="332"/>
      <c r="L34" s="333"/>
      <c r="M34" s="309"/>
    </row>
    <row r="35" spans="1:13" x14ac:dyDescent="0.25">
      <c r="A35" s="309"/>
      <c r="B35" s="309"/>
      <c r="C35" s="309"/>
      <c r="D35" s="309"/>
      <c r="E35" s="309"/>
      <c r="F35" s="309"/>
      <c r="G35" s="309"/>
      <c r="H35" s="309"/>
      <c r="I35" s="309"/>
      <c r="J35" s="309"/>
      <c r="K35" s="309"/>
      <c r="L35" s="309"/>
      <c r="M35" s="309"/>
    </row>
    <row r="36" spans="1:13" x14ac:dyDescent="0.25">
      <c r="A36" s="309"/>
      <c r="B36" s="309"/>
      <c r="C36" s="309"/>
      <c r="D36" s="309"/>
      <c r="E36" s="309"/>
      <c r="F36" s="309"/>
      <c r="G36" s="309"/>
      <c r="H36" s="309"/>
      <c r="I36" s="309"/>
      <c r="J36" s="309"/>
      <c r="K36" s="309"/>
      <c r="L36" s="309"/>
      <c r="M36" s="309"/>
    </row>
  </sheetData>
  <conditionalFormatting sqref="B11">
    <cfRule type="cellIs" dxfId="18" priority="2" stopIfTrue="1" operator="equal">
      <formula>"Adjustment to Income/Expense/Rate Base:"</formula>
    </cfRule>
  </conditionalFormatting>
  <conditionalFormatting sqref="B10">
    <cfRule type="cellIs" dxfId="17" priority="4" stopIfTrue="1" operator="equal">
      <formula>"Adjustment to Income/Expense/Rate Base:"</formula>
    </cfRule>
  </conditionalFormatting>
  <conditionalFormatting sqref="B11:B13">
    <cfRule type="cellIs" dxfId="16" priority="3" stopIfTrue="1" operator="equal">
      <formula>"Title"</formula>
    </cfRule>
  </conditionalFormatting>
  <conditionalFormatting sqref="B17:B20">
    <cfRule type="cellIs" dxfId="15" priority="1" stopIfTrue="1" operator="equal">
      <formula>"Title"</formula>
    </cfRule>
  </conditionalFormatting>
  <pageMargins left="0.7" right="0.7" top="0.75" bottom="0.75" header="0.3" footer="0.3"/>
  <pageSetup scale="72"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workbookViewId="0">
      <selection activeCell="N3" sqref="N3"/>
    </sheetView>
  </sheetViews>
  <sheetFormatPr defaultRowHeight="15.75" x14ac:dyDescent="0.25"/>
  <cols>
    <col min="1" max="1" width="1.625" customWidth="1"/>
    <col min="2" max="2" width="30.375" customWidth="1"/>
    <col min="3" max="3" width="3.75" customWidth="1"/>
    <col min="4" max="4" width="8" customWidth="1"/>
    <col min="5" max="5" width="1" customWidth="1"/>
    <col min="6" max="6" width="12.375" customWidth="1"/>
    <col min="7" max="7" width="0.875" customWidth="1"/>
    <col min="8" max="8" width="11" customWidth="1"/>
    <col min="9" max="9" width="1" customWidth="1"/>
    <col min="10" max="10" width="9.125" customWidth="1"/>
    <col min="11" max="11" width="1.125" customWidth="1"/>
    <col min="12" max="12" width="9.75" customWidth="1"/>
    <col min="13" max="13" width="0.75" customWidth="1"/>
    <col min="14" max="14" width="11.875" customWidth="1"/>
  </cols>
  <sheetData>
    <row r="1" spans="2:14" x14ac:dyDescent="0.25">
      <c r="B1" s="487" t="s">
        <v>392</v>
      </c>
      <c r="N1" s="334" t="s">
        <v>275</v>
      </c>
    </row>
    <row r="2" spans="2:14" x14ac:dyDescent="0.25">
      <c r="B2" t="s">
        <v>687</v>
      </c>
      <c r="N2" s="334" t="s">
        <v>189</v>
      </c>
    </row>
    <row r="3" spans="2:14" x14ac:dyDescent="0.25">
      <c r="B3" s="56" t="s">
        <v>273</v>
      </c>
      <c r="N3" s="521" t="s">
        <v>748</v>
      </c>
    </row>
    <row r="4" spans="2:14" x14ac:dyDescent="0.25">
      <c r="B4" s="502"/>
      <c r="N4" s="334" t="s">
        <v>736</v>
      </c>
    </row>
    <row r="5" spans="2:14" x14ac:dyDescent="0.25">
      <c r="B5" s="503" t="s">
        <v>546</v>
      </c>
    </row>
    <row r="8" spans="2:14" x14ac:dyDescent="0.25">
      <c r="D8" s="1"/>
      <c r="E8" s="1"/>
      <c r="F8" s="1" t="s">
        <v>4</v>
      </c>
      <c r="G8" s="1"/>
      <c r="H8" s="1" t="s">
        <v>542</v>
      </c>
      <c r="J8" s="1"/>
      <c r="K8" s="1"/>
      <c r="L8" s="1"/>
      <c r="M8" s="1"/>
      <c r="N8" s="1" t="s">
        <v>129</v>
      </c>
    </row>
    <row r="9" spans="2:14" x14ac:dyDescent="0.25">
      <c r="B9" s="2" t="s">
        <v>1</v>
      </c>
      <c r="D9" s="10" t="s">
        <v>62</v>
      </c>
      <c r="E9" s="1"/>
      <c r="F9" s="10" t="s">
        <v>6</v>
      </c>
      <c r="G9" s="1"/>
      <c r="H9" s="10" t="s">
        <v>545</v>
      </c>
      <c r="J9" s="10" t="s">
        <v>7</v>
      </c>
      <c r="K9" s="1"/>
      <c r="L9" s="11" t="s">
        <v>9</v>
      </c>
      <c r="M9" s="1"/>
      <c r="N9" s="10" t="s">
        <v>8</v>
      </c>
    </row>
    <row r="10" spans="2:14" x14ac:dyDescent="0.25">
      <c r="F10" s="1" t="s">
        <v>507</v>
      </c>
    </row>
    <row r="11" spans="2:14" x14ac:dyDescent="0.25">
      <c r="B11" s="17" t="s">
        <v>11</v>
      </c>
      <c r="J11" s="1"/>
    </row>
    <row r="12" spans="2:14" x14ac:dyDescent="0.25">
      <c r="B12" s="5" t="s">
        <v>192</v>
      </c>
      <c r="D12" s="1" t="s">
        <v>172</v>
      </c>
      <c r="F12" s="32">
        <f>44565903</f>
        <v>44565903</v>
      </c>
      <c r="H12" s="32">
        <v>0</v>
      </c>
      <c r="J12" s="1" t="s">
        <v>168</v>
      </c>
      <c r="L12" s="117">
        <v>0.22437000000000001</v>
      </c>
      <c r="N12" s="32">
        <f>H12*L12</f>
        <v>0</v>
      </c>
    </row>
    <row r="13" spans="2:14" x14ac:dyDescent="0.25">
      <c r="B13" s="5" t="s">
        <v>192</v>
      </c>
      <c r="D13" s="1" t="s">
        <v>172</v>
      </c>
      <c r="F13" s="33">
        <v>1229742</v>
      </c>
      <c r="H13" s="33">
        <v>0</v>
      </c>
      <c r="J13" s="1" t="s">
        <v>167</v>
      </c>
      <c r="L13" s="117">
        <v>0.22565099999999999</v>
      </c>
      <c r="N13" s="33">
        <f>H13*L13</f>
        <v>0</v>
      </c>
    </row>
    <row r="14" spans="2:14" x14ac:dyDescent="0.25">
      <c r="B14" s="5" t="s">
        <v>195</v>
      </c>
      <c r="D14" s="1"/>
      <c r="F14" s="35">
        <f>SUM(F12:F13)</f>
        <v>45795645</v>
      </c>
      <c r="H14" s="35">
        <f>SUM(H12:H13)</f>
        <v>0</v>
      </c>
      <c r="J14" s="1"/>
      <c r="L14" s="117"/>
      <c r="N14" s="35">
        <f>SUM(N12:N13)</f>
        <v>0</v>
      </c>
    </row>
    <row r="15" spans="2:14" x14ac:dyDescent="0.25">
      <c r="D15" s="1"/>
      <c r="F15" s="32"/>
      <c r="J15" s="1"/>
      <c r="L15" s="117"/>
      <c r="N15" s="32"/>
    </row>
    <row r="16" spans="2:14" x14ac:dyDescent="0.25">
      <c r="B16" s="369" t="s">
        <v>193</v>
      </c>
      <c r="D16" s="1"/>
      <c r="F16" s="32"/>
      <c r="J16" s="1"/>
      <c r="L16" s="117"/>
      <c r="N16" s="32"/>
    </row>
    <row r="17" spans="2:14" x14ac:dyDescent="0.25">
      <c r="B17" t="s">
        <v>194</v>
      </c>
      <c r="D17" s="1" t="s">
        <v>176</v>
      </c>
      <c r="F17" s="32">
        <v>-22282951</v>
      </c>
      <c r="H17" s="32">
        <v>0</v>
      </c>
      <c r="J17" s="1" t="s">
        <v>168</v>
      </c>
      <c r="L17" s="117">
        <v>0.22437000000000001</v>
      </c>
      <c r="N17" s="32">
        <f t="shared" ref="N17:N18" si="0">H17*L17</f>
        <v>0</v>
      </c>
    </row>
    <row r="18" spans="2:14" x14ac:dyDescent="0.25">
      <c r="B18" t="s">
        <v>194</v>
      </c>
      <c r="D18" s="1" t="s">
        <v>176</v>
      </c>
      <c r="F18" s="33">
        <v>-614871</v>
      </c>
      <c r="H18" s="33">
        <v>0</v>
      </c>
      <c r="J18" s="1" t="s">
        <v>167</v>
      </c>
      <c r="L18" s="117">
        <v>0.22565099999999999</v>
      </c>
      <c r="N18" s="33">
        <f t="shared" si="0"/>
        <v>0</v>
      </c>
    </row>
    <row r="19" spans="2:14" x14ac:dyDescent="0.25">
      <c r="D19" s="1"/>
      <c r="F19" s="35">
        <f>SUM(F17:F18)</f>
        <v>-22897822</v>
      </c>
      <c r="H19" s="35">
        <f>SUM(H17:H18)</f>
        <v>0</v>
      </c>
      <c r="J19" s="1"/>
      <c r="L19" s="117"/>
      <c r="N19" s="35">
        <f>SUM(N17:N18)</f>
        <v>0</v>
      </c>
    </row>
    <row r="22" spans="2:14" x14ac:dyDescent="0.25">
      <c r="B22" s="17" t="s">
        <v>532</v>
      </c>
    </row>
    <row r="23" spans="2:14" x14ac:dyDescent="0.25">
      <c r="D23" t="s">
        <v>503</v>
      </c>
      <c r="F23" s="32">
        <v>44565903</v>
      </c>
      <c r="G23" s="32"/>
      <c r="H23" s="32">
        <v>0</v>
      </c>
      <c r="J23" s="1" t="s">
        <v>168</v>
      </c>
      <c r="L23" s="117">
        <v>0.22437000000000001</v>
      </c>
      <c r="N23" s="32">
        <f t="shared" ref="N23:N24" si="1">H23*L23</f>
        <v>0</v>
      </c>
    </row>
    <row r="24" spans="2:14" x14ac:dyDescent="0.25">
      <c r="D24">
        <v>41110</v>
      </c>
      <c r="F24" s="32">
        <v>-16913206</v>
      </c>
      <c r="G24" s="32"/>
      <c r="H24" s="32">
        <v>0</v>
      </c>
      <c r="J24" s="1" t="s">
        <v>168</v>
      </c>
      <c r="L24" s="117">
        <v>0.22437000000000001</v>
      </c>
      <c r="N24" s="32">
        <f t="shared" si="1"/>
        <v>0</v>
      </c>
    </row>
    <row r="25" spans="2:14" x14ac:dyDescent="0.25">
      <c r="D25" s="1">
        <v>282</v>
      </c>
      <c r="F25" s="32">
        <f>8456603</f>
        <v>8456603</v>
      </c>
      <c r="G25" s="32"/>
      <c r="H25" s="32">
        <v>0</v>
      </c>
      <c r="J25" s="1" t="s">
        <v>168</v>
      </c>
      <c r="L25" s="117">
        <v>0.22437000000000001</v>
      </c>
      <c r="N25" s="32">
        <f t="shared" ref="N25:N26" si="2">H25*L25</f>
        <v>0</v>
      </c>
    </row>
    <row r="26" spans="2:14" x14ac:dyDescent="0.25">
      <c r="F26" s="32"/>
      <c r="G26" s="32"/>
      <c r="H26" s="32"/>
    </row>
    <row r="27" spans="2:14" x14ac:dyDescent="0.25">
      <c r="D27" t="s">
        <v>503</v>
      </c>
      <c r="F27" s="32">
        <v>122742</v>
      </c>
      <c r="G27" s="32"/>
      <c r="H27" s="32">
        <v>0</v>
      </c>
      <c r="J27" s="8" t="s">
        <v>167</v>
      </c>
      <c r="K27" s="4"/>
      <c r="L27" s="156">
        <v>0.22565099999999999</v>
      </c>
      <c r="M27" s="4"/>
      <c r="N27" s="34">
        <f t="shared" ref="N27:N28" si="3">H27*L27</f>
        <v>0</v>
      </c>
    </row>
    <row r="28" spans="2:14" x14ac:dyDescent="0.25">
      <c r="D28">
        <v>41110</v>
      </c>
      <c r="F28" s="32">
        <v>-466699</v>
      </c>
      <c r="G28" s="32"/>
      <c r="H28" s="32">
        <v>0</v>
      </c>
      <c r="J28" s="8" t="s">
        <v>167</v>
      </c>
      <c r="K28" s="4"/>
      <c r="L28" s="156">
        <v>0.22565099999999999</v>
      </c>
      <c r="M28" s="4"/>
      <c r="N28" s="34">
        <f t="shared" si="3"/>
        <v>0</v>
      </c>
    </row>
    <row r="29" spans="2:14" x14ac:dyDescent="0.25">
      <c r="D29" s="1">
        <v>282</v>
      </c>
      <c r="F29" s="32">
        <f>233350</f>
        <v>233350</v>
      </c>
      <c r="G29" s="32"/>
      <c r="H29" s="32">
        <v>0</v>
      </c>
      <c r="I29" s="4"/>
      <c r="J29" s="8" t="s">
        <v>167</v>
      </c>
      <c r="K29" s="4"/>
      <c r="L29" s="156">
        <v>0.22565099999999999</v>
      </c>
      <c r="M29" s="4"/>
      <c r="N29" s="34">
        <f>H29*L29</f>
        <v>0</v>
      </c>
    </row>
    <row r="30" spans="2:14" x14ac:dyDescent="0.25">
      <c r="F30" s="32"/>
      <c r="H30" s="1"/>
      <c r="J30" s="117"/>
      <c r="L30" s="32"/>
    </row>
    <row r="31" spans="2:14" x14ac:dyDescent="0.25">
      <c r="F31" s="32"/>
      <c r="H31" s="1"/>
      <c r="J31" s="117"/>
      <c r="L31" s="32"/>
    </row>
    <row r="32" spans="2:14" x14ac:dyDescent="0.25">
      <c r="F32" s="32"/>
      <c r="H32" s="1"/>
      <c r="J32" s="117"/>
      <c r="L32" s="32"/>
    </row>
    <row r="33" spans="2:14" x14ac:dyDescent="0.25">
      <c r="F33" s="32"/>
      <c r="H33" s="1"/>
      <c r="J33" s="117"/>
      <c r="L33" s="32"/>
    </row>
    <row r="34" spans="2:14" x14ac:dyDescent="0.25">
      <c r="F34" s="32"/>
      <c r="H34" s="1"/>
      <c r="J34" s="117"/>
      <c r="L34" s="32"/>
    </row>
    <row r="35" spans="2:14" x14ac:dyDescent="0.25">
      <c r="B35" s="336" t="s">
        <v>5</v>
      </c>
      <c r="D35" s="335"/>
      <c r="E35" s="337"/>
      <c r="F35" s="337"/>
      <c r="G35" s="338"/>
      <c r="H35" s="337"/>
      <c r="I35" s="337"/>
      <c r="J35" s="337"/>
      <c r="K35" s="339"/>
      <c r="L35" s="340"/>
    </row>
    <row r="36" spans="2:14" ht="15.75" customHeight="1" x14ac:dyDescent="0.25">
      <c r="B36" s="455" t="s">
        <v>547</v>
      </c>
      <c r="C36" s="456"/>
      <c r="D36" s="456"/>
      <c r="E36" s="456"/>
      <c r="F36" s="456"/>
      <c r="G36" s="456"/>
      <c r="H36" s="456"/>
      <c r="I36" s="456"/>
      <c r="J36" s="456"/>
      <c r="K36" s="456"/>
      <c r="L36" s="456"/>
      <c r="M36" s="456"/>
      <c r="N36" s="457"/>
    </row>
    <row r="37" spans="2:14" x14ac:dyDescent="0.25">
      <c r="B37" s="458"/>
      <c r="C37" s="459"/>
      <c r="D37" s="459"/>
      <c r="E37" s="459"/>
      <c r="F37" s="459"/>
      <c r="G37" s="459"/>
      <c r="H37" s="459"/>
      <c r="I37" s="459"/>
      <c r="J37" s="459"/>
      <c r="K37" s="459"/>
      <c r="L37" s="459"/>
      <c r="M37" s="459"/>
      <c r="N37" s="460"/>
    </row>
    <row r="38" spans="2:14" x14ac:dyDescent="0.25">
      <c r="B38" s="458"/>
      <c r="C38" s="459"/>
      <c r="D38" s="459"/>
      <c r="E38" s="459"/>
      <c r="F38" s="459"/>
      <c r="G38" s="459"/>
      <c r="H38" s="459"/>
      <c r="I38" s="459"/>
      <c r="J38" s="459"/>
      <c r="K38" s="459"/>
      <c r="L38" s="459"/>
      <c r="M38" s="459"/>
      <c r="N38" s="460"/>
    </row>
    <row r="39" spans="2:14" x14ac:dyDescent="0.25">
      <c r="B39" s="458"/>
      <c r="C39" s="459"/>
      <c r="D39" s="459"/>
      <c r="E39" s="459"/>
      <c r="F39" s="459"/>
      <c r="G39" s="459"/>
      <c r="H39" s="459"/>
      <c r="I39" s="459"/>
      <c r="J39" s="459"/>
      <c r="K39" s="459"/>
      <c r="L39" s="459"/>
      <c r="M39" s="459"/>
      <c r="N39" s="460"/>
    </row>
    <row r="40" spans="2:14" x14ac:dyDescent="0.25">
      <c r="B40" s="461"/>
      <c r="C40" s="462"/>
      <c r="D40" s="462"/>
      <c r="E40" s="462"/>
      <c r="F40" s="462"/>
      <c r="G40" s="462"/>
      <c r="H40" s="462"/>
      <c r="I40" s="462"/>
      <c r="J40" s="462"/>
      <c r="K40" s="462"/>
      <c r="L40" s="462"/>
      <c r="M40" s="462"/>
      <c r="N40" s="463"/>
    </row>
    <row r="41" spans="2:14" x14ac:dyDescent="0.25">
      <c r="B41" s="342" t="s">
        <v>688</v>
      </c>
      <c r="C41" s="2"/>
      <c r="D41" s="2"/>
      <c r="E41" s="2"/>
      <c r="F41" s="2"/>
      <c r="G41" s="2"/>
      <c r="H41" s="2"/>
      <c r="I41" s="2"/>
      <c r="J41" s="2"/>
      <c r="K41" s="2"/>
      <c r="L41" s="2"/>
      <c r="M41" s="2"/>
      <c r="N41" s="343"/>
    </row>
    <row r="42" spans="2:14" x14ac:dyDescent="0.25">
      <c r="B42" s="340"/>
    </row>
    <row r="43" spans="2:14" x14ac:dyDescent="0.25">
      <c r="B43" s="340"/>
    </row>
    <row r="44" spans="2:14" x14ac:dyDescent="0.25">
      <c r="B44" s="341"/>
      <c r="C44" s="341"/>
      <c r="D44" s="341"/>
      <c r="E44" s="341"/>
      <c r="F44" s="341"/>
      <c r="G44" s="341"/>
      <c r="H44" s="341"/>
      <c r="I44" s="341"/>
      <c r="J44" s="341"/>
      <c r="K44" s="341"/>
      <c r="L44" s="340"/>
    </row>
    <row r="45" spans="2:14" x14ac:dyDescent="0.25">
      <c r="B45" s="341"/>
      <c r="C45" s="341"/>
      <c r="D45" s="341"/>
      <c r="E45" s="341"/>
      <c r="F45" s="341"/>
      <c r="G45" s="341"/>
      <c r="H45" s="341"/>
      <c r="I45" s="341"/>
      <c r="J45" s="341"/>
      <c r="K45" s="341"/>
      <c r="L45" s="340"/>
    </row>
  </sheetData>
  <mergeCells count="1">
    <mergeCell ref="B36:N40"/>
  </mergeCells>
  <pageMargins left="0.7" right="0.7" top="0.75" bottom="0.75" header="0.3" footer="0.3"/>
  <pageSetup scale="8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activeCell="L3" sqref="L3"/>
    </sheetView>
  </sheetViews>
  <sheetFormatPr defaultRowHeight="15.75" x14ac:dyDescent="0.25"/>
  <cols>
    <col min="1" max="1" width="3.625" customWidth="1"/>
    <col min="2" max="2" width="2.25" customWidth="1"/>
    <col min="3" max="3" width="32.25" customWidth="1"/>
    <col min="4" max="4" width="2" customWidth="1"/>
    <col min="5" max="5" width="0.75" customWidth="1"/>
    <col min="6" max="6" width="16.25" customWidth="1"/>
    <col min="7" max="7" width="1.25" customWidth="1"/>
    <col min="8" max="8" width="14.75" customWidth="1"/>
    <col min="9" max="9" width="0.625" customWidth="1"/>
    <col min="10" max="10" width="14.75" customWidth="1"/>
    <col min="11" max="11" width="2.125" customWidth="1"/>
    <col min="12" max="12" width="15" customWidth="1"/>
    <col min="13" max="13" width="1.25" customWidth="1"/>
    <col min="14" max="14" width="9.625" customWidth="1"/>
  </cols>
  <sheetData>
    <row r="1" spans="1:14" x14ac:dyDescent="0.25">
      <c r="A1" s="487" t="s">
        <v>392</v>
      </c>
      <c r="L1" s="334" t="s">
        <v>275</v>
      </c>
    </row>
    <row r="2" spans="1:14" x14ac:dyDescent="0.25">
      <c r="A2" t="s">
        <v>658</v>
      </c>
      <c r="L2" s="334" t="s">
        <v>189</v>
      </c>
    </row>
    <row r="3" spans="1:14" x14ac:dyDescent="0.25">
      <c r="A3" t="s">
        <v>273</v>
      </c>
      <c r="L3" s="521" t="s">
        <v>748</v>
      </c>
    </row>
    <row r="4" spans="1:14" x14ac:dyDescent="0.25">
      <c r="L4" s="334" t="s">
        <v>714</v>
      </c>
    </row>
    <row r="6" spans="1:14" x14ac:dyDescent="0.25">
      <c r="H6" s="1" t="s">
        <v>85</v>
      </c>
      <c r="J6" s="1" t="s">
        <v>85</v>
      </c>
    </row>
    <row r="7" spans="1:14" x14ac:dyDescent="0.25">
      <c r="A7" s="7"/>
      <c r="B7" s="7"/>
      <c r="C7" s="7"/>
      <c r="D7" s="7"/>
      <c r="E7" s="7"/>
      <c r="F7" s="15" t="s">
        <v>85</v>
      </c>
      <c r="G7" s="7"/>
      <c r="H7" t="s">
        <v>278</v>
      </c>
      <c r="I7" s="1"/>
      <c r="J7" t="s">
        <v>280</v>
      </c>
      <c r="L7" s="57"/>
      <c r="M7" s="7"/>
      <c r="N7" s="7"/>
    </row>
    <row r="8" spans="1:14" x14ac:dyDescent="0.25">
      <c r="A8" s="15" t="s">
        <v>0</v>
      </c>
      <c r="B8" s="7"/>
      <c r="C8" s="7"/>
      <c r="D8" s="7"/>
      <c r="E8" s="7"/>
      <c r="F8" s="1" t="s">
        <v>94</v>
      </c>
      <c r="G8" s="15"/>
      <c r="H8" s="1" t="s">
        <v>279</v>
      </c>
      <c r="I8" s="1"/>
      <c r="J8" s="1" t="s">
        <v>281</v>
      </c>
      <c r="L8" s="57" t="s">
        <v>146</v>
      </c>
      <c r="M8" s="7"/>
      <c r="N8" s="7"/>
    </row>
    <row r="9" spans="1:14" x14ac:dyDescent="0.25">
      <c r="A9" s="23" t="s">
        <v>86</v>
      </c>
      <c r="B9" s="7"/>
      <c r="C9" s="39" t="s">
        <v>1</v>
      </c>
      <c r="D9" s="7"/>
      <c r="E9" s="7"/>
      <c r="F9" s="40" t="s">
        <v>2</v>
      </c>
      <c r="G9" s="24"/>
      <c r="H9" s="10" t="s">
        <v>190</v>
      </c>
      <c r="I9" s="8"/>
      <c r="J9" s="10" t="s">
        <v>282</v>
      </c>
      <c r="L9" s="40" t="s">
        <v>2</v>
      </c>
      <c r="M9" s="7"/>
      <c r="N9" s="3"/>
    </row>
    <row r="10" spans="1:14" x14ac:dyDescent="0.25">
      <c r="A10" s="7"/>
      <c r="B10" s="7"/>
      <c r="C10" s="7"/>
      <c r="D10" s="7"/>
      <c r="E10" s="7"/>
      <c r="F10" s="36" t="s">
        <v>95</v>
      </c>
      <c r="G10" s="1"/>
      <c r="H10" s="134" t="s">
        <v>96</v>
      </c>
      <c r="I10" s="134"/>
      <c r="J10" s="135" t="s">
        <v>184</v>
      </c>
      <c r="K10" s="1"/>
      <c r="L10" s="36" t="s">
        <v>185</v>
      </c>
      <c r="M10" s="7"/>
      <c r="N10" s="7"/>
    </row>
    <row r="11" spans="1:14" x14ac:dyDescent="0.25">
      <c r="A11" s="7">
        <v>1</v>
      </c>
      <c r="B11" s="7"/>
      <c r="C11" s="41" t="s">
        <v>87</v>
      </c>
      <c r="D11" s="7"/>
      <c r="E11" s="7"/>
      <c r="F11" s="6">
        <v>838124164</v>
      </c>
      <c r="G11" s="6"/>
      <c r="H11" s="6">
        <v>835682807</v>
      </c>
      <c r="I11" s="6"/>
      <c r="J11" s="6">
        <v>828023254</v>
      </c>
      <c r="L11" s="42">
        <f>DMR3p2to7!BD66</f>
        <v>829827642.1198554</v>
      </c>
      <c r="M11" s="7"/>
      <c r="N11" s="56"/>
    </row>
    <row r="12" spans="1:14" x14ac:dyDescent="0.25">
      <c r="A12" s="7"/>
      <c r="B12" s="7"/>
      <c r="C12" s="7"/>
      <c r="D12" s="7"/>
      <c r="E12" s="7"/>
      <c r="L12" s="43"/>
      <c r="M12" s="7"/>
      <c r="N12" s="7"/>
    </row>
    <row r="13" spans="1:14" x14ac:dyDescent="0.25">
      <c r="A13" s="7">
        <v>2</v>
      </c>
      <c r="B13" s="7"/>
      <c r="C13" s="41" t="s">
        <v>88</v>
      </c>
      <c r="D13" s="7"/>
      <c r="E13" s="7"/>
      <c r="F13" s="6">
        <v>54518748</v>
      </c>
      <c r="G13" s="6"/>
      <c r="H13" s="6">
        <v>54496241</v>
      </c>
      <c r="I13" s="6"/>
      <c r="J13" s="6">
        <v>54792365</v>
      </c>
      <c r="L13" s="42">
        <f>DMR3p2to7!BD40</f>
        <v>62679375.05495283</v>
      </c>
      <c r="M13" s="7"/>
      <c r="N13" s="56"/>
    </row>
    <row r="14" spans="1:14" x14ac:dyDescent="0.25">
      <c r="A14" s="7"/>
      <c r="B14" s="7"/>
      <c r="C14" s="7"/>
      <c r="D14" s="7"/>
      <c r="E14" s="7"/>
      <c r="L14" s="44"/>
      <c r="M14" s="7"/>
      <c r="N14" s="7"/>
    </row>
    <row r="15" spans="1:14" x14ac:dyDescent="0.25">
      <c r="A15" s="7">
        <v>3</v>
      </c>
      <c r="B15" s="7"/>
      <c r="C15" s="41" t="s">
        <v>89</v>
      </c>
      <c r="D15" s="7"/>
      <c r="E15" s="7"/>
      <c r="F15" s="45">
        <f>F13/F11</f>
        <v>6.5048533787411475E-2</v>
      </c>
      <c r="G15" s="45"/>
      <c r="H15" s="45">
        <f>H13/H11</f>
        <v>6.521163358096943E-2</v>
      </c>
      <c r="I15" s="45"/>
      <c r="J15" s="45">
        <f>J13/J11</f>
        <v>6.6172495440568871E-2</v>
      </c>
      <c r="L15" s="45">
        <f>L13/L11</f>
        <v>7.5533004534331705E-2</v>
      </c>
      <c r="M15" s="7"/>
      <c r="N15" s="7"/>
    </row>
    <row r="16" spans="1:14" x14ac:dyDescent="0.25">
      <c r="A16" s="7"/>
      <c r="B16" s="7"/>
      <c r="C16" s="7"/>
      <c r="D16" s="7"/>
      <c r="E16" s="7"/>
      <c r="L16" s="45"/>
      <c r="M16" s="7"/>
      <c r="N16" s="7"/>
    </row>
    <row r="17" spans="1:14" x14ac:dyDescent="0.25">
      <c r="A17" s="7">
        <v>4</v>
      </c>
      <c r="B17" s="7"/>
      <c r="C17" s="128" t="s">
        <v>285</v>
      </c>
      <c r="D17" s="7"/>
      <c r="E17" s="7"/>
      <c r="F17" s="73">
        <v>7.2999999999999995E-2</v>
      </c>
      <c r="G17" s="46"/>
      <c r="H17" s="73">
        <v>7.2999999999999995E-2</v>
      </c>
      <c r="I17" s="146"/>
      <c r="J17" s="73">
        <v>7.2999999999999995E-2</v>
      </c>
      <c r="L17" s="73">
        <f>J17</f>
        <v>7.2999999999999995E-2</v>
      </c>
      <c r="M17" s="7"/>
      <c r="N17" s="120"/>
    </row>
    <row r="18" spans="1:14" x14ac:dyDescent="0.25">
      <c r="A18" s="7"/>
      <c r="B18" s="7"/>
      <c r="C18" s="7"/>
      <c r="D18" s="7"/>
      <c r="E18" s="7"/>
      <c r="L18" s="7"/>
      <c r="M18" s="7"/>
      <c r="N18" s="7"/>
    </row>
    <row r="19" spans="1:14" x14ac:dyDescent="0.25">
      <c r="A19" s="7">
        <v>5</v>
      </c>
      <c r="B19" s="7"/>
      <c r="C19" s="41" t="s">
        <v>90</v>
      </c>
      <c r="D19" s="7"/>
      <c r="E19" s="7"/>
      <c r="F19" s="47">
        <f>F11*F17</f>
        <v>61183063.971999995</v>
      </c>
      <c r="G19" s="47"/>
      <c r="H19" s="47">
        <f>H11*H17</f>
        <v>61004844.910999998</v>
      </c>
      <c r="I19" s="47"/>
      <c r="J19" s="47">
        <f>J11*J17</f>
        <v>60445697.541999996</v>
      </c>
      <c r="L19" s="47">
        <f>ROUND(L11*L17,0)</f>
        <v>60577418</v>
      </c>
      <c r="M19" s="7"/>
      <c r="N19" s="7"/>
    </row>
    <row r="20" spans="1:14" x14ac:dyDescent="0.25">
      <c r="A20" s="7"/>
      <c r="B20" s="7"/>
      <c r="C20" s="7"/>
      <c r="D20" s="7"/>
      <c r="E20" s="7"/>
      <c r="L20" s="47"/>
      <c r="M20" s="7"/>
      <c r="N20" s="7"/>
    </row>
    <row r="21" spans="1:14" x14ac:dyDescent="0.25">
      <c r="A21" s="7">
        <v>6</v>
      </c>
      <c r="B21" s="7"/>
      <c r="C21" s="41" t="s">
        <v>91</v>
      </c>
      <c r="D21" s="7"/>
      <c r="E21" s="7"/>
      <c r="F21" s="47">
        <f>F13-F19</f>
        <v>-6664315.9719999954</v>
      </c>
      <c r="G21" s="47"/>
      <c r="H21" s="47">
        <f>H13-H19</f>
        <v>-6508603.9109999985</v>
      </c>
      <c r="I21" s="47"/>
      <c r="J21" s="47">
        <f>J13-J19</f>
        <v>-5653332.5419999957</v>
      </c>
      <c r="L21" s="47">
        <f>L13-L19</f>
        <v>2101957.0549528301</v>
      </c>
      <c r="M21" s="7"/>
      <c r="N21" s="7"/>
    </row>
    <row r="22" spans="1:14" x14ac:dyDescent="0.25">
      <c r="A22" s="7"/>
      <c r="B22" s="7"/>
      <c r="C22" s="7"/>
      <c r="D22" s="7"/>
      <c r="E22" s="7"/>
      <c r="F22" s="7"/>
      <c r="G22" s="7"/>
      <c r="H22" s="7"/>
      <c r="I22" s="7"/>
      <c r="J22" s="7"/>
      <c r="L22" s="7"/>
      <c r="M22" s="7"/>
      <c r="N22" s="7"/>
    </row>
    <row r="23" spans="1:14" x14ac:dyDescent="0.25">
      <c r="A23" s="7">
        <v>7</v>
      </c>
      <c r="B23" s="7"/>
      <c r="C23" s="41" t="s">
        <v>92</v>
      </c>
      <c r="D23" s="7"/>
      <c r="E23" s="7"/>
      <c r="F23" s="75">
        <f>1/0.62014</f>
        <v>1.6125391040732737</v>
      </c>
      <c r="G23" s="74"/>
      <c r="H23" s="75">
        <f>1/0.62014</f>
        <v>1.6125391040732737</v>
      </c>
      <c r="I23" s="147"/>
      <c r="J23" s="75">
        <f>1/0.62014</f>
        <v>1.6125391040732737</v>
      </c>
      <c r="L23" s="75">
        <f>1/0.62014</f>
        <v>1.6125391040732737</v>
      </c>
      <c r="M23" s="7"/>
      <c r="N23" s="9"/>
    </row>
    <row r="24" spans="1:14" x14ac:dyDescent="0.25">
      <c r="A24" s="7"/>
      <c r="B24" s="7"/>
      <c r="C24" s="7"/>
      <c r="D24" s="7"/>
      <c r="E24" s="7"/>
      <c r="F24" s="7"/>
      <c r="G24" s="7"/>
      <c r="H24" s="7"/>
      <c r="I24" s="7"/>
      <c r="J24" s="7"/>
      <c r="L24" s="7"/>
      <c r="M24" s="7"/>
      <c r="N24" s="7"/>
    </row>
    <row r="25" spans="1:14" ht="16.5" thickBot="1" x14ac:dyDescent="0.3">
      <c r="A25" s="7">
        <v>8</v>
      </c>
      <c r="B25" s="7"/>
      <c r="C25" s="41" t="s">
        <v>93</v>
      </c>
      <c r="D25" s="7"/>
      <c r="E25" s="7"/>
      <c r="F25" s="48">
        <f>F21*F23</f>
        <v>-10746470.10675008</v>
      </c>
      <c r="G25" s="49"/>
      <c r="H25" s="48">
        <f>H21*H23</f>
        <v>-10495378.319411743</v>
      </c>
      <c r="I25" s="49"/>
      <c r="J25" s="48">
        <f>J21*J23</f>
        <v>-9116219.7923049554</v>
      </c>
      <c r="L25" s="48">
        <f>ROUND(L21*L23,0)</f>
        <v>3389488</v>
      </c>
      <c r="M25" s="7"/>
      <c r="N25" s="7"/>
    </row>
    <row r="26" spans="1:14" ht="16.5" thickTop="1" x14ac:dyDescent="0.25">
      <c r="A26" s="7"/>
      <c r="B26" s="7"/>
      <c r="C26" s="7"/>
      <c r="D26" s="50"/>
      <c r="E26" s="7"/>
      <c r="F26" s="7"/>
      <c r="G26" s="7"/>
      <c r="L26" s="7"/>
      <c r="M26" s="7"/>
      <c r="N26" s="7"/>
    </row>
    <row r="27" spans="1:14" x14ac:dyDescent="0.25">
      <c r="A27" s="4"/>
      <c r="B27" s="4"/>
      <c r="C27" s="26" t="s">
        <v>288</v>
      </c>
      <c r="D27" s="4"/>
      <c r="E27" s="4"/>
      <c r="F27" s="4"/>
      <c r="G27" s="4"/>
      <c r="H27" s="4"/>
      <c r="I27" s="4"/>
      <c r="J27" s="4"/>
      <c r="K27" s="4"/>
      <c r="L27" s="132"/>
    </row>
    <row r="28" spans="1:14" x14ac:dyDescent="0.25">
      <c r="A28" s="4"/>
      <c r="B28" s="4"/>
      <c r="C28" s="4" t="s">
        <v>191</v>
      </c>
      <c r="D28" s="4"/>
      <c r="E28" s="4"/>
      <c r="F28" s="4"/>
      <c r="G28" s="4"/>
      <c r="H28" s="4"/>
      <c r="I28" s="4"/>
      <c r="J28" s="4"/>
      <c r="K28" s="4"/>
      <c r="L28" s="133"/>
    </row>
    <row r="29" spans="1:14" x14ac:dyDescent="0.25">
      <c r="A29" s="4"/>
      <c r="B29" s="4"/>
      <c r="C29" s="4" t="s">
        <v>286</v>
      </c>
      <c r="D29" s="4"/>
      <c r="E29" s="4"/>
      <c r="F29" s="4"/>
      <c r="G29" s="4"/>
      <c r="H29" s="4"/>
      <c r="I29" s="4"/>
      <c r="J29" s="4"/>
      <c r="K29" s="4"/>
      <c r="L29" s="4"/>
    </row>
    <row r="30" spans="1:14" x14ac:dyDescent="0.25">
      <c r="A30" s="4"/>
      <c r="B30" s="4"/>
      <c r="C30" s="18" t="s">
        <v>287</v>
      </c>
      <c r="D30" s="4"/>
      <c r="E30" s="4"/>
      <c r="F30" s="8"/>
      <c r="G30" s="8"/>
      <c r="H30" s="4"/>
      <c r="I30" s="4"/>
      <c r="J30" s="4"/>
      <c r="K30" s="4"/>
      <c r="L30" s="49"/>
    </row>
    <row r="31" spans="1:14" x14ac:dyDescent="0.25">
      <c r="C31" s="26"/>
      <c r="D31" s="4"/>
      <c r="E31" s="4"/>
      <c r="F31" s="14"/>
      <c r="G31" s="8"/>
      <c r="H31" s="14"/>
      <c r="I31" s="14"/>
      <c r="J31" s="14"/>
    </row>
    <row r="32" spans="1:14" x14ac:dyDescent="0.25">
      <c r="C32" s="18" t="s">
        <v>659</v>
      </c>
      <c r="D32" s="4"/>
      <c r="E32" s="4"/>
      <c r="F32" s="20"/>
      <c r="G32" s="20"/>
      <c r="H32" s="20"/>
      <c r="I32" s="20"/>
      <c r="J32" s="20"/>
    </row>
    <row r="33" spans="3:12" x14ac:dyDescent="0.25">
      <c r="C33" s="488" t="s">
        <v>746</v>
      </c>
      <c r="D33" s="489"/>
      <c r="E33" s="489"/>
      <c r="F33" s="490"/>
      <c r="G33" s="490"/>
      <c r="H33" s="490"/>
      <c r="I33" s="490"/>
      <c r="J33" s="490"/>
      <c r="K33" s="489"/>
      <c r="L33" s="491"/>
    </row>
    <row r="34" spans="3:12" x14ac:dyDescent="0.25">
      <c r="C34" s="520" t="s">
        <v>747</v>
      </c>
      <c r="D34" s="4"/>
      <c r="E34" s="4"/>
      <c r="F34" s="20"/>
      <c r="G34" s="20"/>
      <c r="H34" s="20"/>
      <c r="I34" s="20"/>
      <c r="J34" s="20"/>
      <c r="K34" s="4"/>
      <c r="L34" s="492"/>
    </row>
    <row r="35" spans="3:12" x14ac:dyDescent="0.25">
      <c r="C35" s="493"/>
      <c r="D35" s="2"/>
      <c r="E35" s="2"/>
      <c r="F35" s="494"/>
      <c r="G35" s="494"/>
      <c r="H35" s="494"/>
      <c r="I35" s="494"/>
      <c r="J35" s="494"/>
      <c r="K35" s="2"/>
      <c r="L35" s="343"/>
    </row>
    <row r="36" spans="3:12" x14ac:dyDescent="0.25">
      <c r="C36" s="4"/>
      <c r="D36" s="4"/>
      <c r="E36" s="4"/>
      <c r="F36" s="4"/>
      <c r="G36" s="4"/>
      <c r="H36" s="4"/>
      <c r="I36" s="4"/>
      <c r="J36" s="4"/>
    </row>
  </sheetData>
  <pageMargins left="0.7" right="0.7" top="0.75" bottom="0.75" header="0.3" footer="0.3"/>
  <pageSetup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opLeftCell="A37" workbookViewId="0">
      <selection activeCell="H48" sqref="H48"/>
    </sheetView>
  </sheetViews>
  <sheetFormatPr defaultRowHeight="15.75" x14ac:dyDescent="0.25"/>
  <cols>
    <col min="1" max="1" width="1.125" customWidth="1"/>
    <col min="2" max="2" width="31.5" customWidth="1"/>
    <col min="3" max="3" width="9.875" customWidth="1"/>
    <col min="4" max="4" width="13" customWidth="1"/>
    <col min="5" max="5" width="0.625" customWidth="1"/>
    <col min="6" max="6" width="12.5" customWidth="1"/>
    <col min="7" max="7" width="1" customWidth="1"/>
    <col min="8" max="8" width="12.25" customWidth="1"/>
    <col min="9" max="9" width="0.875" customWidth="1"/>
    <col min="10" max="10" width="13.25" bestFit="1" customWidth="1"/>
    <col min="11" max="11" width="1.375" customWidth="1"/>
  </cols>
  <sheetData>
    <row r="1" spans="1:11" x14ac:dyDescent="0.25">
      <c r="B1" s="487" t="s">
        <v>392</v>
      </c>
      <c r="J1" s="334" t="s">
        <v>275</v>
      </c>
    </row>
    <row r="2" spans="1:11" x14ac:dyDescent="0.25">
      <c r="B2" t="s">
        <v>689</v>
      </c>
      <c r="J2" s="334" t="s">
        <v>189</v>
      </c>
    </row>
    <row r="3" spans="1:11" x14ac:dyDescent="0.25">
      <c r="B3" s="56" t="s">
        <v>273</v>
      </c>
      <c r="J3" s="521" t="s">
        <v>748</v>
      </c>
    </row>
    <row r="4" spans="1:11" x14ac:dyDescent="0.25">
      <c r="B4" s="502"/>
      <c r="J4" s="334" t="s">
        <v>737</v>
      </c>
    </row>
    <row r="5" spans="1:11" x14ac:dyDescent="0.25">
      <c r="A5" s="121"/>
      <c r="B5" s="503" t="s">
        <v>548</v>
      </c>
      <c r="I5" s="121"/>
      <c r="J5" s="122"/>
      <c r="K5" s="121"/>
    </row>
    <row r="6" spans="1:11" x14ac:dyDescent="0.25">
      <c r="A6" s="121"/>
      <c r="B6" s="513" t="s">
        <v>694</v>
      </c>
      <c r="C6" s="121"/>
      <c r="D6" s="121"/>
      <c r="E6" s="121"/>
      <c r="F6" s="121"/>
      <c r="G6" s="121"/>
      <c r="H6" s="121"/>
      <c r="I6" s="121"/>
      <c r="J6" s="122"/>
      <c r="K6" s="121"/>
    </row>
    <row r="7" spans="1:11" x14ac:dyDescent="0.25">
      <c r="A7" s="7"/>
      <c r="B7" s="7"/>
      <c r="C7" s="7"/>
      <c r="D7" s="7"/>
      <c r="E7" s="7"/>
      <c r="F7" s="7"/>
      <c r="G7" s="7"/>
      <c r="H7" s="57" t="s">
        <v>4</v>
      </c>
      <c r="I7" s="7"/>
      <c r="J7" s="123"/>
      <c r="K7" s="7"/>
    </row>
    <row r="8" spans="1:11" x14ac:dyDescent="0.25">
      <c r="A8" s="7"/>
      <c r="B8" s="7"/>
      <c r="C8" s="7"/>
      <c r="D8" s="7"/>
      <c r="E8" s="7"/>
      <c r="F8" s="57" t="s">
        <v>4</v>
      </c>
      <c r="G8" s="57"/>
      <c r="H8" s="57" t="s">
        <v>6</v>
      </c>
      <c r="I8" s="7"/>
      <c r="J8" s="123"/>
      <c r="K8" s="7"/>
    </row>
    <row r="9" spans="1:11" x14ac:dyDescent="0.25">
      <c r="A9" s="7"/>
      <c r="B9" s="7"/>
      <c r="C9" s="7"/>
      <c r="D9" s="57" t="s">
        <v>4</v>
      </c>
      <c r="E9" s="15"/>
      <c r="F9" s="57" t="s">
        <v>6</v>
      </c>
      <c r="G9" s="57"/>
      <c r="H9" s="57" t="s">
        <v>553</v>
      </c>
      <c r="I9" s="15"/>
      <c r="J9" s="346" t="s">
        <v>542</v>
      </c>
      <c r="K9" s="7"/>
    </row>
    <row r="10" spans="1:11" x14ac:dyDescent="0.25">
      <c r="A10" s="7"/>
      <c r="B10" s="124" t="s">
        <v>1</v>
      </c>
      <c r="C10" s="25"/>
      <c r="D10" s="344" t="s">
        <v>6</v>
      </c>
      <c r="E10" s="24"/>
      <c r="F10" s="344" t="s">
        <v>553</v>
      </c>
      <c r="G10" s="116"/>
      <c r="H10" s="344" t="s">
        <v>554</v>
      </c>
      <c r="I10" s="15"/>
      <c r="J10" s="345" t="s">
        <v>545</v>
      </c>
      <c r="K10" s="15"/>
    </row>
    <row r="11" spans="1:11" x14ac:dyDescent="0.25">
      <c r="A11" s="7"/>
      <c r="B11" s="7"/>
      <c r="C11" s="7"/>
      <c r="D11" s="57" t="s">
        <v>507</v>
      </c>
      <c r="E11" s="15"/>
      <c r="F11" s="57" t="s">
        <v>509</v>
      </c>
      <c r="G11" s="15"/>
      <c r="H11" s="57" t="s">
        <v>509</v>
      </c>
      <c r="I11" s="15"/>
      <c r="J11" s="123"/>
      <c r="K11" s="7"/>
    </row>
    <row r="12" spans="1:11" x14ac:dyDescent="0.25">
      <c r="A12" s="7"/>
      <c r="F12" s="135" t="s">
        <v>556</v>
      </c>
      <c r="H12" s="135" t="s">
        <v>557</v>
      </c>
    </row>
    <row r="13" spans="1:11" x14ac:dyDescent="0.25">
      <c r="A13" s="7"/>
    </row>
    <row r="14" spans="1:11" x14ac:dyDescent="0.25">
      <c r="A14" s="7"/>
      <c r="B14" t="s">
        <v>552</v>
      </c>
      <c r="D14" s="6">
        <f>D29</f>
        <v>-306887</v>
      </c>
      <c r="F14" s="6">
        <f>F29</f>
        <v>-284380</v>
      </c>
      <c r="H14" s="6">
        <f>H29</f>
        <v>-213764</v>
      </c>
      <c r="J14" s="6">
        <f>J29</f>
        <v>-230399</v>
      </c>
    </row>
    <row r="15" spans="1:11" x14ac:dyDescent="0.25">
      <c r="A15" s="7"/>
    </row>
    <row r="16" spans="1:11" x14ac:dyDescent="0.25">
      <c r="A16" s="7"/>
    </row>
    <row r="17" spans="1:11" x14ac:dyDescent="0.25">
      <c r="A17" s="7"/>
    </row>
    <row r="18" spans="1:11" x14ac:dyDescent="0.25">
      <c r="A18" s="7"/>
    </row>
    <row r="19" spans="1:11" x14ac:dyDescent="0.25">
      <c r="A19" s="7"/>
    </row>
    <row r="20" spans="1:11" x14ac:dyDescent="0.25">
      <c r="A20" s="7"/>
      <c r="B20" s="7"/>
      <c r="C20" s="7"/>
      <c r="D20" s="7"/>
      <c r="E20" s="7"/>
      <c r="F20" s="7"/>
      <c r="G20" s="7"/>
      <c r="H20" s="7"/>
      <c r="I20" s="7"/>
      <c r="J20" s="126"/>
      <c r="K20" s="7"/>
    </row>
    <row r="21" spans="1:11" x14ac:dyDescent="0.25">
      <c r="A21" s="7"/>
      <c r="B21" s="3" t="s">
        <v>549</v>
      </c>
      <c r="C21" s="3"/>
      <c r="D21" s="3"/>
      <c r="E21" s="3"/>
      <c r="F21" s="3"/>
      <c r="G21" s="3"/>
      <c r="H21" s="3"/>
      <c r="I21" s="7"/>
      <c r="J21" s="126"/>
      <c r="K21" s="7"/>
    </row>
    <row r="22" spans="1:11" x14ac:dyDescent="0.25">
      <c r="A22" s="7"/>
      <c r="B22" s="56" t="s">
        <v>550</v>
      </c>
      <c r="C22" s="56"/>
      <c r="D22" s="160">
        <v>838124164</v>
      </c>
      <c r="E22" s="56"/>
      <c r="F22" s="160">
        <v>835682807</v>
      </c>
      <c r="G22" s="56"/>
      <c r="H22" s="160">
        <v>828023254</v>
      </c>
      <c r="I22" s="7"/>
      <c r="J22" s="160">
        <f>DMR3p2to7!BD66</f>
        <v>829827642.1198554</v>
      </c>
      <c r="K22" s="7"/>
    </row>
    <row r="23" spans="1:11" x14ac:dyDescent="0.25">
      <c r="A23" s="7"/>
      <c r="B23" s="56" t="s">
        <v>690</v>
      </c>
      <c r="C23" s="56"/>
      <c r="D23" s="348">
        <v>2.634098E-2</v>
      </c>
      <c r="E23" s="56"/>
      <c r="F23" s="348">
        <v>2.634098E-2</v>
      </c>
      <c r="G23" s="56"/>
      <c r="H23" s="348">
        <v>2.634098E-2</v>
      </c>
      <c r="I23" s="17"/>
      <c r="J23" s="348">
        <v>2.634098E-2</v>
      </c>
      <c r="K23" s="7"/>
    </row>
    <row r="24" spans="1:11" x14ac:dyDescent="0.25">
      <c r="A24" s="7"/>
      <c r="B24" s="7" t="s">
        <v>179</v>
      </c>
      <c r="C24" s="7"/>
      <c r="D24" s="160">
        <f>ROUND(D22*D23,0)</f>
        <v>22077012</v>
      </c>
      <c r="E24" s="7"/>
      <c r="F24" s="160">
        <f>ROUND(F22*F23,0)</f>
        <v>22012704</v>
      </c>
      <c r="G24" s="7"/>
      <c r="H24" s="160">
        <f>ROUND(H22*H23,0)</f>
        <v>21810944</v>
      </c>
      <c r="I24" s="7"/>
      <c r="J24" s="160">
        <f>ROUND(J22*J23,0)</f>
        <v>21858473</v>
      </c>
      <c r="K24" s="7"/>
    </row>
    <row r="25" spans="1:11" x14ac:dyDescent="0.25">
      <c r="A25" s="7"/>
      <c r="B25" s="7"/>
      <c r="C25" s="7"/>
      <c r="D25" s="123"/>
      <c r="E25" s="7"/>
      <c r="F25" s="123"/>
      <c r="G25" s="7"/>
      <c r="H25" s="123"/>
      <c r="I25" s="7"/>
      <c r="J25" s="123"/>
      <c r="K25" s="7"/>
    </row>
    <row r="26" spans="1:11" x14ac:dyDescent="0.25">
      <c r="A26" s="7"/>
      <c r="B26" s="56" t="s">
        <v>551</v>
      </c>
      <c r="C26" s="56"/>
      <c r="D26" s="347">
        <v>21200191</v>
      </c>
      <c r="E26" s="56"/>
      <c r="F26" s="347">
        <v>21200191</v>
      </c>
      <c r="G26" s="56"/>
      <c r="H26" s="347">
        <v>21200191</v>
      </c>
      <c r="I26" s="7"/>
      <c r="J26" s="347">
        <v>21200191</v>
      </c>
      <c r="K26" s="7"/>
    </row>
    <row r="27" spans="1:11" x14ac:dyDescent="0.25">
      <c r="A27" s="7"/>
      <c r="B27" s="7" t="s">
        <v>180</v>
      </c>
      <c r="C27" s="7"/>
      <c r="D27" s="160">
        <f>D24-D26</f>
        <v>876821</v>
      </c>
      <c r="E27" s="7"/>
      <c r="F27" s="160">
        <f>F24-F26</f>
        <v>812513</v>
      </c>
      <c r="G27" s="7"/>
      <c r="H27" s="160">
        <f>H24-H26</f>
        <v>610753</v>
      </c>
      <c r="I27" s="7"/>
      <c r="J27" s="160">
        <f>J24-J26</f>
        <v>658282</v>
      </c>
      <c r="K27" s="7"/>
    </row>
    <row r="28" spans="1:11" x14ac:dyDescent="0.25">
      <c r="A28" s="7"/>
      <c r="B28" s="56" t="s">
        <v>181</v>
      </c>
      <c r="C28" s="56"/>
      <c r="D28" s="129">
        <v>0.35</v>
      </c>
      <c r="E28" s="56"/>
      <c r="F28" s="129">
        <v>0.35</v>
      </c>
      <c r="G28" s="56"/>
      <c r="H28" s="129">
        <v>0.35</v>
      </c>
      <c r="I28" s="7"/>
      <c r="J28" s="129">
        <v>0.35</v>
      </c>
      <c r="K28" s="7"/>
    </row>
    <row r="29" spans="1:11" ht="16.5" thickBot="1" x14ac:dyDescent="0.3">
      <c r="A29" s="7"/>
      <c r="B29" s="56" t="s">
        <v>555</v>
      </c>
      <c r="C29" s="7"/>
      <c r="D29" s="172">
        <f>ROUND(-D27*D28,0)</f>
        <v>-306887</v>
      </c>
      <c r="E29" s="7"/>
      <c r="F29" s="172">
        <f>ROUND(-F27*F28,0)</f>
        <v>-284380</v>
      </c>
      <c r="G29" s="7"/>
      <c r="H29" s="172">
        <f>ROUND(-H27*H28,0)</f>
        <v>-213764</v>
      </c>
      <c r="I29" s="7"/>
      <c r="J29" s="172">
        <f>ROUND(-J27*J28,0)</f>
        <v>-230399</v>
      </c>
      <c r="K29" s="7"/>
    </row>
    <row r="30" spans="1:11" ht="16.5" thickTop="1" x14ac:dyDescent="0.25">
      <c r="A30" s="7"/>
      <c r="B30" s="7"/>
      <c r="C30" s="7"/>
      <c r="D30" s="7"/>
      <c r="E30" s="7"/>
      <c r="F30" s="7"/>
      <c r="G30" s="7"/>
      <c r="H30" s="7"/>
      <c r="I30" s="7"/>
      <c r="J30" s="123"/>
      <c r="K30" s="7"/>
    </row>
    <row r="31" spans="1:11" x14ac:dyDescent="0.25">
      <c r="A31" s="7"/>
      <c r="B31" s="120" t="s">
        <v>691</v>
      </c>
      <c r="C31" s="7"/>
      <c r="D31" s="7"/>
      <c r="E31" s="7"/>
      <c r="F31" s="7"/>
      <c r="G31" s="7"/>
      <c r="H31" s="7"/>
      <c r="I31" s="7"/>
      <c r="J31" s="123"/>
      <c r="K31" s="7"/>
    </row>
    <row r="32" spans="1:11" x14ac:dyDescent="0.25">
      <c r="A32" s="7"/>
      <c r="B32" s="120" t="s">
        <v>692</v>
      </c>
      <c r="C32" s="125"/>
      <c r="D32" s="125"/>
      <c r="E32" s="125"/>
      <c r="F32" s="125"/>
      <c r="G32" s="125"/>
      <c r="H32" s="125"/>
      <c r="I32" s="25"/>
      <c r="J32" s="126"/>
      <c r="K32" s="25"/>
    </row>
    <row r="33" spans="2:11" x14ac:dyDescent="0.25">
      <c r="B33" s="56" t="s">
        <v>693</v>
      </c>
    </row>
    <row r="35" spans="2:11" x14ac:dyDescent="0.25">
      <c r="B35" t="s">
        <v>183</v>
      </c>
    </row>
    <row r="37" spans="2:11" x14ac:dyDescent="0.25">
      <c r="B37" s="464" t="s">
        <v>558</v>
      </c>
      <c r="C37" s="456"/>
      <c r="D37" s="456"/>
      <c r="E37" s="456"/>
      <c r="F37" s="456"/>
      <c r="G37" s="456"/>
      <c r="H37" s="456"/>
      <c r="I37" s="456"/>
      <c r="J37" s="457"/>
      <c r="K37" s="130"/>
    </row>
    <row r="38" spans="2:11" x14ac:dyDescent="0.25">
      <c r="B38" s="458"/>
      <c r="C38" s="459"/>
      <c r="D38" s="459"/>
      <c r="E38" s="459"/>
      <c r="F38" s="459"/>
      <c r="G38" s="459"/>
      <c r="H38" s="459"/>
      <c r="I38" s="459"/>
      <c r="J38" s="460"/>
    </row>
    <row r="39" spans="2:11" x14ac:dyDescent="0.25">
      <c r="B39" s="458"/>
      <c r="C39" s="459"/>
      <c r="D39" s="459"/>
      <c r="E39" s="459"/>
      <c r="F39" s="459"/>
      <c r="G39" s="459"/>
      <c r="H39" s="459"/>
      <c r="I39" s="459"/>
      <c r="J39" s="460"/>
    </row>
    <row r="40" spans="2:11" x14ac:dyDescent="0.25">
      <c r="B40" s="458"/>
      <c r="C40" s="459"/>
      <c r="D40" s="459"/>
      <c r="E40" s="459"/>
      <c r="F40" s="459"/>
      <c r="G40" s="459"/>
      <c r="H40" s="459"/>
      <c r="I40" s="459"/>
      <c r="J40" s="460"/>
    </row>
    <row r="41" spans="2:11" x14ac:dyDescent="0.25">
      <c r="B41" s="458"/>
      <c r="C41" s="459"/>
      <c r="D41" s="459"/>
      <c r="E41" s="459"/>
      <c r="F41" s="459"/>
      <c r="G41" s="459"/>
      <c r="H41" s="459"/>
      <c r="I41" s="459"/>
      <c r="J41" s="460"/>
    </row>
    <row r="42" spans="2:11" x14ac:dyDescent="0.25">
      <c r="B42" s="458"/>
      <c r="C42" s="459"/>
      <c r="D42" s="459"/>
      <c r="E42" s="459"/>
      <c r="F42" s="459"/>
      <c r="G42" s="459"/>
      <c r="H42" s="459"/>
      <c r="I42" s="459"/>
      <c r="J42" s="460"/>
    </row>
    <row r="43" spans="2:11" ht="24.75" customHeight="1" x14ac:dyDescent="0.25">
      <c r="B43" s="465"/>
      <c r="C43" s="466"/>
      <c r="D43" s="466"/>
      <c r="E43" s="466"/>
      <c r="F43" s="466"/>
      <c r="G43" s="466"/>
      <c r="H43" s="466"/>
      <c r="I43" s="466"/>
      <c r="J43" s="467"/>
    </row>
  </sheetData>
  <mergeCells count="1">
    <mergeCell ref="B37:J43"/>
  </mergeCells>
  <pageMargins left="0.7" right="0.7" top="0.75" bottom="0.75" header="0.3" footer="0.3"/>
  <pageSetup scale="87"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L3" sqref="L3"/>
    </sheetView>
  </sheetViews>
  <sheetFormatPr defaultRowHeight="15.75" x14ac:dyDescent="0.25"/>
  <cols>
    <col min="1" max="1" width="1.5" style="56" customWidth="1"/>
    <col min="2" max="2" width="6.25" style="56" customWidth="1"/>
    <col min="3" max="3" width="25.875" style="56" customWidth="1"/>
    <col min="4" max="4" width="6.75" style="56" customWidth="1"/>
    <col min="5" max="5" width="6.5" style="56" customWidth="1"/>
    <col min="6" max="6" width="14.625" style="56" customWidth="1"/>
    <col min="7" max="9" width="14.5" style="56" customWidth="1"/>
    <col min="10" max="10" width="10.125" style="56" customWidth="1"/>
    <col min="11" max="11" width="9.875" style="56" customWidth="1"/>
    <col min="12" max="12" width="13" style="56" customWidth="1"/>
    <col min="13" max="13" width="7.25" style="56" customWidth="1"/>
    <col min="14" max="16384" width="9" style="56"/>
  </cols>
  <sheetData>
    <row r="1" spans="1:13" x14ac:dyDescent="0.25">
      <c r="B1" s="487" t="s">
        <v>392</v>
      </c>
      <c r="F1" s="57"/>
      <c r="G1" s="57"/>
      <c r="H1" s="57"/>
      <c r="I1" s="57"/>
      <c r="J1" s="57"/>
      <c r="K1" s="57"/>
      <c r="L1" s="334" t="s">
        <v>275</v>
      </c>
      <c r="M1" s="355"/>
    </row>
    <row r="2" spans="1:13" x14ac:dyDescent="0.25">
      <c r="B2" t="s">
        <v>695</v>
      </c>
      <c r="F2" s="57"/>
      <c r="G2" s="57"/>
      <c r="H2" s="57"/>
      <c r="I2" s="57"/>
      <c r="J2" s="57"/>
      <c r="K2" s="57"/>
      <c r="L2" s="334" t="s">
        <v>189</v>
      </c>
      <c r="M2" s="356"/>
    </row>
    <row r="3" spans="1:13" x14ac:dyDescent="0.25">
      <c r="B3" s="56" t="s">
        <v>273</v>
      </c>
      <c r="F3" s="57"/>
      <c r="G3" s="57"/>
      <c r="H3" s="57"/>
      <c r="I3" s="57"/>
      <c r="J3" s="57"/>
      <c r="K3" s="57"/>
      <c r="L3" s="521" t="s">
        <v>748</v>
      </c>
      <c r="M3" s="356"/>
    </row>
    <row r="4" spans="1:13" x14ac:dyDescent="0.25">
      <c r="B4" s="502"/>
      <c r="F4" s="57"/>
      <c r="G4" s="57"/>
      <c r="H4" s="57"/>
      <c r="I4" s="57"/>
      <c r="J4" s="57"/>
      <c r="K4" s="57"/>
      <c r="L4" s="334" t="s">
        <v>738</v>
      </c>
      <c r="M4" s="356"/>
    </row>
    <row r="5" spans="1:13" x14ac:dyDescent="0.25">
      <c r="B5" s="503" t="s">
        <v>581</v>
      </c>
      <c r="F5" s="57"/>
      <c r="G5" s="57"/>
      <c r="H5" s="57"/>
      <c r="I5" s="57"/>
      <c r="J5" s="57"/>
      <c r="K5" s="57"/>
      <c r="L5" s="57"/>
      <c r="M5" s="247"/>
    </row>
    <row r="6" spans="1:13" x14ac:dyDescent="0.25">
      <c r="B6" s="357"/>
      <c r="F6" s="22"/>
      <c r="G6" s="68"/>
      <c r="H6" s="22" t="s">
        <v>4</v>
      </c>
      <c r="I6" s="68"/>
      <c r="J6" s="68"/>
      <c r="K6" s="22"/>
      <c r="L6" s="22"/>
      <c r="M6" s="247"/>
    </row>
    <row r="7" spans="1:13" x14ac:dyDescent="0.25">
      <c r="F7" s="22"/>
      <c r="G7" s="22" t="s">
        <v>4</v>
      </c>
      <c r="H7" s="22" t="s">
        <v>6</v>
      </c>
      <c r="I7" s="68"/>
      <c r="J7" s="68"/>
      <c r="K7" s="22"/>
      <c r="L7" s="22"/>
      <c r="M7" s="247"/>
    </row>
    <row r="8" spans="1:13" x14ac:dyDescent="0.25">
      <c r="F8" s="22" t="s">
        <v>477</v>
      </c>
      <c r="G8" s="22" t="s">
        <v>6</v>
      </c>
      <c r="H8" s="22" t="s">
        <v>553</v>
      </c>
      <c r="I8" s="22" t="s">
        <v>542</v>
      </c>
      <c r="J8" s="22"/>
      <c r="K8" s="22"/>
      <c r="L8" s="514" t="s">
        <v>478</v>
      </c>
      <c r="M8" s="247"/>
    </row>
    <row r="9" spans="1:13" x14ac:dyDescent="0.25">
      <c r="D9" s="23" t="s">
        <v>71</v>
      </c>
      <c r="E9" s="23" t="s">
        <v>480</v>
      </c>
      <c r="F9" s="97" t="s">
        <v>481</v>
      </c>
      <c r="G9" s="515" t="s">
        <v>553</v>
      </c>
      <c r="H9" s="515" t="s">
        <v>554</v>
      </c>
      <c r="I9" s="97" t="s">
        <v>545</v>
      </c>
      <c r="J9" s="97" t="s">
        <v>7</v>
      </c>
      <c r="K9" s="97" t="s">
        <v>483</v>
      </c>
      <c r="L9" s="97" t="s">
        <v>484</v>
      </c>
      <c r="M9" s="358"/>
    </row>
    <row r="10" spans="1:13" x14ac:dyDescent="0.25">
      <c r="F10" s="22" t="s">
        <v>507</v>
      </c>
      <c r="G10" s="22" t="s">
        <v>509</v>
      </c>
      <c r="H10" s="22" t="s">
        <v>509</v>
      </c>
      <c r="I10" s="68"/>
      <c r="J10" s="68"/>
      <c r="K10" s="97"/>
      <c r="L10" s="97"/>
      <c r="M10" s="358"/>
    </row>
    <row r="11" spans="1:13" x14ac:dyDescent="0.25">
      <c r="F11" s="22"/>
      <c r="G11" s="516" t="s">
        <v>556</v>
      </c>
      <c r="H11" s="516" t="s">
        <v>557</v>
      </c>
      <c r="I11" s="68"/>
      <c r="J11" s="68"/>
      <c r="K11" s="97"/>
      <c r="L11" s="97"/>
      <c r="M11" s="358"/>
    </row>
    <row r="12" spans="1:13" x14ac:dyDescent="0.25">
      <c r="A12" s="70"/>
      <c r="B12" s="359" t="s">
        <v>532</v>
      </c>
      <c r="C12" s="70"/>
      <c r="D12" s="70"/>
      <c r="E12" s="70"/>
      <c r="F12" s="116"/>
      <c r="K12" s="116"/>
      <c r="L12" s="360"/>
      <c r="M12" s="247"/>
    </row>
    <row r="13" spans="1:13" x14ac:dyDescent="0.25">
      <c r="A13" s="70"/>
      <c r="B13" s="56" t="s">
        <v>538</v>
      </c>
      <c r="C13" s="70"/>
      <c r="D13" s="116">
        <v>282</v>
      </c>
      <c r="E13" s="116" t="s">
        <v>486</v>
      </c>
      <c r="F13" s="118">
        <v>3853789452</v>
      </c>
      <c r="G13" s="118">
        <v>3853789452</v>
      </c>
      <c r="H13" s="118">
        <v>3853789452</v>
      </c>
      <c r="I13" s="118">
        <v>3853789452</v>
      </c>
      <c r="J13" s="57" t="s">
        <v>559</v>
      </c>
      <c r="K13" s="362">
        <v>5.9046547227373083E-2</v>
      </c>
      <c r="L13" s="246">
        <f>I13*K13</f>
        <v>227552960.88187024</v>
      </c>
      <c r="M13" s="247"/>
    </row>
    <row r="14" spans="1:13" x14ac:dyDescent="0.25">
      <c r="A14" s="70"/>
      <c r="B14" s="56" t="s">
        <v>560</v>
      </c>
      <c r="C14" s="70"/>
      <c r="D14" s="116">
        <v>190</v>
      </c>
      <c r="E14" s="116" t="s">
        <v>486</v>
      </c>
      <c r="F14" s="118">
        <v>-37880440</v>
      </c>
      <c r="G14" s="118">
        <v>-37880440</v>
      </c>
      <c r="H14" s="118">
        <v>-37880440</v>
      </c>
      <c r="I14" s="118">
        <v>-37880440</v>
      </c>
      <c r="J14" s="361" t="s">
        <v>543</v>
      </c>
      <c r="K14" s="362">
        <v>0</v>
      </c>
      <c r="L14" s="246">
        <f t="shared" ref="L14:L31" si="0">I14*K14</f>
        <v>0</v>
      </c>
      <c r="M14" s="247"/>
    </row>
    <row r="15" spans="1:13" x14ac:dyDescent="0.25">
      <c r="A15" s="70"/>
      <c r="B15" s="127" t="s">
        <v>561</v>
      </c>
      <c r="C15" s="70"/>
      <c r="D15" s="116">
        <v>281</v>
      </c>
      <c r="E15" s="116" t="s">
        <v>486</v>
      </c>
      <c r="F15" s="118">
        <v>248400800</v>
      </c>
      <c r="G15" s="118">
        <v>248400800</v>
      </c>
      <c r="H15" s="118">
        <v>248400800</v>
      </c>
      <c r="I15" s="118">
        <v>248400800</v>
      </c>
      <c r="J15" s="361" t="s">
        <v>520</v>
      </c>
      <c r="K15" s="362">
        <v>8.2285226967736394E-2</v>
      </c>
      <c r="L15" s="246">
        <f t="shared" si="0"/>
        <v>20439716.206967294</v>
      </c>
      <c r="M15" s="247"/>
    </row>
    <row r="16" spans="1:13" x14ac:dyDescent="0.25">
      <c r="A16" s="70"/>
      <c r="B16" s="70" t="s">
        <v>562</v>
      </c>
      <c r="C16" s="70"/>
      <c r="D16" s="116">
        <v>282</v>
      </c>
      <c r="E16" s="116" t="s">
        <v>486</v>
      </c>
      <c r="F16" s="382">
        <v>-90544316</v>
      </c>
      <c r="G16" s="382">
        <v>-90544316</v>
      </c>
      <c r="H16" s="382">
        <v>-88823367</v>
      </c>
      <c r="I16" s="382">
        <v>-88823367</v>
      </c>
      <c r="J16" s="363" t="s">
        <v>584</v>
      </c>
      <c r="K16" s="362" t="s">
        <v>505</v>
      </c>
      <c r="L16" s="246">
        <v>0</v>
      </c>
      <c r="M16" s="247"/>
    </row>
    <row r="17" spans="1:13" x14ac:dyDescent="0.25">
      <c r="A17" s="70"/>
      <c r="B17" s="145" t="s">
        <v>389</v>
      </c>
      <c r="C17" s="70"/>
      <c r="D17" s="116">
        <v>282</v>
      </c>
      <c r="E17" s="116" t="s">
        <v>486</v>
      </c>
      <c r="F17" s="382">
        <v>-235491703</v>
      </c>
      <c r="G17" s="382">
        <v>-235491703</v>
      </c>
      <c r="H17" s="382">
        <v>-229944876</v>
      </c>
      <c r="I17" s="382">
        <v>-229944876</v>
      </c>
      <c r="J17" s="363" t="s">
        <v>563</v>
      </c>
      <c r="K17" s="362" t="s">
        <v>505</v>
      </c>
      <c r="L17" s="246">
        <v>0</v>
      </c>
      <c r="M17" s="247"/>
    </row>
    <row r="18" spans="1:13" x14ac:dyDescent="0.25">
      <c r="A18" s="70"/>
      <c r="B18" s="145" t="s">
        <v>473</v>
      </c>
      <c r="C18" s="70"/>
      <c r="D18" s="116">
        <v>282</v>
      </c>
      <c r="E18" s="116" t="s">
        <v>486</v>
      </c>
      <c r="F18" s="382">
        <v>-72216675</v>
      </c>
      <c r="G18" s="382">
        <v>-72216675</v>
      </c>
      <c r="H18" s="382">
        <v>-68873407</v>
      </c>
      <c r="I18" s="382">
        <v>-68873407</v>
      </c>
      <c r="J18" s="363" t="s">
        <v>473</v>
      </c>
      <c r="K18" s="362">
        <v>0</v>
      </c>
      <c r="L18" s="246">
        <f t="shared" si="0"/>
        <v>0</v>
      </c>
      <c r="M18" s="247"/>
    </row>
    <row r="19" spans="1:13" x14ac:dyDescent="0.25">
      <c r="A19" s="70"/>
      <c r="B19" s="70" t="s">
        <v>564</v>
      </c>
      <c r="C19" s="70"/>
      <c r="D19" s="116">
        <v>282</v>
      </c>
      <c r="E19" s="116" t="s">
        <v>486</v>
      </c>
      <c r="F19" s="382">
        <v>-1112945438</v>
      </c>
      <c r="G19" s="382">
        <v>-1112945438</v>
      </c>
      <c r="H19" s="382">
        <v>-1092828125</v>
      </c>
      <c r="I19" s="382">
        <v>-1092828125</v>
      </c>
      <c r="J19" s="363" t="s">
        <v>565</v>
      </c>
      <c r="K19" s="362" t="s">
        <v>505</v>
      </c>
      <c r="L19" s="246">
        <v>0</v>
      </c>
      <c r="M19" s="247"/>
    </row>
    <row r="20" spans="1:13" x14ac:dyDescent="0.25">
      <c r="A20" s="70"/>
      <c r="B20" s="145" t="s">
        <v>566</v>
      </c>
      <c r="C20" s="70"/>
      <c r="D20" s="116">
        <v>282</v>
      </c>
      <c r="E20" s="116" t="s">
        <v>486</v>
      </c>
      <c r="F20" s="382">
        <v>-1830243820</v>
      </c>
      <c r="G20" s="382">
        <v>-1830243820</v>
      </c>
      <c r="H20" s="382">
        <v>-1785360708</v>
      </c>
      <c r="I20" s="382">
        <v>-1785360708</v>
      </c>
      <c r="J20" s="363" t="s">
        <v>567</v>
      </c>
      <c r="K20" s="362" t="s">
        <v>505</v>
      </c>
      <c r="L20" s="246">
        <v>0</v>
      </c>
      <c r="M20" s="247"/>
    </row>
    <row r="21" spans="1:13" x14ac:dyDescent="0.25">
      <c r="A21" s="70"/>
      <c r="B21" s="70" t="s">
        <v>129</v>
      </c>
      <c r="C21" s="145"/>
      <c r="D21" s="116">
        <v>282</v>
      </c>
      <c r="E21" s="116" t="s">
        <v>486</v>
      </c>
      <c r="F21" s="382">
        <v>-240021060</v>
      </c>
      <c r="G21" s="382">
        <v>-239815219</v>
      </c>
      <c r="H21" s="382">
        <v>-235661959</v>
      </c>
      <c r="I21" s="382">
        <v>-235661959</v>
      </c>
      <c r="J21" s="363" t="s">
        <v>504</v>
      </c>
      <c r="K21" s="362" t="s">
        <v>505</v>
      </c>
      <c r="L21" s="246">
        <f>I21</f>
        <v>-235661959</v>
      </c>
      <c r="M21" s="247"/>
    </row>
    <row r="22" spans="1:13" x14ac:dyDescent="0.25">
      <c r="A22" s="70"/>
      <c r="B22" s="145" t="s">
        <v>568</v>
      </c>
      <c r="C22" s="70"/>
      <c r="D22" s="116">
        <v>282</v>
      </c>
      <c r="E22" s="116" t="s">
        <v>486</v>
      </c>
      <c r="F22" s="382">
        <v>-589936606</v>
      </c>
      <c r="G22" s="382">
        <v>-589936606</v>
      </c>
      <c r="H22" s="382">
        <v>-576015055</v>
      </c>
      <c r="I22" s="382">
        <v>-576015055</v>
      </c>
      <c r="J22" s="363" t="s">
        <v>569</v>
      </c>
      <c r="K22" s="362" t="s">
        <v>505</v>
      </c>
      <c r="L22" s="246">
        <v>0</v>
      </c>
      <c r="M22" s="247"/>
    </row>
    <row r="23" spans="1:13" x14ac:dyDescent="0.25">
      <c r="A23" s="70"/>
      <c r="B23" s="145" t="s">
        <v>582</v>
      </c>
      <c r="C23" s="70"/>
      <c r="D23" s="116">
        <v>282</v>
      </c>
      <c r="E23" s="116" t="s">
        <v>486</v>
      </c>
      <c r="F23" s="382"/>
      <c r="G23" s="382"/>
      <c r="H23" s="382">
        <v>1983531</v>
      </c>
      <c r="I23" s="382">
        <v>1983531</v>
      </c>
      <c r="J23" s="363" t="s">
        <v>520</v>
      </c>
      <c r="K23" s="362">
        <v>8.2284999999999997E-2</v>
      </c>
      <c r="L23" s="246">
        <f t="shared" si="0"/>
        <v>163214.84833499999</v>
      </c>
      <c r="M23" s="247"/>
    </row>
    <row r="24" spans="1:13" x14ac:dyDescent="0.25">
      <c r="A24" s="70"/>
      <c r="B24" s="127" t="s">
        <v>570</v>
      </c>
      <c r="C24" s="70"/>
      <c r="D24" s="116">
        <v>282</v>
      </c>
      <c r="E24" s="116" t="s">
        <v>486</v>
      </c>
      <c r="F24" s="382">
        <v>4040150</v>
      </c>
      <c r="G24" s="382">
        <v>4040150</v>
      </c>
      <c r="H24" s="382">
        <v>3142135</v>
      </c>
      <c r="I24" s="382">
        <v>3142135</v>
      </c>
      <c r="J24" s="363" t="s">
        <v>571</v>
      </c>
      <c r="K24" s="362">
        <v>5.9886039193935758E-2</v>
      </c>
      <c r="L24" s="246">
        <f t="shared" si="0"/>
        <v>188170.01976263733</v>
      </c>
      <c r="M24" s="247"/>
    </row>
    <row r="25" spans="1:13" x14ac:dyDescent="0.25">
      <c r="A25" s="70"/>
      <c r="B25" s="364" t="s">
        <v>572</v>
      </c>
      <c r="C25" s="70"/>
      <c r="D25" s="116">
        <v>282</v>
      </c>
      <c r="E25" s="116" t="s">
        <v>486</v>
      </c>
      <c r="F25" s="382">
        <v>78519</v>
      </c>
      <c r="G25" s="382">
        <v>78519</v>
      </c>
      <c r="H25" s="382">
        <v>78518</v>
      </c>
      <c r="I25" s="382">
        <v>78518</v>
      </c>
      <c r="J25" s="363" t="s">
        <v>573</v>
      </c>
      <c r="K25" s="362">
        <v>6.3308872574412173E-2</v>
      </c>
      <c r="L25" s="246">
        <f t="shared" si="0"/>
        <v>4970.8860567976953</v>
      </c>
      <c r="M25" s="247"/>
    </row>
    <row r="26" spans="1:13" x14ac:dyDescent="0.25">
      <c r="A26" s="70"/>
      <c r="B26" s="364" t="s">
        <v>574</v>
      </c>
      <c r="C26" s="70"/>
      <c r="D26" s="116">
        <v>282</v>
      </c>
      <c r="E26" s="116" t="s">
        <v>486</v>
      </c>
      <c r="F26" s="382">
        <v>12314179.147349998</v>
      </c>
      <c r="G26" s="382">
        <v>12314179.147349998</v>
      </c>
      <c r="H26" s="382">
        <v>8918706</v>
      </c>
      <c r="I26" s="382">
        <v>8918706</v>
      </c>
      <c r="J26" s="363" t="s">
        <v>520</v>
      </c>
      <c r="K26" s="362">
        <v>8.2285226967736394E-2</v>
      </c>
      <c r="L26" s="246">
        <f t="shared" si="0"/>
        <v>733877.74746851239</v>
      </c>
      <c r="M26" s="247"/>
    </row>
    <row r="27" spans="1:13" x14ac:dyDescent="0.25">
      <c r="A27" s="70"/>
      <c r="B27" s="364" t="s">
        <v>575</v>
      </c>
      <c r="C27" s="70"/>
      <c r="D27" s="116">
        <v>282</v>
      </c>
      <c r="E27" s="116" t="s">
        <v>486</v>
      </c>
      <c r="F27" s="382">
        <v>6077.8526499999998</v>
      </c>
      <c r="G27" s="382">
        <v>6077.8526499999998</v>
      </c>
      <c r="H27" s="382">
        <v>6078</v>
      </c>
      <c r="I27" s="382">
        <v>6078</v>
      </c>
      <c r="J27" s="363" t="s">
        <v>168</v>
      </c>
      <c r="K27" s="362">
        <v>0.22437004168265501</v>
      </c>
      <c r="L27" s="246">
        <f t="shared" si="0"/>
        <v>1363.7211133471772</v>
      </c>
      <c r="M27" s="247"/>
    </row>
    <row r="28" spans="1:13" x14ac:dyDescent="0.25">
      <c r="A28" s="70"/>
      <c r="B28" s="364" t="s">
        <v>583</v>
      </c>
      <c r="C28" s="70"/>
      <c r="D28" s="116">
        <v>282</v>
      </c>
      <c r="E28" s="116" t="s">
        <v>486</v>
      </c>
      <c r="F28" s="382"/>
      <c r="G28" s="382"/>
      <c r="H28" s="382">
        <v>-127049</v>
      </c>
      <c r="I28" s="382">
        <v>-127049</v>
      </c>
      <c r="J28" s="363" t="s">
        <v>167</v>
      </c>
      <c r="K28" s="362">
        <v>0.22565099999999999</v>
      </c>
      <c r="L28" s="246">
        <f t="shared" si="0"/>
        <v>-28668.733898999999</v>
      </c>
      <c r="M28" s="247"/>
    </row>
    <row r="29" spans="1:13" x14ac:dyDescent="0.25">
      <c r="A29" s="70"/>
      <c r="B29" s="365" t="s">
        <v>576</v>
      </c>
      <c r="C29" s="145"/>
      <c r="D29" s="116">
        <v>190</v>
      </c>
      <c r="E29" s="116" t="s">
        <v>486</v>
      </c>
      <c r="F29" s="382">
        <v>283613</v>
      </c>
      <c r="G29" s="382">
        <v>283613</v>
      </c>
      <c r="H29" s="382">
        <v>0</v>
      </c>
      <c r="I29" s="382">
        <v>0</v>
      </c>
      <c r="J29" s="363" t="s">
        <v>577</v>
      </c>
      <c r="K29" s="362">
        <v>0.22730931045735822</v>
      </c>
      <c r="L29" s="246">
        <f t="shared" si="0"/>
        <v>0</v>
      </c>
      <c r="M29" s="247"/>
    </row>
    <row r="30" spans="1:13" x14ac:dyDescent="0.25">
      <c r="A30" s="70"/>
      <c r="B30" s="364" t="s">
        <v>578</v>
      </c>
      <c r="C30" s="70"/>
      <c r="D30" s="116">
        <v>282</v>
      </c>
      <c r="E30" s="116" t="s">
        <v>486</v>
      </c>
      <c r="F30" s="382">
        <v>17360</v>
      </c>
      <c r="G30" s="382">
        <v>17360</v>
      </c>
      <c r="H30" s="382">
        <v>107747</v>
      </c>
      <c r="I30" s="382">
        <v>107747</v>
      </c>
      <c r="J30" s="363" t="s">
        <v>579</v>
      </c>
      <c r="K30" s="362">
        <v>6.3308872574412173E-2</v>
      </c>
      <c r="L30" s="246">
        <f t="shared" si="0"/>
        <v>6821.3410932751885</v>
      </c>
      <c r="M30" s="247"/>
    </row>
    <row r="31" spans="1:13" x14ac:dyDescent="0.25">
      <c r="A31" s="70"/>
      <c r="B31" s="364" t="s">
        <v>580</v>
      </c>
      <c r="C31" s="70"/>
      <c r="D31" s="116">
        <v>282</v>
      </c>
      <c r="E31" s="116" t="s">
        <v>486</v>
      </c>
      <c r="F31" s="382">
        <v>-117001</v>
      </c>
      <c r="G31" s="382">
        <v>-117001</v>
      </c>
      <c r="H31" s="382">
        <v>-11627</v>
      </c>
      <c r="I31" s="382">
        <v>-11627</v>
      </c>
      <c r="J31" s="363" t="s">
        <v>515</v>
      </c>
      <c r="K31" s="362">
        <v>6.6548077681205728E-2</v>
      </c>
      <c r="L31" s="246">
        <f t="shared" si="0"/>
        <v>-773.75449919937898</v>
      </c>
      <c r="M31" s="247"/>
    </row>
    <row r="32" spans="1:13" ht="16.5" thickBot="1" x14ac:dyDescent="0.3">
      <c r="A32" s="70"/>
      <c r="B32" s="364"/>
      <c r="C32" s="70"/>
      <c r="D32" s="70"/>
      <c r="E32" s="70"/>
      <c r="F32" s="366">
        <f>SUM(F13:F31)</f>
        <v>-90466908</v>
      </c>
      <c r="G32" s="366">
        <f>SUM(G13:G31)</f>
        <v>-90261067</v>
      </c>
      <c r="H32" s="366">
        <f>SUM(H13:H31)</f>
        <v>900354</v>
      </c>
      <c r="I32" s="366">
        <f>SUM(I13:I31)</f>
        <v>900354</v>
      </c>
      <c r="J32" s="361"/>
      <c r="K32" s="362"/>
      <c r="L32" s="367">
        <f>SUM(L13:L31)</f>
        <v>13399694.164268905</v>
      </c>
      <c r="M32" s="247"/>
    </row>
    <row r="33" spans="1:13" ht="16.5" thickTop="1" x14ac:dyDescent="0.25">
      <c r="A33" s="70"/>
      <c r="B33" s="364"/>
      <c r="C33" s="70"/>
      <c r="D33" s="70"/>
      <c r="E33" s="70"/>
      <c r="F33" s="361"/>
      <c r="G33" s="361"/>
      <c r="H33" s="118"/>
      <c r="I33" s="361"/>
      <c r="J33" s="361"/>
      <c r="K33" s="362"/>
      <c r="L33" s="246"/>
      <c r="M33" s="247"/>
    </row>
    <row r="34" spans="1:13" x14ac:dyDescent="0.25">
      <c r="A34" s="70"/>
      <c r="B34" s="364"/>
      <c r="C34" s="70"/>
      <c r="D34" s="70"/>
      <c r="E34" s="70"/>
      <c r="F34" s="361"/>
      <c r="G34" s="361"/>
      <c r="H34" s="361"/>
      <c r="I34" s="361"/>
      <c r="J34" s="361"/>
      <c r="K34" s="362"/>
      <c r="L34" s="246"/>
      <c r="M34" s="247"/>
    </row>
    <row r="35" spans="1:13" x14ac:dyDescent="0.25">
      <c r="A35" s="70"/>
      <c r="B35" s="364"/>
      <c r="C35" s="70"/>
      <c r="D35" s="70"/>
      <c r="E35" s="70"/>
      <c r="F35" s="361"/>
      <c r="G35" s="361"/>
      <c r="H35" s="361"/>
      <c r="I35" s="361"/>
      <c r="J35" s="361"/>
      <c r="K35" s="362"/>
      <c r="L35" s="246"/>
      <c r="M35" s="247"/>
    </row>
    <row r="36" spans="1:13" x14ac:dyDescent="0.25">
      <c r="A36" s="70"/>
      <c r="B36" s="368"/>
      <c r="C36" s="145"/>
      <c r="D36" s="145"/>
      <c r="E36" s="145"/>
      <c r="F36" s="363"/>
      <c r="G36" s="363"/>
      <c r="H36" s="363"/>
      <c r="I36" s="363"/>
      <c r="J36" s="363"/>
      <c r="K36" s="362"/>
      <c r="L36" s="246"/>
      <c r="M36" s="247"/>
    </row>
    <row r="37" spans="1:13" x14ac:dyDescent="0.25">
      <c r="A37" s="70"/>
      <c r="B37" s="365"/>
      <c r="C37" s="145"/>
      <c r="D37" s="145"/>
      <c r="E37" s="145"/>
      <c r="F37" s="363"/>
      <c r="G37" s="363"/>
      <c r="H37" s="363"/>
      <c r="I37" s="363"/>
      <c r="J37" s="363"/>
      <c r="K37" s="362"/>
      <c r="L37" s="246"/>
      <c r="M37" s="247"/>
    </row>
    <row r="38" spans="1:13" x14ac:dyDescent="0.25">
      <c r="A38" s="70"/>
      <c r="B38" s="365"/>
      <c r="C38" s="145"/>
      <c r="D38" s="145"/>
      <c r="E38" s="145"/>
      <c r="F38" s="363"/>
      <c r="G38" s="363"/>
      <c r="H38" s="363"/>
      <c r="I38" s="363"/>
      <c r="J38" s="363"/>
      <c r="K38" s="362"/>
      <c r="L38" s="246"/>
      <c r="M38" s="247"/>
    </row>
    <row r="39" spans="1:13" x14ac:dyDescent="0.25">
      <c r="A39" s="70"/>
      <c r="B39" s="364"/>
      <c r="C39" s="70"/>
      <c r="D39" s="70"/>
      <c r="E39" s="70"/>
      <c r="F39" s="361"/>
      <c r="G39" s="361"/>
      <c r="H39" s="361"/>
      <c r="I39" s="361"/>
      <c r="J39" s="361"/>
      <c r="K39" s="362"/>
      <c r="L39" s="246"/>
      <c r="M39" s="247"/>
    </row>
    <row r="40" spans="1:13" x14ac:dyDescent="0.25">
      <c r="B40" s="364"/>
      <c r="C40" s="70"/>
      <c r="D40" s="70"/>
      <c r="E40" s="70"/>
      <c r="F40" s="361"/>
      <c r="G40" s="361"/>
      <c r="H40" s="361"/>
      <c r="I40" s="361"/>
      <c r="J40" s="361"/>
      <c r="K40" s="362"/>
      <c r="L40" s="246"/>
      <c r="M40" s="247"/>
    </row>
    <row r="41" spans="1:13" x14ac:dyDescent="0.25">
      <c r="B41" s="127"/>
      <c r="C41" s="70"/>
      <c r="D41" s="70"/>
      <c r="E41" s="70"/>
      <c r="F41" s="361"/>
      <c r="G41" s="361"/>
      <c r="H41" s="361"/>
      <c r="I41" s="361"/>
      <c r="J41" s="361"/>
      <c r="K41" s="362"/>
      <c r="L41" s="246"/>
      <c r="M41" s="247"/>
    </row>
    <row r="42" spans="1:13" x14ac:dyDescent="0.25">
      <c r="B42" s="127"/>
      <c r="C42" s="70"/>
      <c r="D42" s="70"/>
      <c r="E42" s="70"/>
      <c r="F42" s="361"/>
      <c r="G42" s="361"/>
      <c r="H42" s="361"/>
      <c r="I42" s="361"/>
      <c r="J42" s="361"/>
      <c r="K42" s="362"/>
      <c r="L42" s="246"/>
      <c r="M42" s="247"/>
    </row>
    <row r="43" spans="1:13" x14ac:dyDescent="0.25">
      <c r="B43" s="127"/>
      <c r="C43" s="70"/>
      <c r="D43" s="70"/>
      <c r="E43" s="70"/>
      <c r="F43" s="361"/>
      <c r="G43" s="361"/>
      <c r="H43" s="361"/>
      <c r="I43" s="361"/>
      <c r="J43" s="361"/>
      <c r="K43" s="362"/>
      <c r="L43" s="246"/>
      <c r="M43" s="247"/>
    </row>
    <row r="44" spans="1:13" x14ac:dyDescent="0.25">
      <c r="B44" s="127"/>
      <c r="C44" s="70"/>
      <c r="D44" s="70"/>
      <c r="E44" s="70"/>
      <c r="F44" s="361"/>
      <c r="G44" s="361"/>
      <c r="H44" s="361"/>
      <c r="I44" s="361"/>
      <c r="J44" s="361"/>
      <c r="K44" s="362"/>
      <c r="L44" s="246"/>
      <c r="M44" s="247"/>
    </row>
    <row r="45" spans="1:13" x14ac:dyDescent="0.25">
      <c r="B45" s="127"/>
      <c r="C45" s="70"/>
      <c r="D45" s="70"/>
      <c r="E45" s="70"/>
      <c r="F45" s="361"/>
      <c r="G45" s="361"/>
      <c r="H45" s="361"/>
      <c r="I45" s="361"/>
      <c r="J45" s="361"/>
      <c r="K45" s="362"/>
      <c r="L45" s="246"/>
      <c r="M45" s="247"/>
    </row>
    <row r="46" spans="1:13" x14ac:dyDescent="0.25">
      <c r="B46" s="127"/>
      <c r="C46" s="70"/>
      <c r="D46" s="70"/>
      <c r="E46" s="70"/>
      <c r="F46" s="361"/>
      <c r="G46" s="361"/>
      <c r="H46" s="361"/>
      <c r="I46" s="361"/>
      <c r="J46" s="361"/>
      <c r="K46" s="362"/>
      <c r="L46" s="246"/>
      <c r="M46" s="247"/>
    </row>
    <row r="47" spans="1:13" x14ac:dyDescent="0.25">
      <c r="A47" s="70"/>
      <c r="B47" s="127"/>
      <c r="C47" s="70"/>
      <c r="D47" s="70"/>
      <c r="E47" s="70"/>
      <c r="F47" s="361"/>
      <c r="G47" s="361"/>
      <c r="H47" s="361"/>
      <c r="I47" s="361"/>
      <c r="J47" s="361"/>
      <c r="K47" s="362"/>
      <c r="L47" s="246"/>
      <c r="M47" s="247"/>
    </row>
    <row r="48" spans="1:13" x14ac:dyDescent="0.25">
      <c r="A48" s="70"/>
      <c r="B48" s="127"/>
      <c r="C48" s="70"/>
      <c r="D48" s="70"/>
      <c r="E48" s="70"/>
      <c r="F48" s="361"/>
      <c r="G48" s="361"/>
      <c r="H48" s="361"/>
      <c r="I48" s="361"/>
      <c r="J48" s="361"/>
      <c r="K48" s="362"/>
      <c r="L48" s="246"/>
      <c r="M48" s="247"/>
    </row>
    <row r="49" spans="1:13" x14ac:dyDescent="0.25">
      <c r="A49" s="70"/>
      <c r="B49" s="127"/>
      <c r="C49" s="70"/>
      <c r="D49" s="70"/>
      <c r="E49" s="70"/>
      <c r="F49" s="361"/>
      <c r="G49" s="361"/>
      <c r="H49" s="361"/>
      <c r="I49" s="361"/>
      <c r="J49" s="361"/>
      <c r="K49" s="362"/>
      <c r="L49" s="246"/>
      <c r="M49" s="247"/>
    </row>
    <row r="50" spans="1:13" x14ac:dyDescent="0.25">
      <c r="A50" s="70"/>
      <c r="B50" s="127"/>
      <c r="C50" s="70"/>
      <c r="D50" s="70"/>
      <c r="E50" s="70"/>
      <c r="F50" s="361"/>
      <c r="G50" s="361"/>
      <c r="H50" s="361"/>
      <c r="I50" s="361"/>
      <c r="J50" s="361"/>
      <c r="K50" s="362"/>
      <c r="L50" s="246"/>
      <c r="M50" s="247"/>
    </row>
    <row r="51" spans="1:13" x14ac:dyDescent="0.25">
      <c r="A51" s="70"/>
      <c r="B51" s="127"/>
      <c r="C51" s="70"/>
      <c r="D51" s="70"/>
      <c r="E51" s="70"/>
      <c r="F51" s="361"/>
      <c r="G51" s="361"/>
      <c r="H51" s="361"/>
      <c r="I51" s="361"/>
      <c r="J51" s="361"/>
      <c r="K51" s="362"/>
      <c r="L51" s="246"/>
      <c r="M51" s="247"/>
    </row>
    <row r="52" spans="1:13" ht="16.5" thickBot="1" x14ac:dyDescent="0.3">
      <c r="A52" s="70"/>
      <c r="B52" s="369" t="s">
        <v>5</v>
      </c>
      <c r="C52" s="70"/>
      <c r="D52" s="70"/>
      <c r="E52" s="70"/>
      <c r="F52" s="370"/>
      <c r="G52" s="370"/>
      <c r="H52" s="370"/>
      <c r="I52" s="370"/>
      <c r="J52" s="370"/>
      <c r="K52" s="116"/>
      <c r="L52" s="116"/>
      <c r="M52" s="247"/>
    </row>
    <row r="53" spans="1:13" x14ac:dyDescent="0.25">
      <c r="A53" s="371"/>
      <c r="B53" s="372"/>
      <c r="C53" s="372"/>
      <c r="D53" s="372"/>
      <c r="E53" s="372"/>
      <c r="F53" s="373"/>
      <c r="G53" s="373"/>
      <c r="H53" s="373"/>
      <c r="I53" s="373"/>
      <c r="J53" s="373"/>
      <c r="K53" s="373"/>
      <c r="L53" s="373"/>
      <c r="M53" s="374"/>
    </row>
    <row r="54" spans="1:13" x14ac:dyDescent="0.25">
      <c r="A54" s="375"/>
      <c r="B54" s="376"/>
      <c r="C54" s="70"/>
      <c r="D54" s="70"/>
      <c r="E54" s="70"/>
      <c r="F54" s="116"/>
      <c r="G54" s="116"/>
      <c r="H54" s="116"/>
      <c r="I54" s="116"/>
      <c r="J54" s="116"/>
      <c r="K54" s="116"/>
      <c r="L54" s="116"/>
      <c r="M54" s="377"/>
    </row>
    <row r="55" spans="1:13" x14ac:dyDescent="0.25">
      <c r="A55" s="375"/>
      <c r="B55" s="376"/>
      <c r="C55" s="70"/>
      <c r="D55" s="70"/>
      <c r="E55" s="70"/>
      <c r="F55" s="116"/>
      <c r="G55" s="116"/>
      <c r="H55" s="116"/>
      <c r="I55" s="116"/>
      <c r="J55" s="116"/>
      <c r="K55" s="116"/>
      <c r="L55" s="116"/>
      <c r="M55" s="377"/>
    </row>
    <row r="56" spans="1:13" x14ac:dyDescent="0.25">
      <c r="A56" s="375"/>
      <c r="B56" s="376"/>
      <c r="C56" s="70"/>
      <c r="D56" s="70"/>
      <c r="E56" s="70"/>
      <c r="F56" s="116"/>
      <c r="G56" s="116"/>
      <c r="H56" s="116"/>
      <c r="I56" s="116"/>
      <c r="J56" s="116"/>
      <c r="K56" s="116"/>
      <c r="L56" s="116"/>
      <c r="M56" s="377"/>
    </row>
    <row r="57" spans="1:13" x14ac:dyDescent="0.25">
      <c r="A57" s="375"/>
      <c r="B57" s="376"/>
      <c r="C57" s="70"/>
      <c r="D57" s="70"/>
      <c r="E57" s="70"/>
      <c r="F57" s="116"/>
      <c r="G57" s="116"/>
      <c r="H57" s="116"/>
      <c r="I57" s="116"/>
      <c r="J57" s="116"/>
      <c r="K57" s="116"/>
      <c r="L57" s="116"/>
      <c r="M57" s="377"/>
    </row>
    <row r="58" spans="1:13" ht="16.5" thickBot="1" x14ac:dyDescent="0.3">
      <c r="A58" s="378"/>
      <c r="B58" s="379"/>
      <c r="C58" s="379"/>
      <c r="D58" s="379"/>
      <c r="E58" s="379"/>
      <c r="F58" s="380"/>
      <c r="G58" s="380"/>
      <c r="H58" s="380"/>
      <c r="I58" s="380"/>
      <c r="J58" s="380"/>
      <c r="K58" s="380"/>
      <c r="L58" s="380"/>
      <c r="M58" s="381"/>
    </row>
  </sheetData>
  <conditionalFormatting sqref="B12">
    <cfRule type="cellIs" dxfId="14" priority="1" stopIfTrue="1" operator="equal">
      <formula>"Adjustment to Income/Expense/Rate Base:"</formula>
    </cfRule>
  </conditionalFormatting>
  <conditionalFormatting sqref="M2:M4">
    <cfRule type="cellIs" dxfId="13" priority="3" stopIfTrue="1" operator="equal">
      <formula>"x.x"</formula>
    </cfRule>
  </conditionalFormatting>
  <conditionalFormatting sqref="B13:B14">
    <cfRule type="cellIs" dxfId="12" priority="2" stopIfTrue="1" operator="equal">
      <formula>"Title"</formula>
    </cfRule>
  </conditionalFormatting>
  <pageMargins left="0.7" right="0.7" top="0.75" bottom="0.75" header="0.3" footer="0.3"/>
  <pageSetup scale="58"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topLeftCell="A4" workbookViewId="0">
      <selection activeCell="H27" sqref="H27"/>
    </sheetView>
  </sheetViews>
  <sheetFormatPr defaultRowHeight="15.75" x14ac:dyDescent="0.25"/>
  <cols>
    <col min="1" max="1" width="3.5" style="56" customWidth="1"/>
    <col min="2" max="2" width="19.625" style="56" customWidth="1"/>
    <col min="3" max="3" width="6.5" style="56" customWidth="1"/>
    <col min="4" max="4" width="8" style="56" customWidth="1"/>
    <col min="5" max="5" width="4.75" style="56" customWidth="1"/>
    <col min="6" max="6" width="10.5" style="56" customWidth="1"/>
    <col min="7" max="7" width="11.125" style="56" customWidth="1"/>
    <col min="8" max="8" width="10.875" style="56" customWidth="1"/>
    <col min="9" max="9" width="10" style="56" customWidth="1"/>
    <col min="10" max="10" width="6.625" style="56" customWidth="1"/>
    <col min="11" max="11" width="8.25" style="56" customWidth="1"/>
    <col min="12" max="12" width="12.125" style="56" customWidth="1"/>
    <col min="13" max="13" width="5.25" style="56" customWidth="1"/>
    <col min="14" max="16384" width="9" style="56"/>
  </cols>
  <sheetData>
    <row r="1" spans="2:13" x14ac:dyDescent="0.25">
      <c r="B1" s="487" t="s">
        <v>392</v>
      </c>
      <c r="D1" s="57"/>
      <c r="E1" s="57"/>
      <c r="F1" s="57"/>
      <c r="G1" s="57"/>
      <c r="H1" s="57"/>
      <c r="I1" s="57"/>
      <c r="J1" s="57"/>
      <c r="K1" s="57"/>
      <c r="L1" s="334" t="s">
        <v>275</v>
      </c>
    </row>
    <row r="2" spans="2:13" x14ac:dyDescent="0.25">
      <c r="B2" t="s">
        <v>696</v>
      </c>
      <c r="D2" s="57"/>
      <c r="E2" s="57"/>
      <c r="F2" s="57"/>
      <c r="G2" s="57"/>
      <c r="H2" s="57"/>
      <c r="I2" s="57"/>
      <c r="J2" s="57"/>
      <c r="K2" s="57"/>
      <c r="L2" s="334" t="s">
        <v>189</v>
      </c>
      <c r="M2" s="247"/>
    </row>
    <row r="3" spans="2:13" x14ac:dyDescent="0.25">
      <c r="B3" s="56" t="s">
        <v>273</v>
      </c>
      <c r="D3" s="57"/>
      <c r="E3" s="57"/>
      <c r="F3" s="388"/>
      <c r="G3" s="388"/>
      <c r="H3" s="388"/>
      <c r="I3" s="388"/>
      <c r="J3" s="57"/>
      <c r="K3" s="57"/>
      <c r="L3" s="521" t="s">
        <v>748</v>
      </c>
      <c r="M3" s="247"/>
    </row>
    <row r="4" spans="2:13" x14ac:dyDescent="0.25">
      <c r="B4" s="502"/>
      <c r="D4" s="57"/>
      <c r="E4" s="57"/>
      <c r="F4" s="388"/>
      <c r="G4" s="388"/>
      <c r="H4" s="388"/>
      <c r="I4" s="388"/>
      <c r="J4" s="57"/>
      <c r="K4" s="57"/>
      <c r="L4" s="334" t="s">
        <v>739</v>
      </c>
      <c r="M4" s="247"/>
    </row>
    <row r="5" spans="2:13" x14ac:dyDescent="0.25">
      <c r="B5" s="503" t="s">
        <v>585</v>
      </c>
      <c r="D5" s="57"/>
      <c r="E5" s="57"/>
      <c r="F5" s="388"/>
      <c r="G5" s="388"/>
      <c r="H5" s="388"/>
      <c r="I5" s="388"/>
      <c r="J5" s="57"/>
      <c r="K5" s="57"/>
      <c r="L5" s="57"/>
      <c r="M5" s="247"/>
    </row>
    <row r="6" spans="2:13" x14ac:dyDescent="0.25">
      <c r="D6" s="57"/>
      <c r="E6" s="57"/>
      <c r="F6" s="388"/>
      <c r="G6" s="388"/>
      <c r="H6" s="388"/>
      <c r="I6" s="388"/>
      <c r="J6" s="57"/>
      <c r="K6" s="57"/>
      <c r="L6" s="57"/>
      <c r="M6" s="247"/>
    </row>
    <row r="7" spans="2:13" x14ac:dyDescent="0.25">
      <c r="B7" s="389"/>
      <c r="D7" s="57"/>
      <c r="E7" s="57"/>
      <c r="F7" s="390"/>
      <c r="G7" s="390"/>
      <c r="H7" s="390"/>
      <c r="I7" s="390"/>
      <c r="J7" s="57"/>
      <c r="K7" s="57"/>
      <c r="L7" s="57"/>
      <c r="M7" s="247"/>
    </row>
    <row r="8" spans="2:13" x14ac:dyDescent="0.25">
      <c r="D8" s="22"/>
      <c r="E8" s="22"/>
      <c r="F8" s="22"/>
      <c r="G8" s="68"/>
      <c r="H8" s="22" t="s">
        <v>4</v>
      </c>
      <c r="I8" s="68"/>
      <c r="J8" s="68"/>
      <c r="K8" s="22"/>
      <c r="L8" s="22"/>
      <c r="M8" s="247"/>
    </row>
    <row r="9" spans="2:13" x14ac:dyDescent="0.25">
      <c r="D9" s="22"/>
      <c r="E9" s="22"/>
      <c r="F9" s="22"/>
      <c r="G9" s="22" t="s">
        <v>4</v>
      </c>
      <c r="H9" s="22" t="s">
        <v>6</v>
      </c>
      <c r="I9" s="68"/>
      <c r="J9" s="68"/>
      <c r="K9" s="22"/>
      <c r="L9" s="22"/>
      <c r="M9" s="247"/>
    </row>
    <row r="10" spans="2:13" x14ac:dyDescent="0.25">
      <c r="D10" s="68"/>
      <c r="E10" s="68"/>
      <c r="F10" s="22" t="s">
        <v>477</v>
      </c>
      <c r="G10" s="22" t="s">
        <v>6</v>
      </c>
      <c r="H10" s="22" t="s">
        <v>553</v>
      </c>
      <c r="I10" s="22" t="s">
        <v>542</v>
      </c>
      <c r="J10" s="22"/>
      <c r="K10" s="22"/>
      <c r="L10" s="514" t="s">
        <v>478</v>
      </c>
      <c r="M10" s="358"/>
    </row>
    <row r="11" spans="2:13" x14ac:dyDescent="0.25">
      <c r="C11" s="70"/>
      <c r="D11" s="97" t="s">
        <v>71</v>
      </c>
      <c r="E11" s="97" t="s">
        <v>480</v>
      </c>
      <c r="F11" s="97" t="s">
        <v>481</v>
      </c>
      <c r="G11" s="515" t="s">
        <v>553</v>
      </c>
      <c r="H11" s="515" t="s">
        <v>554</v>
      </c>
      <c r="I11" s="97" t="s">
        <v>545</v>
      </c>
      <c r="J11" s="97" t="s">
        <v>7</v>
      </c>
      <c r="K11" s="97" t="s">
        <v>483</v>
      </c>
      <c r="L11" s="97" t="s">
        <v>484</v>
      </c>
      <c r="M11" s="247"/>
    </row>
    <row r="12" spans="2:13" x14ac:dyDescent="0.25">
      <c r="D12" s="68"/>
      <c r="E12" s="68"/>
      <c r="F12" s="22" t="s">
        <v>507</v>
      </c>
      <c r="G12" s="22" t="s">
        <v>509</v>
      </c>
      <c r="H12" s="22" t="s">
        <v>509</v>
      </c>
      <c r="I12" s="68"/>
      <c r="J12" s="68"/>
      <c r="K12" s="97"/>
      <c r="L12" s="97"/>
    </row>
    <row r="13" spans="2:13" x14ac:dyDescent="0.25">
      <c r="D13" s="68"/>
      <c r="E13" s="68"/>
      <c r="F13" s="22"/>
      <c r="G13" s="516" t="s">
        <v>556</v>
      </c>
      <c r="H13" s="516" t="s">
        <v>557</v>
      </c>
      <c r="I13" s="68"/>
      <c r="J13" s="68"/>
      <c r="K13" s="97"/>
      <c r="L13" s="97"/>
    </row>
    <row r="14" spans="2:13" x14ac:dyDescent="0.25">
      <c r="B14" s="364" t="s">
        <v>532</v>
      </c>
    </row>
    <row r="15" spans="2:13" x14ac:dyDescent="0.25">
      <c r="B15" s="56" t="s">
        <v>586</v>
      </c>
      <c r="D15" s="57">
        <v>41110</v>
      </c>
      <c r="E15" s="57" t="s">
        <v>486</v>
      </c>
      <c r="F15" s="32">
        <v>-77895</v>
      </c>
      <c r="G15" s="32">
        <v>-54571</v>
      </c>
      <c r="H15" s="32">
        <v>-71221</v>
      </c>
      <c r="I15" s="32">
        <v>-71221</v>
      </c>
      <c r="J15" s="161" t="s">
        <v>504</v>
      </c>
      <c r="K15" s="161" t="s">
        <v>505</v>
      </c>
      <c r="L15" s="32">
        <f>I15</f>
        <v>-71221</v>
      </c>
    </row>
    <row r="16" spans="2:13" x14ac:dyDescent="0.25">
      <c r="D16" s="57"/>
      <c r="E16" s="57"/>
      <c r="F16" s="32"/>
      <c r="G16" s="32"/>
      <c r="H16" s="32"/>
      <c r="I16" s="32"/>
      <c r="J16" s="161"/>
      <c r="K16" s="161"/>
      <c r="L16" s="32"/>
    </row>
    <row r="17" spans="2:14" x14ac:dyDescent="0.25">
      <c r="B17" s="56" t="s">
        <v>587</v>
      </c>
      <c r="D17" s="57">
        <v>283</v>
      </c>
      <c r="E17" s="57" t="s">
        <v>486</v>
      </c>
      <c r="F17" s="32">
        <v>-78</v>
      </c>
      <c r="G17" s="32">
        <v>-78</v>
      </c>
      <c r="H17" s="32">
        <v>-78</v>
      </c>
      <c r="I17" s="32">
        <v>-78</v>
      </c>
      <c r="J17" s="161" t="s">
        <v>504</v>
      </c>
      <c r="K17" s="161" t="s">
        <v>505</v>
      </c>
      <c r="L17" s="32">
        <f>I17</f>
        <v>-78</v>
      </c>
    </row>
    <row r="18" spans="2:14" x14ac:dyDescent="0.25">
      <c r="D18" s="57"/>
      <c r="E18" s="57"/>
      <c r="F18" s="32"/>
      <c r="G18" s="32"/>
      <c r="H18" s="32"/>
      <c r="I18" s="32"/>
      <c r="J18" s="32"/>
      <c r="K18" s="32"/>
      <c r="L18" s="32"/>
    </row>
    <row r="19" spans="2:14" x14ac:dyDescent="0.25">
      <c r="F19" s="32"/>
      <c r="G19" s="32"/>
      <c r="H19" s="32"/>
      <c r="I19" s="32"/>
      <c r="J19" s="32"/>
      <c r="K19" s="32"/>
      <c r="L19" s="32"/>
    </row>
    <row r="32" spans="2:14" x14ac:dyDescent="0.25">
      <c r="B32" s="386" t="s">
        <v>5</v>
      </c>
      <c r="D32" s="384"/>
      <c r="E32" s="385"/>
      <c r="F32" s="385"/>
      <c r="G32" s="385"/>
      <c r="H32" s="385"/>
      <c r="I32" s="385"/>
      <c r="J32" s="385"/>
      <c r="K32" s="385"/>
      <c r="L32" s="385"/>
      <c r="M32" s="385"/>
      <c r="N32" s="383"/>
    </row>
    <row r="33" spans="2:11" x14ac:dyDescent="0.25">
      <c r="B33" s="468" t="s">
        <v>588</v>
      </c>
      <c r="C33" s="456"/>
      <c r="D33" s="456"/>
      <c r="E33" s="456"/>
      <c r="F33" s="456"/>
      <c r="G33" s="456"/>
      <c r="H33" s="456"/>
      <c r="I33" s="456"/>
      <c r="J33" s="456"/>
      <c r="K33" s="457"/>
    </row>
    <row r="34" spans="2:11" x14ac:dyDescent="0.25">
      <c r="B34" s="522"/>
      <c r="C34" s="459"/>
      <c r="D34" s="459"/>
      <c r="E34" s="459"/>
      <c r="F34" s="459"/>
      <c r="G34" s="459"/>
      <c r="H34" s="459"/>
      <c r="I34" s="459"/>
      <c r="J34" s="459"/>
      <c r="K34" s="460"/>
    </row>
    <row r="35" spans="2:11" x14ac:dyDescent="0.25">
      <c r="B35" s="458"/>
      <c r="C35" s="459"/>
      <c r="D35" s="459"/>
      <c r="E35" s="459"/>
      <c r="F35" s="459"/>
      <c r="G35" s="459"/>
      <c r="H35" s="459"/>
      <c r="I35" s="459"/>
      <c r="J35" s="459"/>
      <c r="K35" s="460"/>
    </row>
    <row r="36" spans="2:11" x14ac:dyDescent="0.25">
      <c r="B36" s="458"/>
      <c r="C36" s="459"/>
      <c r="D36" s="459"/>
      <c r="E36" s="459"/>
      <c r="F36" s="459"/>
      <c r="G36" s="459"/>
      <c r="H36" s="459"/>
      <c r="I36" s="459"/>
      <c r="J36" s="459"/>
      <c r="K36" s="460"/>
    </row>
    <row r="37" spans="2:11" x14ac:dyDescent="0.25">
      <c r="B37" s="458"/>
      <c r="C37" s="459"/>
      <c r="D37" s="459"/>
      <c r="E37" s="459"/>
      <c r="F37" s="459"/>
      <c r="G37" s="459"/>
      <c r="H37" s="459"/>
      <c r="I37" s="459"/>
      <c r="J37" s="459"/>
      <c r="K37" s="460"/>
    </row>
    <row r="38" spans="2:11" x14ac:dyDescent="0.25">
      <c r="B38" s="458"/>
      <c r="C38" s="459"/>
      <c r="D38" s="459"/>
      <c r="E38" s="459"/>
      <c r="F38" s="459"/>
      <c r="G38" s="459"/>
      <c r="H38" s="459"/>
      <c r="I38" s="459"/>
      <c r="J38" s="459"/>
      <c r="K38" s="460"/>
    </row>
    <row r="39" spans="2:11" x14ac:dyDescent="0.25">
      <c r="B39" s="458"/>
      <c r="C39" s="459"/>
      <c r="D39" s="459"/>
      <c r="E39" s="459"/>
      <c r="F39" s="459"/>
      <c r="G39" s="459"/>
      <c r="H39" s="459"/>
      <c r="I39" s="459"/>
      <c r="J39" s="459"/>
      <c r="K39" s="460"/>
    </row>
    <row r="40" spans="2:11" x14ac:dyDescent="0.25">
      <c r="B40" s="465"/>
      <c r="C40" s="466"/>
      <c r="D40" s="466"/>
      <c r="E40" s="466"/>
      <c r="F40" s="466"/>
      <c r="G40" s="466"/>
      <c r="H40" s="466"/>
      <c r="I40" s="466"/>
      <c r="J40" s="466"/>
      <c r="K40" s="467"/>
    </row>
  </sheetData>
  <mergeCells count="1">
    <mergeCell ref="B33:K40"/>
  </mergeCells>
  <conditionalFormatting sqref="B14">
    <cfRule type="cellIs" dxfId="11" priority="1" stopIfTrue="1" operator="equal">
      <formula>"Adjustment to Income/Expense/Rate Base:"</formula>
    </cfRule>
  </conditionalFormatting>
  <conditionalFormatting sqref="M2">
    <cfRule type="cellIs" dxfId="10" priority="2" stopIfTrue="1" operator="equal">
      <formula>"x.x"</formula>
    </cfRule>
  </conditionalFormatting>
  <pageMargins left="0.7" right="0.7" top="0.75" bottom="0.75" header="0.3" footer="0.3"/>
  <pageSetup scale="75"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workbookViewId="0">
      <selection activeCell="K3" sqref="K3"/>
    </sheetView>
  </sheetViews>
  <sheetFormatPr defaultRowHeight="15.75" x14ac:dyDescent="0.25"/>
  <cols>
    <col min="1" max="1" width="2" style="56" customWidth="1"/>
    <col min="2" max="2" width="6.25" style="56" customWidth="1"/>
    <col min="3" max="3" width="27" style="56" customWidth="1"/>
    <col min="4" max="4" width="7.875" style="56" customWidth="1"/>
    <col min="5" max="5" width="5.625" style="56" customWidth="1"/>
    <col min="6" max="6" width="13.375" style="56" customWidth="1"/>
    <col min="7" max="7" width="13" style="56" customWidth="1"/>
    <col min="8" max="8" width="13.625" style="56" customWidth="1"/>
    <col min="9" max="9" width="7.625" style="56" customWidth="1"/>
    <col min="10" max="10" width="9.75" style="56" customWidth="1"/>
    <col min="11" max="11" width="13.875" style="56" customWidth="1"/>
    <col min="12" max="16384" width="9" style="56"/>
  </cols>
  <sheetData>
    <row r="1" spans="2:11" x14ac:dyDescent="0.25">
      <c r="B1" s="487" t="s">
        <v>392</v>
      </c>
      <c r="D1" s="57"/>
      <c r="E1" s="57"/>
      <c r="F1" s="57"/>
      <c r="G1" s="57"/>
      <c r="H1" s="57"/>
      <c r="I1" s="57"/>
      <c r="J1" s="57"/>
      <c r="K1" s="334" t="s">
        <v>275</v>
      </c>
    </row>
    <row r="2" spans="2:11" x14ac:dyDescent="0.25">
      <c r="B2" t="s">
        <v>697</v>
      </c>
      <c r="D2" s="57"/>
      <c r="E2" s="57"/>
      <c r="F2" s="57"/>
      <c r="G2" s="57"/>
      <c r="H2" s="57"/>
      <c r="I2" s="57"/>
      <c r="J2" s="57"/>
      <c r="K2" s="334" t="s">
        <v>189</v>
      </c>
    </row>
    <row r="3" spans="2:11" x14ac:dyDescent="0.25">
      <c r="B3" s="56" t="s">
        <v>273</v>
      </c>
      <c r="D3" s="57"/>
      <c r="E3" s="57"/>
      <c r="F3" s="57"/>
      <c r="G3" s="57"/>
      <c r="H3" s="57"/>
      <c r="I3" s="57"/>
      <c r="J3" s="57"/>
      <c r="K3" s="521" t="s">
        <v>748</v>
      </c>
    </row>
    <row r="4" spans="2:11" x14ac:dyDescent="0.25">
      <c r="B4" s="502"/>
      <c r="D4" s="57"/>
      <c r="E4" s="57"/>
      <c r="F4" s="57"/>
      <c r="G4" s="57"/>
      <c r="H4" s="57"/>
      <c r="I4" s="57"/>
      <c r="J4" s="57"/>
      <c r="K4" s="334" t="s">
        <v>740</v>
      </c>
    </row>
    <row r="5" spans="2:11" x14ac:dyDescent="0.25">
      <c r="B5" s="503" t="s">
        <v>594</v>
      </c>
      <c r="D5" s="57"/>
      <c r="E5" s="57"/>
      <c r="F5" s="57"/>
      <c r="G5" s="57"/>
      <c r="H5" s="57"/>
      <c r="I5" s="57"/>
      <c r="J5" s="57"/>
      <c r="K5" s="57"/>
    </row>
    <row r="6" spans="2:11" x14ac:dyDescent="0.25">
      <c r="D6" s="22"/>
      <c r="E6" s="22"/>
      <c r="F6" s="22" t="s">
        <v>4</v>
      </c>
      <c r="G6" s="22" t="s">
        <v>4</v>
      </c>
      <c r="H6" s="22"/>
      <c r="I6" s="22"/>
      <c r="J6" s="22"/>
      <c r="K6" s="22"/>
    </row>
    <row r="7" spans="2:11" x14ac:dyDescent="0.25">
      <c r="D7" s="22"/>
      <c r="E7" s="22"/>
      <c r="F7" s="22" t="s">
        <v>6</v>
      </c>
      <c r="G7" s="22" t="s">
        <v>6</v>
      </c>
      <c r="H7" s="22" t="s">
        <v>542</v>
      </c>
      <c r="I7" s="22"/>
      <c r="J7" s="22"/>
      <c r="K7" s="22" t="s">
        <v>478</v>
      </c>
    </row>
    <row r="8" spans="2:11" x14ac:dyDescent="0.25">
      <c r="D8" s="97" t="s">
        <v>479</v>
      </c>
      <c r="E8" s="97" t="s">
        <v>480</v>
      </c>
      <c r="F8" s="515" t="s">
        <v>333</v>
      </c>
      <c r="G8" s="515" t="s">
        <v>595</v>
      </c>
      <c r="H8" s="97" t="s">
        <v>545</v>
      </c>
      <c r="I8" s="97" t="s">
        <v>482</v>
      </c>
      <c r="J8" s="97" t="s">
        <v>483</v>
      </c>
      <c r="K8" s="97" t="s">
        <v>484</v>
      </c>
    </row>
    <row r="9" spans="2:11" x14ac:dyDescent="0.25">
      <c r="D9" s="97"/>
      <c r="E9" s="97"/>
      <c r="F9" s="353" t="s">
        <v>507</v>
      </c>
      <c r="G9" s="22" t="s">
        <v>509</v>
      </c>
      <c r="H9" s="97"/>
      <c r="I9" s="97"/>
      <c r="J9" s="97"/>
      <c r="K9" s="97"/>
    </row>
    <row r="10" spans="2:11" x14ac:dyDescent="0.25">
      <c r="D10" s="97"/>
      <c r="E10" s="97"/>
      <c r="F10" s="353"/>
      <c r="G10" s="516" t="s">
        <v>557</v>
      </c>
      <c r="H10" s="97"/>
      <c r="I10" s="97"/>
      <c r="J10" s="97"/>
      <c r="K10" s="97"/>
    </row>
    <row r="11" spans="2:11" x14ac:dyDescent="0.25">
      <c r="B11" s="359" t="s">
        <v>193</v>
      </c>
      <c r="C11" s="70"/>
      <c r="D11" s="116"/>
      <c r="E11" s="116"/>
      <c r="F11" s="116"/>
      <c r="H11" s="116"/>
      <c r="I11" s="116"/>
      <c r="J11" s="116"/>
      <c r="K11" s="360"/>
    </row>
    <row r="12" spans="2:11" x14ac:dyDescent="0.25">
      <c r="B12" s="393" t="s">
        <v>589</v>
      </c>
      <c r="C12" s="70"/>
      <c r="D12" s="57">
        <v>399</v>
      </c>
      <c r="E12" s="57" t="s">
        <v>486</v>
      </c>
      <c r="F12" s="32">
        <v>315208394</v>
      </c>
      <c r="G12" s="32">
        <v>315208394</v>
      </c>
      <c r="H12" s="32">
        <v>315208394</v>
      </c>
      <c r="I12" s="394" t="s">
        <v>577</v>
      </c>
      <c r="J12" s="395">
        <v>0.22730931045735822</v>
      </c>
      <c r="K12" s="360">
        <f>H12*J12</f>
        <v>71649802.690511286</v>
      </c>
    </row>
    <row r="13" spans="2:11" x14ac:dyDescent="0.25">
      <c r="B13" s="393" t="s">
        <v>590</v>
      </c>
      <c r="C13" s="70"/>
      <c r="D13" s="57" t="s">
        <v>608</v>
      </c>
      <c r="E13" s="57" t="s">
        <v>486</v>
      </c>
      <c r="F13" s="32">
        <v>748649</v>
      </c>
      <c r="G13" s="32">
        <v>748649</v>
      </c>
      <c r="H13" s="32">
        <v>748649</v>
      </c>
      <c r="I13" s="394" t="s">
        <v>577</v>
      </c>
      <c r="J13" s="395">
        <v>0.22730931045735822</v>
      </c>
      <c r="K13" s="360">
        <f t="shared" ref="K13:K20" si="0">H13*J13</f>
        <v>170174.88796459077</v>
      </c>
    </row>
    <row r="14" spans="2:11" x14ac:dyDescent="0.25">
      <c r="B14" s="393" t="s">
        <v>591</v>
      </c>
      <c r="C14" s="70"/>
      <c r="D14" s="57" t="s">
        <v>609</v>
      </c>
      <c r="E14" s="57" t="s">
        <v>486</v>
      </c>
      <c r="F14" s="33">
        <v>-188394185</v>
      </c>
      <c r="G14" s="33">
        <v>-188394185</v>
      </c>
      <c r="H14" s="33">
        <v>-188394185</v>
      </c>
      <c r="I14" s="394" t="s">
        <v>577</v>
      </c>
      <c r="J14" s="395">
        <v>0.22730931045735822</v>
      </c>
      <c r="K14" s="360">
        <f t="shared" si="0"/>
        <v>-42823752.28652598</v>
      </c>
    </row>
    <row r="15" spans="2:11" x14ac:dyDescent="0.25">
      <c r="B15" s="396" t="s">
        <v>592</v>
      </c>
      <c r="C15" s="70"/>
      <c r="D15" s="57"/>
      <c r="E15" s="57"/>
      <c r="F15" s="35">
        <f>SUM(F12:F14)</f>
        <v>127562858</v>
      </c>
      <c r="G15" s="35">
        <f>SUM(G12:G14)</f>
        <v>127562858</v>
      </c>
      <c r="H15" s="35">
        <f>SUM(H12:H14)</f>
        <v>127562858</v>
      </c>
      <c r="I15" s="394"/>
      <c r="J15" s="397"/>
      <c r="K15" s="367">
        <f>SUM(K12:K14)</f>
        <v>28996225.291949898</v>
      </c>
    </row>
    <row r="16" spans="2:11" x14ac:dyDescent="0.25">
      <c r="C16" s="70"/>
      <c r="D16" s="57"/>
      <c r="E16" s="57"/>
      <c r="F16" s="32"/>
      <c r="G16" s="32"/>
      <c r="H16" s="361"/>
      <c r="I16" s="394"/>
      <c r="J16" s="397"/>
      <c r="K16" s="360"/>
    </row>
    <row r="17" spans="2:11" x14ac:dyDescent="0.25">
      <c r="B17" s="369" t="s">
        <v>593</v>
      </c>
      <c r="C17" s="70"/>
      <c r="D17" s="57"/>
      <c r="E17" s="57"/>
      <c r="F17" s="32"/>
      <c r="G17" s="32"/>
      <c r="H17" s="361"/>
      <c r="I17" s="394"/>
      <c r="J17" s="397"/>
      <c r="K17" s="360"/>
    </row>
    <row r="18" spans="2:11" x14ac:dyDescent="0.25">
      <c r="B18" s="393" t="s">
        <v>589</v>
      </c>
      <c r="C18" s="70"/>
      <c r="D18" s="57">
        <v>399</v>
      </c>
      <c r="E18" s="57" t="s">
        <v>486</v>
      </c>
      <c r="F18" s="32">
        <v>3720536</v>
      </c>
      <c r="G18" s="32">
        <v>0</v>
      </c>
      <c r="H18" s="32">
        <v>0</v>
      </c>
      <c r="I18" s="394" t="s">
        <v>577</v>
      </c>
      <c r="J18" s="395">
        <v>0.22730931045735822</v>
      </c>
      <c r="K18" s="32">
        <f t="shared" si="0"/>
        <v>0</v>
      </c>
    </row>
    <row r="19" spans="2:11" x14ac:dyDescent="0.25">
      <c r="B19" s="393" t="s">
        <v>590</v>
      </c>
      <c r="C19" s="70"/>
      <c r="D19" s="57" t="s">
        <v>608</v>
      </c>
      <c r="E19" s="57" t="s">
        <v>486</v>
      </c>
      <c r="F19" s="32">
        <v>-398400</v>
      </c>
      <c r="G19" s="32">
        <v>0</v>
      </c>
      <c r="H19" s="32">
        <v>0</v>
      </c>
      <c r="I19" s="394" t="s">
        <v>577</v>
      </c>
      <c r="J19" s="395">
        <v>0.22730931045735822</v>
      </c>
      <c r="K19" s="32">
        <f t="shared" si="0"/>
        <v>0</v>
      </c>
    </row>
    <row r="20" spans="2:11" x14ac:dyDescent="0.25">
      <c r="B20" s="393" t="s">
        <v>591</v>
      </c>
      <c r="C20" s="70"/>
      <c r="D20" s="57" t="s">
        <v>609</v>
      </c>
      <c r="E20" s="57" t="s">
        <v>486</v>
      </c>
      <c r="F20" s="33">
        <v>-8415227</v>
      </c>
      <c r="G20" s="33">
        <v>0</v>
      </c>
      <c r="H20" s="33">
        <v>0</v>
      </c>
      <c r="I20" s="394" t="s">
        <v>577</v>
      </c>
      <c r="J20" s="395">
        <v>0.22730931045735822</v>
      </c>
      <c r="K20" s="32">
        <f t="shared" si="0"/>
        <v>0</v>
      </c>
    </row>
    <row r="21" spans="2:11" x14ac:dyDescent="0.25">
      <c r="B21" s="369"/>
      <c r="C21" s="70"/>
      <c r="D21" s="57"/>
      <c r="E21" s="57"/>
      <c r="F21" s="35">
        <f>SUM(F18:F20)</f>
        <v>-5093091</v>
      </c>
      <c r="G21" s="35">
        <f>SUM(G18:G20)</f>
        <v>0</v>
      </c>
      <c r="H21" s="35">
        <f>SUM(H18:H20)</f>
        <v>0</v>
      </c>
      <c r="I21" s="398"/>
      <c r="J21" s="397"/>
      <c r="K21" s="35">
        <f>SUM(K18:K20)</f>
        <v>0</v>
      </c>
    </row>
    <row r="22" spans="2:11" x14ac:dyDescent="0.25">
      <c r="H22" s="363"/>
      <c r="I22" s="398"/>
      <c r="J22" s="397"/>
      <c r="K22" s="360"/>
    </row>
    <row r="28" spans="2:11" ht="16.5" thickBot="1" x14ac:dyDescent="0.3">
      <c r="B28" s="216"/>
      <c r="C28" s="352" t="s">
        <v>5</v>
      </c>
      <c r="D28" s="216"/>
      <c r="E28" s="350"/>
      <c r="F28" s="350"/>
      <c r="G28" s="351"/>
      <c r="H28" s="391"/>
      <c r="I28" s="399"/>
      <c r="J28" s="400"/>
      <c r="K28" s="217"/>
    </row>
    <row r="29" spans="2:11" x14ac:dyDescent="0.25">
      <c r="B29" s="469" t="s">
        <v>596</v>
      </c>
      <c r="C29" s="470"/>
      <c r="D29" s="470"/>
      <c r="E29" s="470"/>
      <c r="F29" s="470"/>
      <c r="G29" s="470"/>
      <c r="H29" s="470"/>
      <c r="I29" s="470"/>
      <c r="J29" s="470"/>
      <c r="K29" s="471"/>
    </row>
    <row r="30" spans="2:11" x14ac:dyDescent="0.25">
      <c r="B30" s="472"/>
      <c r="C30" s="473"/>
      <c r="D30" s="473"/>
      <c r="E30" s="473"/>
      <c r="F30" s="473"/>
      <c r="G30" s="473"/>
      <c r="H30" s="473"/>
      <c r="I30" s="473"/>
      <c r="J30" s="473"/>
      <c r="K30" s="474"/>
    </row>
    <row r="31" spans="2:11" x14ac:dyDescent="0.25">
      <c r="B31" s="472"/>
      <c r="C31" s="473"/>
      <c r="D31" s="473"/>
      <c r="E31" s="473"/>
      <c r="F31" s="473"/>
      <c r="G31" s="473"/>
      <c r="H31" s="473"/>
      <c r="I31" s="473"/>
      <c r="J31" s="473"/>
      <c r="K31" s="474"/>
    </row>
    <row r="32" spans="2:11" x14ac:dyDescent="0.25">
      <c r="B32" s="472"/>
      <c r="C32" s="473"/>
      <c r="D32" s="473"/>
      <c r="E32" s="473"/>
      <c r="F32" s="473"/>
      <c r="G32" s="473"/>
      <c r="H32" s="473"/>
      <c r="I32" s="473"/>
      <c r="J32" s="473"/>
      <c r="K32" s="474"/>
    </row>
    <row r="33" spans="2:11" x14ac:dyDescent="0.25">
      <c r="B33" s="472"/>
      <c r="C33" s="473"/>
      <c r="D33" s="473"/>
      <c r="E33" s="473"/>
      <c r="F33" s="473"/>
      <c r="G33" s="473"/>
      <c r="H33" s="473"/>
      <c r="I33" s="473"/>
      <c r="J33" s="473"/>
      <c r="K33" s="474"/>
    </row>
    <row r="34" spans="2:11" x14ac:dyDescent="0.25">
      <c r="B34" s="472"/>
      <c r="C34" s="473"/>
      <c r="D34" s="473"/>
      <c r="E34" s="473"/>
      <c r="F34" s="473"/>
      <c r="G34" s="473"/>
      <c r="H34" s="473"/>
      <c r="I34" s="473"/>
      <c r="J34" s="473"/>
      <c r="K34" s="474"/>
    </row>
    <row r="35" spans="2:11" x14ac:dyDescent="0.25">
      <c r="B35" s="472"/>
      <c r="C35" s="473"/>
      <c r="D35" s="473"/>
      <c r="E35" s="473"/>
      <c r="F35" s="473"/>
      <c r="G35" s="473"/>
      <c r="H35" s="473"/>
      <c r="I35" s="473"/>
      <c r="J35" s="473"/>
      <c r="K35" s="474"/>
    </row>
    <row r="36" spans="2:11" ht="16.5" thickBot="1" x14ac:dyDescent="0.3">
      <c r="B36" s="475"/>
      <c r="C36" s="476"/>
      <c r="D36" s="476"/>
      <c r="E36" s="476"/>
      <c r="F36" s="476"/>
      <c r="G36" s="476"/>
      <c r="H36" s="476"/>
      <c r="I36" s="476"/>
      <c r="J36" s="476"/>
      <c r="K36" s="477"/>
    </row>
    <row r="37" spans="2:11" x14ac:dyDescent="0.25">
      <c r="B37" s="216"/>
      <c r="C37" s="216"/>
      <c r="D37" s="216"/>
      <c r="E37" s="350"/>
      <c r="F37" s="350"/>
      <c r="G37" s="350"/>
      <c r="H37" s="350"/>
      <c r="I37" s="350"/>
      <c r="J37" s="350"/>
      <c r="K37" s="350"/>
    </row>
    <row r="38" spans="2:11" x14ac:dyDescent="0.25">
      <c r="B38" s="349"/>
      <c r="C38" s="349"/>
      <c r="D38" s="349"/>
      <c r="E38" s="349"/>
      <c r="F38" s="349"/>
      <c r="G38" s="349"/>
      <c r="H38" s="349"/>
      <c r="I38" s="349"/>
      <c r="J38" s="349"/>
      <c r="K38" s="349"/>
    </row>
  </sheetData>
  <mergeCells count="1">
    <mergeCell ref="B29:K36"/>
  </mergeCells>
  <conditionalFormatting sqref="B11">
    <cfRule type="cellIs" dxfId="9" priority="2" stopIfTrue="1" operator="equal">
      <formula>"Adjustment to Income/Expense/Rate Base:"</formula>
    </cfRule>
  </conditionalFormatting>
  <conditionalFormatting sqref="B12:B14 B16 B18:B20">
    <cfRule type="cellIs" dxfId="8" priority="1" stopIfTrue="1" operator="equal">
      <formula>"Title"</formula>
    </cfRule>
  </conditionalFormatting>
  <dataValidations disablePrompts="1" count="4">
    <dataValidation type="list" errorStyle="warning" allowBlank="1" showInputMessage="1" showErrorMessage="1" errorTitle="Factor" error="This factor is not included in the drop-down list. Is this the factor you want to use?" sqref="I12:I22">
      <formula1>$I$66:$I$157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28">
      <formula1>"1, 2, 3"</formula1>
    </dataValidation>
    <dataValidation type="list" errorStyle="warning" allowBlank="1" showInputMessage="1" showErrorMessage="1" errorTitle="Factor" error="This factor is not included in the drop-down list. Is this the factor you want to use?" sqref="H28">
      <formula1>$G$64:$G$155</formula1>
    </dataValidation>
    <dataValidation type="list" errorStyle="warning" allowBlank="1" showInputMessage="1" showErrorMessage="1" errorTitle="FERC ACCOUNT" error="This FERC Account is not included in the drop-down list. Is this the account you want to use?" sqref="E28">
      <formula1>$D$64:$D$398</formula1>
    </dataValidation>
  </dataValidations>
  <pageMargins left="0.7" right="0.7" top="0.75" bottom="0.75" header="0.3" footer="0.3"/>
  <pageSetup scale="70"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opLeftCell="A37" workbookViewId="0">
      <selection activeCell="G70" sqref="G70"/>
    </sheetView>
  </sheetViews>
  <sheetFormatPr defaultRowHeight="15.75" x14ac:dyDescent="0.25"/>
  <cols>
    <col min="1" max="1" width="2" customWidth="1"/>
    <col min="2" max="2" width="6.25" customWidth="1"/>
    <col min="3" max="3" width="28.375" customWidth="1"/>
    <col min="4" max="4" width="8.375" customWidth="1"/>
    <col min="5" max="5" width="5.875" customWidth="1"/>
    <col min="6" max="6" width="12.75" customWidth="1"/>
    <col min="7" max="7" width="13" customWidth="1"/>
    <col min="8" max="8" width="12.625" customWidth="1"/>
    <col min="9" max="9" width="7.25" customWidth="1"/>
    <col min="10" max="10" width="10" customWidth="1"/>
    <col min="11" max="11" width="13.25" customWidth="1"/>
    <col min="13" max="13" width="10.125" bestFit="1" customWidth="1"/>
  </cols>
  <sheetData>
    <row r="1" spans="1:11" x14ac:dyDescent="0.25">
      <c r="A1" s="56"/>
      <c r="B1" s="487" t="s">
        <v>392</v>
      </c>
      <c r="C1" s="56"/>
      <c r="D1" s="57"/>
      <c r="E1" s="57"/>
      <c r="F1" s="57"/>
      <c r="G1" s="57"/>
      <c r="H1" s="57"/>
      <c r="I1" s="57"/>
      <c r="J1" s="57"/>
      <c r="K1" s="334" t="s">
        <v>275</v>
      </c>
    </row>
    <row r="2" spans="1:11" x14ac:dyDescent="0.25">
      <c r="A2" s="56"/>
      <c r="B2" t="s">
        <v>699</v>
      </c>
      <c r="C2" s="56"/>
      <c r="D2" s="57"/>
      <c r="E2" s="57"/>
      <c r="F2" s="57"/>
      <c r="G2" s="57"/>
      <c r="H2" s="57"/>
      <c r="I2" s="57"/>
      <c r="J2" s="57"/>
      <c r="K2" s="334" t="s">
        <v>189</v>
      </c>
    </row>
    <row r="3" spans="1:11" x14ac:dyDescent="0.25">
      <c r="A3" s="56"/>
      <c r="B3" s="56" t="s">
        <v>273</v>
      </c>
      <c r="C3" s="56"/>
      <c r="D3" s="57"/>
      <c r="E3" s="57"/>
      <c r="F3" s="57"/>
      <c r="G3" s="57"/>
      <c r="H3" s="57"/>
      <c r="I3" s="57"/>
      <c r="J3" s="57"/>
      <c r="K3" s="521" t="s">
        <v>748</v>
      </c>
    </row>
    <row r="4" spans="1:11" x14ac:dyDescent="0.25">
      <c r="A4" s="56"/>
      <c r="B4" s="502"/>
      <c r="C4" s="56"/>
      <c r="D4" s="57"/>
      <c r="E4" s="57"/>
      <c r="F4" s="57"/>
      <c r="G4" s="57"/>
      <c r="H4" s="57"/>
      <c r="I4" s="57"/>
      <c r="J4" s="57"/>
      <c r="K4" s="334" t="s">
        <v>741</v>
      </c>
    </row>
    <row r="5" spans="1:11" x14ac:dyDescent="0.25">
      <c r="A5" s="56"/>
      <c r="B5" s="503" t="s">
        <v>612</v>
      </c>
      <c r="C5" s="56"/>
      <c r="D5" s="57"/>
      <c r="E5" s="57"/>
      <c r="F5" s="57"/>
      <c r="G5" s="57"/>
      <c r="H5" s="57"/>
      <c r="I5" s="57"/>
      <c r="J5" s="57"/>
      <c r="K5" s="57"/>
    </row>
    <row r="6" spans="1:11" x14ac:dyDescent="0.25">
      <c r="A6" s="56"/>
      <c r="B6" s="120" t="s">
        <v>643</v>
      </c>
      <c r="C6" s="56"/>
      <c r="D6" s="22"/>
      <c r="E6" s="22"/>
      <c r="F6" s="68"/>
      <c r="G6" s="22" t="s">
        <v>4</v>
      </c>
      <c r="H6" s="22"/>
      <c r="I6" s="22"/>
      <c r="J6" s="22"/>
      <c r="K6" s="22"/>
    </row>
    <row r="7" spans="1:11" x14ac:dyDescent="0.25">
      <c r="A7" s="56"/>
      <c r="B7" s="56"/>
      <c r="C7" s="56"/>
      <c r="D7" s="22"/>
      <c r="E7" s="22"/>
      <c r="F7" s="22" t="s">
        <v>4</v>
      </c>
      <c r="G7" s="22" t="s">
        <v>6</v>
      </c>
      <c r="H7" s="22" t="s">
        <v>542</v>
      </c>
      <c r="I7" s="22"/>
      <c r="J7" s="22"/>
      <c r="K7" s="22" t="s">
        <v>478</v>
      </c>
    </row>
    <row r="8" spans="1:11" x14ac:dyDescent="0.25">
      <c r="A8" s="56"/>
      <c r="B8" s="56"/>
      <c r="C8" s="56"/>
      <c r="D8" s="97" t="s">
        <v>479</v>
      </c>
      <c r="E8" s="97" t="s">
        <v>480</v>
      </c>
      <c r="F8" s="97" t="s">
        <v>6</v>
      </c>
      <c r="G8" s="515" t="s">
        <v>553</v>
      </c>
      <c r="H8" s="97" t="s">
        <v>545</v>
      </c>
      <c r="I8" s="97" t="s">
        <v>482</v>
      </c>
      <c r="J8" s="97" t="s">
        <v>483</v>
      </c>
      <c r="K8" s="97" t="s">
        <v>484</v>
      </c>
    </row>
    <row r="9" spans="1:11" x14ac:dyDescent="0.25">
      <c r="A9" s="56"/>
      <c r="B9" s="56"/>
      <c r="C9" s="56"/>
      <c r="D9" s="97"/>
      <c r="E9" s="97"/>
      <c r="F9" s="353" t="s">
        <v>507</v>
      </c>
      <c r="G9" s="22" t="s">
        <v>509</v>
      </c>
      <c r="H9" s="97"/>
      <c r="I9" s="97"/>
      <c r="J9" s="97"/>
      <c r="K9" s="97"/>
    </row>
    <row r="10" spans="1:11" x14ac:dyDescent="0.25">
      <c r="A10" s="56"/>
      <c r="B10" s="56"/>
      <c r="C10" s="56"/>
      <c r="D10" s="97"/>
      <c r="E10" s="97"/>
      <c r="F10" s="353"/>
      <c r="G10" s="516" t="s">
        <v>613</v>
      </c>
      <c r="H10" s="97"/>
      <c r="I10" s="97"/>
      <c r="J10" s="97"/>
      <c r="K10" s="97"/>
    </row>
    <row r="11" spans="1:11" x14ac:dyDescent="0.25">
      <c r="B11" s="17" t="s">
        <v>193</v>
      </c>
    </row>
    <row r="12" spans="1:11" x14ac:dyDescent="0.25">
      <c r="C12" t="s">
        <v>614</v>
      </c>
      <c r="D12" s="1">
        <v>312</v>
      </c>
      <c r="E12" s="1" t="s">
        <v>602</v>
      </c>
      <c r="F12" s="32">
        <v>127544646</v>
      </c>
      <c r="G12" s="32">
        <v>127544646</v>
      </c>
      <c r="H12" s="32">
        <v>117233290</v>
      </c>
      <c r="I12" s="161" t="s">
        <v>168</v>
      </c>
      <c r="J12" s="362">
        <v>0.22437004168265501</v>
      </c>
      <c r="K12" s="32">
        <f>H12*J12</f>
        <v>26303638.163894784</v>
      </c>
    </row>
    <row r="13" spans="1:11" x14ac:dyDescent="0.25">
      <c r="D13" s="1"/>
      <c r="E13" s="1"/>
      <c r="F13" s="32"/>
      <c r="G13" s="32"/>
      <c r="H13" s="32"/>
      <c r="I13" s="161"/>
      <c r="J13" s="32"/>
      <c r="K13" s="32"/>
    </row>
    <row r="14" spans="1:11" x14ac:dyDescent="0.25">
      <c r="B14" s="17" t="s">
        <v>615</v>
      </c>
      <c r="D14" s="1"/>
      <c r="E14" s="1"/>
      <c r="F14" s="32"/>
      <c r="G14" s="32"/>
      <c r="H14" s="32"/>
      <c r="I14" s="161"/>
      <c r="J14" s="32"/>
      <c r="K14" s="32"/>
    </row>
    <row r="15" spans="1:11" x14ac:dyDescent="0.25">
      <c r="C15" t="s">
        <v>616</v>
      </c>
      <c r="D15" s="1" t="s">
        <v>176</v>
      </c>
      <c r="E15" s="1" t="s">
        <v>602</v>
      </c>
      <c r="F15" s="32">
        <v>-6174736</v>
      </c>
      <c r="G15" s="32">
        <v>-6174736</v>
      </c>
      <c r="H15" s="32">
        <v>-5679212</v>
      </c>
      <c r="I15" s="161" t="s">
        <v>168</v>
      </c>
      <c r="J15" s="362">
        <v>0.22437004168265501</v>
      </c>
      <c r="K15" s="32">
        <f>H15*J15</f>
        <v>-1274245.0331646346</v>
      </c>
    </row>
    <row r="16" spans="1:11" x14ac:dyDescent="0.25">
      <c r="D16" s="1"/>
      <c r="E16" s="1"/>
      <c r="F16" s="32"/>
      <c r="G16" s="32"/>
      <c r="H16" s="32"/>
      <c r="I16" s="161"/>
      <c r="J16" s="32"/>
      <c r="K16" s="32"/>
    </row>
    <row r="17" spans="2:14" x14ac:dyDescent="0.25">
      <c r="B17" s="17" t="s">
        <v>11</v>
      </c>
      <c r="D17" s="1"/>
      <c r="E17" s="1"/>
      <c r="F17" s="32"/>
      <c r="G17" s="72"/>
      <c r="H17" s="72"/>
      <c r="I17" s="161"/>
      <c r="J17" s="32"/>
      <c r="K17" s="32"/>
    </row>
    <row r="18" spans="2:14" x14ac:dyDescent="0.25">
      <c r="C18" t="s">
        <v>175</v>
      </c>
      <c r="D18" s="1" t="s">
        <v>172</v>
      </c>
      <c r="E18" s="1" t="s">
        <v>602</v>
      </c>
      <c r="F18" s="32">
        <v>9125236</v>
      </c>
      <c r="G18" s="32">
        <v>9125236</v>
      </c>
      <c r="H18" s="32">
        <v>8387506</v>
      </c>
      <c r="I18" s="161" t="s">
        <v>168</v>
      </c>
      <c r="J18" s="362">
        <v>0.22437004168265501</v>
      </c>
      <c r="K18" s="32">
        <f>H18*J18</f>
        <v>1881905.0708335189</v>
      </c>
    </row>
    <row r="19" spans="2:14" x14ac:dyDescent="0.25">
      <c r="D19" s="1"/>
      <c r="E19" s="1"/>
      <c r="F19" s="32"/>
      <c r="G19" s="32"/>
      <c r="H19" s="32"/>
      <c r="I19" s="161"/>
      <c r="J19" s="32"/>
      <c r="K19" s="32"/>
    </row>
    <row r="20" spans="2:14" x14ac:dyDescent="0.25">
      <c r="B20" s="17" t="s">
        <v>532</v>
      </c>
      <c r="D20" s="1"/>
      <c r="E20" s="1"/>
      <c r="F20" s="32"/>
      <c r="G20" s="32"/>
      <c r="H20" s="32"/>
      <c r="I20" s="161"/>
      <c r="J20" s="32"/>
      <c r="K20" s="32"/>
    </row>
    <row r="21" spans="2:14" x14ac:dyDescent="0.25">
      <c r="C21" t="s">
        <v>617</v>
      </c>
      <c r="D21" s="1" t="s">
        <v>503</v>
      </c>
      <c r="E21" s="1" t="s">
        <v>602</v>
      </c>
      <c r="F21" s="32">
        <f>F18</f>
        <v>9125236</v>
      </c>
      <c r="G21" s="32">
        <f>G18</f>
        <v>9125236</v>
      </c>
      <c r="H21" s="32">
        <f>H18</f>
        <v>8387506</v>
      </c>
      <c r="I21" s="161" t="s">
        <v>168</v>
      </c>
      <c r="J21" s="362">
        <v>0.22437004168265501</v>
      </c>
      <c r="K21" s="32">
        <f t="shared" ref="K21:K24" si="0">H21*J21</f>
        <v>1881905.0708335189</v>
      </c>
    </row>
    <row r="22" spans="2:14" x14ac:dyDescent="0.25">
      <c r="C22" t="s">
        <v>617</v>
      </c>
      <c r="D22" s="1" t="s">
        <v>503</v>
      </c>
      <c r="E22" s="1" t="s">
        <v>602</v>
      </c>
      <c r="F22" s="32">
        <v>10323090</v>
      </c>
      <c r="G22" s="32">
        <v>6800471</v>
      </c>
      <c r="H22" s="32">
        <f>F32</f>
        <v>5813740</v>
      </c>
      <c r="I22" s="161" t="s">
        <v>168</v>
      </c>
      <c r="J22" s="362">
        <v>0.22437004168265501</v>
      </c>
      <c r="K22" s="32">
        <f t="shared" si="0"/>
        <v>1304429.0861321187</v>
      </c>
      <c r="L22" s="32"/>
      <c r="M22" s="32"/>
      <c r="N22" s="32"/>
    </row>
    <row r="23" spans="2:14" x14ac:dyDescent="0.25">
      <c r="C23" t="s">
        <v>618</v>
      </c>
      <c r="D23" s="1">
        <v>41010</v>
      </c>
      <c r="E23" s="1" t="s">
        <v>602</v>
      </c>
      <c r="F23" s="32">
        <v>454599</v>
      </c>
      <c r="G23" s="32">
        <v>-882273</v>
      </c>
      <c r="H23" s="32">
        <f>F48</f>
        <v>-976776</v>
      </c>
      <c r="I23" s="161" t="s">
        <v>168</v>
      </c>
      <c r="J23" s="362">
        <v>0.22437004168265501</v>
      </c>
      <c r="K23" s="32">
        <f t="shared" si="0"/>
        <v>-219159.27183461701</v>
      </c>
      <c r="L23" s="32"/>
      <c r="M23" s="32"/>
      <c r="N23" s="32"/>
    </row>
    <row r="24" spans="2:14" x14ac:dyDescent="0.25">
      <c r="C24" t="s">
        <v>619</v>
      </c>
      <c r="D24" s="1">
        <v>282</v>
      </c>
      <c r="E24" s="1" t="s">
        <v>602</v>
      </c>
      <c r="F24" s="32">
        <v>-12823433</v>
      </c>
      <c r="G24" s="32">
        <v>-24621789</v>
      </c>
      <c r="H24" s="32">
        <f>F40</f>
        <v>-24382952</v>
      </c>
      <c r="I24" s="161" t="s">
        <v>168</v>
      </c>
      <c r="J24" s="362">
        <v>0.22437004168265501</v>
      </c>
      <c r="K24" s="32">
        <f t="shared" si="0"/>
        <v>-5470803.9565861765</v>
      </c>
      <c r="L24" s="32"/>
      <c r="M24" s="32"/>
      <c r="N24" s="32"/>
    </row>
    <row r="25" spans="2:14" x14ac:dyDescent="0.25">
      <c r="D25" s="1"/>
      <c r="E25" s="1"/>
      <c r="F25" s="32"/>
      <c r="G25" s="32"/>
      <c r="H25" s="32"/>
      <c r="I25" s="32"/>
      <c r="J25" s="32"/>
      <c r="K25" s="32"/>
      <c r="L25" s="32"/>
      <c r="M25" s="32"/>
      <c r="N25" s="32"/>
    </row>
    <row r="26" spans="2:14" x14ac:dyDescent="0.25">
      <c r="C26" s="3" t="s">
        <v>634</v>
      </c>
    </row>
    <row r="27" spans="2:14" x14ac:dyDescent="0.25">
      <c r="C27" t="s">
        <v>637</v>
      </c>
      <c r="F27" s="148">
        <v>10323090</v>
      </c>
      <c r="G27" t="s">
        <v>626</v>
      </c>
    </row>
    <row r="28" spans="2:14" x14ac:dyDescent="0.25">
      <c r="C28" t="s">
        <v>638</v>
      </c>
      <c r="F28" s="427">
        <v>9336359</v>
      </c>
      <c r="G28" t="s">
        <v>620</v>
      </c>
    </row>
    <row r="29" spans="2:14" x14ac:dyDescent="0.25">
      <c r="C29" t="s">
        <v>639</v>
      </c>
      <c r="F29" s="148">
        <f>F28-F27</f>
        <v>-986731</v>
      </c>
    </row>
    <row r="30" spans="2:14" x14ac:dyDescent="0.25">
      <c r="C30" t="s">
        <v>640</v>
      </c>
      <c r="F30" s="148"/>
      <c r="J30" s="143"/>
      <c r="K30" s="143"/>
    </row>
    <row r="31" spans="2:14" x14ac:dyDescent="0.25">
      <c r="C31" t="s">
        <v>641</v>
      </c>
      <c r="F31" s="28">
        <f>G22</f>
        <v>6800471</v>
      </c>
      <c r="G31" t="s">
        <v>630</v>
      </c>
      <c r="J31" s="143"/>
      <c r="K31" s="143"/>
    </row>
    <row r="32" spans="2:14" x14ac:dyDescent="0.25">
      <c r="C32" t="s">
        <v>642</v>
      </c>
      <c r="F32" s="428">
        <f>SUM(F29:F31)</f>
        <v>5813740</v>
      </c>
      <c r="J32" s="143"/>
      <c r="K32" s="152"/>
    </row>
    <row r="33" spans="3:11" x14ac:dyDescent="0.25">
      <c r="J33" s="143"/>
      <c r="K33" s="429"/>
    </row>
    <row r="34" spans="3:11" x14ac:dyDescent="0.25">
      <c r="C34" s="3" t="s">
        <v>635</v>
      </c>
    </row>
    <row r="35" spans="3:11" x14ac:dyDescent="0.25">
      <c r="C35" t="s">
        <v>624</v>
      </c>
      <c r="F35" s="148">
        <v>-12823433</v>
      </c>
      <c r="G35" t="s">
        <v>626</v>
      </c>
    </row>
    <row r="36" spans="3:11" x14ac:dyDescent="0.25">
      <c r="C36" t="s">
        <v>625</v>
      </c>
      <c r="F36" s="427">
        <f>-12584596</f>
        <v>-12584596</v>
      </c>
      <c r="G36" t="s">
        <v>620</v>
      </c>
    </row>
    <row r="37" spans="3:11" x14ac:dyDescent="0.25">
      <c r="C37" t="s">
        <v>627</v>
      </c>
      <c r="F37" s="148">
        <f>F36-F35</f>
        <v>238837</v>
      </c>
    </row>
    <row r="38" spans="3:11" x14ac:dyDescent="0.25">
      <c r="C38" t="s">
        <v>628</v>
      </c>
      <c r="F38" s="148"/>
    </row>
    <row r="39" spans="3:11" x14ac:dyDescent="0.25">
      <c r="C39" t="s">
        <v>629</v>
      </c>
      <c r="F39" s="28">
        <f>G24</f>
        <v>-24621789</v>
      </c>
      <c r="G39" t="s">
        <v>630</v>
      </c>
    </row>
    <row r="40" spans="3:11" x14ac:dyDescent="0.25">
      <c r="C40" t="s">
        <v>631</v>
      </c>
      <c r="F40" s="428">
        <f>SUM(F37:F39)</f>
        <v>-24382952</v>
      </c>
    </row>
    <row r="42" spans="3:11" x14ac:dyDescent="0.25">
      <c r="C42" s="3" t="s">
        <v>636</v>
      </c>
    </row>
    <row r="43" spans="3:11" x14ac:dyDescent="0.25">
      <c r="C43" t="s">
        <v>632</v>
      </c>
      <c r="F43" s="148">
        <v>454599</v>
      </c>
      <c r="G43" t="s">
        <v>626</v>
      </c>
    </row>
    <row r="44" spans="3:11" x14ac:dyDescent="0.25">
      <c r="C44" t="s">
        <v>633</v>
      </c>
      <c r="F44" s="427">
        <v>360096</v>
      </c>
      <c r="G44" t="s">
        <v>620</v>
      </c>
    </row>
    <row r="45" spans="3:11" x14ac:dyDescent="0.25">
      <c r="C45" t="s">
        <v>627</v>
      </c>
      <c r="F45" s="148">
        <f>F44-F43</f>
        <v>-94503</v>
      </c>
    </row>
    <row r="46" spans="3:11" x14ac:dyDescent="0.25">
      <c r="C46" t="s">
        <v>628</v>
      </c>
      <c r="F46" s="148"/>
    </row>
    <row r="47" spans="3:11" x14ac:dyDescent="0.25">
      <c r="C47" t="s">
        <v>629</v>
      </c>
      <c r="F47" s="28">
        <v>-882273</v>
      </c>
      <c r="G47" t="s">
        <v>630</v>
      </c>
    </row>
    <row r="48" spans="3:11" x14ac:dyDescent="0.25">
      <c r="C48" t="s">
        <v>631</v>
      </c>
      <c r="F48" s="428">
        <f>SUM(F45:F47)</f>
        <v>-976776</v>
      </c>
    </row>
    <row r="50" spans="2:11" x14ac:dyDescent="0.25">
      <c r="B50" t="s">
        <v>5</v>
      </c>
    </row>
    <row r="52" spans="2:11" x14ac:dyDescent="0.25">
      <c r="B52" s="464" t="s">
        <v>698</v>
      </c>
      <c r="C52" s="456"/>
      <c r="D52" s="456"/>
      <c r="E52" s="456"/>
      <c r="F52" s="456"/>
      <c r="G52" s="456"/>
      <c r="H52" s="456"/>
      <c r="I52" s="456"/>
      <c r="J52" s="456"/>
      <c r="K52" s="457"/>
    </row>
    <row r="53" spans="2:11" x14ac:dyDescent="0.25">
      <c r="B53" s="458"/>
      <c r="C53" s="459"/>
      <c r="D53" s="459"/>
      <c r="E53" s="459"/>
      <c r="F53" s="459"/>
      <c r="G53" s="459"/>
      <c r="H53" s="459"/>
      <c r="I53" s="459"/>
      <c r="J53" s="459"/>
      <c r="K53" s="460"/>
    </row>
    <row r="54" spans="2:11" x14ac:dyDescent="0.25">
      <c r="B54" s="458"/>
      <c r="C54" s="459"/>
      <c r="D54" s="459"/>
      <c r="E54" s="459"/>
      <c r="F54" s="459"/>
      <c r="G54" s="459"/>
      <c r="H54" s="459"/>
      <c r="I54" s="459"/>
      <c r="J54" s="459"/>
      <c r="K54" s="460"/>
    </row>
    <row r="55" spans="2:11" x14ac:dyDescent="0.25">
      <c r="B55" s="458"/>
      <c r="C55" s="459"/>
      <c r="D55" s="459"/>
      <c r="E55" s="459"/>
      <c r="F55" s="459"/>
      <c r="G55" s="459"/>
      <c r="H55" s="459"/>
      <c r="I55" s="459"/>
      <c r="J55" s="459"/>
      <c r="K55" s="460"/>
    </row>
    <row r="56" spans="2:11" x14ac:dyDescent="0.25">
      <c r="B56" s="458"/>
      <c r="C56" s="459"/>
      <c r="D56" s="459"/>
      <c r="E56" s="459"/>
      <c r="F56" s="459"/>
      <c r="G56" s="459"/>
      <c r="H56" s="459"/>
      <c r="I56" s="459"/>
      <c r="J56" s="459"/>
      <c r="K56" s="460"/>
    </row>
    <row r="57" spans="2:11" x14ac:dyDescent="0.25">
      <c r="B57" s="458" t="s">
        <v>749</v>
      </c>
      <c r="C57" s="459"/>
      <c r="D57" s="459"/>
      <c r="E57" s="459"/>
      <c r="F57" s="459"/>
      <c r="G57" s="459"/>
      <c r="H57" s="459"/>
      <c r="I57" s="459"/>
      <c r="J57" s="459"/>
      <c r="K57" s="460"/>
    </row>
    <row r="58" spans="2:11" x14ac:dyDescent="0.25">
      <c r="B58" s="458"/>
      <c r="C58" s="459"/>
      <c r="D58" s="459"/>
      <c r="E58" s="459"/>
      <c r="F58" s="459"/>
      <c r="G58" s="459"/>
      <c r="H58" s="459"/>
      <c r="I58" s="459"/>
      <c r="J58" s="459"/>
      <c r="K58" s="460"/>
    </row>
    <row r="59" spans="2:11" x14ac:dyDescent="0.25">
      <c r="B59" s="458"/>
      <c r="C59" s="459"/>
      <c r="D59" s="459"/>
      <c r="E59" s="459"/>
      <c r="F59" s="459"/>
      <c r="G59" s="459"/>
      <c r="H59" s="459"/>
      <c r="I59" s="459"/>
      <c r="J59" s="459"/>
      <c r="K59" s="460"/>
    </row>
    <row r="60" spans="2:11" x14ac:dyDescent="0.25">
      <c r="B60" s="458"/>
      <c r="C60" s="459"/>
      <c r="D60" s="459"/>
      <c r="E60" s="459"/>
      <c r="F60" s="459"/>
      <c r="G60" s="459"/>
      <c r="H60" s="459"/>
      <c r="I60" s="459"/>
      <c r="J60" s="459"/>
      <c r="K60" s="460"/>
    </row>
    <row r="61" spans="2:11" x14ac:dyDescent="0.25">
      <c r="B61" s="458"/>
      <c r="C61" s="459"/>
      <c r="D61" s="459"/>
      <c r="E61" s="459"/>
      <c r="F61" s="459"/>
      <c r="G61" s="459"/>
      <c r="H61" s="459"/>
      <c r="I61" s="459"/>
      <c r="J61" s="459"/>
      <c r="K61" s="460"/>
    </row>
    <row r="62" spans="2:11" x14ac:dyDescent="0.25">
      <c r="B62" s="458"/>
      <c r="C62" s="459"/>
      <c r="D62" s="459"/>
      <c r="E62" s="459"/>
      <c r="F62" s="459"/>
      <c r="G62" s="459"/>
      <c r="H62" s="459"/>
      <c r="I62" s="459"/>
      <c r="J62" s="459"/>
      <c r="K62" s="460"/>
    </row>
    <row r="63" spans="2:11" x14ac:dyDescent="0.25">
      <c r="B63" s="465"/>
      <c r="C63" s="466"/>
      <c r="D63" s="466"/>
      <c r="E63" s="466"/>
      <c r="F63" s="466"/>
      <c r="G63" s="466"/>
      <c r="H63" s="466"/>
      <c r="I63" s="466"/>
      <c r="J63" s="466"/>
      <c r="K63" s="467"/>
    </row>
  </sheetData>
  <mergeCells count="2">
    <mergeCell ref="B52:K56"/>
    <mergeCell ref="B57:K63"/>
  </mergeCells>
  <pageMargins left="0.7" right="0.7" top="0.75" bottom="0.75" header="0.3" footer="0.3"/>
  <pageSetup scale="70"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election activeCell="I3" sqref="I3"/>
    </sheetView>
  </sheetViews>
  <sheetFormatPr defaultRowHeight="15.75" x14ac:dyDescent="0.25"/>
  <cols>
    <col min="1" max="1" width="2" customWidth="1"/>
    <col min="2" max="2" width="6.25" customWidth="1"/>
    <col min="3" max="3" width="30.25" customWidth="1"/>
    <col min="4" max="4" width="10.25" customWidth="1"/>
    <col min="5" max="5" width="6.875" customWidth="1"/>
    <col min="6" max="6" width="13.375" customWidth="1"/>
    <col min="7" max="7" width="13" customWidth="1"/>
    <col min="8" max="8" width="12.625" customWidth="1"/>
    <col min="9" max="9" width="14.25" customWidth="1"/>
    <col min="10" max="10" width="8.375" customWidth="1"/>
    <col min="11" max="11" width="15.25" customWidth="1"/>
  </cols>
  <sheetData>
    <row r="1" spans="1:14" x14ac:dyDescent="0.25">
      <c r="A1" s="56"/>
      <c r="B1" s="487" t="s">
        <v>392</v>
      </c>
      <c r="C1" s="56"/>
      <c r="D1" s="57"/>
      <c r="E1" s="57"/>
      <c r="F1" s="57"/>
      <c r="G1" s="57"/>
      <c r="H1" s="57"/>
      <c r="I1" s="334" t="s">
        <v>275</v>
      </c>
      <c r="J1" s="57"/>
    </row>
    <row r="2" spans="1:14" x14ac:dyDescent="0.25">
      <c r="A2" s="56"/>
      <c r="B2" t="s">
        <v>699</v>
      </c>
      <c r="C2" s="56"/>
      <c r="D2" s="57"/>
      <c r="E2" s="57"/>
      <c r="F2" s="57"/>
      <c r="G2" s="57"/>
      <c r="H2" s="57"/>
      <c r="I2" s="334" t="s">
        <v>189</v>
      </c>
      <c r="J2" s="57"/>
    </row>
    <row r="3" spans="1:14" x14ac:dyDescent="0.25">
      <c r="A3" s="56"/>
      <c r="B3" s="120" t="s">
        <v>701</v>
      </c>
      <c r="C3" s="56"/>
      <c r="D3" s="57"/>
      <c r="E3" s="57"/>
      <c r="F3" s="57"/>
      <c r="G3" s="57"/>
      <c r="H3" s="57"/>
      <c r="I3" s="521" t="s">
        <v>748</v>
      </c>
      <c r="J3" s="57"/>
      <c r="K3" s="57"/>
    </row>
    <row r="4" spans="1:14" x14ac:dyDescent="0.25">
      <c r="A4" s="56"/>
      <c r="B4" s="56" t="s">
        <v>273</v>
      </c>
      <c r="C4" s="56"/>
      <c r="D4" s="57"/>
      <c r="E4" s="57"/>
      <c r="F4" s="57"/>
      <c r="G4" s="57"/>
      <c r="H4" s="57"/>
      <c r="I4" s="334" t="s">
        <v>742</v>
      </c>
      <c r="J4" s="57"/>
      <c r="K4" s="57"/>
    </row>
    <row r="5" spans="1:14" x14ac:dyDescent="0.25">
      <c r="A5" s="56"/>
      <c r="B5" s="502"/>
      <c r="C5" s="56"/>
      <c r="D5" s="57"/>
      <c r="E5" s="57"/>
      <c r="G5" s="57"/>
      <c r="H5" s="57"/>
      <c r="I5" s="57"/>
      <c r="J5" s="57"/>
      <c r="K5" s="57"/>
    </row>
    <row r="6" spans="1:14" x14ac:dyDescent="0.25">
      <c r="A6" s="56"/>
      <c r="B6" s="503" t="s">
        <v>612</v>
      </c>
      <c r="C6" s="56"/>
      <c r="D6" s="57"/>
      <c r="E6" s="57"/>
      <c r="F6" s="57"/>
      <c r="G6" s="57"/>
      <c r="H6" s="57"/>
      <c r="I6" s="57"/>
      <c r="J6" s="57"/>
      <c r="K6" s="57"/>
    </row>
    <row r="7" spans="1:14" x14ac:dyDescent="0.25">
      <c r="A7" s="56"/>
      <c r="B7" s="120" t="s">
        <v>700</v>
      </c>
      <c r="C7" s="56"/>
      <c r="D7" s="57"/>
      <c r="E7" s="57"/>
      <c r="F7" s="57"/>
      <c r="G7" s="57"/>
      <c r="H7" s="57"/>
      <c r="I7" s="57"/>
      <c r="J7" s="57"/>
      <c r="K7" s="57"/>
    </row>
    <row r="8" spans="1:14" x14ac:dyDescent="0.25">
      <c r="A8" s="56"/>
      <c r="B8" s="56"/>
      <c r="C8" s="56"/>
      <c r="D8" s="57"/>
      <c r="E8" s="57"/>
      <c r="F8" s="57"/>
      <c r="G8" s="57"/>
      <c r="H8" s="57"/>
      <c r="I8" s="57"/>
    </row>
    <row r="9" spans="1:14" x14ac:dyDescent="0.25">
      <c r="A9" s="56"/>
      <c r="B9" s="56"/>
      <c r="C9" s="56"/>
      <c r="D9" s="57"/>
      <c r="E9" s="57"/>
      <c r="F9" s="57" t="s">
        <v>542</v>
      </c>
      <c r="G9" s="57"/>
      <c r="H9" s="57"/>
      <c r="I9" s="57" t="s">
        <v>478</v>
      </c>
    </row>
    <row r="10" spans="1:14" x14ac:dyDescent="0.25">
      <c r="A10" s="56"/>
      <c r="B10" s="56"/>
      <c r="C10" s="56"/>
      <c r="D10" s="23" t="s">
        <v>479</v>
      </c>
      <c r="E10" s="23" t="s">
        <v>480</v>
      </c>
      <c r="F10" s="23" t="s">
        <v>545</v>
      </c>
      <c r="G10" s="23" t="s">
        <v>482</v>
      </c>
      <c r="H10" s="23" t="s">
        <v>483</v>
      </c>
      <c r="I10" s="23" t="s">
        <v>484</v>
      </c>
    </row>
    <row r="11" spans="1:14" x14ac:dyDescent="0.25">
      <c r="A11" s="56"/>
      <c r="B11" s="56"/>
      <c r="C11" s="56"/>
      <c r="D11" s="23"/>
      <c r="E11" s="23"/>
      <c r="F11" s="23"/>
      <c r="G11" s="23"/>
      <c r="H11" s="23"/>
      <c r="I11" s="23"/>
    </row>
    <row r="12" spans="1:14" x14ac:dyDescent="0.25">
      <c r="A12" s="56"/>
      <c r="B12" t="s">
        <v>269</v>
      </c>
      <c r="D12" s="151">
        <v>312</v>
      </c>
      <c r="E12" s="143"/>
      <c r="F12" s="150">
        <f>F34</f>
        <v>-5034634</v>
      </c>
      <c r="G12" s="151" t="s">
        <v>168</v>
      </c>
      <c r="H12" s="362">
        <v>0.22437004168265501</v>
      </c>
      <c r="I12" s="150">
        <f>ROUND(F12*H12,0)</f>
        <v>-1129621</v>
      </c>
      <c r="K12" s="143"/>
    </row>
    <row r="13" spans="1:14" x14ac:dyDescent="0.25">
      <c r="D13" s="151"/>
      <c r="E13" s="143"/>
      <c r="F13" s="143"/>
      <c r="G13" s="143"/>
      <c r="H13" s="143"/>
      <c r="I13" s="143"/>
      <c r="K13" s="143"/>
    </row>
    <row r="14" spans="1:14" x14ac:dyDescent="0.25">
      <c r="B14" t="s">
        <v>271</v>
      </c>
      <c r="D14" s="151" t="s">
        <v>176</v>
      </c>
      <c r="E14" s="143"/>
      <c r="F14" s="150">
        <f>'Adj_8.4.1-MajorPlant'!H15*(F12/F31)</f>
        <v>3408969.7018884993</v>
      </c>
      <c r="G14" s="151" t="s">
        <v>168</v>
      </c>
      <c r="H14" s="362">
        <v>0.22437004168265501</v>
      </c>
      <c r="I14" s="150">
        <f>ROUND(F14*H14,0)</f>
        <v>764871</v>
      </c>
      <c r="K14" s="143"/>
    </row>
    <row r="15" spans="1:14" x14ac:dyDescent="0.25">
      <c r="F15" s="151"/>
      <c r="G15" s="143"/>
      <c r="H15" s="143"/>
      <c r="I15" s="143"/>
      <c r="J15" s="143"/>
      <c r="K15" s="143"/>
      <c r="M15" s="143"/>
      <c r="N15" s="143"/>
    </row>
    <row r="25" spans="2:9" x14ac:dyDescent="0.25">
      <c r="C25" s="3" t="s">
        <v>623</v>
      </c>
      <c r="E25" s="143"/>
      <c r="F25" s="143"/>
      <c r="G25" s="143"/>
      <c r="H25" s="143"/>
      <c r="I25" s="143"/>
    </row>
    <row r="26" spans="2:9" x14ac:dyDescent="0.25">
      <c r="B26" t="s">
        <v>77</v>
      </c>
      <c r="C26" t="s">
        <v>267</v>
      </c>
      <c r="E26" s="143"/>
      <c r="F26" s="148">
        <f>'Adj_8.4.1-MajorPlant'!H12</f>
        <v>117233290</v>
      </c>
      <c r="G26" t="s">
        <v>702</v>
      </c>
      <c r="H26" s="143"/>
      <c r="I26" s="143"/>
    </row>
    <row r="27" spans="2:9" x14ac:dyDescent="0.25">
      <c r="B27" t="s">
        <v>78</v>
      </c>
      <c r="C27" t="s">
        <v>621</v>
      </c>
      <c r="E27" s="143"/>
      <c r="F27" s="153">
        <v>2.86E-2</v>
      </c>
      <c r="G27" t="s">
        <v>622</v>
      </c>
      <c r="H27" s="143"/>
      <c r="I27" s="143"/>
    </row>
    <row r="28" spans="2:9" x14ac:dyDescent="0.25">
      <c r="B28" t="s">
        <v>79</v>
      </c>
      <c r="C28" t="s">
        <v>268</v>
      </c>
      <c r="E28" s="143"/>
      <c r="F28" s="173">
        <f>ROUND(F26*F27,0)</f>
        <v>3352872</v>
      </c>
      <c r="G28" t="s">
        <v>270</v>
      </c>
      <c r="H28" s="143"/>
      <c r="I28" s="143"/>
    </row>
    <row r="30" spans="2:9" x14ac:dyDescent="0.25">
      <c r="B30" t="s">
        <v>80</v>
      </c>
      <c r="C30" t="s">
        <v>644</v>
      </c>
    </row>
    <row r="31" spans="2:9" x14ac:dyDescent="0.25">
      <c r="C31" t="s">
        <v>645</v>
      </c>
      <c r="F31" s="28">
        <f>'Adj_8.4.1-MajorPlant'!H18</f>
        <v>8387506</v>
      </c>
      <c r="G31" t="s">
        <v>702</v>
      </c>
    </row>
    <row r="33" spans="2:9" x14ac:dyDescent="0.25">
      <c r="B33" t="s">
        <v>81</v>
      </c>
      <c r="C33" t="s">
        <v>646</v>
      </c>
    </row>
    <row r="34" spans="2:9" x14ac:dyDescent="0.25">
      <c r="C34" t="s">
        <v>647</v>
      </c>
      <c r="F34" s="28">
        <f>F28-F31</f>
        <v>-5034634</v>
      </c>
      <c r="G34" t="s">
        <v>648</v>
      </c>
    </row>
    <row r="37" spans="2:9" x14ac:dyDescent="0.25">
      <c r="B37" t="s">
        <v>5</v>
      </c>
    </row>
    <row r="38" spans="2:9" x14ac:dyDescent="0.25">
      <c r="B38" s="464" t="s">
        <v>703</v>
      </c>
      <c r="C38" s="456"/>
      <c r="D38" s="456"/>
      <c r="E38" s="456"/>
      <c r="F38" s="456"/>
      <c r="G38" s="456"/>
      <c r="H38" s="456"/>
      <c r="I38" s="457"/>
    </row>
    <row r="39" spans="2:9" x14ac:dyDescent="0.25">
      <c r="B39" s="458"/>
      <c r="C39" s="459"/>
      <c r="D39" s="459"/>
      <c r="E39" s="459"/>
      <c r="F39" s="459"/>
      <c r="G39" s="459"/>
      <c r="H39" s="459"/>
      <c r="I39" s="460"/>
    </row>
    <row r="40" spans="2:9" x14ac:dyDescent="0.25">
      <c r="B40" s="458"/>
      <c r="C40" s="459"/>
      <c r="D40" s="459"/>
      <c r="E40" s="459"/>
      <c r="F40" s="459"/>
      <c r="G40" s="459"/>
      <c r="H40" s="459"/>
      <c r="I40" s="460"/>
    </row>
    <row r="41" spans="2:9" x14ac:dyDescent="0.25">
      <c r="B41" s="465"/>
      <c r="C41" s="466"/>
      <c r="D41" s="466"/>
      <c r="E41" s="466"/>
      <c r="F41" s="466"/>
      <c r="G41" s="466"/>
      <c r="H41" s="466"/>
      <c r="I41" s="467"/>
    </row>
  </sheetData>
  <mergeCells count="1">
    <mergeCell ref="B38:I41"/>
  </mergeCells>
  <pageMargins left="0.7" right="0.7" top="0.75" bottom="0.75" header="0.3" footer="0.3"/>
  <pageSetup scale="72"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zoomScaleNormal="100" workbookViewId="0">
      <selection activeCell="K3" sqref="K3"/>
    </sheetView>
  </sheetViews>
  <sheetFormatPr defaultRowHeight="15.75" x14ac:dyDescent="0.25"/>
  <cols>
    <col min="1" max="1" width="2.25" customWidth="1"/>
    <col min="2" max="2" width="6.25" customWidth="1"/>
    <col min="3" max="3" width="16.75" customWidth="1"/>
    <col min="4" max="4" width="9" customWidth="1"/>
    <col min="5" max="5" width="5.25" customWidth="1"/>
    <col min="6" max="6" width="12.625" customWidth="1"/>
    <col min="7" max="7" width="1" customWidth="1"/>
    <col min="8" max="8" width="11.125" customWidth="1"/>
    <col min="9" max="9" width="9.75" customWidth="1"/>
    <col min="10" max="10" width="9" customWidth="1"/>
    <col min="11" max="11" width="11.375" customWidth="1"/>
    <col min="12" max="12" width="7" customWidth="1"/>
  </cols>
  <sheetData>
    <row r="1" spans="1:12" x14ac:dyDescent="0.25">
      <c r="A1" s="254"/>
      <c r="B1" s="487" t="s">
        <v>392</v>
      </c>
      <c r="C1" s="254"/>
      <c r="D1" s="256"/>
      <c r="E1" s="256"/>
      <c r="F1" s="256"/>
      <c r="G1" s="256"/>
      <c r="H1" s="256"/>
      <c r="I1" s="256"/>
      <c r="J1" s="256"/>
      <c r="K1" s="334" t="s">
        <v>275</v>
      </c>
      <c r="L1" s="257"/>
    </row>
    <row r="2" spans="1:12" x14ac:dyDescent="0.25">
      <c r="A2" s="254"/>
      <c r="B2" t="s">
        <v>704</v>
      </c>
      <c r="C2" s="254"/>
      <c r="D2" s="256"/>
      <c r="E2" s="256"/>
      <c r="F2" s="256"/>
      <c r="G2" s="256"/>
      <c r="H2" s="256"/>
      <c r="I2" s="256"/>
      <c r="J2" s="256"/>
      <c r="K2" s="334" t="s">
        <v>189</v>
      </c>
      <c r="L2" s="257"/>
    </row>
    <row r="3" spans="1:12" x14ac:dyDescent="0.25">
      <c r="A3" s="254"/>
      <c r="B3" s="56" t="s">
        <v>273</v>
      </c>
      <c r="C3" s="254"/>
      <c r="D3" s="256"/>
      <c r="E3" s="256"/>
      <c r="F3" s="256"/>
      <c r="G3" s="256"/>
      <c r="H3" s="256"/>
      <c r="I3" s="256"/>
      <c r="J3" s="256"/>
      <c r="K3" s="521" t="s">
        <v>748</v>
      </c>
      <c r="L3" s="257"/>
    </row>
    <row r="4" spans="1:12" x14ac:dyDescent="0.25">
      <c r="A4" s="254"/>
      <c r="B4" s="502"/>
      <c r="C4" s="254"/>
      <c r="D4" s="256"/>
      <c r="E4" s="256"/>
      <c r="F4" s="256"/>
      <c r="G4" s="256"/>
      <c r="H4" s="256"/>
      <c r="I4" s="256"/>
      <c r="J4" s="256"/>
      <c r="K4" s="334" t="s">
        <v>743</v>
      </c>
      <c r="L4" s="257"/>
    </row>
    <row r="5" spans="1:12" x14ac:dyDescent="0.25">
      <c r="A5" s="254"/>
      <c r="B5" s="503" t="s">
        <v>597</v>
      </c>
      <c r="C5" s="254"/>
      <c r="D5" s="256"/>
      <c r="E5" s="256"/>
      <c r="F5" s="256"/>
      <c r="G5" s="256"/>
      <c r="H5" s="256"/>
      <c r="I5" s="256"/>
      <c r="J5" s="256"/>
      <c r="K5" s="256"/>
      <c r="L5" s="257"/>
    </row>
    <row r="6" spans="1:12" x14ac:dyDescent="0.25">
      <c r="A6" s="254"/>
      <c r="B6" s="120" t="s">
        <v>705</v>
      </c>
      <c r="C6" s="254"/>
      <c r="D6" s="256"/>
      <c r="E6" s="256"/>
      <c r="F6" s="256" t="s">
        <v>477</v>
      </c>
      <c r="G6" s="256"/>
      <c r="H6" s="256" t="s">
        <v>510</v>
      </c>
      <c r="I6" s="256"/>
      <c r="J6" s="256"/>
      <c r="K6" s="256" t="s">
        <v>478</v>
      </c>
      <c r="L6" s="257"/>
    </row>
    <row r="7" spans="1:12" x14ac:dyDescent="0.25">
      <c r="A7" s="254"/>
      <c r="B7" s="254"/>
      <c r="C7" s="254"/>
      <c r="D7" s="258" t="s">
        <v>479</v>
      </c>
      <c r="E7" s="258" t="s">
        <v>480</v>
      </c>
      <c r="F7" s="258" t="s">
        <v>481</v>
      </c>
      <c r="G7" s="258"/>
      <c r="H7" s="258" t="s">
        <v>511</v>
      </c>
      <c r="I7" s="258" t="s">
        <v>482</v>
      </c>
      <c r="J7" s="258" t="s">
        <v>483</v>
      </c>
      <c r="K7" s="258" t="s">
        <v>484</v>
      </c>
      <c r="L7" s="259"/>
    </row>
    <row r="8" spans="1:12" x14ac:dyDescent="0.25">
      <c r="A8" s="260"/>
      <c r="B8" s="261"/>
      <c r="C8" s="260"/>
      <c r="D8" s="262"/>
      <c r="E8" s="262"/>
      <c r="F8" s="262" t="s">
        <v>507</v>
      </c>
      <c r="G8" s="262"/>
      <c r="H8" s="262"/>
      <c r="I8" s="262"/>
      <c r="J8" s="262"/>
      <c r="K8" s="263"/>
      <c r="L8" s="257"/>
    </row>
    <row r="9" spans="1:12" x14ac:dyDescent="0.25">
      <c r="A9" s="260"/>
      <c r="B9" s="261" t="s">
        <v>193</v>
      </c>
      <c r="C9" s="260"/>
      <c r="D9" s="264"/>
      <c r="E9" s="265"/>
      <c r="F9" s="266"/>
      <c r="G9" s="266"/>
      <c r="H9" s="266"/>
      <c r="I9" s="267"/>
      <c r="J9" s="268"/>
      <c r="K9" s="269"/>
      <c r="L9" s="257"/>
    </row>
    <row r="10" spans="1:12" x14ac:dyDescent="0.25">
      <c r="A10" s="7"/>
      <c r="B10" s="7"/>
      <c r="C10" s="7"/>
      <c r="D10" s="15">
        <v>302</v>
      </c>
      <c r="E10" s="57" t="s">
        <v>486</v>
      </c>
      <c r="F10" s="160">
        <v>-300367</v>
      </c>
      <c r="G10" s="160"/>
      <c r="H10" s="160">
        <v>0</v>
      </c>
      <c r="I10" s="57" t="s">
        <v>167</v>
      </c>
      <c r="J10" s="288">
        <v>0.22564999999999999</v>
      </c>
      <c r="K10" s="160">
        <f>H10*J10</f>
        <v>0</v>
      </c>
      <c r="L10" s="7"/>
    </row>
    <row r="11" spans="1:12" x14ac:dyDescent="0.25">
      <c r="A11" s="7"/>
      <c r="B11" s="7"/>
      <c r="C11" s="7"/>
      <c r="D11" s="15">
        <v>303</v>
      </c>
      <c r="E11" s="57" t="s">
        <v>486</v>
      </c>
      <c r="F11" s="160">
        <v>3439001</v>
      </c>
      <c r="G11" s="160"/>
      <c r="H11" s="160">
        <v>0</v>
      </c>
      <c r="I11" s="57" t="s">
        <v>167</v>
      </c>
      <c r="J11" s="288">
        <v>0.22564999999999999</v>
      </c>
      <c r="K11" s="160">
        <f t="shared" ref="K11:K45" si="0">H11*J11</f>
        <v>0</v>
      </c>
      <c r="L11" s="7"/>
    </row>
    <row r="12" spans="1:12" x14ac:dyDescent="0.25">
      <c r="A12" s="7"/>
      <c r="B12" s="7"/>
      <c r="C12" s="7"/>
      <c r="D12" s="15">
        <v>303</v>
      </c>
      <c r="E12" s="57" t="s">
        <v>486</v>
      </c>
      <c r="F12" s="160">
        <v>3568193</v>
      </c>
      <c r="G12" s="160"/>
      <c r="H12" s="160">
        <v>0</v>
      </c>
      <c r="I12" s="57" t="s">
        <v>516</v>
      </c>
      <c r="J12" s="288">
        <v>6.8839999999999998E-2</v>
      </c>
      <c r="K12" s="160">
        <f t="shared" si="0"/>
        <v>0</v>
      </c>
      <c r="L12" s="7"/>
    </row>
    <row r="13" spans="1:12" x14ac:dyDescent="0.25">
      <c r="A13" s="7"/>
      <c r="B13" s="7"/>
      <c r="C13" s="7"/>
      <c r="D13" s="15">
        <v>303</v>
      </c>
      <c r="E13" s="57" t="s">
        <v>486</v>
      </c>
      <c r="F13" s="160">
        <v>5371595</v>
      </c>
      <c r="G13" s="160"/>
      <c r="H13" s="160">
        <v>0</v>
      </c>
      <c r="I13" s="57" t="s">
        <v>515</v>
      </c>
      <c r="J13" s="288">
        <v>6.6549999999999998E-2</v>
      </c>
      <c r="K13" s="160">
        <f t="shared" si="0"/>
        <v>0</v>
      </c>
      <c r="L13" s="7"/>
    </row>
    <row r="14" spans="1:12" x14ac:dyDescent="0.25">
      <c r="A14" s="7"/>
      <c r="B14" s="7"/>
      <c r="C14" s="7"/>
      <c r="D14" s="15">
        <v>311</v>
      </c>
      <c r="E14" s="57" t="s">
        <v>486</v>
      </c>
      <c r="F14" s="160">
        <v>235768</v>
      </c>
      <c r="G14" s="160"/>
      <c r="H14" s="160">
        <v>0</v>
      </c>
      <c r="I14" s="57" t="s">
        <v>167</v>
      </c>
      <c r="J14" s="288">
        <v>0.22564999999999999</v>
      </c>
      <c r="K14" s="160">
        <f t="shared" si="0"/>
        <v>0</v>
      </c>
      <c r="L14" s="7"/>
    </row>
    <row r="15" spans="1:12" x14ac:dyDescent="0.25">
      <c r="A15" s="7"/>
      <c r="B15" s="7"/>
      <c r="C15" s="7"/>
      <c r="D15" s="15">
        <v>311</v>
      </c>
      <c r="E15" s="57" t="s">
        <v>486</v>
      </c>
      <c r="F15" s="160">
        <v>247223</v>
      </c>
      <c r="G15" s="160"/>
      <c r="H15" s="160">
        <v>0</v>
      </c>
      <c r="I15" s="57" t="s">
        <v>168</v>
      </c>
      <c r="J15" s="288">
        <v>0.22437000000000001</v>
      </c>
      <c r="K15" s="160">
        <f t="shared" si="0"/>
        <v>0</v>
      </c>
      <c r="L15" s="7"/>
    </row>
    <row r="16" spans="1:12" x14ac:dyDescent="0.25">
      <c r="A16" s="7"/>
      <c r="B16" s="7"/>
      <c r="C16" s="7"/>
      <c r="D16" s="15">
        <v>312</v>
      </c>
      <c r="E16" s="57" t="s">
        <v>486</v>
      </c>
      <c r="F16" s="160">
        <v>14606</v>
      </c>
      <c r="G16" s="160"/>
      <c r="H16" s="160">
        <v>0</v>
      </c>
      <c r="I16" s="57" t="s">
        <v>167</v>
      </c>
      <c r="J16" s="288">
        <v>0.22564999999999999</v>
      </c>
      <c r="K16" s="160">
        <f t="shared" si="0"/>
        <v>0</v>
      </c>
      <c r="L16" s="7"/>
    </row>
    <row r="17" spans="1:12" x14ac:dyDescent="0.25">
      <c r="A17" s="7"/>
      <c r="B17" s="7"/>
      <c r="C17" s="7"/>
      <c r="D17" s="15">
        <v>312</v>
      </c>
      <c r="E17" s="57" t="s">
        <v>486</v>
      </c>
      <c r="F17" s="160">
        <v>14552316</v>
      </c>
      <c r="G17" s="160"/>
      <c r="H17" s="160">
        <v>0</v>
      </c>
      <c r="I17" s="57" t="s">
        <v>168</v>
      </c>
      <c r="J17" s="288">
        <v>0.22437000000000001</v>
      </c>
      <c r="K17" s="160">
        <f t="shared" si="0"/>
        <v>0</v>
      </c>
      <c r="L17" s="7"/>
    </row>
    <row r="18" spans="1:12" x14ac:dyDescent="0.25">
      <c r="A18" s="7"/>
      <c r="B18" s="7"/>
      <c r="C18" s="7"/>
      <c r="D18" s="15">
        <v>314</v>
      </c>
      <c r="E18" s="57" t="s">
        <v>486</v>
      </c>
      <c r="F18" s="160">
        <v>-33921</v>
      </c>
      <c r="G18" s="160"/>
      <c r="H18" s="160">
        <v>0</v>
      </c>
      <c r="I18" s="57" t="s">
        <v>167</v>
      </c>
      <c r="J18" s="288">
        <v>0.22564999999999999</v>
      </c>
      <c r="K18" s="160">
        <f t="shared" si="0"/>
        <v>0</v>
      </c>
      <c r="L18" s="7"/>
    </row>
    <row r="19" spans="1:12" x14ac:dyDescent="0.25">
      <c r="A19" s="7"/>
      <c r="B19" s="7"/>
      <c r="C19" s="7"/>
      <c r="D19" s="15">
        <v>314</v>
      </c>
      <c r="E19" s="57" t="s">
        <v>486</v>
      </c>
      <c r="F19" s="160">
        <v>-2094791</v>
      </c>
      <c r="G19" s="160"/>
      <c r="H19" s="160">
        <v>0</v>
      </c>
      <c r="I19" s="57" t="s">
        <v>168</v>
      </c>
      <c r="J19" s="288">
        <v>0.22437000000000001</v>
      </c>
      <c r="K19" s="160">
        <f t="shared" si="0"/>
        <v>0</v>
      </c>
      <c r="L19" s="7"/>
    </row>
    <row r="20" spans="1:12" x14ac:dyDescent="0.25">
      <c r="A20" s="7"/>
      <c r="B20" s="7"/>
      <c r="C20" s="7"/>
      <c r="D20" s="15">
        <v>315</v>
      </c>
      <c r="E20" s="57" t="s">
        <v>486</v>
      </c>
      <c r="F20" s="160">
        <v>69992</v>
      </c>
      <c r="G20" s="160"/>
      <c r="H20" s="160">
        <v>0</v>
      </c>
      <c r="I20" s="57" t="s">
        <v>167</v>
      </c>
      <c r="J20" s="288">
        <v>0.22564999999999999</v>
      </c>
      <c r="K20" s="160">
        <f t="shared" si="0"/>
        <v>0</v>
      </c>
      <c r="L20" s="7"/>
    </row>
    <row r="21" spans="1:12" x14ac:dyDescent="0.25">
      <c r="A21" s="7"/>
      <c r="B21" s="7"/>
      <c r="C21" s="7"/>
      <c r="D21" s="15">
        <v>315</v>
      </c>
      <c r="E21" s="57" t="s">
        <v>486</v>
      </c>
      <c r="F21" s="160">
        <v>95129</v>
      </c>
      <c r="G21" s="160"/>
      <c r="H21" s="160">
        <v>0</v>
      </c>
      <c r="I21" s="57" t="s">
        <v>168</v>
      </c>
      <c r="J21" s="288">
        <v>0.22437000000000001</v>
      </c>
      <c r="K21" s="160">
        <f t="shared" si="0"/>
        <v>0</v>
      </c>
      <c r="L21" s="7"/>
    </row>
    <row r="22" spans="1:12" x14ac:dyDescent="0.25">
      <c r="A22" s="7"/>
      <c r="B22" s="7"/>
      <c r="C22" s="7"/>
      <c r="D22" s="57">
        <v>316</v>
      </c>
      <c r="E22" s="57" t="s">
        <v>486</v>
      </c>
      <c r="F22" s="160">
        <v>-1038</v>
      </c>
      <c r="G22" s="160"/>
      <c r="H22" s="160">
        <v>0</v>
      </c>
      <c r="I22" s="57" t="s">
        <v>167</v>
      </c>
      <c r="J22" s="288">
        <v>0.22564999999999999</v>
      </c>
      <c r="K22" s="160">
        <f t="shared" si="0"/>
        <v>0</v>
      </c>
      <c r="L22" s="7"/>
    </row>
    <row r="23" spans="1:12" x14ac:dyDescent="0.25">
      <c r="A23" s="7"/>
      <c r="B23" s="7"/>
      <c r="C23" s="7"/>
      <c r="D23" s="57">
        <v>316</v>
      </c>
      <c r="E23" s="57" t="s">
        <v>486</v>
      </c>
      <c r="F23" s="160">
        <v>-297</v>
      </c>
      <c r="G23" s="160"/>
      <c r="H23" s="160">
        <v>0</v>
      </c>
      <c r="I23" s="57" t="s">
        <v>168</v>
      </c>
      <c r="J23" s="288">
        <v>0.22437000000000001</v>
      </c>
      <c r="K23" s="160">
        <f t="shared" si="0"/>
        <v>0</v>
      </c>
      <c r="L23" s="7"/>
    </row>
    <row r="24" spans="1:12" x14ac:dyDescent="0.25">
      <c r="A24" s="7"/>
      <c r="B24" s="7"/>
      <c r="C24" s="7"/>
      <c r="D24" s="57">
        <v>331</v>
      </c>
      <c r="E24" s="57" t="s">
        <v>486</v>
      </c>
      <c r="F24" s="160">
        <v>6750524</v>
      </c>
      <c r="G24" s="160"/>
      <c r="H24" s="160">
        <v>0</v>
      </c>
      <c r="I24" s="57" t="s">
        <v>167</v>
      </c>
      <c r="J24" s="288">
        <v>0.22564999999999999</v>
      </c>
      <c r="K24" s="160">
        <f t="shared" si="0"/>
        <v>0</v>
      </c>
      <c r="L24" s="7"/>
    </row>
    <row r="25" spans="1:12" x14ac:dyDescent="0.25">
      <c r="A25" s="7"/>
      <c r="B25" s="7"/>
      <c r="C25" s="7"/>
      <c r="D25" s="57">
        <v>332</v>
      </c>
      <c r="E25" s="57" t="s">
        <v>486</v>
      </c>
      <c r="F25" s="160">
        <v>1362510</v>
      </c>
      <c r="G25" s="160"/>
      <c r="H25" s="160">
        <v>0</v>
      </c>
      <c r="I25" s="57" t="s">
        <v>167</v>
      </c>
      <c r="J25" s="288">
        <v>0.22564999999999999</v>
      </c>
      <c r="K25" s="160">
        <f t="shared" si="0"/>
        <v>0</v>
      </c>
      <c r="L25" s="7"/>
    </row>
    <row r="26" spans="1:12" x14ac:dyDescent="0.25">
      <c r="A26" s="7"/>
      <c r="B26" s="7"/>
      <c r="C26" s="7"/>
      <c r="D26" s="57">
        <v>333</v>
      </c>
      <c r="E26" s="57" t="s">
        <v>486</v>
      </c>
      <c r="F26" s="160">
        <v>1213532</v>
      </c>
      <c r="G26" s="160"/>
      <c r="H26" s="160">
        <v>0</v>
      </c>
      <c r="I26" s="57" t="s">
        <v>167</v>
      </c>
      <c r="J26" s="288">
        <v>0.22564999999999999</v>
      </c>
      <c r="K26" s="160">
        <f t="shared" si="0"/>
        <v>0</v>
      </c>
      <c r="L26" s="7"/>
    </row>
    <row r="27" spans="1:12" x14ac:dyDescent="0.25">
      <c r="A27" s="7"/>
      <c r="B27" s="7"/>
      <c r="C27" s="7"/>
      <c r="D27" s="57">
        <v>334</v>
      </c>
      <c r="E27" s="57" t="s">
        <v>486</v>
      </c>
      <c r="F27" s="160">
        <v>508338</v>
      </c>
      <c r="G27" s="160"/>
      <c r="H27" s="160">
        <v>0</v>
      </c>
      <c r="I27" s="57" t="s">
        <v>167</v>
      </c>
      <c r="J27" s="288">
        <v>0.22564999999999999</v>
      </c>
      <c r="K27" s="160">
        <f t="shared" si="0"/>
        <v>0</v>
      </c>
      <c r="L27" s="7"/>
    </row>
    <row r="28" spans="1:12" x14ac:dyDescent="0.25">
      <c r="A28" s="7"/>
      <c r="B28" s="7"/>
      <c r="C28" s="7"/>
      <c r="D28" s="57">
        <v>336</v>
      </c>
      <c r="E28" s="57" t="s">
        <v>486</v>
      </c>
      <c r="F28" s="160">
        <v>56614</v>
      </c>
      <c r="G28" s="160"/>
      <c r="H28" s="160">
        <v>0</v>
      </c>
      <c r="I28" s="57" t="s">
        <v>167</v>
      </c>
      <c r="J28" s="288">
        <v>0.22564999999999999</v>
      </c>
      <c r="K28" s="160">
        <f t="shared" si="0"/>
        <v>0</v>
      </c>
      <c r="L28" s="7"/>
    </row>
    <row r="29" spans="1:12" x14ac:dyDescent="0.25">
      <c r="A29" s="7"/>
      <c r="B29" s="7"/>
      <c r="C29" s="7"/>
      <c r="D29" s="57">
        <v>341</v>
      </c>
      <c r="E29" s="57" t="s">
        <v>486</v>
      </c>
      <c r="F29" s="160">
        <v>86733</v>
      </c>
      <c r="G29" s="160"/>
      <c r="H29" s="160">
        <v>0</v>
      </c>
      <c r="I29" s="57" t="s">
        <v>167</v>
      </c>
      <c r="J29" s="288">
        <v>0.22564999999999999</v>
      </c>
      <c r="K29" s="160">
        <f t="shared" si="0"/>
        <v>0</v>
      </c>
      <c r="L29" s="7"/>
    </row>
    <row r="30" spans="1:12" x14ac:dyDescent="0.25">
      <c r="A30" s="7"/>
      <c r="B30" s="7"/>
      <c r="C30" s="7"/>
      <c r="D30" s="57">
        <v>343</v>
      </c>
      <c r="E30" s="57" t="s">
        <v>486</v>
      </c>
      <c r="F30" s="160">
        <v>7137701</v>
      </c>
      <c r="G30" s="160"/>
      <c r="H30" s="160">
        <v>0</v>
      </c>
      <c r="I30" s="57" t="s">
        <v>167</v>
      </c>
      <c r="J30" s="288">
        <v>0.22564999999999999</v>
      </c>
      <c r="K30" s="160">
        <f t="shared" si="0"/>
        <v>0</v>
      </c>
      <c r="L30" s="7"/>
    </row>
    <row r="31" spans="1:12" x14ac:dyDescent="0.25">
      <c r="A31" s="7"/>
      <c r="B31" s="7"/>
      <c r="C31" s="7"/>
      <c r="D31" s="57">
        <v>344</v>
      </c>
      <c r="E31" s="57" t="s">
        <v>486</v>
      </c>
      <c r="F31" s="160">
        <v>500402</v>
      </c>
      <c r="G31" s="160"/>
      <c r="H31" s="160">
        <v>0</v>
      </c>
      <c r="I31" s="57" t="s">
        <v>167</v>
      </c>
      <c r="J31" s="288">
        <v>0.22564999999999999</v>
      </c>
      <c r="K31" s="160">
        <f t="shared" si="0"/>
        <v>0</v>
      </c>
      <c r="L31" s="7"/>
    </row>
    <row r="32" spans="1:12" x14ac:dyDescent="0.25">
      <c r="A32" s="7"/>
      <c r="B32" s="7"/>
      <c r="C32" s="7"/>
      <c r="D32" s="57">
        <v>345</v>
      </c>
      <c r="E32" s="57" t="s">
        <v>486</v>
      </c>
      <c r="F32" s="160">
        <v>93855</v>
      </c>
      <c r="G32" s="160"/>
      <c r="H32" s="160">
        <v>0</v>
      </c>
      <c r="I32" s="57" t="s">
        <v>167</v>
      </c>
      <c r="J32" s="288">
        <v>0.22564999999999999</v>
      </c>
      <c r="K32" s="160">
        <f t="shared" si="0"/>
        <v>0</v>
      </c>
      <c r="L32" s="7"/>
    </row>
    <row r="33" spans="1:12" x14ac:dyDescent="0.25">
      <c r="A33" s="7"/>
      <c r="B33" s="7"/>
      <c r="C33" s="7"/>
      <c r="D33" s="57">
        <v>346</v>
      </c>
      <c r="E33" s="57" t="s">
        <v>486</v>
      </c>
      <c r="F33" s="160">
        <v>-236</v>
      </c>
      <c r="G33" s="160"/>
      <c r="H33" s="160">
        <v>0</v>
      </c>
      <c r="I33" s="57" t="s">
        <v>167</v>
      </c>
      <c r="J33" s="288">
        <v>0.22564999999999999</v>
      </c>
      <c r="K33" s="160">
        <f t="shared" si="0"/>
        <v>0</v>
      </c>
      <c r="L33" s="7"/>
    </row>
    <row r="34" spans="1:12" x14ac:dyDescent="0.25">
      <c r="A34" s="7"/>
      <c r="B34" s="7"/>
      <c r="C34" s="7"/>
      <c r="D34" s="57">
        <v>350</v>
      </c>
      <c r="E34" s="57" t="s">
        <v>486</v>
      </c>
      <c r="F34" s="160">
        <v>1441727</v>
      </c>
      <c r="G34" s="160"/>
      <c r="H34" s="160">
        <v>0</v>
      </c>
      <c r="I34" s="57" t="s">
        <v>167</v>
      </c>
      <c r="J34" s="288">
        <v>0.22564999999999999</v>
      </c>
      <c r="K34" s="160">
        <f t="shared" si="0"/>
        <v>0</v>
      </c>
      <c r="L34" s="7"/>
    </row>
    <row r="35" spans="1:12" x14ac:dyDescent="0.25">
      <c r="A35" s="7"/>
      <c r="B35" s="7"/>
      <c r="C35" s="7"/>
      <c r="D35" s="57">
        <v>352</v>
      </c>
      <c r="E35" s="57" t="s">
        <v>486</v>
      </c>
      <c r="F35" s="160">
        <v>2348767</v>
      </c>
      <c r="G35" s="160"/>
      <c r="H35" s="160">
        <v>0</v>
      </c>
      <c r="I35" s="57" t="s">
        <v>167</v>
      </c>
      <c r="J35" s="288">
        <v>0.22564999999999999</v>
      </c>
      <c r="K35" s="160">
        <f t="shared" si="0"/>
        <v>0</v>
      </c>
      <c r="L35" s="7"/>
    </row>
    <row r="36" spans="1:12" x14ac:dyDescent="0.25">
      <c r="A36" s="7"/>
      <c r="B36" s="7"/>
      <c r="C36" s="7"/>
      <c r="D36" s="57">
        <v>352</v>
      </c>
      <c r="E36" s="57" t="s">
        <v>486</v>
      </c>
      <c r="F36" s="160">
        <v>41117</v>
      </c>
      <c r="G36" s="160"/>
      <c r="H36" s="160">
        <v>0</v>
      </c>
      <c r="I36" s="57" t="s">
        <v>168</v>
      </c>
      <c r="J36" s="288">
        <v>0.22437000000000001</v>
      </c>
      <c r="K36" s="160">
        <f t="shared" si="0"/>
        <v>0</v>
      </c>
      <c r="L36" s="7"/>
    </row>
    <row r="37" spans="1:12" x14ac:dyDescent="0.25">
      <c r="A37" s="7"/>
      <c r="B37" s="7"/>
      <c r="C37" s="7"/>
      <c r="D37" s="57">
        <v>353</v>
      </c>
      <c r="E37" s="57" t="s">
        <v>486</v>
      </c>
      <c r="F37" s="160">
        <v>4855895</v>
      </c>
      <c r="G37" s="160"/>
      <c r="H37" s="160">
        <v>0</v>
      </c>
      <c r="I37" s="57" t="s">
        <v>167</v>
      </c>
      <c r="J37" s="288">
        <v>0.22564999999999999</v>
      </c>
      <c r="K37" s="160">
        <f t="shared" si="0"/>
        <v>0</v>
      </c>
      <c r="L37" s="7"/>
    </row>
    <row r="38" spans="1:12" x14ac:dyDescent="0.25">
      <c r="A38" s="7"/>
      <c r="B38" s="7"/>
      <c r="C38" s="7"/>
      <c r="D38" s="57">
        <v>353</v>
      </c>
      <c r="E38" s="57" t="s">
        <v>486</v>
      </c>
      <c r="F38" s="160">
        <v>1307438</v>
      </c>
      <c r="G38" s="160"/>
      <c r="H38" s="160">
        <v>0</v>
      </c>
      <c r="I38" s="57" t="s">
        <v>168</v>
      </c>
      <c r="J38" s="288">
        <v>0.22437000000000001</v>
      </c>
      <c r="K38" s="160">
        <f t="shared" si="0"/>
        <v>0</v>
      </c>
      <c r="L38" s="7"/>
    </row>
    <row r="39" spans="1:12" x14ac:dyDescent="0.25">
      <c r="A39" s="7"/>
      <c r="B39" s="7"/>
      <c r="C39" s="7"/>
      <c r="D39" s="57">
        <v>354</v>
      </c>
      <c r="E39" s="57" t="s">
        <v>486</v>
      </c>
      <c r="F39" s="160">
        <v>831079</v>
      </c>
      <c r="G39" s="160"/>
      <c r="H39" s="160">
        <v>0</v>
      </c>
      <c r="I39" s="57" t="s">
        <v>167</v>
      </c>
      <c r="J39" s="288">
        <v>0.22564999999999999</v>
      </c>
      <c r="K39" s="160">
        <f t="shared" si="0"/>
        <v>0</v>
      </c>
      <c r="L39" s="7"/>
    </row>
    <row r="40" spans="1:12" x14ac:dyDescent="0.25">
      <c r="A40" s="7"/>
      <c r="B40" s="7"/>
      <c r="C40" s="7"/>
      <c r="D40" s="57">
        <v>355</v>
      </c>
      <c r="E40" s="57" t="s">
        <v>486</v>
      </c>
      <c r="F40" s="160">
        <v>3454327</v>
      </c>
      <c r="G40" s="160"/>
      <c r="H40" s="160">
        <v>0</v>
      </c>
      <c r="I40" s="57" t="s">
        <v>167</v>
      </c>
      <c r="J40" s="288">
        <v>0.22564999999999999</v>
      </c>
      <c r="K40" s="160">
        <f t="shared" si="0"/>
        <v>0</v>
      </c>
      <c r="L40" s="7"/>
    </row>
    <row r="41" spans="1:12" x14ac:dyDescent="0.25">
      <c r="A41" s="7"/>
      <c r="B41" s="7"/>
      <c r="C41" s="7"/>
      <c r="D41" s="57">
        <v>355</v>
      </c>
      <c r="E41" s="57" t="s">
        <v>486</v>
      </c>
      <c r="F41" s="160">
        <v>-2201</v>
      </c>
      <c r="G41" s="160"/>
      <c r="H41" s="160">
        <v>0</v>
      </c>
      <c r="I41" s="57" t="s">
        <v>168</v>
      </c>
      <c r="J41" s="288">
        <v>0.22437000000000001</v>
      </c>
      <c r="K41" s="160">
        <f t="shared" si="0"/>
        <v>0</v>
      </c>
      <c r="L41" s="7"/>
    </row>
    <row r="42" spans="1:12" x14ac:dyDescent="0.25">
      <c r="A42" s="7"/>
      <c r="B42" s="7"/>
      <c r="C42" s="7"/>
      <c r="D42" s="57">
        <v>356</v>
      </c>
      <c r="E42" s="57" t="s">
        <v>486</v>
      </c>
      <c r="F42" s="160">
        <v>2327065</v>
      </c>
      <c r="G42" s="160"/>
      <c r="H42" s="160">
        <v>0</v>
      </c>
      <c r="I42" s="57" t="s">
        <v>167</v>
      </c>
      <c r="J42" s="288">
        <v>0.22564999999999999</v>
      </c>
      <c r="K42" s="160">
        <f t="shared" si="0"/>
        <v>0</v>
      </c>
      <c r="L42" s="7"/>
    </row>
    <row r="43" spans="1:12" x14ac:dyDescent="0.25">
      <c r="D43" s="57">
        <v>356</v>
      </c>
      <c r="E43" s="57" t="s">
        <v>486</v>
      </c>
      <c r="F43" s="160">
        <v>-10</v>
      </c>
      <c r="H43" s="160">
        <v>0</v>
      </c>
      <c r="I43" s="57" t="s">
        <v>168</v>
      </c>
      <c r="J43" s="288">
        <v>0.22437000000000001</v>
      </c>
      <c r="K43" s="160">
        <f t="shared" si="0"/>
        <v>0</v>
      </c>
    </row>
    <row r="44" spans="1:12" x14ac:dyDescent="0.25">
      <c r="D44" s="57">
        <v>356</v>
      </c>
      <c r="E44" s="57" t="s">
        <v>486</v>
      </c>
      <c r="F44" s="160">
        <v>79</v>
      </c>
      <c r="H44" s="160">
        <v>0</v>
      </c>
      <c r="I44" s="57" t="s">
        <v>520</v>
      </c>
      <c r="J44" s="288">
        <v>8.2290000000000002E-2</v>
      </c>
      <c r="K44" s="160">
        <f t="shared" si="0"/>
        <v>0</v>
      </c>
    </row>
    <row r="45" spans="1:12" x14ac:dyDescent="0.25">
      <c r="D45" s="57">
        <v>357</v>
      </c>
      <c r="E45" s="57" t="s">
        <v>486</v>
      </c>
      <c r="F45" s="160">
        <v>-334</v>
      </c>
      <c r="H45" s="160">
        <v>0</v>
      </c>
      <c r="I45" s="57" t="s">
        <v>167</v>
      </c>
      <c r="J45" s="288">
        <v>0.22564999999999999</v>
      </c>
      <c r="K45" s="160">
        <f t="shared" si="0"/>
        <v>0</v>
      </c>
    </row>
    <row r="46" spans="1:12" x14ac:dyDescent="0.25">
      <c r="D46" s="57">
        <v>360</v>
      </c>
      <c r="E46" s="57" t="s">
        <v>486</v>
      </c>
      <c r="F46" s="160">
        <v>54757</v>
      </c>
      <c r="H46" s="160">
        <v>0</v>
      </c>
      <c r="I46" s="1" t="s">
        <v>504</v>
      </c>
      <c r="J46" s="1" t="s">
        <v>505</v>
      </c>
      <c r="K46" s="160">
        <f>H46</f>
        <v>0</v>
      </c>
    </row>
    <row r="47" spans="1:12" x14ac:dyDescent="0.25">
      <c r="D47" s="57">
        <v>361</v>
      </c>
      <c r="E47" s="57" t="s">
        <v>486</v>
      </c>
      <c r="F47" s="160">
        <v>148287</v>
      </c>
      <c r="H47" s="160">
        <v>0</v>
      </c>
      <c r="I47" s="1" t="s">
        <v>504</v>
      </c>
      <c r="J47" s="1" t="s">
        <v>505</v>
      </c>
      <c r="K47" s="160">
        <f t="shared" ref="K47:K54" si="1">H47</f>
        <v>0</v>
      </c>
    </row>
    <row r="48" spans="1:12" x14ac:dyDescent="0.25">
      <c r="D48" s="57">
        <v>362</v>
      </c>
      <c r="E48" s="57" t="s">
        <v>486</v>
      </c>
      <c r="F48" s="160">
        <v>3448829</v>
      </c>
      <c r="H48" s="160">
        <v>0</v>
      </c>
      <c r="I48" s="1" t="s">
        <v>504</v>
      </c>
      <c r="J48" s="1" t="s">
        <v>505</v>
      </c>
      <c r="K48" s="160">
        <f t="shared" si="1"/>
        <v>0</v>
      </c>
    </row>
    <row r="49" spans="2:11" x14ac:dyDescent="0.25">
      <c r="D49" s="57">
        <v>364</v>
      </c>
      <c r="E49" s="57" t="s">
        <v>486</v>
      </c>
      <c r="F49" s="160">
        <v>1111536</v>
      </c>
      <c r="H49" s="160">
        <v>0</v>
      </c>
      <c r="I49" s="1" t="s">
        <v>504</v>
      </c>
      <c r="J49" s="1" t="s">
        <v>505</v>
      </c>
      <c r="K49" s="160">
        <f t="shared" si="1"/>
        <v>0</v>
      </c>
    </row>
    <row r="50" spans="2:11" x14ac:dyDescent="0.25">
      <c r="D50" s="57">
        <v>365</v>
      </c>
      <c r="E50" s="57" t="s">
        <v>486</v>
      </c>
      <c r="F50" s="160">
        <v>1483378</v>
      </c>
      <c r="H50" s="160">
        <v>0</v>
      </c>
      <c r="I50" s="1" t="s">
        <v>504</v>
      </c>
      <c r="J50" s="1" t="s">
        <v>505</v>
      </c>
      <c r="K50" s="160">
        <f t="shared" si="1"/>
        <v>0</v>
      </c>
    </row>
    <row r="51" spans="2:11" x14ac:dyDescent="0.25">
      <c r="D51" s="57">
        <v>366</v>
      </c>
      <c r="E51" s="57" t="s">
        <v>486</v>
      </c>
      <c r="F51" s="160">
        <v>259558</v>
      </c>
      <c r="H51" s="160">
        <v>0</v>
      </c>
      <c r="I51" s="1" t="s">
        <v>504</v>
      </c>
      <c r="J51" s="1" t="s">
        <v>505</v>
      </c>
      <c r="K51" s="160">
        <f t="shared" si="1"/>
        <v>0</v>
      </c>
    </row>
    <row r="52" spans="2:11" x14ac:dyDescent="0.25">
      <c r="D52" s="57">
        <v>367</v>
      </c>
      <c r="E52" s="57" t="s">
        <v>486</v>
      </c>
      <c r="F52" s="160">
        <v>518899</v>
      </c>
      <c r="H52" s="160">
        <v>0</v>
      </c>
      <c r="I52" s="1" t="s">
        <v>504</v>
      </c>
      <c r="J52" s="1" t="s">
        <v>505</v>
      </c>
      <c r="K52" s="160">
        <f t="shared" si="1"/>
        <v>0</v>
      </c>
    </row>
    <row r="53" spans="2:11" x14ac:dyDescent="0.25">
      <c r="D53" s="57">
        <v>368</v>
      </c>
      <c r="E53" s="57" t="s">
        <v>486</v>
      </c>
      <c r="F53" s="160">
        <v>1099994</v>
      </c>
      <c r="H53" s="160">
        <v>0</v>
      </c>
      <c r="I53" s="1" t="s">
        <v>504</v>
      </c>
      <c r="J53" s="1" t="s">
        <v>505</v>
      </c>
      <c r="K53" s="160">
        <f t="shared" si="1"/>
        <v>0</v>
      </c>
    </row>
    <row r="54" spans="2:11" x14ac:dyDescent="0.25">
      <c r="D54" s="57">
        <v>369</v>
      </c>
      <c r="E54" s="57" t="s">
        <v>486</v>
      </c>
      <c r="F54" s="169">
        <v>904129</v>
      </c>
      <c r="G54" s="4"/>
      <c r="H54" s="169">
        <v>0</v>
      </c>
      <c r="I54" s="1" t="s">
        <v>504</v>
      </c>
      <c r="J54" s="1" t="s">
        <v>505</v>
      </c>
      <c r="K54" s="169">
        <f t="shared" si="1"/>
        <v>0</v>
      </c>
    </row>
    <row r="55" spans="2:11" x14ac:dyDescent="0.25">
      <c r="F55" s="6"/>
      <c r="H55" s="6"/>
      <c r="K55" s="6"/>
    </row>
    <row r="56" spans="2:11" x14ac:dyDescent="0.25">
      <c r="F56" s="6"/>
      <c r="H56" s="6"/>
      <c r="K56" s="6"/>
    </row>
    <row r="57" spans="2:11" x14ac:dyDescent="0.25">
      <c r="B57" s="487" t="s">
        <v>392</v>
      </c>
      <c r="C57" s="254"/>
      <c r="D57" s="256"/>
      <c r="E57" s="256"/>
      <c r="F57" s="256"/>
      <c r="G57" s="256"/>
      <c r="H57" s="256"/>
      <c r="I57" s="256"/>
      <c r="J57" s="256"/>
      <c r="K57" s="334" t="s">
        <v>275</v>
      </c>
    </row>
    <row r="58" spans="2:11" x14ac:dyDescent="0.25">
      <c r="B58" t="s">
        <v>704</v>
      </c>
      <c r="C58" s="254"/>
      <c r="D58" s="256"/>
      <c r="E58" s="256"/>
      <c r="F58" s="256"/>
      <c r="G58" s="256"/>
      <c r="H58" s="256"/>
      <c r="I58" s="256"/>
      <c r="J58" s="256"/>
      <c r="K58" s="334" t="s">
        <v>189</v>
      </c>
    </row>
    <row r="59" spans="2:11" x14ac:dyDescent="0.25">
      <c r="B59" s="56" t="s">
        <v>273</v>
      </c>
      <c r="C59" s="254"/>
      <c r="D59" s="256"/>
      <c r="E59" s="256"/>
      <c r="F59" s="256"/>
      <c r="G59" s="256"/>
      <c r="H59" s="256"/>
      <c r="I59" s="256"/>
      <c r="J59" s="256"/>
      <c r="K59" s="521" t="s">
        <v>748</v>
      </c>
    </row>
    <row r="60" spans="2:11" x14ac:dyDescent="0.25">
      <c r="B60" s="502"/>
      <c r="C60" s="254"/>
      <c r="D60" s="256"/>
      <c r="E60" s="256"/>
      <c r="F60" s="256"/>
      <c r="G60" s="256"/>
      <c r="H60" s="256"/>
      <c r="I60" s="256"/>
      <c r="J60" s="256"/>
      <c r="K60" s="334" t="s">
        <v>744</v>
      </c>
    </row>
    <row r="61" spans="2:11" x14ac:dyDescent="0.25">
      <c r="B61" s="503" t="s">
        <v>597</v>
      </c>
      <c r="C61" s="254"/>
      <c r="D61" s="256"/>
      <c r="E61" s="256"/>
      <c r="F61" s="256"/>
      <c r="G61" s="256"/>
      <c r="H61" s="256"/>
      <c r="I61" s="256"/>
      <c r="J61" s="256"/>
      <c r="K61" s="256"/>
    </row>
    <row r="62" spans="2:11" x14ac:dyDescent="0.25">
      <c r="B62" s="120" t="s">
        <v>706</v>
      </c>
      <c r="C62" s="254"/>
      <c r="D62" s="256"/>
      <c r="E62" s="256"/>
      <c r="F62" s="256" t="s">
        <v>477</v>
      </c>
      <c r="G62" s="256"/>
      <c r="H62" s="256" t="s">
        <v>510</v>
      </c>
      <c r="I62" s="256"/>
      <c r="J62" s="256"/>
      <c r="K62" s="256" t="s">
        <v>478</v>
      </c>
    </row>
    <row r="63" spans="2:11" x14ac:dyDescent="0.25">
      <c r="B63" s="254"/>
      <c r="C63" s="254"/>
      <c r="D63" s="258" t="s">
        <v>479</v>
      </c>
      <c r="E63" s="258" t="s">
        <v>480</v>
      </c>
      <c r="F63" s="258" t="s">
        <v>481</v>
      </c>
      <c r="G63" s="258"/>
      <c r="H63" s="258" t="s">
        <v>511</v>
      </c>
      <c r="I63" s="258" t="s">
        <v>482</v>
      </c>
      <c r="J63" s="258" t="s">
        <v>483</v>
      </c>
      <c r="K63" s="258" t="s">
        <v>484</v>
      </c>
    </row>
    <row r="64" spans="2:11" x14ac:dyDescent="0.25">
      <c r="B64" s="261"/>
      <c r="C64" s="260"/>
      <c r="D64" s="262"/>
      <c r="E64" s="262"/>
      <c r="F64" s="262" t="s">
        <v>507</v>
      </c>
      <c r="G64" s="262"/>
      <c r="H64" s="262"/>
      <c r="I64" s="262"/>
      <c r="J64" s="262"/>
      <c r="K64" s="263"/>
    </row>
    <row r="65" spans="2:11" x14ac:dyDescent="0.25">
      <c r="B65" s="261" t="s">
        <v>193</v>
      </c>
    </row>
    <row r="66" spans="2:11" x14ac:dyDescent="0.25">
      <c r="D66" s="57">
        <v>370</v>
      </c>
      <c r="E66" s="57" t="s">
        <v>486</v>
      </c>
      <c r="F66" s="160">
        <v>95781</v>
      </c>
      <c r="H66" s="160">
        <v>0</v>
      </c>
      <c r="I66" s="1" t="s">
        <v>504</v>
      </c>
      <c r="J66" s="1" t="s">
        <v>505</v>
      </c>
      <c r="K66" s="160">
        <f t="shared" ref="K66:K68" si="2">H66</f>
        <v>0</v>
      </c>
    </row>
    <row r="67" spans="2:11" x14ac:dyDescent="0.25">
      <c r="D67" s="57">
        <v>371</v>
      </c>
      <c r="E67" s="57" t="s">
        <v>486</v>
      </c>
      <c r="F67" s="160">
        <v>-418</v>
      </c>
      <c r="H67" s="160">
        <v>0</v>
      </c>
      <c r="I67" s="1" t="s">
        <v>504</v>
      </c>
      <c r="J67" s="1" t="s">
        <v>505</v>
      </c>
      <c r="K67" s="160">
        <f t="shared" si="2"/>
        <v>0</v>
      </c>
    </row>
    <row r="68" spans="2:11" x14ac:dyDescent="0.25">
      <c r="D68" s="57">
        <v>373</v>
      </c>
      <c r="E68" s="57" t="s">
        <v>486</v>
      </c>
      <c r="F68" s="160">
        <v>30467</v>
      </c>
      <c r="H68" s="160">
        <v>0</v>
      </c>
      <c r="I68" s="1" t="s">
        <v>504</v>
      </c>
      <c r="J68" s="1" t="s">
        <v>505</v>
      </c>
      <c r="K68" s="160">
        <f t="shared" si="2"/>
        <v>0</v>
      </c>
    </row>
    <row r="69" spans="2:11" x14ac:dyDescent="0.25">
      <c r="D69" s="57">
        <v>390</v>
      </c>
      <c r="E69" s="57" t="s">
        <v>486</v>
      </c>
      <c r="F69" s="160">
        <v>-1597794</v>
      </c>
      <c r="H69" s="160">
        <v>0</v>
      </c>
      <c r="I69" s="1" t="s">
        <v>516</v>
      </c>
      <c r="J69" s="288">
        <v>6.8839999999999998E-2</v>
      </c>
      <c r="K69" s="160">
        <f t="shared" ref="K69:K70" si="3">H69*J69</f>
        <v>0</v>
      </c>
    </row>
    <row r="70" spans="2:11" x14ac:dyDescent="0.25">
      <c r="D70" s="57">
        <v>390</v>
      </c>
      <c r="E70" s="57" t="s">
        <v>486</v>
      </c>
      <c r="F70" s="160">
        <v>1160397</v>
      </c>
      <c r="H70" s="160">
        <v>0</v>
      </c>
      <c r="I70" s="1" t="s">
        <v>515</v>
      </c>
      <c r="J70" s="288">
        <v>6.6549999999999998E-2</v>
      </c>
      <c r="K70" s="160">
        <f t="shared" si="3"/>
        <v>0</v>
      </c>
    </row>
    <row r="71" spans="2:11" x14ac:dyDescent="0.25">
      <c r="D71" s="57">
        <v>390</v>
      </c>
      <c r="E71" s="57" t="s">
        <v>486</v>
      </c>
      <c r="F71" s="160">
        <v>1651</v>
      </c>
      <c r="H71" s="160">
        <v>0</v>
      </c>
      <c r="I71" s="1" t="s">
        <v>504</v>
      </c>
      <c r="J71" s="1" t="s">
        <v>505</v>
      </c>
      <c r="K71" s="160">
        <f t="shared" ref="K71" si="4">H71</f>
        <v>0</v>
      </c>
    </row>
    <row r="72" spans="2:11" x14ac:dyDescent="0.25">
      <c r="D72" s="57">
        <v>391</v>
      </c>
      <c r="E72" s="57" t="s">
        <v>486</v>
      </c>
      <c r="F72" s="160">
        <v>-74301</v>
      </c>
      <c r="H72" s="160">
        <v>0</v>
      </c>
      <c r="I72" s="57" t="s">
        <v>167</v>
      </c>
      <c r="J72" s="288">
        <v>0.22564999999999999</v>
      </c>
      <c r="K72" s="160">
        <f t="shared" ref="K72:K75" si="5">H72*J72</f>
        <v>0</v>
      </c>
    </row>
    <row r="73" spans="2:11" x14ac:dyDescent="0.25">
      <c r="D73" s="57">
        <v>391</v>
      </c>
      <c r="E73" s="57" t="s">
        <v>486</v>
      </c>
      <c r="F73" s="160">
        <v>-47007</v>
      </c>
      <c r="H73" s="160">
        <v>0</v>
      </c>
      <c r="I73" s="1" t="s">
        <v>516</v>
      </c>
      <c r="J73" s="288">
        <v>6.8839999999999998E-2</v>
      </c>
      <c r="K73" s="160">
        <f t="shared" si="5"/>
        <v>0</v>
      </c>
    </row>
    <row r="74" spans="2:11" x14ac:dyDescent="0.25">
      <c r="D74" s="57">
        <v>391</v>
      </c>
      <c r="E74" s="57" t="s">
        <v>486</v>
      </c>
      <c r="F74" s="160">
        <v>-31536</v>
      </c>
      <c r="H74" s="160">
        <v>0</v>
      </c>
      <c r="I74" s="57" t="s">
        <v>168</v>
      </c>
      <c r="J74" s="288">
        <v>0.22437000000000001</v>
      </c>
      <c r="K74" s="160">
        <f t="shared" si="5"/>
        <v>0</v>
      </c>
    </row>
    <row r="75" spans="2:11" x14ac:dyDescent="0.25">
      <c r="D75" s="57">
        <v>391</v>
      </c>
      <c r="E75" s="57" t="s">
        <v>486</v>
      </c>
      <c r="F75" s="160">
        <v>931078</v>
      </c>
      <c r="H75" s="160">
        <v>0</v>
      </c>
      <c r="I75" s="1" t="s">
        <v>515</v>
      </c>
      <c r="J75" s="288">
        <v>6.6549999999999998E-2</v>
      </c>
      <c r="K75" s="160">
        <f t="shared" si="5"/>
        <v>0</v>
      </c>
    </row>
    <row r="76" spans="2:11" x14ac:dyDescent="0.25">
      <c r="D76" s="57">
        <v>391</v>
      </c>
      <c r="E76" s="57" t="s">
        <v>486</v>
      </c>
      <c r="F76" s="160">
        <v>-16836</v>
      </c>
      <c r="H76" s="160">
        <v>0</v>
      </c>
      <c r="I76" s="1" t="s">
        <v>504</v>
      </c>
      <c r="J76" s="1" t="s">
        <v>505</v>
      </c>
      <c r="K76" s="160">
        <f t="shared" ref="K76" si="6">H76</f>
        <v>0</v>
      </c>
    </row>
    <row r="77" spans="2:11" x14ac:dyDescent="0.25">
      <c r="D77" s="57">
        <v>392</v>
      </c>
      <c r="E77" s="57" t="s">
        <v>486</v>
      </c>
      <c r="F77" s="160">
        <v>-40636</v>
      </c>
      <c r="H77" s="160">
        <v>0</v>
      </c>
      <c r="I77" s="57" t="s">
        <v>167</v>
      </c>
      <c r="J77" s="288">
        <v>0.22564999999999999</v>
      </c>
      <c r="K77" s="160">
        <f t="shared" ref="K77:K78" si="7">H77*J77</f>
        <v>0</v>
      </c>
    </row>
    <row r="78" spans="2:11" x14ac:dyDescent="0.25">
      <c r="D78" s="57">
        <v>392</v>
      </c>
      <c r="E78" s="57" t="s">
        <v>486</v>
      </c>
      <c r="F78" s="160">
        <v>164542</v>
      </c>
      <c r="H78" s="160">
        <v>0</v>
      </c>
      <c r="I78" s="1" t="s">
        <v>515</v>
      </c>
      <c r="J78" s="288">
        <v>6.6549999999999998E-2</v>
      </c>
      <c r="K78" s="160">
        <f t="shared" si="7"/>
        <v>0</v>
      </c>
    </row>
    <row r="79" spans="2:11" x14ac:dyDescent="0.25">
      <c r="D79" s="57">
        <v>392</v>
      </c>
      <c r="E79" s="57" t="s">
        <v>486</v>
      </c>
      <c r="F79" s="160">
        <v>14040</v>
      </c>
      <c r="H79" s="160">
        <v>0</v>
      </c>
      <c r="I79" s="1" t="s">
        <v>504</v>
      </c>
      <c r="J79" s="1" t="s">
        <v>505</v>
      </c>
      <c r="K79" s="160">
        <f t="shared" ref="K79" si="8">H79</f>
        <v>0</v>
      </c>
    </row>
    <row r="80" spans="2:11" x14ac:dyDescent="0.25">
      <c r="D80" s="57">
        <v>393</v>
      </c>
      <c r="E80" s="57" t="s">
        <v>486</v>
      </c>
      <c r="F80" s="160">
        <v>12390</v>
      </c>
      <c r="H80" s="160">
        <v>0</v>
      </c>
      <c r="I80" s="57" t="s">
        <v>167</v>
      </c>
      <c r="J80" s="288">
        <v>0.22564999999999999</v>
      </c>
      <c r="K80" s="160">
        <f t="shared" ref="K80:K82" si="9">H80*J80</f>
        <v>0</v>
      </c>
    </row>
    <row r="81" spans="4:11" x14ac:dyDescent="0.25">
      <c r="D81" s="57">
        <v>393</v>
      </c>
      <c r="E81" s="57" t="s">
        <v>486</v>
      </c>
      <c r="F81" s="160">
        <v>-3752</v>
      </c>
      <c r="H81" s="160">
        <v>0</v>
      </c>
      <c r="I81" s="57" t="s">
        <v>168</v>
      </c>
      <c r="J81" s="288">
        <v>0.22437000000000001</v>
      </c>
      <c r="K81" s="160">
        <f t="shared" si="9"/>
        <v>0</v>
      </c>
    </row>
    <row r="82" spans="4:11" x14ac:dyDescent="0.25">
      <c r="D82" s="57">
        <v>393</v>
      </c>
      <c r="E82" s="57" t="s">
        <v>486</v>
      </c>
      <c r="F82" s="160">
        <v>5568</v>
      </c>
      <c r="H82" s="160">
        <v>0</v>
      </c>
      <c r="I82" s="1" t="s">
        <v>515</v>
      </c>
      <c r="J82" s="288">
        <v>6.6549999999999998E-2</v>
      </c>
      <c r="K82" s="160">
        <f t="shared" si="9"/>
        <v>0</v>
      </c>
    </row>
    <row r="83" spans="4:11" x14ac:dyDescent="0.25">
      <c r="D83" s="57">
        <v>393</v>
      </c>
      <c r="E83" s="57" t="s">
        <v>486</v>
      </c>
      <c r="F83" s="160">
        <v>-6828</v>
      </c>
      <c r="H83" s="160">
        <v>0</v>
      </c>
      <c r="I83" s="1" t="s">
        <v>504</v>
      </c>
      <c r="J83" s="1" t="s">
        <v>505</v>
      </c>
      <c r="K83" s="160">
        <f t="shared" ref="K83" si="10">H83</f>
        <v>0</v>
      </c>
    </row>
    <row r="84" spans="4:11" x14ac:dyDescent="0.25">
      <c r="D84" s="57">
        <v>394</v>
      </c>
      <c r="E84" s="57" t="s">
        <v>486</v>
      </c>
      <c r="F84" s="160">
        <v>9679</v>
      </c>
      <c r="H84" s="160">
        <v>0</v>
      </c>
      <c r="I84" s="57" t="s">
        <v>167</v>
      </c>
      <c r="J84" s="288">
        <v>0.22564999999999999</v>
      </c>
      <c r="K84" s="160">
        <f t="shared" ref="K84:K86" si="11">H84*J84</f>
        <v>0</v>
      </c>
    </row>
    <row r="85" spans="4:11" x14ac:dyDescent="0.25">
      <c r="D85" s="57">
        <v>394</v>
      </c>
      <c r="E85" s="57" t="s">
        <v>486</v>
      </c>
      <c r="F85" s="160">
        <v>-39882</v>
      </c>
      <c r="H85" s="160">
        <v>0</v>
      </c>
      <c r="I85" s="57" t="s">
        <v>168</v>
      </c>
      <c r="J85" s="288">
        <v>0.22437000000000001</v>
      </c>
      <c r="K85" s="160">
        <f t="shared" si="11"/>
        <v>0</v>
      </c>
    </row>
    <row r="86" spans="4:11" x14ac:dyDescent="0.25">
      <c r="D86" s="57">
        <v>394</v>
      </c>
      <c r="E86" s="57" t="s">
        <v>486</v>
      </c>
      <c r="F86" s="160">
        <v>4543</v>
      </c>
      <c r="H86" s="160">
        <v>0</v>
      </c>
      <c r="I86" s="1" t="s">
        <v>515</v>
      </c>
      <c r="J86" s="288">
        <v>6.6549999999999998E-2</v>
      </c>
      <c r="K86" s="160">
        <f t="shared" si="11"/>
        <v>0</v>
      </c>
    </row>
    <row r="87" spans="4:11" x14ac:dyDescent="0.25">
      <c r="D87" s="57">
        <v>394</v>
      </c>
      <c r="E87" s="57" t="s">
        <v>486</v>
      </c>
      <c r="F87" s="160">
        <v>7020</v>
      </c>
      <c r="H87" s="160">
        <v>0</v>
      </c>
      <c r="I87" s="1" t="s">
        <v>504</v>
      </c>
      <c r="J87" s="1" t="s">
        <v>505</v>
      </c>
      <c r="K87" s="160">
        <f t="shared" ref="K87" si="12">H87</f>
        <v>0</v>
      </c>
    </row>
    <row r="88" spans="4:11" x14ac:dyDescent="0.25">
      <c r="D88" s="57">
        <v>395</v>
      </c>
      <c r="E88" s="57" t="s">
        <v>486</v>
      </c>
      <c r="F88" s="160">
        <v>-53782</v>
      </c>
      <c r="H88" s="160">
        <v>0</v>
      </c>
      <c r="I88" s="57" t="s">
        <v>167</v>
      </c>
      <c r="J88" s="288">
        <v>0.22564999999999999</v>
      </c>
      <c r="K88" s="160">
        <f t="shared" ref="K88:K89" si="13">H88*J88</f>
        <v>0</v>
      </c>
    </row>
    <row r="89" spans="4:11" x14ac:dyDescent="0.25">
      <c r="D89" s="57">
        <v>395</v>
      </c>
      <c r="E89" s="57" t="s">
        <v>486</v>
      </c>
      <c r="F89" s="160">
        <v>-30430</v>
      </c>
      <c r="H89" s="160">
        <v>0</v>
      </c>
      <c r="I89" s="1" t="s">
        <v>515</v>
      </c>
      <c r="J89" s="288">
        <v>6.6549999999999998E-2</v>
      </c>
      <c r="K89" s="160">
        <f t="shared" si="13"/>
        <v>0</v>
      </c>
    </row>
    <row r="90" spans="4:11" x14ac:dyDescent="0.25">
      <c r="D90" s="57">
        <v>395</v>
      </c>
      <c r="E90" s="57" t="s">
        <v>486</v>
      </c>
      <c r="F90" s="160">
        <v>-44102</v>
      </c>
      <c r="H90" s="160">
        <v>0</v>
      </c>
      <c r="I90" s="1" t="s">
        <v>504</v>
      </c>
      <c r="J90" s="1" t="s">
        <v>505</v>
      </c>
      <c r="K90" s="160">
        <f t="shared" ref="K90" si="14">H90</f>
        <v>0</v>
      </c>
    </row>
    <row r="91" spans="4:11" x14ac:dyDescent="0.25">
      <c r="D91" s="57">
        <v>396</v>
      </c>
      <c r="E91" s="57" t="s">
        <v>486</v>
      </c>
      <c r="F91" s="160">
        <v>1337</v>
      </c>
      <c r="H91" s="160">
        <v>0</v>
      </c>
      <c r="I91" s="57" t="s">
        <v>167</v>
      </c>
      <c r="J91" s="288">
        <v>0.22564999999999999</v>
      </c>
      <c r="K91" s="160">
        <f t="shared" ref="K91:K97" si="15">H91*J91</f>
        <v>0</v>
      </c>
    </row>
    <row r="92" spans="4:11" x14ac:dyDescent="0.25">
      <c r="D92" s="57">
        <v>396</v>
      </c>
      <c r="E92" s="57" t="s">
        <v>486</v>
      </c>
      <c r="F92" s="160">
        <v>216867</v>
      </c>
      <c r="H92" s="160">
        <v>0</v>
      </c>
      <c r="I92" s="57" t="s">
        <v>168</v>
      </c>
      <c r="J92" s="288">
        <v>0.22437000000000001</v>
      </c>
      <c r="K92" s="160">
        <f t="shared" si="15"/>
        <v>0</v>
      </c>
    </row>
    <row r="93" spans="4:11" x14ac:dyDescent="0.25">
      <c r="D93" s="57">
        <v>396</v>
      </c>
      <c r="E93" s="57" t="s">
        <v>486</v>
      </c>
      <c r="F93" s="160">
        <v>207659</v>
      </c>
      <c r="H93" s="160">
        <v>0</v>
      </c>
      <c r="I93" s="1" t="s">
        <v>515</v>
      </c>
      <c r="J93" s="288">
        <v>6.6549999999999998E-2</v>
      </c>
      <c r="K93" s="160">
        <f t="shared" si="15"/>
        <v>0</v>
      </c>
    </row>
    <row r="94" spans="4:11" x14ac:dyDescent="0.25">
      <c r="D94" s="57">
        <v>397</v>
      </c>
      <c r="E94" s="57" t="s">
        <v>486</v>
      </c>
      <c r="F94" s="160">
        <v>956032</v>
      </c>
      <c r="H94" s="160">
        <v>0</v>
      </c>
      <c r="I94" s="57" t="s">
        <v>167</v>
      </c>
      <c r="J94" s="288">
        <v>0.22564999999999999</v>
      </c>
      <c r="K94" s="160">
        <f t="shared" si="15"/>
        <v>0</v>
      </c>
    </row>
    <row r="95" spans="4:11" x14ac:dyDescent="0.25">
      <c r="D95" s="57">
        <v>397</v>
      </c>
      <c r="E95" s="57" t="s">
        <v>486</v>
      </c>
      <c r="F95" s="160">
        <v>3486</v>
      </c>
      <c r="H95" s="160">
        <v>0</v>
      </c>
      <c r="I95" s="1" t="s">
        <v>516</v>
      </c>
      <c r="J95" s="288">
        <v>6.8839999999999998E-2</v>
      </c>
      <c r="K95" s="160">
        <f t="shared" si="15"/>
        <v>0</v>
      </c>
    </row>
    <row r="96" spans="4:11" x14ac:dyDescent="0.25">
      <c r="D96" s="57">
        <v>397</v>
      </c>
      <c r="E96" s="57" t="s">
        <v>486</v>
      </c>
      <c r="F96" s="160">
        <v>153476</v>
      </c>
      <c r="H96" s="160">
        <v>0</v>
      </c>
      <c r="I96" s="57" t="s">
        <v>168</v>
      </c>
      <c r="J96" s="288">
        <v>0.22437000000000001</v>
      </c>
      <c r="K96" s="160">
        <f t="shared" si="15"/>
        <v>0</v>
      </c>
    </row>
    <row r="97" spans="1:12" x14ac:dyDescent="0.25">
      <c r="D97" s="57">
        <v>397</v>
      </c>
      <c r="E97" s="57" t="s">
        <v>486</v>
      </c>
      <c r="F97" s="160">
        <v>337528</v>
      </c>
      <c r="H97" s="160">
        <v>0</v>
      </c>
      <c r="I97" s="1" t="s">
        <v>515</v>
      </c>
      <c r="J97" s="288">
        <v>6.6549999999999998E-2</v>
      </c>
      <c r="K97" s="160">
        <f t="shared" si="15"/>
        <v>0</v>
      </c>
    </row>
    <row r="98" spans="1:12" x14ac:dyDescent="0.25">
      <c r="D98" s="57">
        <v>397</v>
      </c>
      <c r="E98" s="57" t="s">
        <v>486</v>
      </c>
      <c r="F98" s="160">
        <v>-206113</v>
      </c>
      <c r="H98" s="160">
        <v>0</v>
      </c>
      <c r="I98" s="1" t="s">
        <v>504</v>
      </c>
      <c r="J98" s="1" t="s">
        <v>505</v>
      </c>
      <c r="K98" s="160">
        <f t="shared" ref="K98" si="16">H98</f>
        <v>0</v>
      </c>
    </row>
    <row r="99" spans="1:12" x14ac:dyDescent="0.25">
      <c r="D99" s="57">
        <v>398</v>
      </c>
      <c r="E99" s="57" t="s">
        <v>486</v>
      </c>
      <c r="F99" s="160">
        <v>-2969</v>
      </c>
      <c r="H99" s="160">
        <v>0</v>
      </c>
      <c r="I99" s="57" t="s">
        <v>167</v>
      </c>
      <c r="J99" s="288">
        <v>0.22564999999999999</v>
      </c>
      <c r="K99" s="160">
        <f t="shared" ref="K99:K101" si="17">H99*J99</f>
        <v>0</v>
      </c>
    </row>
    <row r="100" spans="1:12" x14ac:dyDescent="0.25">
      <c r="D100" s="57">
        <v>398</v>
      </c>
      <c r="E100" s="57" t="s">
        <v>486</v>
      </c>
      <c r="F100" s="160">
        <v>-535</v>
      </c>
      <c r="H100" s="160">
        <v>0</v>
      </c>
      <c r="I100" s="57" t="s">
        <v>168</v>
      </c>
      <c r="J100" s="288">
        <v>0.22437000000000001</v>
      </c>
      <c r="K100" s="160">
        <f t="shared" si="17"/>
        <v>0</v>
      </c>
    </row>
    <row r="101" spans="1:12" x14ac:dyDescent="0.25">
      <c r="D101" s="57">
        <v>398</v>
      </c>
      <c r="E101" s="57" t="s">
        <v>486</v>
      </c>
      <c r="F101" s="160">
        <v>-133764</v>
      </c>
      <c r="H101" s="160">
        <v>0</v>
      </c>
      <c r="I101" s="1" t="s">
        <v>515</v>
      </c>
      <c r="J101" s="288">
        <v>6.6549999999999998E-2</v>
      </c>
      <c r="K101" s="160">
        <f t="shared" si="17"/>
        <v>0</v>
      </c>
    </row>
    <row r="102" spans="1:12" x14ac:dyDescent="0.25">
      <c r="D102" s="57">
        <v>398</v>
      </c>
      <c r="E102" s="57" t="s">
        <v>486</v>
      </c>
      <c r="F102" s="160">
        <v>-6744</v>
      </c>
      <c r="H102" s="160">
        <v>0</v>
      </c>
      <c r="I102" s="1" t="s">
        <v>504</v>
      </c>
      <c r="J102" s="1" t="s">
        <v>505</v>
      </c>
      <c r="K102" s="160">
        <f t="shared" ref="K102" si="18">H102</f>
        <v>0</v>
      </c>
    </row>
    <row r="103" spans="1:12" x14ac:dyDescent="0.25">
      <c r="D103" s="1" t="s">
        <v>598</v>
      </c>
      <c r="E103" s="57" t="s">
        <v>486</v>
      </c>
      <c r="F103" s="160">
        <v>1434018</v>
      </c>
      <c r="H103" s="160">
        <v>0</v>
      </c>
      <c r="I103" s="1" t="s">
        <v>504</v>
      </c>
      <c r="J103" s="1" t="s">
        <v>505</v>
      </c>
      <c r="K103" s="160">
        <f t="shared" ref="K103" si="19">H103</f>
        <v>0</v>
      </c>
    </row>
    <row r="104" spans="1:12" x14ac:dyDescent="0.25">
      <c r="D104" s="1" t="s">
        <v>599</v>
      </c>
      <c r="E104" s="57" t="s">
        <v>486</v>
      </c>
      <c r="F104" s="160">
        <v>286716</v>
      </c>
      <c r="H104" s="160">
        <v>0</v>
      </c>
      <c r="I104" s="1" t="s">
        <v>515</v>
      </c>
      <c r="J104" s="288">
        <v>6.6549999999999998E-2</v>
      </c>
      <c r="K104" s="160">
        <f t="shared" ref="K104:K106" si="20">H104*J104</f>
        <v>0</v>
      </c>
    </row>
    <row r="105" spans="1:12" x14ac:dyDescent="0.25">
      <c r="A105" s="7"/>
      <c r="B105" s="7"/>
      <c r="C105" s="7"/>
      <c r="D105" s="57" t="s">
        <v>600</v>
      </c>
      <c r="E105" s="57" t="s">
        <v>486</v>
      </c>
      <c r="F105" s="160">
        <v>1547718</v>
      </c>
      <c r="G105" s="160"/>
      <c r="H105" s="160">
        <v>0</v>
      </c>
      <c r="I105" s="57" t="s">
        <v>520</v>
      </c>
      <c r="J105" s="288">
        <v>8.2290000000000002E-2</v>
      </c>
      <c r="K105" s="160">
        <f t="shared" si="20"/>
        <v>0</v>
      </c>
      <c r="L105" s="7"/>
    </row>
    <row r="106" spans="1:12" x14ac:dyDescent="0.25">
      <c r="A106" s="7"/>
      <c r="B106" s="7"/>
      <c r="C106" s="7"/>
      <c r="D106" s="57" t="s">
        <v>601</v>
      </c>
      <c r="E106" s="57" t="s">
        <v>486</v>
      </c>
      <c r="F106" s="170">
        <v>19797089</v>
      </c>
      <c r="G106" s="160"/>
      <c r="H106" s="170">
        <v>0</v>
      </c>
      <c r="I106" s="57" t="s">
        <v>167</v>
      </c>
      <c r="J106" s="288">
        <v>0.22564999999999999</v>
      </c>
      <c r="K106" s="170">
        <f t="shared" si="20"/>
        <v>0</v>
      </c>
      <c r="L106" s="7"/>
    </row>
    <row r="107" spans="1:12" x14ac:dyDescent="0.25">
      <c r="A107" s="7"/>
      <c r="B107" s="7"/>
      <c r="C107" s="56" t="s">
        <v>707</v>
      </c>
      <c r="D107" s="57"/>
      <c r="E107" s="15"/>
      <c r="F107" s="160"/>
      <c r="G107" s="160"/>
      <c r="H107" s="171">
        <f>SUM(H10:H106)</f>
        <v>0</v>
      </c>
      <c r="I107" s="24"/>
      <c r="J107" s="24"/>
      <c r="K107" s="171">
        <f>SUM(K10:K106)</f>
        <v>0</v>
      </c>
      <c r="L107" s="7"/>
    </row>
    <row r="108" spans="1:12" x14ac:dyDescent="0.25">
      <c r="A108" s="7"/>
      <c r="B108" s="7"/>
      <c r="C108" s="7"/>
      <c r="D108" s="57"/>
      <c r="E108" s="15"/>
      <c r="F108" s="160"/>
      <c r="G108" s="160"/>
      <c r="H108" s="160"/>
      <c r="I108" s="15"/>
      <c r="J108" s="15"/>
      <c r="K108" s="7"/>
      <c r="L108" s="7"/>
    </row>
    <row r="109" spans="1:12" x14ac:dyDescent="0.25">
      <c r="A109" s="250"/>
      <c r="B109" s="273" t="s">
        <v>526</v>
      </c>
      <c r="C109" s="270"/>
      <c r="D109" s="271"/>
      <c r="E109" s="271"/>
      <c r="F109" s="272"/>
      <c r="G109" s="272"/>
      <c r="H109" s="272"/>
      <c r="I109" s="272"/>
      <c r="J109" s="252"/>
      <c r="K109" s="253"/>
      <c r="L109" s="249"/>
    </row>
    <row r="110" spans="1:12" x14ac:dyDescent="0.25">
      <c r="A110" s="250"/>
      <c r="B110" s="250"/>
      <c r="C110" s="250"/>
      <c r="D110" s="271"/>
      <c r="E110" s="251" t="s">
        <v>492</v>
      </c>
      <c r="F110" s="250"/>
      <c r="G110" s="250"/>
      <c r="H110" s="250"/>
      <c r="I110" s="251"/>
      <c r="J110" s="250"/>
      <c r="K110" s="250"/>
      <c r="L110" s="250"/>
    </row>
    <row r="111" spans="1:12" x14ac:dyDescent="0.25">
      <c r="B111" s="517" t="s">
        <v>708</v>
      </c>
      <c r="C111" s="489"/>
      <c r="D111" s="489"/>
      <c r="E111" s="489"/>
      <c r="F111" s="489"/>
      <c r="G111" s="489"/>
      <c r="H111" s="489"/>
      <c r="I111" s="489"/>
      <c r="J111" s="489"/>
      <c r="K111" s="491"/>
    </row>
    <row r="112" spans="1:12" x14ac:dyDescent="0.25">
      <c r="B112" s="518" t="s">
        <v>709</v>
      </c>
      <c r="C112" s="4"/>
      <c r="D112" s="4"/>
      <c r="E112" s="4"/>
      <c r="F112" s="4"/>
      <c r="G112" s="4"/>
      <c r="H112" s="4"/>
      <c r="I112" s="4"/>
      <c r="J112" s="4"/>
      <c r="K112" s="492"/>
    </row>
    <row r="113" spans="2:11" x14ac:dyDescent="0.25">
      <c r="B113" s="518"/>
      <c r="C113" s="4"/>
      <c r="D113" s="4"/>
      <c r="E113" s="4"/>
      <c r="F113" s="4"/>
      <c r="G113" s="4"/>
      <c r="H113" s="4"/>
      <c r="I113" s="4"/>
      <c r="J113" s="4"/>
      <c r="K113" s="492"/>
    </row>
    <row r="114" spans="2:11" x14ac:dyDescent="0.25">
      <c r="B114" s="519" t="s">
        <v>710</v>
      </c>
      <c r="C114" s="459"/>
      <c r="D114" s="459"/>
      <c r="E114" s="459"/>
      <c r="F114" s="459"/>
      <c r="G114" s="459"/>
      <c r="H114" s="459"/>
      <c r="I114" s="459"/>
      <c r="J114" s="459"/>
      <c r="K114" s="460"/>
    </row>
    <row r="115" spans="2:11" x14ac:dyDescent="0.25">
      <c r="B115" s="458"/>
      <c r="C115" s="459"/>
      <c r="D115" s="459"/>
      <c r="E115" s="459"/>
      <c r="F115" s="459"/>
      <c r="G115" s="459"/>
      <c r="H115" s="459"/>
      <c r="I115" s="459"/>
      <c r="J115" s="459"/>
      <c r="K115" s="460"/>
    </row>
    <row r="116" spans="2:11" x14ac:dyDescent="0.25">
      <c r="B116" s="465"/>
      <c r="C116" s="466"/>
      <c r="D116" s="466"/>
      <c r="E116" s="466"/>
      <c r="F116" s="466"/>
      <c r="G116" s="466"/>
      <c r="H116" s="466"/>
      <c r="I116" s="466"/>
      <c r="J116" s="466"/>
      <c r="K116" s="467"/>
    </row>
  </sheetData>
  <mergeCells count="1">
    <mergeCell ref="B114:K116"/>
  </mergeCells>
  <conditionalFormatting sqref="B8:B9">
    <cfRule type="cellIs" dxfId="7" priority="3" stopIfTrue="1" operator="equal">
      <formula>"Adjustment to Income/Expense/Rate Base:"</formula>
    </cfRule>
  </conditionalFormatting>
  <conditionalFormatting sqref="L1">
    <cfRule type="cellIs" dxfId="6" priority="4" stopIfTrue="1" operator="equal">
      <formula>"x.x"</formula>
    </cfRule>
  </conditionalFormatting>
  <conditionalFormatting sqref="B64">
    <cfRule type="cellIs" dxfId="5" priority="2" stopIfTrue="1" operator="equal">
      <formula>"Adjustment to Income/Expense/Rate Base:"</formula>
    </cfRule>
  </conditionalFormatting>
  <conditionalFormatting sqref="B65">
    <cfRule type="cellIs" dxfId="4" priority="1" stopIfTrue="1" operator="equal">
      <formula>"Adjustment to Income/Expense/Rate Base:"</formula>
    </cfRule>
  </conditionalFormatting>
  <pageMargins left="0.7" right="0.7" top="0.75" bottom="0.75" header="0.3" footer="0.3"/>
  <pageSetup scale="74" fitToHeight="2" orientation="portrait" horizontalDpi="0" verticalDpi="0" r:id="rId1"/>
  <rowBreaks count="1" manualBreakCount="1">
    <brk id="5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workbookViewId="0">
      <selection activeCell="B3" sqref="B3"/>
    </sheetView>
  </sheetViews>
  <sheetFormatPr defaultRowHeight="12.75" x14ac:dyDescent="0.2"/>
  <cols>
    <col min="1" max="1" width="1.125" style="68" customWidth="1"/>
    <col min="2" max="2" width="7.375" style="68" customWidth="1"/>
    <col min="3" max="3" width="23.375" style="68" customWidth="1"/>
    <col min="4" max="4" width="8.75" style="68" customWidth="1"/>
    <col min="5" max="5" width="6.625" style="68" customWidth="1"/>
    <col min="6" max="6" width="10.375" style="68" customWidth="1"/>
    <col min="7" max="7" width="10.625" style="68" customWidth="1"/>
    <col min="8" max="8" width="13" style="68" customWidth="1"/>
    <col min="9" max="9" width="8" style="68"/>
    <col min="10" max="10" width="9.125" style="68" customWidth="1"/>
    <col min="11" max="11" width="11.625" style="68" customWidth="1"/>
    <col min="12" max="16384" width="9" style="68"/>
  </cols>
  <sheetData>
    <row r="1" spans="1:12" ht="15.75" x14ac:dyDescent="0.25">
      <c r="A1" s="237"/>
      <c r="B1" s="487" t="s">
        <v>392</v>
      </c>
      <c r="C1" s="237"/>
      <c r="D1" s="353"/>
      <c r="E1" s="353"/>
      <c r="F1" s="353"/>
      <c r="G1" s="353"/>
      <c r="H1" s="237"/>
      <c r="I1" s="353"/>
      <c r="J1" s="22"/>
      <c r="K1" s="334" t="s">
        <v>275</v>
      </c>
      <c r="L1" s="176"/>
    </row>
    <row r="2" spans="1:12" ht="15.75" x14ac:dyDescent="0.25">
      <c r="A2" s="237"/>
      <c r="B2" t="s">
        <v>750</v>
      </c>
      <c r="C2" s="237"/>
      <c r="D2" s="353"/>
      <c r="E2" s="353"/>
      <c r="F2" s="353"/>
      <c r="G2" s="353"/>
      <c r="H2" s="237"/>
      <c r="I2" s="353"/>
      <c r="J2" s="353"/>
      <c r="K2" s="334" t="s">
        <v>189</v>
      </c>
      <c r="L2" s="176"/>
    </row>
    <row r="3" spans="1:12" ht="15.75" x14ac:dyDescent="0.25">
      <c r="A3" s="237"/>
      <c r="B3" s="56" t="s">
        <v>273</v>
      </c>
      <c r="C3" s="237"/>
      <c r="D3" s="353"/>
      <c r="E3" s="353"/>
      <c r="F3" s="353"/>
      <c r="G3" s="353"/>
      <c r="H3" s="237"/>
      <c r="I3" s="353"/>
      <c r="J3" s="353"/>
      <c r="K3" s="521" t="s">
        <v>748</v>
      </c>
      <c r="L3" s="176"/>
    </row>
    <row r="4" spans="1:12" ht="15.75" x14ac:dyDescent="0.25">
      <c r="A4" s="237"/>
      <c r="C4" s="237"/>
      <c r="D4" s="353"/>
      <c r="E4" s="353"/>
      <c r="F4" s="353"/>
      <c r="G4" s="353"/>
      <c r="H4" s="237"/>
      <c r="I4" s="353"/>
      <c r="J4" s="353"/>
      <c r="K4" s="334" t="s">
        <v>745</v>
      </c>
      <c r="L4" s="176"/>
    </row>
    <row r="5" spans="1:12" ht="15.75" x14ac:dyDescent="0.25">
      <c r="A5" s="237"/>
      <c r="B5" s="503" t="s">
        <v>610</v>
      </c>
      <c r="C5" s="137"/>
      <c r="D5" s="190"/>
      <c r="E5" s="190"/>
      <c r="F5" s="57" t="s">
        <v>4</v>
      </c>
      <c r="G5" s="57" t="s">
        <v>4</v>
      </c>
      <c r="H5" s="57"/>
      <c r="I5" s="190"/>
      <c r="J5" s="190"/>
      <c r="L5" s="176"/>
    </row>
    <row r="6" spans="1:12" ht="15.75" x14ac:dyDescent="0.25">
      <c r="A6" s="237"/>
      <c r="D6" s="22"/>
      <c r="E6" s="22"/>
      <c r="F6" s="57" t="s">
        <v>6</v>
      </c>
      <c r="G6" s="57" t="s">
        <v>6</v>
      </c>
      <c r="H6" s="57" t="s">
        <v>542</v>
      </c>
      <c r="I6" s="22"/>
      <c r="J6" s="22"/>
      <c r="K6" s="22" t="s">
        <v>478</v>
      </c>
      <c r="L6" s="176"/>
    </row>
    <row r="7" spans="1:12" ht="15.75" x14ac:dyDescent="0.25">
      <c r="A7" s="237"/>
      <c r="D7" s="97" t="s">
        <v>479</v>
      </c>
      <c r="E7" s="401" t="s">
        <v>480</v>
      </c>
      <c r="F7" s="14" t="s">
        <v>333</v>
      </c>
      <c r="G7" s="14" t="s">
        <v>595</v>
      </c>
      <c r="H7" s="23" t="s">
        <v>545</v>
      </c>
      <c r="I7" s="97" t="s">
        <v>482</v>
      </c>
      <c r="J7" s="401" t="s">
        <v>483</v>
      </c>
      <c r="K7" s="97" t="s">
        <v>484</v>
      </c>
      <c r="L7" s="176"/>
    </row>
    <row r="8" spans="1:12" ht="15.75" x14ac:dyDescent="0.25">
      <c r="A8" s="237"/>
      <c r="D8" s="97"/>
      <c r="E8" s="401"/>
      <c r="F8" s="116" t="s">
        <v>507</v>
      </c>
      <c r="G8" s="57" t="s">
        <v>509</v>
      </c>
      <c r="H8" s="97"/>
      <c r="I8" s="97"/>
      <c r="J8" s="401"/>
      <c r="K8" s="97"/>
      <c r="L8" s="176"/>
    </row>
    <row r="9" spans="1:12" ht="15.75" x14ac:dyDescent="0.25">
      <c r="A9" s="237"/>
      <c r="B9" s="354"/>
      <c r="C9" s="237"/>
      <c r="D9" s="353"/>
      <c r="E9" s="353"/>
      <c r="F9" s="116"/>
      <c r="G9" s="135" t="s">
        <v>557</v>
      </c>
      <c r="H9" s="402"/>
      <c r="I9" s="353"/>
      <c r="J9" s="403"/>
      <c r="K9" s="404"/>
      <c r="L9" s="176"/>
    </row>
    <row r="10" spans="1:12" x14ac:dyDescent="0.2">
      <c r="A10" s="218"/>
      <c r="B10" s="354" t="s">
        <v>193</v>
      </c>
      <c r="C10" s="237"/>
      <c r="D10" s="353"/>
      <c r="E10" s="353"/>
      <c r="F10" s="353"/>
      <c r="G10" s="353"/>
      <c r="H10" s="405"/>
      <c r="I10" s="176"/>
      <c r="J10" s="406"/>
      <c r="K10" s="387"/>
      <c r="L10" s="176"/>
    </row>
    <row r="11" spans="1:12" x14ac:dyDescent="0.2">
      <c r="A11" s="218"/>
      <c r="B11" s="254" t="s">
        <v>711</v>
      </c>
      <c r="D11" s="407">
        <v>352</v>
      </c>
      <c r="E11" s="256" t="s">
        <v>602</v>
      </c>
      <c r="F11" s="408">
        <v>-88856.691740809023</v>
      </c>
      <c r="G11" s="408">
        <v>-88856.691740809023</v>
      </c>
      <c r="H11" s="408">
        <v>-88856.691740809023</v>
      </c>
      <c r="I11" s="407" t="s">
        <v>543</v>
      </c>
      <c r="J11" s="406">
        <v>0</v>
      </c>
      <c r="K11" s="387">
        <f>J11*H11</f>
        <v>0</v>
      </c>
      <c r="L11" s="176"/>
    </row>
    <row r="12" spans="1:12" x14ac:dyDescent="0.2">
      <c r="A12" s="218"/>
      <c r="B12" s="237"/>
      <c r="C12" s="409"/>
      <c r="D12" s="407">
        <v>353</v>
      </c>
      <c r="E12" s="256" t="s">
        <v>602</v>
      </c>
      <c r="F12" s="408">
        <v>-9765627.263861388</v>
      </c>
      <c r="G12" s="408">
        <v>-9765627.263861388</v>
      </c>
      <c r="H12" s="408">
        <v>-9765627.263861388</v>
      </c>
      <c r="I12" s="407" t="s">
        <v>543</v>
      </c>
      <c r="J12" s="406">
        <v>0</v>
      </c>
      <c r="K12" s="387">
        <f t="shared" ref="K12:K29" si="0">J12*H12</f>
        <v>0</v>
      </c>
      <c r="L12" s="176"/>
    </row>
    <row r="13" spans="1:12" x14ac:dyDescent="0.2">
      <c r="A13" s="218"/>
      <c r="B13" s="237"/>
      <c r="C13" s="409"/>
      <c r="D13" s="407">
        <v>355</v>
      </c>
      <c r="E13" s="256" t="s">
        <v>602</v>
      </c>
      <c r="F13" s="408">
        <v>-804037.8500075842</v>
      </c>
      <c r="G13" s="408">
        <v>-804037.8500075842</v>
      </c>
      <c r="H13" s="408">
        <v>-804037.8500075842</v>
      </c>
      <c r="I13" s="407" t="s">
        <v>543</v>
      </c>
      <c r="J13" s="406">
        <v>0</v>
      </c>
      <c r="K13" s="387">
        <f t="shared" si="0"/>
        <v>0</v>
      </c>
      <c r="L13" s="176"/>
    </row>
    <row r="14" spans="1:12" x14ac:dyDescent="0.2">
      <c r="A14" s="218"/>
      <c r="B14" s="237"/>
      <c r="C14" s="254"/>
      <c r="D14" s="407">
        <v>356</v>
      </c>
      <c r="E14" s="256" t="s">
        <v>602</v>
      </c>
      <c r="F14" s="408">
        <v>-1848587.3691278584</v>
      </c>
      <c r="G14" s="408">
        <v>-1848587.3691278584</v>
      </c>
      <c r="H14" s="408">
        <v>-1848587.3691278584</v>
      </c>
      <c r="I14" s="407" t="s">
        <v>543</v>
      </c>
      <c r="J14" s="406">
        <v>0</v>
      </c>
      <c r="K14" s="387">
        <f t="shared" si="0"/>
        <v>0</v>
      </c>
      <c r="L14" s="176"/>
    </row>
    <row r="15" spans="1:12" x14ac:dyDescent="0.2">
      <c r="A15" s="218"/>
      <c r="B15" s="237"/>
      <c r="C15" s="237"/>
      <c r="D15" s="407">
        <v>352</v>
      </c>
      <c r="E15" s="256" t="s">
        <v>602</v>
      </c>
      <c r="F15" s="408">
        <v>-9364.708524226824</v>
      </c>
      <c r="G15" s="408">
        <v>-9364.708524226824</v>
      </c>
      <c r="H15" s="408">
        <v>-9364.708524226824</v>
      </c>
      <c r="I15" s="407" t="s">
        <v>167</v>
      </c>
      <c r="J15" s="406">
        <v>0.22565052397253504</v>
      </c>
      <c r="K15" s="387">
        <f>J15*H15</f>
        <v>-2113.1513853418483</v>
      </c>
      <c r="L15" s="176"/>
    </row>
    <row r="16" spans="1:12" x14ac:dyDescent="0.2">
      <c r="A16" s="218"/>
      <c r="B16" s="410"/>
      <c r="C16" s="411"/>
      <c r="D16" s="407">
        <v>353</v>
      </c>
      <c r="E16" s="256" t="s">
        <v>602</v>
      </c>
      <c r="F16" s="408">
        <v>-4326909.1145621538</v>
      </c>
      <c r="G16" s="408">
        <v>-4326909.1145621538</v>
      </c>
      <c r="H16" s="408">
        <v>-4326909.1145621538</v>
      </c>
      <c r="I16" s="407" t="s">
        <v>167</v>
      </c>
      <c r="J16" s="406">
        <v>0.22565052397253504</v>
      </c>
      <c r="K16" s="387">
        <f t="shared" si="0"/>
        <v>-976369.3088824877</v>
      </c>
      <c r="L16" s="176"/>
    </row>
    <row r="17" spans="1:12" x14ac:dyDescent="0.2">
      <c r="A17" s="218"/>
      <c r="B17" s="260"/>
      <c r="C17" s="409"/>
      <c r="D17" s="407">
        <v>397</v>
      </c>
      <c r="E17" s="256" t="s">
        <v>602</v>
      </c>
      <c r="F17" s="408">
        <v>-1899.2337804878048</v>
      </c>
      <c r="G17" s="408">
        <v>-1899.2337804878048</v>
      </c>
      <c r="H17" s="408">
        <v>-1899.2337804878048</v>
      </c>
      <c r="I17" s="407" t="s">
        <v>167</v>
      </c>
      <c r="J17" s="406">
        <v>0.22565052397253504</v>
      </c>
      <c r="K17" s="387">
        <f t="shared" si="0"/>
        <v>-428.56309771341176</v>
      </c>
      <c r="L17" s="176"/>
    </row>
    <row r="18" spans="1:12" x14ac:dyDescent="0.2">
      <c r="A18" s="218"/>
      <c r="B18" s="413"/>
      <c r="C18" s="414"/>
      <c r="D18" s="407">
        <v>398</v>
      </c>
      <c r="E18" s="256" t="s">
        <v>602</v>
      </c>
      <c r="F18" s="408">
        <v>-219.45512195121952</v>
      </c>
      <c r="G18" s="408">
        <v>-219.45512195121952</v>
      </c>
      <c r="H18" s="408">
        <v>-219.45512195121952</v>
      </c>
      <c r="I18" s="407" t="s">
        <v>167</v>
      </c>
      <c r="J18" s="406">
        <v>0.22565052397253504</v>
      </c>
      <c r="K18" s="387">
        <f t="shared" si="0"/>
        <v>-49.520163256749264</v>
      </c>
      <c r="L18" s="176"/>
    </row>
    <row r="19" spans="1:12" x14ac:dyDescent="0.2">
      <c r="A19" s="218"/>
      <c r="B19" s="413"/>
      <c r="C19" s="414"/>
      <c r="D19" s="407">
        <v>354</v>
      </c>
      <c r="E19" s="256" t="s">
        <v>602</v>
      </c>
      <c r="F19" s="408">
        <v>-9458992.3537752032</v>
      </c>
      <c r="G19" s="408">
        <v>-9458992.3537752032</v>
      </c>
      <c r="H19" s="408">
        <v>-9458992.3537752032</v>
      </c>
      <c r="I19" s="407" t="s">
        <v>543</v>
      </c>
      <c r="J19" s="406">
        <v>0</v>
      </c>
      <c r="K19" s="387">
        <f t="shared" si="0"/>
        <v>0</v>
      </c>
      <c r="L19" s="176"/>
    </row>
    <row r="20" spans="1:12" x14ac:dyDescent="0.2">
      <c r="A20" s="218"/>
      <c r="B20" s="411"/>
      <c r="C20" s="411"/>
      <c r="D20" s="407">
        <v>362</v>
      </c>
      <c r="E20" s="256" t="s">
        <v>602</v>
      </c>
      <c r="F20" s="408">
        <v>-11960.170918411486</v>
      </c>
      <c r="G20" s="408">
        <v>-11960.170918411486</v>
      </c>
      <c r="H20" s="408">
        <v>-11960.170918411486</v>
      </c>
      <c r="I20" s="407" t="s">
        <v>563</v>
      </c>
      <c r="J20" s="406">
        <v>0</v>
      </c>
      <c r="K20" s="387">
        <f t="shared" si="0"/>
        <v>0</v>
      </c>
      <c r="L20" s="176"/>
    </row>
    <row r="21" spans="1:12" x14ac:dyDescent="0.2">
      <c r="A21" s="218"/>
      <c r="B21" s="410"/>
      <c r="C21" s="411"/>
      <c r="D21" s="407">
        <v>397</v>
      </c>
      <c r="E21" s="256" t="s">
        <v>602</v>
      </c>
      <c r="F21" s="408">
        <v>-120816.63686225956</v>
      </c>
      <c r="G21" s="408">
        <v>-120816.63686225956</v>
      </c>
      <c r="H21" s="408">
        <v>-120816.63686225956</v>
      </c>
      <c r="I21" s="407" t="s">
        <v>543</v>
      </c>
      <c r="J21" s="406">
        <v>0</v>
      </c>
      <c r="K21" s="387">
        <f t="shared" si="0"/>
        <v>0</v>
      </c>
      <c r="L21" s="176"/>
    </row>
    <row r="22" spans="1:12" x14ac:dyDescent="0.2">
      <c r="A22" s="218"/>
      <c r="B22" s="410"/>
      <c r="C22" s="411"/>
      <c r="D22" s="407">
        <v>353</v>
      </c>
      <c r="E22" s="256" t="s">
        <v>602</v>
      </c>
      <c r="F22" s="408">
        <v>-366554.82595833315</v>
      </c>
      <c r="G22" s="408">
        <v>-366554.82595833315</v>
      </c>
      <c r="H22" s="408">
        <v>-366554.82595833315</v>
      </c>
      <c r="I22" s="407" t="s">
        <v>168</v>
      </c>
      <c r="J22" s="406">
        <v>0.22437004168265501</v>
      </c>
      <c r="K22" s="387">
        <f t="shared" si="0"/>
        <v>-82243.921579249567</v>
      </c>
      <c r="L22" s="176"/>
    </row>
    <row r="23" spans="1:12" x14ac:dyDescent="0.2">
      <c r="A23" s="218"/>
      <c r="B23" s="423"/>
      <c r="C23" s="411"/>
      <c r="D23" s="407">
        <v>397</v>
      </c>
      <c r="E23" s="256" t="s">
        <v>602</v>
      </c>
      <c r="F23" s="408">
        <v>-41362.898208333325</v>
      </c>
      <c r="G23" s="408">
        <v>-41362.898208333325</v>
      </c>
      <c r="H23" s="408">
        <v>-41362.898208333325</v>
      </c>
      <c r="I23" s="407" t="s">
        <v>168</v>
      </c>
      <c r="J23" s="406">
        <v>0.22437004168265501</v>
      </c>
      <c r="K23" s="387">
        <f t="shared" si="0"/>
        <v>-9280.5951951191637</v>
      </c>
      <c r="L23" s="176"/>
    </row>
    <row r="24" spans="1:12" x14ac:dyDescent="0.2">
      <c r="A24" s="218"/>
      <c r="B24" s="415"/>
      <c r="C24" s="411"/>
      <c r="D24" s="407">
        <v>354</v>
      </c>
      <c r="E24" s="256" t="s">
        <v>602</v>
      </c>
      <c r="F24" s="408">
        <v>-7603314.0909429835</v>
      </c>
      <c r="G24" s="408">
        <v>-7603314.0909429835</v>
      </c>
      <c r="H24" s="408">
        <v>-7603314.0909429835</v>
      </c>
      <c r="I24" s="407" t="s">
        <v>168</v>
      </c>
      <c r="J24" s="406">
        <v>0.22437004168265501</v>
      </c>
      <c r="K24" s="387">
        <f t="shared" si="0"/>
        <v>-1705955.8995111955</v>
      </c>
      <c r="L24" s="176"/>
    </row>
    <row r="25" spans="1:12" x14ac:dyDescent="0.2">
      <c r="A25" s="218"/>
      <c r="B25" s="415"/>
      <c r="C25" s="411"/>
      <c r="D25" s="407">
        <v>355</v>
      </c>
      <c r="E25" s="256" t="s">
        <v>602</v>
      </c>
      <c r="F25" s="408">
        <v>-276824.89333333337</v>
      </c>
      <c r="G25" s="408">
        <v>-276824.89333333337</v>
      </c>
      <c r="H25" s="408">
        <v>-276824.89333333337</v>
      </c>
      <c r="I25" s="407" t="s">
        <v>168</v>
      </c>
      <c r="J25" s="406">
        <v>0.22437004168265501</v>
      </c>
      <c r="K25" s="387">
        <f t="shared" si="0"/>
        <v>-62111.212855996535</v>
      </c>
      <c r="L25" s="176"/>
    </row>
    <row r="26" spans="1:12" x14ac:dyDescent="0.2">
      <c r="A26" s="218"/>
      <c r="B26" s="415"/>
      <c r="C26" s="411"/>
      <c r="D26" s="407">
        <v>356</v>
      </c>
      <c r="E26" s="256" t="s">
        <v>602</v>
      </c>
      <c r="F26" s="408">
        <v>-5480394.0272587724</v>
      </c>
      <c r="G26" s="408">
        <v>-5480394.0272587724</v>
      </c>
      <c r="H26" s="408">
        <v>-5480394.0272587724</v>
      </c>
      <c r="I26" s="407" t="s">
        <v>168</v>
      </c>
      <c r="J26" s="406">
        <v>0.22437004168265501</v>
      </c>
      <c r="K26" s="387">
        <f t="shared" si="0"/>
        <v>-1229636.2363334242</v>
      </c>
      <c r="L26" s="176"/>
    </row>
    <row r="27" spans="1:12" x14ac:dyDescent="0.2">
      <c r="A27" s="218"/>
      <c r="B27" s="415"/>
      <c r="C27" s="411"/>
      <c r="D27" s="407">
        <v>356</v>
      </c>
      <c r="E27" s="256" t="s">
        <v>602</v>
      </c>
      <c r="F27" s="408">
        <v>-15176148.450876558</v>
      </c>
      <c r="G27" s="408">
        <v>-15176148.450876558</v>
      </c>
      <c r="H27" s="408">
        <v>-15176148.450876558</v>
      </c>
      <c r="I27" s="407" t="s">
        <v>167</v>
      </c>
      <c r="J27" s="406">
        <v>0.22565052397253504</v>
      </c>
      <c r="K27" s="387">
        <f t="shared" si="0"/>
        <v>-3424505.8498252714</v>
      </c>
      <c r="L27" s="176"/>
    </row>
    <row r="28" spans="1:12" x14ac:dyDescent="0.2">
      <c r="A28" s="218"/>
      <c r="B28" s="415"/>
      <c r="C28" s="411"/>
      <c r="D28" s="407">
        <v>354</v>
      </c>
      <c r="E28" s="256" t="s">
        <v>602</v>
      </c>
      <c r="F28" s="408">
        <v>-14170109.080745418</v>
      </c>
      <c r="G28" s="408">
        <v>-14170109.080745418</v>
      </c>
      <c r="H28" s="408">
        <v>-14170109.080745418</v>
      </c>
      <c r="I28" s="407" t="s">
        <v>167</v>
      </c>
      <c r="J28" s="406">
        <v>0.22565052397253504</v>
      </c>
      <c r="K28" s="387">
        <f t="shared" si="0"/>
        <v>-3197492.5388181806</v>
      </c>
      <c r="L28" s="176"/>
    </row>
    <row r="29" spans="1:12" x14ac:dyDescent="0.2">
      <c r="A29" s="218"/>
      <c r="B29" s="415"/>
      <c r="C29" s="411"/>
      <c r="D29" s="407">
        <v>355</v>
      </c>
      <c r="E29" s="256" t="s">
        <v>602</v>
      </c>
      <c r="F29" s="408">
        <v>-3842095.8063243674</v>
      </c>
      <c r="G29" s="408">
        <v>-3842095.8063243674</v>
      </c>
      <c r="H29" s="408">
        <v>-3842095.8063243674</v>
      </c>
      <c r="I29" s="407" t="s">
        <v>167</v>
      </c>
      <c r="J29" s="406">
        <v>0.22565052397253504</v>
      </c>
      <c r="K29" s="387">
        <f t="shared" si="0"/>
        <v>-866970.93184977304</v>
      </c>
      <c r="L29" s="176"/>
    </row>
    <row r="30" spans="1:12" x14ac:dyDescent="0.2">
      <c r="A30" s="218"/>
      <c r="B30" s="415"/>
      <c r="C30" s="411"/>
      <c r="D30" s="407"/>
      <c r="E30" s="256"/>
      <c r="F30" s="416">
        <f>SUM(F11:F29)</f>
        <v>-73394074.921930432</v>
      </c>
      <c r="G30" s="416">
        <f>SUM(G11:G29)</f>
        <v>-73394074.921930432</v>
      </c>
      <c r="H30" s="416">
        <f>SUM(H11:H29)</f>
        <v>-73394074.921930432</v>
      </c>
      <c r="I30" s="407"/>
      <c r="J30" s="417"/>
      <c r="K30" s="416">
        <f>SUM(K11:K29)</f>
        <v>-11557157.729497012</v>
      </c>
      <c r="L30" s="176"/>
    </row>
    <row r="31" spans="1:12" ht="8.25" customHeight="1" x14ac:dyDescent="0.2">
      <c r="A31" s="218"/>
      <c r="B31" s="415"/>
      <c r="C31" s="411"/>
      <c r="D31" s="407"/>
      <c r="E31" s="265"/>
      <c r="F31" s="418"/>
      <c r="G31" s="418"/>
      <c r="H31" s="418"/>
      <c r="I31" s="176"/>
      <c r="J31" s="417"/>
      <c r="K31" s="387"/>
      <c r="L31" s="176"/>
    </row>
    <row r="32" spans="1:12" x14ac:dyDescent="0.2">
      <c r="A32" s="218"/>
      <c r="B32" s="254" t="s">
        <v>712</v>
      </c>
      <c r="D32" s="407" t="s">
        <v>519</v>
      </c>
      <c r="E32" s="256" t="s">
        <v>602</v>
      </c>
      <c r="F32" s="418">
        <v>7039810</v>
      </c>
      <c r="G32" s="418">
        <v>6851231.2589859897</v>
      </c>
      <c r="H32" s="418">
        <v>6851231.2589859897</v>
      </c>
      <c r="I32" s="407" t="s">
        <v>543</v>
      </c>
      <c r="J32" s="406">
        <v>0</v>
      </c>
      <c r="K32" s="387">
        <f t="shared" ref="K32:K38" si="1">J32*H32</f>
        <v>0</v>
      </c>
      <c r="L32" s="176"/>
    </row>
    <row r="33" spans="1:12" x14ac:dyDescent="0.2">
      <c r="A33" s="218"/>
      <c r="B33" s="410"/>
      <c r="C33" s="411"/>
      <c r="D33" s="407" t="s">
        <v>519</v>
      </c>
      <c r="E33" s="256" t="s">
        <v>602</v>
      </c>
      <c r="F33" s="418">
        <v>16381461</v>
      </c>
      <c r="G33" s="418">
        <v>16043925.537040569</v>
      </c>
      <c r="H33" s="418">
        <v>16043925.537040569</v>
      </c>
      <c r="I33" s="407" t="s">
        <v>167</v>
      </c>
      <c r="J33" s="406">
        <v>0.22565052397253504</v>
      </c>
      <c r="K33" s="387">
        <f t="shared" si="1"/>
        <v>3620320.2040095399</v>
      </c>
      <c r="L33" s="176"/>
    </row>
    <row r="34" spans="1:12" x14ac:dyDescent="0.2">
      <c r="A34" s="218"/>
      <c r="B34" s="410"/>
      <c r="C34" s="411"/>
      <c r="D34" s="407" t="s">
        <v>514</v>
      </c>
      <c r="E34" s="256" t="s">
        <v>602</v>
      </c>
      <c r="F34" s="418">
        <v>681</v>
      </c>
      <c r="G34" s="418">
        <v>639.77378048780486</v>
      </c>
      <c r="H34" s="418">
        <v>639.77378048780486</v>
      </c>
      <c r="I34" s="407" t="s">
        <v>167</v>
      </c>
      <c r="J34" s="406">
        <v>0.22565052397253504</v>
      </c>
      <c r="K34" s="387">
        <f t="shared" si="1"/>
        <v>144.36528879096278</v>
      </c>
      <c r="L34" s="176"/>
    </row>
    <row r="35" spans="1:12" x14ac:dyDescent="0.2">
      <c r="A35" s="218"/>
      <c r="B35" s="410"/>
      <c r="C35" s="411"/>
      <c r="D35" s="407" t="s">
        <v>514</v>
      </c>
      <c r="E35" s="256" t="s">
        <v>602</v>
      </c>
      <c r="F35" s="418">
        <v>25236</v>
      </c>
      <c r="G35" s="418">
        <v>23172.693728052262</v>
      </c>
      <c r="H35" s="418">
        <v>23172.693728052262</v>
      </c>
      <c r="I35" s="407" t="s">
        <v>543</v>
      </c>
      <c r="J35" s="406">
        <v>0</v>
      </c>
      <c r="K35" s="387">
        <f t="shared" si="1"/>
        <v>0</v>
      </c>
      <c r="L35" s="176"/>
    </row>
    <row r="36" spans="1:12" x14ac:dyDescent="0.2">
      <c r="A36" s="218"/>
      <c r="B36" s="410"/>
      <c r="C36" s="411"/>
      <c r="D36" s="407" t="s">
        <v>519</v>
      </c>
      <c r="E36" s="256" t="s">
        <v>602</v>
      </c>
      <c r="F36" s="418">
        <v>7079860</v>
      </c>
      <c r="G36" s="418">
        <v>6963710.7611425435</v>
      </c>
      <c r="H36" s="418">
        <v>6963710.7611425435</v>
      </c>
      <c r="I36" s="407" t="s">
        <v>168</v>
      </c>
      <c r="J36" s="406">
        <v>0.22437004168265501</v>
      </c>
      <c r="K36" s="387">
        <f t="shared" si="1"/>
        <v>1562448.0737435056</v>
      </c>
      <c r="L36" s="176"/>
    </row>
    <row r="37" spans="1:12" x14ac:dyDescent="0.2">
      <c r="A37" s="218"/>
      <c r="B37" s="410"/>
      <c r="C37" s="411"/>
      <c r="D37" s="407" t="s">
        <v>514</v>
      </c>
      <c r="E37" s="256" t="s">
        <v>602</v>
      </c>
      <c r="F37" s="418">
        <v>10313</v>
      </c>
      <c r="G37" s="418">
        <v>9861.7939166666638</v>
      </c>
      <c r="H37" s="418">
        <v>9861.7939166666638</v>
      </c>
      <c r="I37" s="407" t="s">
        <v>168</v>
      </c>
      <c r="J37" s="406">
        <v>0.22437004168265501</v>
      </c>
      <c r="K37" s="387">
        <f t="shared" si="1"/>
        <v>2212.6911121482531</v>
      </c>
      <c r="L37" s="176"/>
    </row>
    <row r="38" spans="1:12" x14ac:dyDescent="0.2">
      <c r="A38" s="218"/>
      <c r="B38" s="410"/>
      <c r="C38" s="411"/>
      <c r="D38" s="407">
        <v>108362</v>
      </c>
      <c r="E38" s="256" t="s">
        <v>602</v>
      </c>
      <c r="F38" s="418">
        <v>3941</v>
      </c>
      <c r="G38" s="418">
        <v>3779.4018976486786</v>
      </c>
      <c r="H38" s="418">
        <v>3779.4018976486786</v>
      </c>
      <c r="I38" s="407" t="s">
        <v>563</v>
      </c>
      <c r="J38" s="406">
        <v>0</v>
      </c>
      <c r="K38" s="387">
        <f t="shared" si="1"/>
        <v>0</v>
      </c>
      <c r="L38" s="176"/>
    </row>
    <row r="39" spans="1:12" x14ac:dyDescent="0.2">
      <c r="A39" s="218"/>
      <c r="B39" s="410"/>
      <c r="C39" s="411"/>
      <c r="D39" s="265"/>
      <c r="E39" s="265"/>
      <c r="F39" s="419">
        <f>SUM(F32:F38)</f>
        <v>30541302</v>
      </c>
      <c r="G39" s="419">
        <f>SUM(G32:G38)</f>
        <v>29896321.220491957</v>
      </c>
      <c r="H39" s="419">
        <f>SUM(H32:H38)</f>
        <v>29896321.220491957</v>
      </c>
      <c r="I39" s="392"/>
      <c r="J39" s="417"/>
      <c r="K39" s="419">
        <f>SUM(K32:K38)</f>
        <v>5185125.3341539847</v>
      </c>
      <c r="L39" s="176"/>
    </row>
    <row r="40" spans="1:12" ht="7.5" customHeight="1" x14ac:dyDescent="0.2">
      <c r="A40" s="218"/>
      <c r="B40" s="410"/>
      <c r="C40" s="411"/>
      <c r="D40" s="265"/>
      <c r="E40" s="265"/>
      <c r="F40" s="418"/>
      <c r="G40" s="418"/>
      <c r="H40" s="418"/>
      <c r="I40" s="392"/>
      <c r="J40" s="417"/>
      <c r="K40" s="387"/>
      <c r="L40" s="176"/>
    </row>
    <row r="41" spans="1:12" ht="13.5" thickBot="1" x14ac:dyDescent="0.25">
      <c r="A41" s="218"/>
      <c r="B41" s="260" t="s">
        <v>603</v>
      </c>
      <c r="D41" s="265"/>
      <c r="E41" s="265"/>
      <c r="F41" s="424">
        <f>F30+F39</f>
        <v>-42852772.921930432</v>
      </c>
      <c r="G41" s="424">
        <f>G30+G39</f>
        <v>-43497753.701438472</v>
      </c>
      <c r="H41" s="424">
        <f>H30+H39</f>
        <v>-43497753.701438472</v>
      </c>
      <c r="I41" s="392"/>
      <c r="J41" s="417"/>
      <c r="K41" s="424">
        <f>K30+K39</f>
        <v>-6372032.3953430271</v>
      </c>
      <c r="L41" s="176"/>
    </row>
    <row r="42" spans="1:12" x14ac:dyDescent="0.2">
      <c r="A42" s="218"/>
      <c r="B42" s="411"/>
      <c r="D42" s="265"/>
      <c r="E42" s="265"/>
      <c r="F42" s="418"/>
      <c r="G42" s="418"/>
      <c r="H42" s="418"/>
      <c r="I42" s="392"/>
      <c r="J42" s="417"/>
      <c r="K42" s="387"/>
      <c r="L42" s="176"/>
    </row>
    <row r="43" spans="1:12" x14ac:dyDescent="0.2">
      <c r="A43" s="218"/>
      <c r="B43" s="411" t="s">
        <v>604</v>
      </c>
      <c r="D43" s="412">
        <v>352</v>
      </c>
      <c r="E43" s="256" t="s">
        <v>602</v>
      </c>
      <c r="F43" s="418">
        <v>1826454.3273333339</v>
      </c>
      <c r="G43" s="418">
        <v>1826454.3273333339</v>
      </c>
      <c r="H43" s="418">
        <v>1826454.3273333339</v>
      </c>
      <c r="I43" s="407" t="s">
        <v>543</v>
      </c>
      <c r="J43" s="406">
        <v>0</v>
      </c>
      <c r="K43" s="387">
        <f t="shared" ref="K43:K57" si="2">J43*H43</f>
        <v>0</v>
      </c>
      <c r="L43" s="176"/>
    </row>
    <row r="44" spans="1:12" x14ac:dyDescent="0.2">
      <c r="A44" s="218"/>
      <c r="B44" s="410"/>
      <c r="C44" s="411"/>
      <c r="D44" s="412">
        <v>352</v>
      </c>
      <c r="E44" s="256" t="s">
        <v>602</v>
      </c>
      <c r="F44" s="418">
        <v>1344695.9067322193</v>
      </c>
      <c r="G44" s="418">
        <v>1344695.9067322193</v>
      </c>
      <c r="H44" s="418">
        <v>1344695.9067322193</v>
      </c>
      <c r="I44" s="407" t="s">
        <v>167</v>
      </c>
      <c r="J44" s="406">
        <v>0.22565052397253504</v>
      </c>
      <c r="K44" s="387">
        <f t="shared" si="2"/>
        <v>303431.33593784837</v>
      </c>
      <c r="L44" s="176"/>
    </row>
    <row r="45" spans="1:12" x14ac:dyDescent="0.2">
      <c r="A45" s="218"/>
      <c r="B45" s="410"/>
      <c r="C45" s="411"/>
      <c r="D45" s="412">
        <v>352</v>
      </c>
      <c r="E45" s="256" t="s">
        <v>602</v>
      </c>
      <c r="F45" s="418">
        <v>18869.021137500022</v>
      </c>
      <c r="G45" s="418">
        <v>18869.021137500022</v>
      </c>
      <c r="H45" s="418">
        <v>18869.021137500022</v>
      </c>
      <c r="I45" s="407" t="s">
        <v>168</v>
      </c>
      <c r="J45" s="406">
        <v>0.22437004168265501</v>
      </c>
      <c r="K45" s="387">
        <f t="shared" si="2"/>
        <v>4233.6430591317785</v>
      </c>
      <c r="L45" s="176"/>
    </row>
    <row r="46" spans="1:12" x14ac:dyDescent="0.2">
      <c r="A46" s="218"/>
      <c r="B46" s="410"/>
      <c r="C46" s="411"/>
      <c r="D46" s="412">
        <v>353</v>
      </c>
      <c r="E46" s="256" t="s">
        <v>602</v>
      </c>
      <c r="F46" s="418">
        <v>6622693.3765833331</v>
      </c>
      <c r="G46" s="418">
        <v>6622693.3765833331</v>
      </c>
      <c r="H46" s="418">
        <v>6622693.3765833331</v>
      </c>
      <c r="I46" s="407" t="s">
        <v>543</v>
      </c>
      <c r="J46" s="406">
        <v>0</v>
      </c>
      <c r="K46" s="387">
        <f t="shared" si="2"/>
        <v>0</v>
      </c>
      <c r="L46" s="176"/>
    </row>
    <row r="47" spans="1:12" x14ac:dyDescent="0.2">
      <c r="A47" s="218"/>
      <c r="B47" s="410"/>
      <c r="C47" s="411"/>
      <c r="D47" s="412">
        <v>353</v>
      </c>
      <c r="E47" s="256" t="s">
        <v>602</v>
      </c>
      <c r="F47" s="418">
        <v>20946822.968875967</v>
      </c>
      <c r="G47" s="418">
        <v>20946822.968875967</v>
      </c>
      <c r="H47" s="418">
        <v>20946822.968875967</v>
      </c>
      <c r="I47" s="407" t="s">
        <v>167</v>
      </c>
      <c r="J47" s="406">
        <v>0.22565052397253504</v>
      </c>
      <c r="K47" s="387">
        <f t="shared" si="2"/>
        <v>4726661.5784867937</v>
      </c>
      <c r="L47" s="176"/>
    </row>
    <row r="48" spans="1:12" x14ac:dyDescent="0.2">
      <c r="A48" s="218"/>
      <c r="B48" s="410"/>
      <c r="C48" s="411"/>
      <c r="D48" s="412">
        <v>353</v>
      </c>
      <c r="E48" s="256" t="s">
        <v>602</v>
      </c>
      <c r="F48" s="418">
        <v>3073892.9781000023</v>
      </c>
      <c r="G48" s="418">
        <v>3073892.9781000023</v>
      </c>
      <c r="H48" s="418">
        <v>3073892.9781000023</v>
      </c>
      <c r="I48" s="407" t="s">
        <v>168</v>
      </c>
      <c r="J48" s="406">
        <v>0.22437004168265501</v>
      </c>
      <c r="K48" s="387">
        <f t="shared" si="2"/>
        <v>689689.49562431802</v>
      </c>
      <c r="L48" s="176"/>
    </row>
    <row r="49" spans="1:12" x14ac:dyDescent="0.2">
      <c r="A49" s="218"/>
      <c r="B49" s="410"/>
      <c r="C49" s="411"/>
      <c r="D49" s="412">
        <v>354</v>
      </c>
      <c r="E49" s="256" t="s">
        <v>602</v>
      </c>
      <c r="F49" s="418">
        <v>9856028.3873182908</v>
      </c>
      <c r="G49" s="418">
        <v>9856028.3873182908</v>
      </c>
      <c r="H49" s="418">
        <v>9856028.3873182908</v>
      </c>
      <c r="I49" s="407" t="s">
        <v>167</v>
      </c>
      <c r="J49" s="406">
        <v>0.22565052397253504</v>
      </c>
      <c r="K49" s="387">
        <f t="shared" si="2"/>
        <v>2224017.9698865521</v>
      </c>
      <c r="L49" s="176"/>
    </row>
    <row r="50" spans="1:12" x14ac:dyDescent="0.2">
      <c r="A50" s="218"/>
      <c r="B50" s="410"/>
      <c r="C50" s="411"/>
      <c r="D50" s="412">
        <v>354</v>
      </c>
      <c r="E50" s="256" t="s">
        <v>602</v>
      </c>
      <c r="F50" s="418">
        <v>6436371.1899999995</v>
      </c>
      <c r="G50" s="418">
        <v>6436371.1899999995</v>
      </c>
      <c r="H50" s="418">
        <v>6436371.1899999995</v>
      </c>
      <c r="I50" s="407" t="s">
        <v>168</v>
      </c>
      <c r="J50" s="406">
        <v>0.22437004168265501</v>
      </c>
      <c r="K50" s="387">
        <f t="shared" si="2"/>
        <v>1444128.8721853397</v>
      </c>
      <c r="L50" s="176"/>
    </row>
    <row r="51" spans="1:12" x14ac:dyDescent="0.2">
      <c r="A51" s="218"/>
      <c r="B51" s="410"/>
      <c r="C51" s="411"/>
      <c r="D51" s="412">
        <v>355</v>
      </c>
      <c r="E51" s="256" t="s">
        <v>602</v>
      </c>
      <c r="F51" s="418">
        <v>283563.40433566435</v>
      </c>
      <c r="G51" s="418">
        <v>283563.40433566435</v>
      </c>
      <c r="H51" s="418">
        <v>283563.40433566435</v>
      </c>
      <c r="I51" s="407" t="s">
        <v>543</v>
      </c>
      <c r="J51" s="406">
        <v>0</v>
      </c>
      <c r="K51" s="387">
        <f t="shared" si="2"/>
        <v>0</v>
      </c>
      <c r="L51" s="176"/>
    </row>
    <row r="52" spans="1:12" x14ac:dyDescent="0.2">
      <c r="A52" s="218"/>
      <c r="B52" s="410"/>
      <c r="C52" s="411"/>
      <c r="D52" s="412">
        <v>355</v>
      </c>
      <c r="E52" s="256" t="s">
        <v>602</v>
      </c>
      <c r="F52" s="418">
        <v>2535284.8250293266</v>
      </c>
      <c r="G52" s="418">
        <v>2535284.8250293266</v>
      </c>
      <c r="H52" s="418">
        <v>2535284.8250293266</v>
      </c>
      <c r="I52" s="407" t="s">
        <v>167</v>
      </c>
      <c r="J52" s="406">
        <v>0.22565052397253504</v>
      </c>
      <c r="K52" s="387">
        <f t="shared" si="2"/>
        <v>572088.34918748436</v>
      </c>
      <c r="L52" s="176"/>
    </row>
    <row r="53" spans="1:12" x14ac:dyDescent="0.2">
      <c r="A53" s="218"/>
      <c r="B53" s="410"/>
      <c r="C53" s="411"/>
      <c r="D53" s="412">
        <v>355</v>
      </c>
      <c r="E53" s="256" t="s">
        <v>602</v>
      </c>
      <c r="F53" s="418">
        <v>45987.238333333335</v>
      </c>
      <c r="G53" s="418">
        <v>45987.238333333335</v>
      </c>
      <c r="H53" s="418">
        <v>45987.238333333335</v>
      </c>
      <c r="I53" s="407" t="s">
        <v>168</v>
      </c>
      <c r="J53" s="406">
        <v>0.22437004168265501</v>
      </c>
      <c r="K53" s="387">
        <f t="shared" si="2"/>
        <v>10318.15858172019</v>
      </c>
      <c r="L53" s="176"/>
    </row>
    <row r="54" spans="1:12" x14ac:dyDescent="0.2">
      <c r="A54" s="218"/>
      <c r="B54" s="410"/>
      <c r="C54" s="411"/>
      <c r="D54" s="412">
        <v>356</v>
      </c>
      <c r="E54" s="256" t="s">
        <v>602</v>
      </c>
      <c r="F54" s="418">
        <v>384022.80727272731</v>
      </c>
      <c r="G54" s="418">
        <v>384022.80727272731</v>
      </c>
      <c r="H54" s="418">
        <v>384022.80727272731</v>
      </c>
      <c r="I54" s="407" t="s">
        <v>543</v>
      </c>
      <c r="J54" s="406">
        <v>0</v>
      </c>
      <c r="K54" s="387">
        <f t="shared" si="2"/>
        <v>0</v>
      </c>
      <c r="L54" s="176"/>
    </row>
    <row r="55" spans="1:12" x14ac:dyDescent="0.2">
      <c r="A55" s="218"/>
      <c r="B55" s="410"/>
      <c r="C55" s="411"/>
      <c r="D55" s="412">
        <v>356</v>
      </c>
      <c r="E55" s="256" t="s">
        <v>602</v>
      </c>
      <c r="F55" s="418">
        <v>5514590.0816928903</v>
      </c>
      <c r="G55" s="418">
        <v>5514590.0816928903</v>
      </c>
      <c r="H55" s="418">
        <v>5514590.0816928903</v>
      </c>
      <c r="I55" s="407" t="s">
        <v>167</v>
      </c>
      <c r="J55" s="406">
        <v>0.22565052397253504</v>
      </c>
      <c r="K55" s="387">
        <f t="shared" si="2"/>
        <v>1244370.1414277456</v>
      </c>
      <c r="L55" s="176"/>
    </row>
    <row r="56" spans="1:12" x14ac:dyDescent="0.2">
      <c r="A56" s="218"/>
      <c r="B56" s="410"/>
      <c r="C56" s="411"/>
      <c r="D56" s="412">
        <v>356</v>
      </c>
      <c r="E56" s="256" t="s">
        <v>602</v>
      </c>
      <c r="F56" s="418">
        <v>5439586.5741666667</v>
      </c>
      <c r="G56" s="418">
        <v>5439586.5741666667</v>
      </c>
      <c r="H56" s="418">
        <v>5439586.5741666667</v>
      </c>
      <c r="I56" s="407" t="s">
        <v>168</v>
      </c>
      <c r="J56" s="406">
        <v>0.22437004168265501</v>
      </c>
      <c r="K56" s="387">
        <f t="shared" si="2"/>
        <v>1220480.2663821855</v>
      </c>
      <c r="L56" s="176"/>
    </row>
    <row r="57" spans="1:12" x14ac:dyDescent="0.2">
      <c r="A57" s="218"/>
      <c r="B57" s="410"/>
      <c r="C57" s="411"/>
      <c r="D57" s="412">
        <v>397</v>
      </c>
      <c r="E57" s="256" t="s">
        <v>602</v>
      </c>
      <c r="F57" s="418">
        <v>1197.575</v>
      </c>
      <c r="G57" s="418">
        <v>1197.575</v>
      </c>
      <c r="H57" s="418">
        <v>1197.575</v>
      </c>
      <c r="I57" s="407" t="s">
        <v>168</v>
      </c>
      <c r="J57" s="406">
        <v>0.22437004168265501</v>
      </c>
      <c r="K57" s="387">
        <f t="shared" si="2"/>
        <v>268.6999526681056</v>
      </c>
      <c r="L57" s="176"/>
    </row>
    <row r="58" spans="1:12" x14ac:dyDescent="0.2">
      <c r="A58" s="218"/>
      <c r="B58" s="410"/>
      <c r="C58" s="411"/>
      <c r="D58" s="412"/>
      <c r="E58" s="265"/>
      <c r="F58" s="419">
        <f>SUM(F43:F57)</f>
        <v>64330060.661911264</v>
      </c>
      <c r="G58" s="419">
        <f>SUM(G43:G57)</f>
        <v>64330060.661911264</v>
      </c>
      <c r="H58" s="419">
        <f>SUM(H43:H57)</f>
        <v>64330060.661911264</v>
      </c>
      <c r="I58" s="392"/>
      <c r="J58" s="417"/>
      <c r="K58" s="419">
        <f>SUM(K43:K57)</f>
        <v>12439688.510711787</v>
      </c>
      <c r="L58" s="176"/>
    </row>
    <row r="59" spans="1:12" x14ac:dyDescent="0.2">
      <c r="A59" s="218"/>
      <c r="B59" s="410"/>
      <c r="C59" s="411"/>
      <c r="D59" s="412"/>
      <c r="E59" s="265"/>
      <c r="F59" s="418"/>
      <c r="G59" s="418"/>
      <c r="H59" s="418"/>
      <c r="I59" s="392"/>
      <c r="J59" s="417"/>
      <c r="K59" s="418"/>
      <c r="L59" s="176"/>
    </row>
    <row r="60" spans="1:12" x14ac:dyDescent="0.2">
      <c r="A60" s="218"/>
      <c r="B60" s="411" t="s">
        <v>605</v>
      </c>
      <c r="D60" s="407" t="s">
        <v>519</v>
      </c>
      <c r="E60" s="256" t="s">
        <v>602</v>
      </c>
      <c r="F60" s="418">
        <v>-7285529</v>
      </c>
      <c r="G60" s="418">
        <v>-7158484.5611398621</v>
      </c>
      <c r="H60" s="418">
        <v>-7158484.5611398621</v>
      </c>
      <c r="I60" s="407" t="s">
        <v>168</v>
      </c>
      <c r="J60" s="406">
        <v>0.22437004168265501</v>
      </c>
      <c r="K60" s="387">
        <f t="shared" ref="K60:K63" si="3">J60*H60</f>
        <v>-1606149.4793675933</v>
      </c>
      <c r="L60" s="176"/>
    </row>
    <row r="61" spans="1:12" x14ac:dyDescent="0.2">
      <c r="A61" s="218"/>
      <c r="B61" s="411"/>
      <c r="D61" s="407" t="s">
        <v>514</v>
      </c>
      <c r="E61" s="256" t="s">
        <v>602</v>
      </c>
      <c r="F61" s="418">
        <v>-1211</v>
      </c>
      <c r="G61" s="418">
        <v>-1197.5750000000003</v>
      </c>
      <c r="H61" s="418">
        <v>-1197.5750000000003</v>
      </c>
      <c r="I61" s="412" t="s">
        <v>168</v>
      </c>
      <c r="J61" s="406">
        <v>0.22437004168265501</v>
      </c>
      <c r="K61" s="387">
        <f t="shared" si="3"/>
        <v>-268.69995266810565</v>
      </c>
      <c r="L61" s="176"/>
    </row>
    <row r="62" spans="1:12" x14ac:dyDescent="0.2">
      <c r="A62" s="218"/>
      <c r="B62" s="411"/>
      <c r="D62" s="407" t="s">
        <v>519</v>
      </c>
      <c r="E62" s="256" t="s">
        <v>602</v>
      </c>
      <c r="F62" s="418">
        <v>-12634459</v>
      </c>
      <c r="G62" s="418">
        <v>-12272881.554861519</v>
      </c>
      <c r="H62" s="418">
        <v>-12272881.554861519</v>
      </c>
      <c r="I62" s="412" t="s">
        <v>167</v>
      </c>
      <c r="J62" s="406">
        <v>0.22565052397253504</v>
      </c>
      <c r="K62" s="387">
        <f t="shared" si="3"/>
        <v>-2769382.1535073626</v>
      </c>
      <c r="L62" s="176"/>
    </row>
    <row r="63" spans="1:12" x14ac:dyDescent="0.2">
      <c r="A63" s="218"/>
      <c r="B63" s="411"/>
      <c r="D63" s="407" t="s">
        <v>519</v>
      </c>
      <c r="E63" s="256" t="s">
        <v>602</v>
      </c>
      <c r="F63" s="418">
        <v>-1251923</v>
      </c>
      <c r="G63" s="418">
        <v>-1173656.3131352812</v>
      </c>
      <c r="H63" s="418">
        <v>-1173656.3131352812</v>
      </c>
      <c r="I63" s="412" t="s">
        <v>543</v>
      </c>
      <c r="J63" s="406">
        <v>0</v>
      </c>
      <c r="K63" s="387">
        <f t="shared" si="3"/>
        <v>0</v>
      </c>
      <c r="L63" s="176"/>
    </row>
    <row r="64" spans="1:12" x14ac:dyDescent="0.2">
      <c r="A64" s="218"/>
      <c r="B64" s="411"/>
      <c r="D64" s="265"/>
      <c r="E64" s="265"/>
      <c r="F64" s="419">
        <f>SUM(F60:F63)</f>
        <v>-21173122</v>
      </c>
      <c r="G64" s="419">
        <f>SUM(G60:G63)</f>
        <v>-20606220.004136663</v>
      </c>
      <c r="H64" s="419">
        <f>SUM(H60:H63)</f>
        <v>-20606220.004136663</v>
      </c>
      <c r="I64" s="392"/>
      <c r="J64" s="417"/>
      <c r="K64" s="419">
        <f>SUM(K60:K63)</f>
        <v>-4375800.3328276239</v>
      </c>
      <c r="L64" s="176"/>
    </row>
    <row r="65" spans="1:12" x14ac:dyDescent="0.2">
      <c r="A65" s="218"/>
      <c r="B65" s="411"/>
      <c r="D65" s="265"/>
      <c r="E65" s="265"/>
      <c r="F65" s="418"/>
      <c r="G65" s="418"/>
      <c r="H65" s="418"/>
      <c r="I65" s="392"/>
      <c r="J65" s="417"/>
      <c r="K65" s="387"/>
      <c r="L65" s="176"/>
    </row>
    <row r="66" spans="1:12" ht="13.5" thickBot="1" x14ac:dyDescent="0.25">
      <c r="A66" s="218"/>
      <c r="B66" s="234" t="s">
        <v>606</v>
      </c>
      <c r="D66" s="226"/>
      <c r="E66" s="226"/>
      <c r="F66" s="425">
        <f>F58+F64</f>
        <v>43156938.661911264</v>
      </c>
      <c r="G66" s="425">
        <f>G58+G64</f>
        <v>43723840.657774597</v>
      </c>
      <c r="H66" s="425">
        <f>H58+H64</f>
        <v>43723840.657774597</v>
      </c>
      <c r="I66" s="226"/>
      <c r="J66" s="226"/>
      <c r="K66" s="425">
        <f>K58+K64</f>
        <v>8063888.1778841633</v>
      </c>
      <c r="L66" s="176"/>
    </row>
    <row r="67" spans="1:12" x14ac:dyDescent="0.2">
      <c r="A67" s="218"/>
      <c r="B67" s="176"/>
      <c r="D67" s="176"/>
      <c r="E67" s="176"/>
      <c r="F67" s="176"/>
      <c r="G67" s="176"/>
      <c r="H67" s="176"/>
      <c r="I67" s="176"/>
      <c r="J67" s="176"/>
      <c r="K67" s="176"/>
      <c r="L67" s="176"/>
    </row>
    <row r="68" spans="1:12" ht="13.5" thickBot="1" x14ac:dyDescent="0.25">
      <c r="A68" s="218"/>
      <c r="B68" s="224" t="s">
        <v>524</v>
      </c>
      <c r="D68" s="226"/>
      <c r="E68" s="226"/>
      <c r="F68" s="425">
        <f>F41+F66</f>
        <v>304165.73998083174</v>
      </c>
      <c r="G68" s="425">
        <f>G41+G66</f>
        <v>226086.95633612573</v>
      </c>
      <c r="H68" s="425">
        <f>H41+H66</f>
        <v>226086.95633612573</v>
      </c>
      <c r="I68" s="226"/>
      <c r="J68" s="226"/>
      <c r="K68" s="425">
        <f>K41+K66</f>
        <v>1691855.7825411363</v>
      </c>
      <c r="L68" s="176"/>
    </row>
    <row r="69" spans="1:12" x14ac:dyDescent="0.2">
      <c r="A69" s="218"/>
      <c r="B69" s="224"/>
      <c r="D69" s="226"/>
      <c r="E69" s="226"/>
      <c r="F69" s="426"/>
      <c r="G69" s="426"/>
      <c r="H69" s="426"/>
      <c r="I69" s="226"/>
      <c r="J69" s="226"/>
      <c r="K69" s="426"/>
      <c r="L69" s="176"/>
    </row>
    <row r="70" spans="1:12" x14ac:dyDescent="0.2">
      <c r="A70" s="218"/>
      <c r="B70" s="224" t="s">
        <v>532</v>
      </c>
      <c r="D70" s="226"/>
      <c r="E70" s="226"/>
      <c r="F70" s="426"/>
      <c r="G70" s="426"/>
      <c r="H70" s="426"/>
      <c r="I70" s="226"/>
      <c r="J70" s="226"/>
      <c r="K70" s="426"/>
      <c r="L70" s="176"/>
    </row>
    <row r="71" spans="1:12" x14ac:dyDescent="0.2">
      <c r="A71" s="224"/>
      <c r="B71" s="224" t="s">
        <v>607</v>
      </c>
      <c r="D71" s="226">
        <v>282</v>
      </c>
      <c r="E71" s="226" t="s">
        <v>602</v>
      </c>
      <c r="F71" s="420">
        <v>1727109</v>
      </c>
      <c r="G71" s="420">
        <v>1426758</v>
      </c>
      <c r="H71" s="420">
        <v>1426758</v>
      </c>
      <c r="I71" s="227" t="s">
        <v>504</v>
      </c>
      <c r="J71" s="421">
        <v>1</v>
      </c>
      <c r="K71" s="420">
        <f>ROUND(J71*H71,0)</f>
        <v>1426758</v>
      </c>
      <c r="L71" s="176"/>
    </row>
    <row r="72" spans="1:12" x14ac:dyDescent="0.2">
      <c r="A72" s="224"/>
      <c r="B72" s="224"/>
      <c r="C72" s="224"/>
      <c r="D72" s="226"/>
      <c r="E72" s="226"/>
      <c r="F72" s="420"/>
      <c r="G72" s="420"/>
      <c r="H72" s="420"/>
      <c r="I72" s="227"/>
      <c r="J72" s="421"/>
      <c r="K72" s="420"/>
      <c r="L72" s="176"/>
    </row>
    <row r="73" spans="1:12" x14ac:dyDescent="0.2">
      <c r="A73" s="224"/>
      <c r="B73" s="224" t="s">
        <v>183</v>
      </c>
      <c r="C73" s="224"/>
      <c r="D73" s="226"/>
      <c r="E73" s="226"/>
      <c r="F73" s="226"/>
      <c r="G73" s="226"/>
      <c r="H73" s="420"/>
      <c r="I73" s="227"/>
      <c r="J73" s="422"/>
      <c r="K73" s="420"/>
      <c r="L73" s="176"/>
    </row>
    <row r="74" spans="1:12" ht="15.75" customHeight="1" x14ac:dyDescent="0.2">
      <c r="A74" s="478" t="s">
        <v>611</v>
      </c>
      <c r="B74" s="479"/>
      <c r="C74" s="479"/>
      <c r="D74" s="479"/>
      <c r="E74" s="479"/>
      <c r="F74" s="479"/>
      <c r="G74" s="479"/>
      <c r="H74" s="479"/>
      <c r="I74" s="479"/>
      <c r="J74" s="479"/>
      <c r="K74" s="480"/>
      <c r="L74" s="176"/>
    </row>
    <row r="75" spans="1:12" x14ac:dyDescent="0.2">
      <c r="A75" s="481"/>
      <c r="B75" s="454"/>
      <c r="C75" s="454"/>
      <c r="D75" s="454"/>
      <c r="E75" s="454"/>
      <c r="F75" s="454"/>
      <c r="G75" s="454"/>
      <c r="H75" s="454"/>
      <c r="I75" s="454"/>
      <c r="J75" s="454"/>
      <c r="K75" s="482"/>
      <c r="L75" s="176"/>
    </row>
    <row r="76" spans="1:12" x14ac:dyDescent="0.2">
      <c r="A76" s="481"/>
      <c r="B76" s="454"/>
      <c r="C76" s="454"/>
      <c r="D76" s="454"/>
      <c r="E76" s="454"/>
      <c r="F76" s="454"/>
      <c r="G76" s="454"/>
      <c r="H76" s="454"/>
      <c r="I76" s="454"/>
      <c r="J76" s="454"/>
      <c r="K76" s="482"/>
      <c r="L76" s="176"/>
    </row>
    <row r="77" spans="1:12" x14ac:dyDescent="0.2">
      <c r="A77" s="483"/>
      <c r="B77" s="484"/>
      <c r="C77" s="484"/>
      <c r="D77" s="484"/>
      <c r="E77" s="484"/>
      <c r="F77" s="484"/>
      <c r="G77" s="484"/>
      <c r="H77" s="484"/>
      <c r="I77" s="484"/>
      <c r="J77" s="484"/>
      <c r="K77" s="485"/>
      <c r="L77" s="176"/>
    </row>
    <row r="78" spans="1:12" x14ac:dyDescent="0.2">
      <c r="A78" s="176"/>
      <c r="B78" s="176"/>
      <c r="C78" s="176"/>
      <c r="D78" s="176"/>
      <c r="E78" s="176"/>
      <c r="F78" s="176"/>
      <c r="G78" s="176"/>
      <c r="H78" s="176"/>
      <c r="I78" s="176"/>
      <c r="J78" s="176"/>
      <c r="K78" s="176"/>
      <c r="L78" s="176"/>
    </row>
  </sheetData>
  <mergeCells count="1">
    <mergeCell ref="A74:K77"/>
  </mergeCells>
  <conditionalFormatting sqref="B18">
    <cfRule type="cellIs" dxfId="3" priority="1" stopIfTrue="1" operator="equal">
      <formula>"Adjustment to Income/Expense/Rate Base:"</formula>
    </cfRule>
  </conditionalFormatting>
  <conditionalFormatting sqref="B9:B10">
    <cfRule type="cellIs" dxfId="2" priority="3" stopIfTrue="1" operator="equal">
      <formula>"Adjustment to Income/Expense/Rate Base:"</formula>
    </cfRule>
  </conditionalFormatting>
  <conditionalFormatting sqref="B24 B12:B14">
    <cfRule type="cellIs" dxfId="1" priority="4" stopIfTrue="1" operator="equal">
      <formula>"Title"</formula>
    </cfRule>
  </conditionalFormatting>
  <conditionalFormatting sqref="B19">
    <cfRule type="cellIs" dxfId="0" priority="2" stopIfTrue="1" operator="equal">
      <formula>"Adjustment to Income/Expense/Rate Base:"</formula>
    </cfRule>
  </conditionalFormatting>
  <dataValidations disablePrompts="1" count="2">
    <dataValidation type="list" allowBlank="1" showInputMessage="1" showErrorMessage="1" errorTitle="Adjsutment Type Input Error" error="An invalid adjustment type was entered._x000a__x000a_Valid values are 1, 2, or 3." sqref="F10:G10 E10:E66 E68:E73 F73:G73">
      <formula1>"1,2,3"</formula1>
    </dataValidation>
    <dataValidation type="list" allowBlank="1" showInputMessage="1" showErrorMessage="1" errorTitle="Account Input Error" error="The account number entered is not valid." sqref="D10 D39:D42 D68:D73 D64:D66">
      <formula1>ValidAccount</formula1>
    </dataValidation>
  </dataValidations>
  <pageMargins left="0.7" right="0.7" top="0.75" bottom="0.75" header="0.3" footer="0.3"/>
  <pageSetup scale="71"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1"/>
  <sheetViews>
    <sheetView zoomScaleNormal="100" workbookViewId="0">
      <selection activeCell="A3" sqref="A3"/>
    </sheetView>
  </sheetViews>
  <sheetFormatPr defaultRowHeight="15.75" x14ac:dyDescent="0.25"/>
  <cols>
    <col min="1" max="1" width="4.25" style="32" customWidth="1"/>
    <col min="2" max="2" width="0.75" style="32" customWidth="1"/>
    <col min="3" max="3" width="29.75" style="32" customWidth="1"/>
    <col min="4" max="4" width="1.875" style="32" customWidth="1"/>
    <col min="5" max="5" width="14" style="32" customWidth="1"/>
    <col min="6" max="6" width="12.75" style="32" customWidth="1"/>
    <col min="7" max="7" width="13.125" style="32" customWidth="1"/>
    <col min="8" max="8" width="12.875" style="32" customWidth="1"/>
    <col min="9" max="9" width="11.875" style="32" customWidth="1"/>
    <col min="10" max="10" width="12.5" style="32" customWidth="1"/>
    <col min="11" max="11" width="12" style="32" customWidth="1"/>
    <col min="12" max="12" width="12.75" style="32" customWidth="1"/>
    <col min="13" max="13" width="13.125" style="32" customWidth="1"/>
    <col min="14" max="15" width="12.125" style="32" customWidth="1"/>
    <col min="16" max="16" width="12.625" style="32" customWidth="1"/>
    <col min="17" max="17" width="12.375" style="32" customWidth="1"/>
    <col min="18" max="18" width="11.25" style="32" customWidth="1"/>
    <col min="19" max="19" width="10.625" style="32" customWidth="1"/>
    <col min="20" max="25" width="11.625" style="32" customWidth="1"/>
    <col min="26" max="26" width="15" style="32" customWidth="1"/>
    <col min="27" max="27" width="13.75" style="32" customWidth="1"/>
    <col min="28" max="29" width="12.375" style="32" customWidth="1"/>
    <col min="30" max="30" width="10.875" style="32" customWidth="1"/>
    <col min="31" max="31" width="12.25" style="32" customWidth="1"/>
    <col min="32" max="32" width="11.25" style="32" customWidth="1"/>
    <col min="33" max="33" width="11.125" style="32" customWidth="1"/>
    <col min="34" max="34" width="11.75" style="32" customWidth="1"/>
    <col min="35" max="35" width="14" style="32" customWidth="1"/>
    <col min="36" max="36" width="11.625" style="32" customWidth="1"/>
    <col min="37" max="37" width="10.875" style="32" customWidth="1"/>
    <col min="38" max="38" width="12" style="32" customWidth="1"/>
    <col min="39" max="39" width="11.25" style="32" customWidth="1"/>
    <col min="40" max="40" width="9.75" style="32" customWidth="1"/>
    <col min="41" max="41" width="12.875" style="32" customWidth="1"/>
    <col min="42" max="42" width="12" style="32" customWidth="1"/>
    <col min="43" max="43" width="11.875" style="32" customWidth="1"/>
    <col min="44" max="45" width="12.125" style="32" customWidth="1"/>
    <col min="46" max="46" width="12.875" style="32" customWidth="1"/>
    <col min="47" max="47" width="10.375" style="32" customWidth="1"/>
    <col min="48" max="48" width="11.625" style="32" customWidth="1"/>
    <col min="49" max="49" width="12.125" style="32" customWidth="1"/>
    <col min="50" max="50" width="10.875" style="32" customWidth="1"/>
    <col min="51" max="51" width="14" style="32" customWidth="1"/>
    <col min="52" max="52" width="12.75" style="32" customWidth="1"/>
    <col min="53" max="55" width="12.375" style="32" customWidth="1"/>
    <col min="56" max="56" width="14" style="32" customWidth="1"/>
    <col min="57" max="16384" width="9" style="32"/>
  </cols>
  <sheetData>
    <row r="1" spans="1:56" x14ac:dyDescent="0.25">
      <c r="A1" s="487" t="s">
        <v>392</v>
      </c>
      <c r="L1" s="334" t="s">
        <v>275</v>
      </c>
      <c r="V1" s="334" t="s">
        <v>275</v>
      </c>
      <c r="AE1" s="334" t="s">
        <v>275</v>
      </c>
      <c r="AO1" s="334" t="s">
        <v>275</v>
      </c>
      <c r="AX1" s="334" t="s">
        <v>275</v>
      </c>
      <c r="BD1" s="334" t="s">
        <v>275</v>
      </c>
    </row>
    <row r="2" spans="1:56" x14ac:dyDescent="0.25">
      <c r="A2" s="32" t="s">
        <v>660</v>
      </c>
      <c r="L2" s="334" t="s">
        <v>189</v>
      </c>
      <c r="V2" s="334" t="s">
        <v>189</v>
      </c>
      <c r="AE2" s="334" t="s">
        <v>189</v>
      </c>
      <c r="AO2" s="334" t="s">
        <v>189</v>
      </c>
      <c r="AX2" s="334" t="s">
        <v>189</v>
      </c>
      <c r="BD2" s="334" t="s">
        <v>189</v>
      </c>
    </row>
    <row r="3" spans="1:56" x14ac:dyDescent="0.25">
      <c r="A3" s="32" t="s">
        <v>273</v>
      </c>
      <c r="L3" s="521" t="s">
        <v>748</v>
      </c>
      <c r="V3" s="521" t="s">
        <v>748</v>
      </c>
      <c r="AE3" s="521" t="s">
        <v>748</v>
      </c>
      <c r="AO3" s="521" t="s">
        <v>748</v>
      </c>
      <c r="AX3" s="521" t="s">
        <v>748</v>
      </c>
      <c r="BD3" s="521" t="s">
        <v>748</v>
      </c>
    </row>
    <row r="4" spans="1:56" x14ac:dyDescent="0.25">
      <c r="A4" s="160"/>
      <c r="L4" s="334" t="s">
        <v>715</v>
      </c>
      <c r="V4" s="334" t="s">
        <v>716</v>
      </c>
      <c r="AE4" s="334" t="s">
        <v>717</v>
      </c>
      <c r="AO4" s="334" t="s">
        <v>718</v>
      </c>
      <c r="AX4" s="334" t="s">
        <v>719</v>
      </c>
      <c r="BD4" s="334" t="s">
        <v>720</v>
      </c>
    </row>
    <row r="5" spans="1:56" x14ac:dyDescent="0.25">
      <c r="F5" s="174">
        <v>3.1</v>
      </c>
      <c r="G5" s="174">
        <v>3.2</v>
      </c>
      <c r="H5" s="174">
        <v>3.3</v>
      </c>
      <c r="I5" s="174">
        <v>3.4</v>
      </c>
      <c r="J5" s="174">
        <v>3.5</v>
      </c>
      <c r="K5" s="174">
        <v>3.6</v>
      </c>
      <c r="L5" s="174">
        <v>4.0999999999999996</v>
      </c>
      <c r="M5" s="174">
        <v>4.2</v>
      </c>
      <c r="N5" s="174">
        <v>4.3</v>
      </c>
      <c r="O5" s="174">
        <v>4.4000000000000004</v>
      </c>
      <c r="P5" s="174">
        <v>4.5</v>
      </c>
      <c r="Q5" s="174">
        <v>4.5999999999999996</v>
      </c>
      <c r="R5" s="174">
        <v>4.7</v>
      </c>
      <c r="S5" s="174">
        <v>4.8</v>
      </c>
      <c r="T5" s="174">
        <v>4.9000000000000004</v>
      </c>
      <c r="U5" s="175">
        <v>4.0999999999999996</v>
      </c>
      <c r="V5" s="175" t="s">
        <v>467</v>
      </c>
      <c r="W5" s="175" t="s">
        <v>468</v>
      </c>
      <c r="X5" s="175" t="s">
        <v>469</v>
      </c>
      <c r="Y5" s="175" t="s">
        <v>470</v>
      </c>
      <c r="Z5" s="174">
        <v>5.0999999999999996</v>
      </c>
      <c r="AA5" s="174">
        <v>5.2</v>
      </c>
      <c r="AB5" s="174">
        <v>6.1</v>
      </c>
      <c r="AC5" s="174">
        <v>6.2</v>
      </c>
      <c r="AD5" s="174">
        <v>6.3</v>
      </c>
      <c r="AE5" s="174">
        <v>6.4</v>
      </c>
      <c r="AF5" s="174">
        <v>7.1</v>
      </c>
      <c r="AG5" s="174">
        <v>7.2</v>
      </c>
      <c r="AH5" s="174">
        <v>7.3</v>
      </c>
      <c r="AI5" s="174">
        <v>7.4</v>
      </c>
      <c r="AJ5" s="174">
        <v>7.5</v>
      </c>
      <c r="AK5" s="174">
        <v>7.6</v>
      </c>
      <c r="AL5" s="174">
        <v>7.7</v>
      </c>
      <c r="AM5" s="174">
        <v>7.8</v>
      </c>
      <c r="AN5" s="174">
        <v>7.9</v>
      </c>
      <c r="AO5" s="174">
        <v>8.1</v>
      </c>
      <c r="AP5" s="174">
        <v>8.1999999999999993</v>
      </c>
      <c r="AQ5" s="174">
        <v>8.3000000000000007</v>
      </c>
      <c r="AR5" s="174" t="s">
        <v>643</v>
      </c>
      <c r="AS5" s="174" t="s">
        <v>700</v>
      </c>
      <c r="AT5" s="174">
        <v>8.5</v>
      </c>
      <c r="AU5" s="174">
        <v>8.6</v>
      </c>
      <c r="AV5" s="174">
        <v>8.6999999999999993</v>
      </c>
      <c r="AW5" s="174">
        <v>8.8000000000000007</v>
      </c>
      <c r="AX5" s="174">
        <v>8.9</v>
      </c>
      <c r="AY5" s="175">
        <v>8.1</v>
      </c>
      <c r="AZ5" s="175">
        <v>8.11</v>
      </c>
      <c r="BA5" s="175">
        <v>8.1199999999999992</v>
      </c>
      <c r="BB5" s="175">
        <v>8.1300000000000008</v>
      </c>
      <c r="BC5" s="175" t="s">
        <v>471</v>
      </c>
    </row>
    <row r="6" spans="1:56" x14ac:dyDescent="0.25">
      <c r="B6" s="160"/>
      <c r="C6" s="160"/>
      <c r="D6" s="160"/>
      <c r="E6" s="161" t="s">
        <v>85</v>
      </c>
      <c r="L6" s="159" t="s">
        <v>311</v>
      </c>
      <c r="M6" s="159" t="s">
        <v>313</v>
      </c>
      <c r="N6" s="162"/>
      <c r="O6" s="162"/>
      <c r="P6" s="159" t="s">
        <v>320</v>
      </c>
      <c r="Q6" s="162"/>
      <c r="R6" s="159"/>
      <c r="S6" s="159"/>
      <c r="T6" s="159"/>
      <c r="U6" s="159"/>
      <c r="V6" s="159"/>
      <c r="X6" s="159"/>
      <c r="Y6" s="159" t="s">
        <v>473</v>
      </c>
      <c r="Z6" s="159" t="s">
        <v>330</v>
      </c>
      <c r="AA6" s="159"/>
      <c r="AB6" s="159" t="s">
        <v>333</v>
      </c>
      <c r="AC6" s="159" t="s">
        <v>336</v>
      </c>
      <c r="AD6" s="159"/>
      <c r="AE6" s="159" t="s">
        <v>341</v>
      </c>
      <c r="AF6" s="159"/>
      <c r="AH6" s="159" t="s">
        <v>346</v>
      </c>
      <c r="AI6" s="159" t="s">
        <v>349</v>
      </c>
      <c r="AJ6" s="159" t="s">
        <v>352</v>
      </c>
      <c r="AK6" s="159" t="s">
        <v>354</v>
      </c>
      <c r="AL6" s="159" t="s">
        <v>356</v>
      </c>
      <c r="AM6" s="159" t="s">
        <v>359</v>
      </c>
      <c r="AN6" s="159"/>
      <c r="AO6" s="159" t="s">
        <v>363</v>
      </c>
      <c r="AP6" s="159"/>
      <c r="AQ6" s="159" t="s">
        <v>367</v>
      </c>
      <c r="AR6" s="159" t="s">
        <v>370</v>
      </c>
      <c r="AS6" s="159" t="s">
        <v>370</v>
      </c>
      <c r="AT6" s="159"/>
      <c r="AU6" s="159" t="s">
        <v>320</v>
      </c>
      <c r="AV6" s="159" t="s">
        <v>374</v>
      </c>
      <c r="AW6" s="159" t="s">
        <v>367</v>
      </c>
      <c r="AX6" s="159" t="s">
        <v>378</v>
      </c>
      <c r="AY6" s="159" t="s">
        <v>381</v>
      </c>
      <c r="AZ6" s="159" t="s">
        <v>384</v>
      </c>
      <c r="BA6" s="159" t="s">
        <v>386</v>
      </c>
      <c r="BB6" s="159" t="s">
        <v>389</v>
      </c>
      <c r="BC6" s="159" t="s">
        <v>363</v>
      </c>
      <c r="BD6" s="163" t="s">
        <v>130</v>
      </c>
    </row>
    <row r="7" spans="1:56" x14ac:dyDescent="0.25">
      <c r="A7" s="160"/>
      <c r="B7" s="160"/>
      <c r="C7" s="160"/>
      <c r="D7" s="160"/>
      <c r="E7" s="161" t="s">
        <v>129</v>
      </c>
      <c r="F7" s="159" t="s">
        <v>303</v>
      </c>
      <c r="G7" s="159" t="s">
        <v>178</v>
      </c>
      <c r="H7" s="159" t="s">
        <v>305</v>
      </c>
      <c r="I7" s="159" t="s">
        <v>306</v>
      </c>
      <c r="J7" s="159" t="s">
        <v>308</v>
      </c>
      <c r="K7" s="159" t="s">
        <v>310</v>
      </c>
      <c r="L7" s="164" t="s">
        <v>312</v>
      </c>
      <c r="M7" s="159" t="s">
        <v>314</v>
      </c>
      <c r="N7" s="159" t="s">
        <v>316</v>
      </c>
      <c r="O7" s="159" t="s">
        <v>318</v>
      </c>
      <c r="P7" s="159" t="s">
        <v>321</v>
      </c>
      <c r="Q7" s="159" t="s">
        <v>323</v>
      </c>
      <c r="R7" s="159" t="s">
        <v>325</v>
      </c>
      <c r="S7" s="159"/>
      <c r="T7" s="159" t="s">
        <v>327</v>
      </c>
      <c r="U7" s="159" t="s">
        <v>329</v>
      </c>
      <c r="V7" s="159" t="s">
        <v>125</v>
      </c>
      <c r="W7" s="159" t="s">
        <v>127</v>
      </c>
      <c r="X7" s="159" t="s">
        <v>165</v>
      </c>
      <c r="Y7" s="159" t="s">
        <v>474</v>
      </c>
      <c r="Z7" s="159" t="s">
        <v>331</v>
      </c>
      <c r="AA7" s="159" t="s">
        <v>332</v>
      </c>
      <c r="AB7" s="159" t="s">
        <v>334</v>
      </c>
      <c r="AC7" s="159" t="s">
        <v>337</v>
      </c>
      <c r="AD7" s="159" t="s">
        <v>339</v>
      </c>
      <c r="AE7" s="159" t="s">
        <v>342</v>
      </c>
      <c r="AF7" s="159" t="s">
        <v>182</v>
      </c>
      <c r="AG7" s="159" t="s">
        <v>345</v>
      </c>
      <c r="AH7" s="159" t="s">
        <v>347</v>
      </c>
      <c r="AI7" s="159" t="s">
        <v>350</v>
      </c>
      <c r="AJ7" s="159" t="s">
        <v>353</v>
      </c>
      <c r="AK7" s="159" t="s">
        <v>355</v>
      </c>
      <c r="AL7" s="159" t="s">
        <v>357</v>
      </c>
      <c r="AM7" s="159" t="s">
        <v>360</v>
      </c>
      <c r="AN7" s="159" t="s">
        <v>361</v>
      </c>
      <c r="AO7" s="159" t="s">
        <v>364</v>
      </c>
      <c r="AP7" s="159" t="s">
        <v>365</v>
      </c>
      <c r="AQ7" s="159" t="s">
        <v>368</v>
      </c>
      <c r="AR7" s="159" t="s">
        <v>371</v>
      </c>
      <c r="AS7" s="159" t="s">
        <v>371</v>
      </c>
      <c r="AT7" s="159" t="s">
        <v>311</v>
      </c>
      <c r="AU7" s="159" t="s">
        <v>373</v>
      </c>
      <c r="AV7" s="159" t="s">
        <v>375</v>
      </c>
      <c r="AW7" s="159" t="s">
        <v>376</v>
      </c>
      <c r="AX7" s="159" t="s">
        <v>379</v>
      </c>
      <c r="AY7" s="159" t="s">
        <v>382</v>
      </c>
      <c r="AZ7" s="159" t="s">
        <v>334</v>
      </c>
      <c r="BA7" s="159" t="s">
        <v>387</v>
      </c>
      <c r="BB7" s="159" t="s">
        <v>390</v>
      </c>
      <c r="BC7" s="159" t="s">
        <v>475</v>
      </c>
      <c r="BD7" s="163" t="s">
        <v>129</v>
      </c>
    </row>
    <row r="8" spans="1:56" x14ac:dyDescent="0.25">
      <c r="A8" s="170" t="s">
        <v>0</v>
      </c>
      <c r="B8" s="160"/>
      <c r="C8" s="160"/>
      <c r="D8" s="160"/>
      <c r="E8" s="154" t="s">
        <v>302</v>
      </c>
      <c r="F8" s="165" t="s">
        <v>304</v>
      </c>
      <c r="G8" s="165" t="s">
        <v>304</v>
      </c>
      <c r="H8" s="165" t="s">
        <v>114</v>
      </c>
      <c r="I8" s="165" t="s">
        <v>307</v>
      </c>
      <c r="J8" s="165" t="s">
        <v>309</v>
      </c>
      <c r="K8" s="165" t="s">
        <v>178</v>
      </c>
      <c r="L8" s="165" t="s">
        <v>178</v>
      </c>
      <c r="M8" s="165" t="s">
        <v>315</v>
      </c>
      <c r="N8" s="165" t="s">
        <v>317</v>
      </c>
      <c r="O8" s="165" t="s">
        <v>319</v>
      </c>
      <c r="P8" s="165" t="s">
        <v>322</v>
      </c>
      <c r="Q8" s="165" t="s">
        <v>324</v>
      </c>
      <c r="R8" s="165" t="s">
        <v>98</v>
      </c>
      <c r="S8" s="165" t="s">
        <v>326</v>
      </c>
      <c r="T8" s="165" t="s">
        <v>328</v>
      </c>
      <c r="U8" s="165" t="s">
        <v>98</v>
      </c>
      <c r="V8" s="165" t="s">
        <v>126</v>
      </c>
      <c r="W8" s="165" t="s">
        <v>98</v>
      </c>
      <c r="X8" s="165" t="s">
        <v>98</v>
      </c>
      <c r="Y8" s="165" t="s">
        <v>258</v>
      </c>
      <c r="Z8" s="165" t="s">
        <v>324</v>
      </c>
      <c r="AA8" s="165" t="s">
        <v>324</v>
      </c>
      <c r="AB8" s="165" t="s">
        <v>335</v>
      </c>
      <c r="AC8" s="165" t="s">
        <v>338</v>
      </c>
      <c r="AD8" s="165" t="s">
        <v>340</v>
      </c>
      <c r="AE8" s="165" t="s">
        <v>343</v>
      </c>
      <c r="AF8" s="165" t="s">
        <v>344</v>
      </c>
      <c r="AG8" s="165" t="s">
        <v>98</v>
      </c>
      <c r="AH8" s="165" t="s">
        <v>348</v>
      </c>
      <c r="AI8" s="165" t="s">
        <v>351</v>
      </c>
      <c r="AJ8" s="165" t="s">
        <v>348</v>
      </c>
      <c r="AK8" s="165" t="s">
        <v>72</v>
      </c>
      <c r="AL8" s="165" t="s">
        <v>358</v>
      </c>
      <c r="AM8" s="165" t="s">
        <v>72</v>
      </c>
      <c r="AN8" s="165" t="s">
        <v>362</v>
      </c>
      <c r="AO8" s="165" t="s">
        <v>70</v>
      </c>
      <c r="AP8" s="165" t="s">
        <v>366</v>
      </c>
      <c r="AQ8" s="165" t="s">
        <v>369</v>
      </c>
      <c r="AR8" s="165" t="s">
        <v>372</v>
      </c>
      <c r="AS8" s="165" t="s">
        <v>372</v>
      </c>
      <c r="AT8" s="165" t="s">
        <v>70</v>
      </c>
      <c r="AU8" s="165" t="s">
        <v>361</v>
      </c>
      <c r="AV8" s="165" t="s">
        <v>334</v>
      </c>
      <c r="AW8" s="165" t="s">
        <v>377</v>
      </c>
      <c r="AX8" s="165" t="s">
        <v>380</v>
      </c>
      <c r="AY8" s="165" t="s">
        <v>383</v>
      </c>
      <c r="AZ8" s="165" t="s">
        <v>385</v>
      </c>
      <c r="BA8" s="165" t="s">
        <v>388</v>
      </c>
      <c r="BB8" s="165" t="s">
        <v>391</v>
      </c>
      <c r="BC8" s="165" t="s">
        <v>476</v>
      </c>
      <c r="BD8" s="165" t="s">
        <v>94</v>
      </c>
    </row>
    <row r="9" spans="1:56" x14ac:dyDescent="0.25">
      <c r="A9" s="160"/>
      <c r="B9" s="160"/>
      <c r="C9" s="160"/>
      <c r="D9" s="160"/>
      <c r="E9" s="166"/>
      <c r="F9" s="159" t="s">
        <v>85</v>
      </c>
      <c r="G9" s="159" t="s">
        <v>85</v>
      </c>
      <c r="H9" s="159" t="s">
        <v>85</v>
      </c>
      <c r="I9" s="159" t="s">
        <v>85</v>
      </c>
      <c r="J9" s="159" t="s">
        <v>85</v>
      </c>
      <c r="K9" s="159" t="s">
        <v>85</v>
      </c>
      <c r="L9" s="159" t="s">
        <v>85</v>
      </c>
      <c r="M9" s="159" t="s">
        <v>85</v>
      </c>
      <c r="N9" s="159" t="s">
        <v>85</v>
      </c>
      <c r="O9" s="159" t="s">
        <v>85</v>
      </c>
      <c r="P9" s="159" t="s">
        <v>85</v>
      </c>
      <c r="Q9" s="159" t="s">
        <v>85</v>
      </c>
      <c r="R9" s="159" t="s">
        <v>85</v>
      </c>
      <c r="S9" s="159" t="s">
        <v>85</v>
      </c>
      <c r="T9" s="159" t="s">
        <v>85</v>
      </c>
      <c r="U9" s="159" t="s">
        <v>85</v>
      </c>
      <c r="V9" s="159" t="s">
        <v>130</v>
      </c>
      <c r="W9" s="159" t="s">
        <v>130</v>
      </c>
      <c r="X9" s="159" t="s">
        <v>130</v>
      </c>
      <c r="Y9" s="159" t="s">
        <v>130</v>
      </c>
      <c r="Z9" s="159" t="s">
        <v>85</v>
      </c>
      <c r="AA9" s="159" t="s">
        <v>661</v>
      </c>
      <c r="AB9" s="159" t="s">
        <v>661</v>
      </c>
      <c r="AC9" s="159" t="s">
        <v>661</v>
      </c>
      <c r="AD9" s="159" t="s">
        <v>661</v>
      </c>
      <c r="AE9" s="164" t="s">
        <v>130</v>
      </c>
      <c r="AF9" s="164" t="s">
        <v>130</v>
      </c>
      <c r="AG9" s="159" t="s">
        <v>85</v>
      </c>
      <c r="AH9" s="159" t="s">
        <v>85</v>
      </c>
      <c r="AI9" s="159" t="s">
        <v>661</v>
      </c>
      <c r="AJ9" s="159" t="s">
        <v>85</v>
      </c>
      <c r="AK9" s="159" t="s">
        <v>85</v>
      </c>
      <c r="AL9" s="159" t="s">
        <v>661</v>
      </c>
      <c r="AM9" s="159" t="s">
        <v>85</v>
      </c>
      <c r="AN9" s="159" t="s">
        <v>85</v>
      </c>
      <c r="AO9" s="159" t="s">
        <v>661</v>
      </c>
      <c r="AP9" s="159" t="s">
        <v>85</v>
      </c>
      <c r="AQ9" s="159" t="s">
        <v>85</v>
      </c>
      <c r="AR9" s="159" t="s">
        <v>130</v>
      </c>
      <c r="AS9" s="159" t="s">
        <v>130</v>
      </c>
      <c r="AT9" s="159" t="s">
        <v>85</v>
      </c>
      <c r="AU9" s="159" t="s">
        <v>85</v>
      </c>
      <c r="AV9" s="159" t="s">
        <v>85</v>
      </c>
      <c r="AW9" s="159" t="s">
        <v>85</v>
      </c>
      <c r="AX9" s="159" t="s">
        <v>85</v>
      </c>
      <c r="AY9" s="159" t="s">
        <v>85</v>
      </c>
      <c r="AZ9" s="164" t="s">
        <v>130</v>
      </c>
      <c r="BA9" s="159" t="s">
        <v>85</v>
      </c>
      <c r="BB9" s="159" t="s">
        <v>661</v>
      </c>
      <c r="BC9" s="159" t="s">
        <v>130</v>
      </c>
      <c r="BD9" s="167"/>
    </row>
    <row r="10" spans="1:56" x14ac:dyDescent="0.25">
      <c r="A10" s="160">
        <v>1</v>
      </c>
      <c r="B10" s="160"/>
      <c r="C10" s="168" t="s">
        <v>13</v>
      </c>
      <c r="D10" s="160"/>
      <c r="E10" s="160"/>
      <c r="F10" s="160"/>
      <c r="G10" s="160"/>
      <c r="H10" s="160"/>
      <c r="I10" s="160"/>
      <c r="J10" s="160"/>
      <c r="K10" s="160"/>
      <c r="BD10" s="160"/>
    </row>
    <row r="11" spans="1:56" x14ac:dyDescent="0.25">
      <c r="A11" s="160">
        <v>2</v>
      </c>
      <c r="B11" s="160"/>
      <c r="C11" s="160" t="s">
        <v>14</v>
      </c>
      <c r="D11" s="160"/>
      <c r="E11" s="160">
        <v>336867108</v>
      </c>
      <c r="F11" s="160">
        <v>-879265</v>
      </c>
      <c r="G11" s="169">
        <v>-8427679</v>
      </c>
      <c r="H11" s="169">
        <v>8112496</v>
      </c>
      <c r="I11" s="169"/>
      <c r="J11" s="169"/>
      <c r="K11" s="169"/>
      <c r="Z11" s="32">
        <v>-129744692</v>
      </c>
      <c r="BD11" s="160">
        <f>SUM(E11:BC11)</f>
        <v>205927968</v>
      </c>
    </row>
    <row r="12" spans="1:56" x14ac:dyDescent="0.25">
      <c r="A12" s="160">
        <v>3</v>
      </c>
      <c r="B12" s="160"/>
      <c r="C12" s="160" t="s">
        <v>15</v>
      </c>
      <c r="D12" s="160"/>
      <c r="E12" s="160">
        <v>0</v>
      </c>
      <c r="F12" s="160"/>
      <c r="G12" s="169"/>
      <c r="H12" s="169"/>
      <c r="I12" s="169"/>
      <c r="J12" s="169"/>
      <c r="K12" s="169"/>
      <c r="BD12" s="160">
        <f t="shared" ref="BD12:BD14" si="0">SUM(E12:BC12)</f>
        <v>0</v>
      </c>
    </row>
    <row r="13" spans="1:56" x14ac:dyDescent="0.25">
      <c r="A13" s="160">
        <v>4</v>
      </c>
      <c r="B13" s="160"/>
      <c r="C13" s="160" t="s">
        <v>16</v>
      </c>
      <c r="D13" s="160"/>
      <c r="E13" s="160">
        <v>13422783</v>
      </c>
      <c r="F13" s="160"/>
      <c r="G13" s="169"/>
      <c r="H13" s="169"/>
      <c r="I13" s="169"/>
      <c r="J13" s="169"/>
      <c r="K13" s="169"/>
      <c r="Z13" s="32">
        <v>-13422783</v>
      </c>
      <c r="BD13" s="160">
        <f t="shared" si="0"/>
        <v>0</v>
      </c>
    </row>
    <row r="14" spans="1:56" x14ac:dyDescent="0.25">
      <c r="A14" s="160">
        <v>5</v>
      </c>
      <c r="B14" s="160"/>
      <c r="C14" s="160" t="s">
        <v>17</v>
      </c>
      <c r="D14" s="160"/>
      <c r="E14" s="170">
        <v>9740155</v>
      </c>
      <c r="F14" s="170"/>
      <c r="G14" s="169"/>
      <c r="H14" s="169"/>
      <c r="I14" s="169"/>
      <c r="J14" s="169">
        <v>-443696</v>
      </c>
      <c r="K14" s="169">
        <v>23967</v>
      </c>
      <c r="BD14" s="160">
        <f t="shared" si="0"/>
        <v>9320426</v>
      </c>
    </row>
    <row r="15" spans="1:56" x14ac:dyDescent="0.25">
      <c r="A15" s="160">
        <v>6</v>
      </c>
      <c r="B15" s="160"/>
      <c r="C15" s="160" t="s">
        <v>18</v>
      </c>
      <c r="D15" s="160"/>
      <c r="E15" s="171">
        <f>SUM(E11:E14)</f>
        <v>360030046</v>
      </c>
      <c r="F15" s="171">
        <f t="shared" ref="F15:Q15" si="1">SUM(F11:F14)</f>
        <v>-879265</v>
      </c>
      <c r="G15" s="171">
        <f t="shared" si="1"/>
        <v>-8427679</v>
      </c>
      <c r="H15" s="171">
        <f t="shared" si="1"/>
        <v>8112496</v>
      </c>
      <c r="I15" s="171">
        <f t="shared" si="1"/>
        <v>0</v>
      </c>
      <c r="J15" s="171">
        <f t="shared" si="1"/>
        <v>-443696</v>
      </c>
      <c r="K15" s="171">
        <f t="shared" si="1"/>
        <v>23967</v>
      </c>
      <c r="L15" s="171">
        <f t="shared" si="1"/>
        <v>0</v>
      </c>
      <c r="M15" s="171">
        <f t="shared" si="1"/>
        <v>0</v>
      </c>
      <c r="N15" s="171">
        <f t="shared" si="1"/>
        <v>0</v>
      </c>
      <c r="O15" s="171">
        <f t="shared" si="1"/>
        <v>0</v>
      </c>
      <c r="P15" s="171">
        <f t="shared" si="1"/>
        <v>0</v>
      </c>
      <c r="Q15" s="171">
        <f t="shared" si="1"/>
        <v>0</v>
      </c>
      <c r="R15" s="171">
        <f t="shared" ref="R15" si="2">SUM(R11:R14)</f>
        <v>0</v>
      </c>
      <c r="S15" s="171">
        <f t="shared" ref="S15" si="3">SUM(S11:S14)</f>
        <v>0</v>
      </c>
      <c r="T15" s="171">
        <f t="shared" ref="T15" si="4">SUM(T11:T14)</f>
        <v>0</v>
      </c>
      <c r="U15" s="171">
        <f t="shared" ref="U15:Y15" si="5">SUM(U11:U14)</f>
        <v>0</v>
      </c>
      <c r="V15" s="171">
        <f t="shared" si="5"/>
        <v>0</v>
      </c>
      <c r="W15" s="171">
        <f t="shared" si="5"/>
        <v>0</v>
      </c>
      <c r="X15" s="171">
        <f t="shared" si="5"/>
        <v>0</v>
      </c>
      <c r="Y15" s="171">
        <f t="shared" si="5"/>
        <v>0</v>
      </c>
      <c r="Z15" s="171">
        <f t="shared" ref="Z15" si="6">SUM(Z11:Z14)</f>
        <v>-143167475</v>
      </c>
      <c r="AA15" s="171">
        <f t="shared" ref="AA15" si="7">SUM(AA11:AA14)</f>
        <v>0</v>
      </c>
      <c r="AB15" s="171">
        <f t="shared" ref="AB15" si="8">SUM(AB11:AB14)</f>
        <v>0</v>
      </c>
      <c r="AC15" s="171">
        <f t="shared" ref="AC15" si="9">SUM(AC11:AC14)</f>
        <v>0</v>
      </c>
      <c r="AD15" s="171">
        <f t="shared" ref="AD15" si="10">SUM(AD11:AD14)</f>
        <v>0</v>
      </c>
      <c r="AE15" s="171">
        <f t="shared" ref="AE15" si="11">SUM(AE11:AE14)</f>
        <v>0</v>
      </c>
      <c r="AF15" s="171">
        <f t="shared" ref="AF15" si="12">SUM(AF11:AF14)</f>
        <v>0</v>
      </c>
      <c r="AG15" s="171">
        <f t="shared" ref="AG15" si="13">SUM(AG11:AG14)</f>
        <v>0</v>
      </c>
      <c r="AH15" s="171">
        <f t="shared" ref="AH15" si="14">SUM(AH11:AH14)</f>
        <v>0</v>
      </c>
      <c r="AI15" s="171">
        <f t="shared" ref="AI15" si="15">SUM(AI11:AI14)</f>
        <v>0</v>
      </c>
      <c r="AJ15" s="171">
        <f t="shared" ref="AJ15" si="16">SUM(AJ11:AJ14)</f>
        <v>0</v>
      </c>
      <c r="AK15" s="171">
        <f t="shared" ref="AK15" si="17">SUM(AK11:AK14)</f>
        <v>0</v>
      </c>
      <c r="AL15" s="171">
        <f t="shared" ref="AL15" si="18">SUM(AL11:AL14)</f>
        <v>0</v>
      </c>
      <c r="AM15" s="171">
        <f t="shared" ref="AM15" si="19">SUM(AM11:AM14)</f>
        <v>0</v>
      </c>
      <c r="AN15" s="171">
        <f t="shared" ref="AN15" si="20">SUM(AN11:AN14)</f>
        <v>0</v>
      </c>
      <c r="AO15" s="171">
        <f t="shared" ref="AO15" si="21">SUM(AO11:AO14)</f>
        <v>0</v>
      </c>
      <c r="AP15" s="171">
        <f t="shared" ref="AP15" si="22">SUM(AP11:AP14)</f>
        <v>0</v>
      </c>
      <c r="AQ15" s="171">
        <f t="shared" ref="AQ15" si="23">SUM(AQ11:AQ14)</f>
        <v>0</v>
      </c>
      <c r="AR15" s="171">
        <f t="shared" ref="AR15:AS15" si="24">SUM(AR11:AR14)</f>
        <v>0</v>
      </c>
      <c r="AS15" s="171">
        <f t="shared" si="24"/>
        <v>0</v>
      </c>
      <c r="AT15" s="171">
        <f t="shared" ref="AT15" si="25">SUM(AT11:AT14)</f>
        <v>0</v>
      </c>
      <c r="AU15" s="171">
        <f t="shared" ref="AU15" si="26">SUM(AU11:AU14)</f>
        <v>0</v>
      </c>
      <c r="AV15" s="171">
        <f t="shared" ref="AV15" si="27">SUM(AV11:AV14)</f>
        <v>0</v>
      </c>
      <c r="AW15" s="171">
        <f t="shared" ref="AW15:BC15" si="28">SUM(AW11:AW14)</f>
        <v>0</v>
      </c>
      <c r="AX15" s="171">
        <f t="shared" si="28"/>
        <v>0</v>
      </c>
      <c r="AY15" s="171">
        <f t="shared" si="28"/>
        <v>0</v>
      </c>
      <c r="AZ15" s="171">
        <f t="shared" si="28"/>
        <v>0</v>
      </c>
      <c r="BA15" s="171">
        <f t="shared" si="28"/>
        <v>0</v>
      </c>
      <c r="BB15" s="171">
        <f t="shared" ref="BB15" si="29">SUM(BB11:BB14)</f>
        <v>0</v>
      </c>
      <c r="BC15" s="171">
        <f t="shared" si="28"/>
        <v>0</v>
      </c>
      <c r="BD15" s="171">
        <f>SUM(BD11:BD14)</f>
        <v>215248394</v>
      </c>
    </row>
    <row r="16" spans="1:56" x14ac:dyDescent="0.25">
      <c r="A16" s="160">
        <v>7</v>
      </c>
      <c r="B16" s="160"/>
      <c r="C16" s="160"/>
      <c r="D16" s="160"/>
      <c r="E16" s="160"/>
      <c r="F16" s="160"/>
      <c r="G16" s="169"/>
      <c r="H16" s="169"/>
      <c r="I16" s="169"/>
      <c r="J16" s="169"/>
      <c r="K16" s="169"/>
      <c r="BD16" s="160"/>
    </row>
    <row r="17" spans="1:56" x14ac:dyDescent="0.25">
      <c r="A17" s="160">
        <v>8</v>
      </c>
      <c r="B17" s="160"/>
      <c r="C17" s="168" t="s">
        <v>19</v>
      </c>
      <c r="D17" s="160"/>
      <c r="E17" s="160"/>
      <c r="F17" s="160"/>
      <c r="G17" s="169"/>
      <c r="H17" s="169"/>
      <c r="I17" s="169"/>
      <c r="J17" s="169"/>
      <c r="K17" s="169"/>
      <c r="BD17" s="160"/>
    </row>
    <row r="18" spans="1:56" x14ac:dyDescent="0.25">
      <c r="A18" s="160">
        <v>9</v>
      </c>
      <c r="B18" s="160"/>
      <c r="C18" s="160" t="s">
        <v>20</v>
      </c>
      <c r="D18" s="160"/>
      <c r="E18" s="160">
        <v>67493070</v>
      </c>
      <c r="F18" s="160"/>
      <c r="G18" s="169"/>
      <c r="H18" s="169"/>
      <c r="I18" s="169"/>
      <c r="J18" s="169"/>
      <c r="K18" s="169"/>
      <c r="M18" s="32">
        <v>19103.74196965123</v>
      </c>
      <c r="V18" s="21">
        <f>SUM('PC1p4-Emp.Red.'!F9:F19)</f>
        <v>-129960.86280890772</v>
      </c>
      <c r="W18" s="71">
        <f>SUM('PC2p2-Pension'!F9:F19)</f>
        <v>-15570.650844401394</v>
      </c>
      <c r="X18" s="71">
        <f>SUM('PC3p2-OPEB'!F9:F19)</f>
        <v>-35373.008743757098</v>
      </c>
      <c r="Y18" s="71">
        <f>SUM('PC4p2-SalaryOH'!F9:F19)</f>
        <v>-3623.3872647235944</v>
      </c>
      <c r="Z18" s="32">
        <v>-53464264</v>
      </c>
      <c r="BD18" s="160">
        <f t="shared" ref="BD18:BD27" si="30">SUM(E18:BC18)</f>
        <v>13863381.832307845</v>
      </c>
    </row>
    <row r="19" spans="1:56" x14ac:dyDescent="0.25">
      <c r="A19" s="160">
        <v>10</v>
      </c>
      <c r="B19" s="160"/>
      <c r="C19" s="160" t="s">
        <v>21</v>
      </c>
      <c r="D19" s="160"/>
      <c r="E19" s="32">
        <v>0</v>
      </c>
      <c r="G19" s="169"/>
      <c r="H19" s="169"/>
      <c r="I19" s="169"/>
      <c r="J19" s="169"/>
      <c r="K19" s="169"/>
      <c r="V19" s="21"/>
      <c r="W19" s="71"/>
      <c r="X19" s="71"/>
      <c r="Y19" s="71"/>
      <c r="BD19" s="160">
        <f t="shared" si="30"/>
        <v>0</v>
      </c>
    </row>
    <row r="20" spans="1:56" x14ac:dyDescent="0.25">
      <c r="A20" s="160">
        <v>11</v>
      </c>
      <c r="B20" s="160"/>
      <c r="C20" s="160" t="s">
        <v>22</v>
      </c>
      <c r="D20" s="160"/>
      <c r="E20" s="160">
        <v>6641502</v>
      </c>
      <c r="F20" s="160"/>
      <c r="G20" s="169"/>
      <c r="H20" s="169"/>
      <c r="I20" s="169"/>
      <c r="J20" s="169"/>
      <c r="K20" s="169"/>
      <c r="L20" s="169">
        <v>0</v>
      </c>
      <c r="M20" s="32">
        <v>7809.4010538482426</v>
      </c>
      <c r="V20" s="21">
        <f>SUM('PC1p4-Emp.Red.'!F20:F23)</f>
        <v>-53126.581200229615</v>
      </c>
      <c r="W20" s="71">
        <f>SUM('PC2p2-Pension'!F20:F23)</f>
        <v>-6365.1119925376179</v>
      </c>
      <c r="X20" s="71">
        <f>SUM('PC3p2-OPEB'!F20:F23)</f>
        <v>-14460.09960771696</v>
      </c>
      <c r="Y20" s="71">
        <f>SUM('PC4p2-SalaryOH'!F20:F23)</f>
        <v>-1481.2011368550397</v>
      </c>
      <c r="BD20" s="160">
        <f t="shared" si="30"/>
        <v>6573878.4071165081</v>
      </c>
    </row>
    <row r="21" spans="1:56" x14ac:dyDescent="0.25">
      <c r="A21" s="160">
        <v>12</v>
      </c>
      <c r="B21" s="160"/>
      <c r="C21" s="160" t="s">
        <v>23</v>
      </c>
      <c r="D21" s="160"/>
      <c r="E21" s="160">
        <v>81408339</v>
      </c>
      <c r="F21" s="160"/>
      <c r="G21" s="169"/>
      <c r="H21" s="169"/>
      <c r="I21" s="169"/>
      <c r="J21" s="169"/>
      <c r="K21" s="169"/>
      <c r="L21" s="169">
        <v>-533</v>
      </c>
      <c r="M21" s="32">
        <v>10880.963459282289</v>
      </c>
      <c r="N21" s="32">
        <v>124437.7994984898</v>
      </c>
      <c r="O21" s="32">
        <v>-2513</v>
      </c>
      <c r="R21" s="32">
        <v>58269.70359043857</v>
      </c>
      <c r="V21" s="37">
        <f>SUM('PC1p4-Emp.Red.'!F24:F35)</f>
        <v>-74022.115751301681</v>
      </c>
      <c r="W21" s="71">
        <f>SUM('PC2p2-Pension'!F24:F35)</f>
        <v>-8868.6123977347452</v>
      </c>
      <c r="X21" s="71">
        <f>SUM('PC3p2-OPEB'!F24:F35)</f>
        <v>-20147.488183055731</v>
      </c>
      <c r="Y21" s="71">
        <f>SUM('PC4p2-SalaryOH'!F24:F35)</f>
        <v>-2063.7812470938652</v>
      </c>
      <c r="Z21" s="32">
        <v>-71878393</v>
      </c>
      <c r="BD21" s="160">
        <f t="shared" si="30"/>
        <v>9615386.4689690322</v>
      </c>
    </row>
    <row r="22" spans="1:56" x14ac:dyDescent="0.25">
      <c r="A22" s="160">
        <v>13</v>
      </c>
      <c r="B22" s="160"/>
      <c r="C22" s="160" t="s">
        <v>24</v>
      </c>
      <c r="D22" s="160"/>
      <c r="E22" s="160">
        <v>31030201</v>
      </c>
      <c r="F22" s="160"/>
      <c r="G22" s="169"/>
      <c r="H22" s="169"/>
      <c r="I22" s="169"/>
      <c r="J22" s="169"/>
      <c r="K22" s="169">
        <v>-66703</v>
      </c>
      <c r="L22" s="169">
        <v>-199638</v>
      </c>
      <c r="M22" s="32">
        <v>5303.109475207355</v>
      </c>
      <c r="N22" s="32">
        <v>2528.5707164687406</v>
      </c>
      <c r="P22" s="32">
        <v>139885</v>
      </c>
      <c r="R22" s="32">
        <v>2633.2201395607594</v>
      </c>
      <c r="V22" s="21">
        <f>SUM('PC1p4-Emp.Red.'!F36:F43)</f>
        <v>-36076.528046856991</v>
      </c>
      <c r="W22" s="71">
        <f>SUM('PC2p2-Pension'!F36:F43)</f>
        <v>-4322.3398933710541</v>
      </c>
      <c r="X22" s="71">
        <f>SUM('PC3p2-OPEB'!F36:F43)</f>
        <v>-9819.3818851624492</v>
      </c>
      <c r="Y22" s="71">
        <f>SUM('PC4p2-SalaryOH'!F36:F43)</f>
        <v>-1005.8353680879494</v>
      </c>
      <c r="Z22" s="32">
        <v>-25336034</v>
      </c>
      <c r="BD22" s="160">
        <f t="shared" si="30"/>
        <v>5526951.8151377551</v>
      </c>
    </row>
    <row r="23" spans="1:56" x14ac:dyDescent="0.25">
      <c r="A23" s="160">
        <v>14</v>
      </c>
      <c r="B23" s="160"/>
      <c r="C23" s="160" t="s">
        <v>25</v>
      </c>
      <c r="D23" s="160"/>
      <c r="E23" s="160">
        <v>11025297</v>
      </c>
      <c r="F23" s="160"/>
      <c r="G23" s="169"/>
      <c r="H23" s="169"/>
      <c r="I23" s="169"/>
      <c r="J23" s="169"/>
      <c r="K23" s="169"/>
      <c r="L23" s="169"/>
      <c r="M23" s="32">
        <v>17398.180838403892</v>
      </c>
      <c r="N23" s="32">
        <v>-8290.3120577486916</v>
      </c>
      <c r="R23" s="32">
        <v>80678.747552378802</v>
      </c>
      <c r="V23" s="21">
        <f>SUM('PC1p4-Emp.Red.'!F44:F59)</f>
        <v>-118358.09951036803</v>
      </c>
      <c r="W23" s="71">
        <f>SUM('PC2p2-Pension'!F44:F59)</f>
        <v>-14180.520213940443</v>
      </c>
      <c r="X23" s="71">
        <f>SUM('PC3p2-OPEB'!F44:F59)</f>
        <v>-32214.945318043552</v>
      </c>
      <c r="Y23" s="71">
        <f>SUM('PC4p2-SalaryOH'!F44:F59)</f>
        <v>-3299.8952236362115</v>
      </c>
      <c r="BD23" s="160">
        <f t="shared" si="30"/>
        <v>10947030.156067045</v>
      </c>
    </row>
    <row r="24" spans="1:56" x14ac:dyDescent="0.25">
      <c r="A24" s="160">
        <v>15</v>
      </c>
      <c r="B24" s="160"/>
      <c r="C24" s="160" t="s">
        <v>26</v>
      </c>
      <c r="D24" s="160"/>
      <c r="E24" s="160">
        <v>5916884</v>
      </c>
      <c r="F24" s="160"/>
      <c r="G24" s="169"/>
      <c r="H24" s="169"/>
      <c r="I24" s="169"/>
      <c r="J24" s="169"/>
      <c r="K24" s="169"/>
      <c r="L24" s="169">
        <v>-64</v>
      </c>
      <c r="M24" s="32">
        <v>10940.386352727932</v>
      </c>
      <c r="N24" s="32">
        <v>-63.329804639056192</v>
      </c>
      <c r="U24" s="32">
        <v>414869</v>
      </c>
      <c r="V24" s="21">
        <f>SUM('PC1p4-Emp.Red.'!F60:F67)</f>
        <v>-74426.363804644614</v>
      </c>
      <c r="W24" s="71">
        <f>SUM('PC2p2-Pension'!F60:F67)</f>
        <v>-8917.0454810268056</v>
      </c>
      <c r="X24" s="71">
        <f>SUM('PC3p2-OPEB'!F60:F67)</f>
        <v>-20257.51723038956</v>
      </c>
      <c r="Y24" s="71">
        <f>SUM('PC4p2-SalaryOH'!F60:F67)</f>
        <v>-2075.0519267170521</v>
      </c>
      <c r="BD24" s="160">
        <f t="shared" si="30"/>
        <v>6236890.07810531</v>
      </c>
    </row>
    <row r="25" spans="1:56" x14ac:dyDescent="0.25">
      <c r="A25" s="160">
        <v>16</v>
      </c>
      <c r="B25" s="160"/>
      <c r="C25" s="160" t="s">
        <v>27</v>
      </c>
      <c r="D25" s="160"/>
      <c r="E25" s="160">
        <v>12294037</v>
      </c>
      <c r="F25" s="160"/>
      <c r="G25" s="169"/>
      <c r="H25" s="169"/>
      <c r="I25" s="169"/>
      <c r="J25" s="169"/>
      <c r="K25" s="169"/>
      <c r="L25" s="169">
        <v>-1502</v>
      </c>
      <c r="M25" s="32">
        <v>1716</v>
      </c>
      <c r="O25" s="32">
        <v>-26</v>
      </c>
      <c r="Q25" s="32">
        <f>-11532983</f>
        <v>-11532983</v>
      </c>
      <c r="S25" s="32">
        <v>-23</v>
      </c>
      <c r="V25" s="21">
        <f>SUM('PC1p4-Emp.Red.'!F68:F75)</f>
        <v>-11676.613118318124</v>
      </c>
      <c r="W25" s="71">
        <f>SUM('PC2p2-Pension'!F68:F75)</f>
        <v>-1398.9786000253209</v>
      </c>
      <c r="X25" s="71">
        <f>SUM('PC3p2-OPEB'!F68:F75)</f>
        <v>-3178.1640180325558</v>
      </c>
      <c r="Y25" s="71">
        <f>SUM('PC4p2-SalaryOH'!F68:F75)</f>
        <v>-325.55101861880246</v>
      </c>
      <c r="BD25" s="160">
        <f t="shared" si="30"/>
        <v>744639.69324500521</v>
      </c>
    </row>
    <row r="26" spans="1:56" x14ac:dyDescent="0.25">
      <c r="A26" s="160">
        <v>17</v>
      </c>
      <c r="B26" s="160"/>
      <c r="C26" s="160" t="s">
        <v>28</v>
      </c>
      <c r="D26" s="160"/>
      <c r="E26" s="160">
        <v>0</v>
      </c>
      <c r="F26" s="160"/>
      <c r="G26" s="169"/>
      <c r="H26" s="169"/>
      <c r="I26" s="169"/>
      <c r="J26" s="169"/>
      <c r="K26" s="169"/>
      <c r="L26" s="169"/>
      <c r="V26" s="21"/>
      <c r="W26" s="71"/>
      <c r="X26" s="71"/>
      <c r="Y26" s="71"/>
      <c r="BD26" s="160">
        <f t="shared" si="30"/>
        <v>0</v>
      </c>
    </row>
    <row r="27" spans="1:56" x14ac:dyDescent="0.25">
      <c r="A27" s="160">
        <v>18</v>
      </c>
      <c r="B27" s="160"/>
      <c r="C27" s="160" t="s">
        <v>29</v>
      </c>
      <c r="D27" s="160"/>
      <c r="E27" s="170">
        <v>9604908</v>
      </c>
      <c r="F27" s="170"/>
      <c r="G27" s="170"/>
      <c r="H27" s="170"/>
      <c r="I27" s="170"/>
      <c r="J27" s="170"/>
      <c r="K27" s="170"/>
      <c r="L27" s="170">
        <v>157881.79034428659</v>
      </c>
      <c r="M27" s="170">
        <v>23229.183032995472</v>
      </c>
      <c r="N27" s="170">
        <v>-219623.53358833311</v>
      </c>
      <c r="O27" s="170"/>
      <c r="P27" s="170"/>
      <c r="Q27" s="170"/>
      <c r="R27" s="170">
        <v>141499.94913221415</v>
      </c>
      <c r="S27" s="170"/>
      <c r="T27" s="170">
        <v>-9036</v>
      </c>
      <c r="U27" s="170"/>
      <c r="V27" s="51">
        <f>SUM('PC1p4-Emp.Red.'!F76:F83)</f>
        <v>-158025.82939562417</v>
      </c>
      <c r="W27" s="149">
        <f>SUM('PC2p2-Pension'!F76:F83)</f>
        <v>-18933.123101330744</v>
      </c>
      <c r="X27" s="149">
        <f>SUM('PC3p2-OPEB'!F76:F83)</f>
        <v>-43011.787734666723</v>
      </c>
      <c r="Y27" s="149">
        <f>SUM('PC4p2-SalaryOH'!F76:F83)</f>
        <v>-4405.8554656674842</v>
      </c>
      <c r="Z27" s="170"/>
      <c r="AA27" s="170"/>
      <c r="AB27" s="170"/>
      <c r="AC27" s="170"/>
      <c r="AD27" s="170"/>
      <c r="AE27" s="170"/>
      <c r="AF27" s="170"/>
      <c r="AG27" s="170"/>
      <c r="AH27" s="170"/>
      <c r="AI27" s="170"/>
      <c r="AJ27" s="170"/>
      <c r="AK27" s="170"/>
      <c r="AL27" s="170"/>
      <c r="AM27" s="170"/>
      <c r="AN27" s="170"/>
      <c r="AO27" s="170"/>
      <c r="AP27" s="170">
        <v>456622</v>
      </c>
      <c r="AQ27" s="170"/>
      <c r="AR27" s="170"/>
      <c r="AS27" s="170"/>
      <c r="AT27" s="170"/>
      <c r="AU27" s="170"/>
      <c r="AV27" s="170"/>
      <c r="AW27" s="170"/>
      <c r="AX27" s="170"/>
      <c r="AY27" s="170"/>
      <c r="AZ27" s="170"/>
      <c r="BA27" s="170"/>
      <c r="BB27" s="170"/>
      <c r="BC27" s="170"/>
      <c r="BD27" s="170">
        <f t="shared" si="30"/>
        <v>9931104.7932238728</v>
      </c>
    </row>
    <row r="28" spans="1:56" x14ac:dyDescent="0.25">
      <c r="A28" s="160">
        <v>19</v>
      </c>
      <c r="B28" s="160"/>
      <c r="C28" s="160" t="s">
        <v>30</v>
      </c>
      <c r="D28" s="160"/>
      <c r="E28" s="160">
        <f>SUM(E18:E27)</f>
        <v>225414238</v>
      </c>
      <c r="F28" s="160">
        <f t="shared" ref="F28:Q28" si="31">SUM(F18:F27)</f>
        <v>0</v>
      </c>
      <c r="G28" s="160">
        <f t="shared" si="31"/>
        <v>0</v>
      </c>
      <c r="H28" s="160">
        <f t="shared" si="31"/>
        <v>0</v>
      </c>
      <c r="I28" s="160">
        <f t="shared" si="31"/>
        <v>0</v>
      </c>
      <c r="J28" s="160">
        <f t="shared" si="31"/>
        <v>0</v>
      </c>
      <c r="K28" s="160">
        <f t="shared" si="31"/>
        <v>-66703</v>
      </c>
      <c r="L28" s="160">
        <f t="shared" si="31"/>
        <v>-43855.209655713406</v>
      </c>
      <c r="M28" s="160">
        <f t="shared" si="31"/>
        <v>96380.966182116405</v>
      </c>
      <c r="N28" s="160">
        <f t="shared" si="31"/>
        <v>-101010.80523576234</v>
      </c>
      <c r="O28" s="160">
        <f t="shared" si="31"/>
        <v>-2539</v>
      </c>
      <c r="P28" s="160">
        <f t="shared" si="31"/>
        <v>139885</v>
      </c>
      <c r="Q28" s="160">
        <f t="shared" si="31"/>
        <v>-11532983</v>
      </c>
      <c r="R28" s="160">
        <f t="shared" ref="R28" si="32">SUM(R18:R27)</f>
        <v>283081.62041459233</v>
      </c>
      <c r="S28" s="160">
        <f t="shared" ref="S28" si="33">SUM(S18:S27)</f>
        <v>-23</v>
      </c>
      <c r="T28" s="160">
        <f t="shared" ref="T28" si="34">SUM(T18:T27)</f>
        <v>-9036</v>
      </c>
      <c r="U28" s="160">
        <f t="shared" ref="U28:Y28" si="35">SUM(U18:U27)</f>
        <v>414869</v>
      </c>
      <c r="V28" s="160">
        <f t="shared" si="35"/>
        <v>-655672.99363625096</v>
      </c>
      <c r="W28" s="160">
        <f t="shared" si="35"/>
        <v>-78556.38252436812</v>
      </c>
      <c r="X28" s="160">
        <f t="shared" si="35"/>
        <v>-178462.39272082463</v>
      </c>
      <c r="Y28" s="160">
        <f t="shared" si="35"/>
        <v>-18280.558651399999</v>
      </c>
      <c r="Z28" s="160">
        <f t="shared" ref="Z28" si="36">SUM(Z18:Z27)</f>
        <v>-150678691</v>
      </c>
      <c r="AA28" s="160">
        <f t="shared" ref="AA28" si="37">SUM(AA18:AA27)</f>
        <v>0</v>
      </c>
      <c r="AB28" s="160">
        <f t="shared" ref="AB28" si="38">SUM(AB18:AB27)</f>
        <v>0</v>
      </c>
      <c r="AC28" s="160">
        <f t="shared" ref="AC28" si="39">SUM(AC18:AC27)</f>
        <v>0</v>
      </c>
      <c r="AD28" s="160">
        <f t="shared" ref="AD28" si="40">SUM(AD18:AD27)</f>
        <v>0</v>
      </c>
      <c r="AE28" s="160">
        <f t="shared" ref="AE28" si="41">SUM(AE18:AE27)</f>
        <v>0</v>
      </c>
      <c r="AF28" s="160">
        <f t="shared" ref="AF28" si="42">SUM(AF18:AF27)</f>
        <v>0</v>
      </c>
      <c r="AG28" s="160">
        <f t="shared" ref="AG28" si="43">SUM(AG18:AG27)</f>
        <v>0</v>
      </c>
      <c r="AH28" s="160">
        <f t="shared" ref="AH28" si="44">SUM(AH18:AH27)</f>
        <v>0</v>
      </c>
      <c r="AI28" s="160">
        <f t="shared" ref="AI28" si="45">SUM(AI18:AI27)</f>
        <v>0</v>
      </c>
      <c r="AJ28" s="160">
        <f t="shared" ref="AJ28" si="46">SUM(AJ18:AJ27)</f>
        <v>0</v>
      </c>
      <c r="AK28" s="160">
        <f t="shared" ref="AK28" si="47">SUM(AK18:AK27)</f>
        <v>0</v>
      </c>
      <c r="AL28" s="160">
        <f t="shared" ref="AL28" si="48">SUM(AL18:AL27)</f>
        <v>0</v>
      </c>
      <c r="AM28" s="160">
        <f t="shared" ref="AM28" si="49">SUM(AM18:AM27)</f>
        <v>0</v>
      </c>
      <c r="AN28" s="160">
        <f t="shared" ref="AN28" si="50">SUM(AN18:AN27)</f>
        <v>0</v>
      </c>
      <c r="AO28" s="160">
        <f t="shared" ref="AO28" si="51">SUM(AO18:AO27)</f>
        <v>0</v>
      </c>
      <c r="AP28" s="160">
        <f t="shared" ref="AP28" si="52">SUM(AP18:AP27)</f>
        <v>456622</v>
      </c>
      <c r="AQ28" s="160">
        <f t="shared" ref="AQ28" si="53">SUM(AQ18:AQ27)</f>
        <v>0</v>
      </c>
      <c r="AR28" s="160">
        <f t="shared" ref="AR28:AS28" si="54">SUM(AR18:AR27)</f>
        <v>0</v>
      </c>
      <c r="AS28" s="160">
        <f t="shared" si="54"/>
        <v>0</v>
      </c>
      <c r="AT28" s="160">
        <f t="shared" ref="AT28" si="55">SUM(AT18:AT27)</f>
        <v>0</v>
      </c>
      <c r="AU28" s="160">
        <f t="shared" ref="AU28" si="56">SUM(AU18:AU27)</f>
        <v>0</v>
      </c>
      <c r="AV28" s="160">
        <f t="shared" ref="AV28" si="57">SUM(AV18:AV27)</f>
        <v>0</v>
      </c>
      <c r="AW28" s="160">
        <f t="shared" ref="AW28:BC28" si="58">SUM(AW18:AW27)</f>
        <v>0</v>
      </c>
      <c r="AX28" s="160">
        <f t="shared" si="58"/>
        <v>0</v>
      </c>
      <c r="AY28" s="160">
        <f t="shared" si="58"/>
        <v>0</v>
      </c>
      <c r="AZ28" s="160">
        <f t="shared" si="58"/>
        <v>0</v>
      </c>
      <c r="BA28" s="160">
        <f t="shared" si="58"/>
        <v>0</v>
      </c>
      <c r="BB28" s="160">
        <f t="shared" ref="BB28" si="59">SUM(BB18:BB27)</f>
        <v>0</v>
      </c>
      <c r="BC28" s="160">
        <f t="shared" si="58"/>
        <v>0</v>
      </c>
      <c r="BD28" s="160">
        <f>SUM(BD18:BD27)</f>
        <v>63439263.244172372</v>
      </c>
    </row>
    <row r="29" spans="1:56" x14ac:dyDescent="0.25">
      <c r="A29" s="160">
        <v>20</v>
      </c>
      <c r="B29" s="160"/>
      <c r="C29" s="160"/>
      <c r="D29" s="160"/>
      <c r="E29" s="160"/>
      <c r="F29" s="160"/>
      <c r="G29" s="169"/>
      <c r="H29" s="169"/>
      <c r="I29" s="169"/>
      <c r="J29" s="169"/>
      <c r="K29" s="169"/>
      <c r="BD29" s="160"/>
    </row>
    <row r="30" spans="1:56" x14ac:dyDescent="0.25">
      <c r="A30" s="160">
        <v>21</v>
      </c>
      <c r="B30" s="160"/>
      <c r="C30" s="160" t="s">
        <v>31</v>
      </c>
      <c r="D30" s="160"/>
      <c r="E30" s="160">
        <v>44144438</v>
      </c>
      <c r="F30" s="160"/>
      <c r="G30" s="169"/>
      <c r="H30" s="169"/>
      <c r="I30" s="169"/>
      <c r="J30" s="169"/>
      <c r="K30" s="169"/>
      <c r="L30" s="32">
        <v>-132826</v>
      </c>
      <c r="AA30" s="32">
        <f>'Adj_5.2-Colstrip'!K11+'Adj_5.2-Colstrip'!K12</f>
        <v>-612501.26926056971</v>
      </c>
      <c r="AC30" s="32">
        <v>0</v>
      </c>
      <c r="AE30" s="32">
        <v>0</v>
      </c>
      <c r="AR30" s="32">
        <f>'Adj_8.4.1-MajorPlant'!K18</f>
        <v>1881905.0708335189</v>
      </c>
      <c r="AS30" s="32">
        <f>'Adj_8.4.2-MajorPlantDep'!I12</f>
        <v>-1129621</v>
      </c>
      <c r="AU30" s="32">
        <v>-17991</v>
      </c>
      <c r="BC30" s="32">
        <f>'PC5-JB_Retire'!M16</f>
        <v>-69428.828430000009</v>
      </c>
      <c r="BD30" s="160">
        <f t="shared" ref="BD30:BD37" si="60">SUM(E30:BC30)</f>
        <v>44063974.973142952</v>
      </c>
    </row>
    <row r="31" spans="1:56" x14ac:dyDescent="0.25">
      <c r="A31" s="160">
        <v>22</v>
      </c>
      <c r="B31" s="160"/>
      <c r="C31" s="160" t="s">
        <v>32</v>
      </c>
      <c r="D31" s="160"/>
      <c r="E31" s="160">
        <v>4714285</v>
      </c>
      <c r="F31" s="160"/>
      <c r="G31" s="169"/>
      <c r="H31" s="169"/>
      <c r="I31" s="169"/>
      <c r="J31" s="169"/>
      <c r="K31" s="169"/>
      <c r="AC31" s="32">
        <v>0</v>
      </c>
      <c r="BD31" s="160">
        <f t="shared" si="60"/>
        <v>4714285</v>
      </c>
    </row>
    <row r="32" spans="1:56" x14ac:dyDescent="0.25">
      <c r="A32" s="160">
        <v>23</v>
      </c>
      <c r="B32" s="160"/>
      <c r="C32" s="160" t="s">
        <v>33</v>
      </c>
      <c r="D32" s="160"/>
      <c r="E32" s="160">
        <v>21184678</v>
      </c>
      <c r="F32" s="160"/>
      <c r="G32" s="169"/>
      <c r="H32" s="169"/>
      <c r="I32" s="169"/>
      <c r="J32" s="169"/>
      <c r="K32" s="169"/>
      <c r="AA32" s="32">
        <f>'Adj_5.2-Colstrip'!K13</f>
        <v>-39453.314539999999</v>
      </c>
      <c r="AG32" s="32">
        <v>255830</v>
      </c>
      <c r="AJ32" s="32">
        <v>-18906</v>
      </c>
      <c r="AM32" s="32">
        <v>280172</v>
      </c>
      <c r="BD32" s="160">
        <f t="shared" si="60"/>
        <v>21662320.685460001</v>
      </c>
    </row>
    <row r="33" spans="1:56" x14ac:dyDescent="0.25">
      <c r="A33" s="160">
        <v>24</v>
      </c>
      <c r="B33" s="160"/>
      <c r="C33" s="160" t="s">
        <v>34</v>
      </c>
      <c r="D33" s="160"/>
      <c r="E33" s="160">
        <v>8322675</v>
      </c>
      <c r="F33" s="160">
        <f t="shared" ref="F33:H33" si="61">(F15-F28)*0.35</f>
        <v>-307742.75</v>
      </c>
      <c r="G33" s="160">
        <f t="shared" si="61"/>
        <v>-2949687.65</v>
      </c>
      <c r="H33" s="160">
        <f t="shared" si="61"/>
        <v>2839373.5999999996</v>
      </c>
      <c r="I33" s="160">
        <v>-9</v>
      </c>
      <c r="J33" s="160">
        <f>(J15-J28)*0.35</f>
        <v>-155293.59999999998</v>
      </c>
      <c r="K33" s="160">
        <f>(K15-K28)*0.35</f>
        <v>31734.499999999996</v>
      </c>
      <c r="L33" s="160">
        <f>(L15-L28-L30-L37)*0.35</f>
        <v>57894.623379499688</v>
      </c>
      <c r="M33" s="160">
        <f t="shared" ref="M33:Q33" si="62">(M15-M28-M30-M37)*0.35</f>
        <v>-33733.338163740736</v>
      </c>
      <c r="N33" s="160">
        <f t="shared" si="62"/>
        <v>35353.781832516819</v>
      </c>
      <c r="O33" s="160">
        <f t="shared" si="62"/>
        <v>888.65</v>
      </c>
      <c r="P33" s="160">
        <f t="shared" si="62"/>
        <v>-48959.75</v>
      </c>
      <c r="Q33" s="160">
        <f t="shared" si="62"/>
        <v>4036544.05</v>
      </c>
      <c r="R33" s="160">
        <f t="shared" ref="R33:AI33" si="63">(R15-R28-R30-R37)*0.35</f>
        <v>-99078.567145107314</v>
      </c>
      <c r="S33" s="160">
        <f t="shared" si="63"/>
        <v>8.0499999999999989</v>
      </c>
      <c r="T33" s="160">
        <f t="shared" si="63"/>
        <v>3162.6</v>
      </c>
      <c r="U33" s="160">
        <f t="shared" si="63"/>
        <v>-145204.15</v>
      </c>
      <c r="V33" s="160">
        <f t="shared" si="63"/>
        <v>229485.54777268783</v>
      </c>
      <c r="W33" s="160">
        <f t="shared" si="63"/>
        <v>27494.733883528839</v>
      </c>
      <c r="X33" s="160">
        <f t="shared" si="63"/>
        <v>62461.837452288615</v>
      </c>
      <c r="Y33" s="160">
        <f t="shared" si="63"/>
        <v>6398.1955279899994</v>
      </c>
      <c r="Z33" s="160">
        <f t="shared" si="63"/>
        <v>2628925.5999999996</v>
      </c>
      <c r="AA33" s="160">
        <f>(-AA30-AA32+'Adj_5.2-Colstrip'!K27-'Adj_5.2-Colstrip'!K14)*0.35</f>
        <v>71334.583731419072</v>
      </c>
      <c r="AB33" s="160">
        <f t="shared" si="63"/>
        <v>0</v>
      </c>
      <c r="AC33" s="160">
        <f>-63320-27389+90709</f>
        <v>0</v>
      </c>
      <c r="AD33" s="160">
        <f t="shared" si="63"/>
        <v>0</v>
      </c>
      <c r="AE33" s="160"/>
      <c r="AF33" s="160">
        <f>'Adj_7.1-InterestSync'!J14</f>
        <v>-230399</v>
      </c>
      <c r="AG33" s="160">
        <f>(AG15-AG28-AG30-AG37-AG32)*0.35</f>
        <v>-89540.5</v>
      </c>
      <c r="AH33" s="160">
        <v>-47086</v>
      </c>
      <c r="AI33" s="160">
        <f t="shared" si="63"/>
        <v>0</v>
      </c>
      <c r="AJ33" s="160">
        <f>(AJ15-AJ28-AJ30-AJ37-AJ32)*0.35</f>
        <v>6617.0999999999995</v>
      </c>
      <c r="AK33" s="160">
        <f t="shared" ref="AK33:AO33" si="64">(AK15-AK28-AK30-AK37-AK32)*0.35</f>
        <v>0</v>
      </c>
      <c r="AL33" s="160">
        <f t="shared" si="64"/>
        <v>0</v>
      </c>
      <c r="AM33" s="160">
        <f t="shared" si="64"/>
        <v>-98060.2</v>
      </c>
      <c r="AN33" s="160">
        <v>1353</v>
      </c>
      <c r="AO33" s="160">
        <f t="shared" si="64"/>
        <v>0</v>
      </c>
      <c r="AP33" s="160">
        <v>-157331</v>
      </c>
      <c r="AQ33" s="160">
        <f t="shared" ref="AQ33:AW33" si="65">(AQ15-AQ28-AQ30-AQ37)*0.35</f>
        <v>0</v>
      </c>
      <c r="AR33" s="160">
        <f>'Adj_8.4.1-MajorPlant'!K22*-0.35</f>
        <v>-456550.1801462415</v>
      </c>
      <c r="AS33" s="160">
        <f t="shared" si="65"/>
        <v>395367.35</v>
      </c>
      <c r="AT33" s="160">
        <f t="shared" si="65"/>
        <v>0</v>
      </c>
      <c r="AU33" s="160">
        <v>0</v>
      </c>
      <c r="AV33" s="160">
        <v>-2901</v>
      </c>
      <c r="AW33" s="160">
        <f t="shared" si="65"/>
        <v>-1524.25</v>
      </c>
      <c r="AX33" s="160">
        <f t="shared" ref="AX33:BC33" si="66">(AX15-AX28-AX30-AX37)*0.35</f>
        <v>0</v>
      </c>
      <c r="AY33" s="160">
        <f t="shared" si="66"/>
        <v>0</v>
      </c>
      <c r="AZ33" s="160">
        <f t="shared" si="66"/>
        <v>0</v>
      </c>
      <c r="BA33" s="160">
        <f t="shared" si="66"/>
        <v>0</v>
      </c>
      <c r="BB33" s="160">
        <f t="shared" ref="BB33" si="67">(BB15-BB28-BB30-BB37)*0.35</f>
        <v>0</v>
      </c>
      <c r="BC33" s="160">
        <f t="shared" si="66"/>
        <v>24300.089950500002</v>
      </c>
      <c r="BD33" s="160">
        <f t="shared" si="60"/>
        <v>13958271.958075337</v>
      </c>
    </row>
    <row r="34" spans="1:56" x14ac:dyDescent="0.25">
      <c r="A34" s="160">
        <v>25</v>
      </c>
      <c r="B34" s="160"/>
      <c r="C34" s="160" t="s">
        <v>35</v>
      </c>
      <c r="D34" s="160"/>
      <c r="E34" s="160">
        <v>0</v>
      </c>
      <c r="F34" s="160"/>
      <c r="G34" s="169"/>
      <c r="H34" s="169"/>
      <c r="I34" s="169"/>
      <c r="J34" s="169"/>
      <c r="K34" s="169"/>
      <c r="BD34" s="160">
        <f t="shared" si="60"/>
        <v>0</v>
      </c>
    </row>
    <row r="35" spans="1:56" x14ac:dyDescent="0.25">
      <c r="A35" s="160">
        <v>26</v>
      </c>
      <c r="B35" s="160"/>
      <c r="C35" s="160" t="s">
        <v>36</v>
      </c>
      <c r="D35" s="160"/>
      <c r="E35" s="160">
        <v>2604141</v>
      </c>
      <c r="F35" s="160"/>
      <c r="G35" s="169"/>
      <c r="H35" s="169"/>
      <c r="I35" s="169">
        <v>1144</v>
      </c>
      <c r="J35" s="169"/>
      <c r="K35" s="169"/>
      <c r="AA35" s="32">
        <f>'Adj_5.2-Colstrip'!K16</f>
        <v>150268.35603112614</v>
      </c>
      <c r="AC35" s="32">
        <v>0</v>
      </c>
      <c r="AE35" s="32">
        <v>0</v>
      </c>
      <c r="AK35" s="32">
        <v>2123178</v>
      </c>
      <c r="AL35" s="32">
        <f>'Adj_7.7-DefStateTax'!L15</f>
        <v>-71221</v>
      </c>
      <c r="AP35" s="32">
        <v>135284</v>
      </c>
      <c r="AR35" s="32">
        <f>'Adj_8.4.1-MajorPlant'!K23</f>
        <v>-219159.27183461701</v>
      </c>
      <c r="BD35" s="160">
        <f t="shared" si="60"/>
        <v>4723635.0841965098</v>
      </c>
    </row>
    <row r="36" spans="1:56" x14ac:dyDescent="0.25">
      <c r="A36" s="160">
        <v>27</v>
      </c>
      <c r="B36" s="160"/>
      <c r="C36" s="160" t="s">
        <v>37</v>
      </c>
      <c r="D36" s="160"/>
      <c r="E36" s="160">
        <v>0</v>
      </c>
      <c r="F36" s="160"/>
      <c r="G36" s="169"/>
      <c r="H36" s="169"/>
      <c r="I36" s="169"/>
      <c r="J36" s="169"/>
      <c r="K36" s="169"/>
      <c r="BD36" s="160">
        <f t="shared" si="60"/>
        <v>0</v>
      </c>
    </row>
    <row r="37" spans="1:56" x14ac:dyDescent="0.25">
      <c r="A37" s="160">
        <v>28</v>
      </c>
      <c r="B37" s="160"/>
      <c r="C37" s="160" t="s">
        <v>38</v>
      </c>
      <c r="D37" s="160"/>
      <c r="E37" s="170">
        <v>-5365</v>
      </c>
      <c r="F37" s="170"/>
      <c r="G37" s="170"/>
      <c r="H37" s="170"/>
      <c r="I37" s="170">
        <v>-2990</v>
      </c>
      <c r="J37" s="170"/>
      <c r="K37" s="170"/>
      <c r="L37" s="33">
        <v>11268</v>
      </c>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v>4355</v>
      </c>
      <c r="AX37" s="33"/>
      <c r="AY37" s="33"/>
      <c r="AZ37" s="33"/>
      <c r="BA37" s="33"/>
      <c r="BB37" s="33"/>
      <c r="BC37" s="33"/>
      <c r="BD37" s="170">
        <f t="shared" si="60"/>
        <v>7268</v>
      </c>
    </row>
    <row r="38" spans="1:56" x14ac:dyDescent="0.25">
      <c r="A38" s="160">
        <v>29</v>
      </c>
      <c r="B38" s="160"/>
      <c r="C38" s="160" t="s">
        <v>39</v>
      </c>
      <c r="D38" s="160"/>
      <c r="E38" s="170">
        <f>SUM(E28:E37)</f>
        <v>306379090</v>
      </c>
      <c r="F38" s="170">
        <f t="shared" ref="F38:Q38" si="68">SUM(F28:F37)</f>
        <v>-307742.75</v>
      </c>
      <c r="G38" s="170">
        <f t="shared" si="68"/>
        <v>-2949687.65</v>
      </c>
      <c r="H38" s="170">
        <f t="shared" si="68"/>
        <v>2839373.5999999996</v>
      </c>
      <c r="I38" s="170">
        <f t="shared" si="68"/>
        <v>-1855</v>
      </c>
      <c r="J38" s="170">
        <f t="shared" si="68"/>
        <v>-155293.59999999998</v>
      </c>
      <c r="K38" s="170">
        <f t="shared" si="68"/>
        <v>-34968.5</v>
      </c>
      <c r="L38" s="170">
        <f t="shared" si="68"/>
        <v>-107518.58627621373</v>
      </c>
      <c r="M38" s="170">
        <f t="shared" si="68"/>
        <v>62647.628018375668</v>
      </c>
      <c r="N38" s="170">
        <f t="shared" si="68"/>
        <v>-65657.023403245519</v>
      </c>
      <c r="O38" s="170">
        <f t="shared" si="68"/>
        <v>-1650.35</v>
      </c>
      <c r="P38" s="170">
        <f t="shared" si="68"/>
        <v>90925.25</v>
      </c>
      <c r="Q38" s="170">
        <f t="shared" si="68"/>
        <v>-7496438.9500000002</v>
      </c>
      <c r="R38" s="170">
        <f t="shared" ref="R38" si="69">SUM(R28:R37)</f>
        <v>184003.05326948501</v>
      </c>
      <c r="S38" s="170">
        <f t="shared" ref="S38" si="70">SUM(S28:S37)</f>
        <v>-14.950000000000001</v>
      </c>
      <c r="T38" s="170">
        <f t="shared" ref="T38" si="71">SUM(T28:T37)</f>
        <v>-5873.4</v>
      </c>
      <c r="U38" s="170">
        <f t="shared" ref="U38:Y38" si="72">SUM(U28:U37)</f>
        <v>269664.84999999998</v>
      </c>
      <c r="V38" s="170">
        <f t="shared" si="72"/>
        <v>-426187.4458635631</v>
      </c>
      <c r="W38" s="170">
        <f t="shared" si="72"/>
        <v>-51061.648640839281</v>
      </c>
      <c r="X38" s="170">
        <f t="shared" si="72"/>
        <v>-116000.55526853602</v>
      </c>
      <c r="Y38" s="170">
        <f t="shared" si="72"/>
        <v>-11882.363123409999</v>
      </c>
      <c r="Z38" s="170">
        <f t="shared" ref="Z38" si="73">SUM(Z28:Z37)</f>
        <v>-148049765.40000001</v>
      </c>
      <c r="AA38" s="170">
        <f t="shared" ref="AA38" si="74">SUM(AA28:AA37)</f>
        <v>-430351.64403802459</v>
      </c>
      <c r="AB38" s="170">
        <f t="shared" ref="AB38" si="75">SUM(AB28:AB37)</f>
        <v>0</v>
      </c>
      <c r="AC38" s="170">
        <f t="shared" ref="AC38" si="76">SUM(AC28:AC37)</f>
        <v>0</v>
      </c>
      <c r="AD38" s="170">
        <f t="shared" ref="AD38" si="77">SUM(AD28:AD37)</f>
        <v>0</v>
      </c>
      <c r="AE38" s="170">
        <f t="shared" ref="AE38" si="78">SUM(AE28:AE37)</f>
        <v>0</v>
      </c>
      <c r="AF38" s="170">
        <f t="shared" ref="AF38" si="79">SUM(AF28:AF37)</f>
        <v>-230399</v>
      </c>
      <c r="AG38" s="170">
        <f t="shared" ref="AG38" si="80">SUM(AG28:AG37)</f>
        <v>166289.5</v>
      </c>
      <c r="AH38" s="170">
        <f t="shared" ref="AH38" si="81">SUM(AH28:AH37)</f>
        <v>-47086</v>
      </c>
      <c r="AI38" s="170">
        <f t="shared" ref="AI38" si="82">SUM(AI28:AI37)</f>
        <v>0</v>
      </c>
      <c r="AJ38" s="170">
        <f t="shared" ref="AJ38" si="83">SUM(AJ28:AJ37)</f>
        <v>-12288.900000000001</v>
      </c>
      <c r="AK38" s="170">
        <f t="shared" ref="AK38" si="84">SUM(AK28:AK37)</f>
        <v>2123178</v>
      </c>
      <c r="AL38" s="170">
        <f t="shared" ref="AL38" si="85">SUM(AL28:AL37)</f>
        <v>-71221</v>
      </c>
      <c r="AM38" s="170">
        <f t="shared" ref="AM38" si="86">SUM(AM28:AM37)</f>
        <v>182111.8</v>
      </c>
      <c r="AN38" s="170">
        <f t="shared" ref="AN38" si="87">SUM(AN28:AN37)</f>
        <v>1353</v>
      </c>
      <c r="AO38" s="170">
        <f t="shared" ref="AO38" si="88">SUM(AO28:AO37)</f>
        <v>0</v>
      </c>
      <c r="AP38" s="170">
        <f t="shared" ref="AP38" si="89">SUM(AP28:AP37)</f>
        <v>434575</v>
      </c>
      <c r="AQ38" s="170">
        <f t="shared" ref="AQ38" si="90">SUM(AQ28:AQ37)</f>
        <v>0</v>
      </c>
      <c r="AR38" s="170">
        <f t="shared" ref="AR38:AS38" si="91">SUM(AR28:AR37)</f>
        <v>1206195.6188526603</v>
      </c>
      <c r="AS38" s="170">
        <f t="shared" si="91"/>
        <v>-734253.65</v>
      </c>
      <c r="AT38" s="170">
        <f t="shared" ref="AT38" si="92">SUM(AT28:AT37)</f>
        <v>0</v>
      </c>
      <c r="AU38" s="170">
        <f t="shared" ref="AU38" si="93">SUM(AU28:AU37)</f>
        <v>-17991</v>
      </c>
      <c r="AV38" s="170">
        <f t="shared" ref="AV38" si="94">SUM(AV28:AV37)</f>
        <v>-2901</v>
      </c>
      <c r="AW38" s="170">
        <f t="shared" ref="AW38:BC38" si="95">SUM(AW28:AW37)</f>
        <v>2830.75</v>
      </c>
      <c r="AX38" s="170">
        <f t="shared" si="95"/>
        <v>0</v>
      </c>
      <c r="AY38" s="170">
        <f t="shared" si="95"/>
        <v>0</v>
      </c>
      <c r="AZ38" s="170">
        <f t="shared" si="95"/>
        <v>0</v>
      </c>
      <c r="BA38" s="170">
        <f t="shared" si="95"/>
        <v>0</v>
      </c>
      <c r="BB38" s="170">
        <f t="shared" ref="BB38" si="96">SUM(BB28:BB37)</f>
        <v>0</v>
      </c>
      <c r="BC38" s="170">
        <f t="shared" si="95"/>
        <v>-45128.738479500011</v>
      </c>
      <c r="BD38" s="170">
        <f>SUM(BD28:BD37)</f>
        <v>152569018.94504717</v>
      </c>
    </row>
    <row r="39" spans="1:56" x14ac:dyDescent="0.25">
      <c r="A39" s="160">
        <v>30</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row>
    <row r="40" spans="1:56" ht="16.5" thickBot="1" x14ac:dyDescent="0.3">
      <c r="A40" s="160">
        <v>31</v>
      </c>
      <c r="B40" s="160"/>
      <c r="C40" s="168" t="s">
        <v>40</v>
      </c>
      <c r="D40" s="160"/>
      <c r="E40" s="172">
        <f>E15-E38</f>
        <v>53650956</v>
      </c>
      <c r="F40" s="172">
        <f t="shared" ref="F40:Q40" si="97">F15-F38</f>
        <v>-571522.25</v>
      </c>
      <c r="G40" s="172">
        <f t="shared" si="97"/>
        <v>-5477991.3499999996</v>
      </c>
      <c r="H40" s="172">
        <f t="shared" si="97"/>
        <v>5273122.4000000004</v>
      </c>
      <c r="I40" s="172">
        <f t="shared" si="97"/>
        <v>1855</v>
      </c>
      <c r="J40" s="172">
        <f t="shared" si="97"/>
        <v>-288402.40000000002</v>
      </c>
      <c r="K40" s="172">
        <f t="shared" si="97"/>
        <v>58935.5</v>
      </c>
      <c r="L40" s="172">
        <f t="shared" si="97"/>
        <v>107518.58627621373</v>
      </c>
      <c r="M40" s="172">
        <f t="shared" si="97"/>
        <v>-62647.628018375668</v>
      </c>
      <c r="N40" s="172">
        <f t="shared" si="97"/>
        <v>65657.023403245519</v>
      </c>
      <c r="O40" s="172">
        <f t="shared" si="97"/>
        <v>1650.35</v>
      </c>
      <c r="P40" s="172">
        <f t="shared" si="97"/>
        <v>-90925.25</v>
      </c>
      <c r="Q40" s="172">
        <f t="shared" si="97"/>
        <v>7496438.9500000002</v>
      </c>
      <c r="R40" s="172">
        <f t="shared" ref="R40:AM40" si="98">R15-R38</f>
        <v>-184003.05326948501</v>
      </c>
      <c r="S40" s="172">
        <f t="shared" si="98"/>
        <v>14.950000000000001</v>
      </c>
      <c r="T40" s="172">
        <f t="shared" si="98"/>
        <v>5873.4</v>
      </c>
      <c r="U40" s="172">
        <f t="shared" si="98"/>
        <v>-269664.84999999998</v>
      </c>
      <c r="V40" s="172">
        <f t="shared" ref="V40:Y40" si="99">V15-V38</f>
        <v>426187.4458635631</v>
      </c>
      <c r="W40" s="172">
        <f t="shared" si="99"/>
        <v>51061.648640839281</v>
      </c>
      <c r="X40" s="172">
        <f t="shared" si="99"/>
        <v>116000.55526853602</v>
      </c>
      <c r="Y40" s="172">
        <f t="shared" si="99"/>
        <v>11882.363123409999</v>
      </c>
      <c r="Z40" s="172">
        <f t="shared" si="98"/>
        <v>4882290.400000006</v>
      </c>
      <c r="AA40" s="172">
        <f t="shared" si="98"/>
        <v>430351.64403802459</v>
      </c>
      <c r="AB40" s="172">
        <f t="shared" si="98"/>
        <v>0</v>
      </c>
      <c r="AC40" s="172">
        <f t="shared" si="98"/>
        <v>0</v>
      </c>
      <c r="AD40" s="172">
        <f t="shared" si="98"/>
        <v>0</v>
      </c>
      <c r="AE40" s="172">
        <f t="shared" si="98"/>
        <v>0</v>
      </c>
      <c r="AF40" s="172">
        <f t="shared" si="98"/>
        <v>230399</v>
      </c>
      <c r="AG40" s="172">
        <f t="shared" si="98"/>
        <v>-166289.5</v>
      </c>
      <c r="AH40" s="172">
        <f t="shared" si="98"/>
        <v>47086</v>
      </c>
      <c r="AI40" s="172">
        <f t="shared" si="98"/>
        <v>0</v>
      </c>
      <c r="AJ40" s="172">
        <f t="shared" si="98"/>
        <v>12288.900000000001</v>
      </c>
      <c r="AK40" s="172">
        <f t="shared" si="98"/>
        <v>-2123178</v>
      </c>
      <c r="AL40" s="172">
        <f t="shared" si="98"/>
        <v>71221</v>
      </c>
      <c r="AM40" s="172">
        <f t="shared" si="98"/>
        <v>-182111.8</v>
      </c>
      <c r="AN40" s="172">
        <f t="shared" ref="AN40:AW40" si="100">AN15-AN38</f>
        <v>-1353</v>
      </c>
      <c r="AO40" s="172">
        <f t="shared" si="100"/>
        <v>0</v>
      </c>
      <c r="AP40" s="172">
        <f t="shared" si="100"/>
        <v>-434575</v>
      </c>
      <c r="AQ40" s="172">
        <f t="shared" si="100"/>
        <v>0</v>
      </c>
      <c r="AR40" s="172">
        <f t="shared" si="100"/>
        <v>-1206195.6188526603</v>
      </c>
      <c r="AS40" s="172">
        <f t="shared" ref="AS40" si="101">AS15-AS38</f>
        <v>734253.65</v>
      </c>
      <c r="AT40" s="172">
        <f t="shared" si="100"/>
        <v>0</v>
      </c>
      <c r="AU40" s="172">
        <f t="shared" si="100"/>
        <v>17991</v>
      </c>
      <c r="AV40" s="172">
        <f t="shared" si="100"/>
        <v>2901</v>
      </c>
      <c r="AW40" s="172">
        <f t="shared" si="100"/>
        <v>-2830.75</v>
      </c>
      <c r="AX40" s="172">
        <f t="shared" ref="AX40:BC40" si="102">AX15-AX38</f>
        <v>0</v>
      </c>
      <c r="AY40" s="172">
        <f t="shared" si="102"/>
        <v>0</v>
      </c>
      <c r="AZ40" s="172">
        <f t="shared" si="102"/>
        <v>0</v>
      </c>
      <c r="BA40" s="172">
        <f t="shared" si="102"/>
        <v>0</v>
      </c>
      <c r="BB40" s="172">
        <f t="shared" ref="BB40" si="103">BB15-BB38</f>
        <v>0</v>
      </c>
      <c r="BC40" s="172">
        <f t="shared" si="102"/>
        <v>45128.738479500011</v>
      </c>
      <c r="BD40" s="172">
        <f>BD15-BD38</f>
        <v>62679375.05495283</v>
      </c>
    </row>
    <row r="41" spans="1:56" ht="16.5" thickTop="1" x14ac:dyDescent="0.25">
      <c r="A41" s="160">
        <v>32</v>
      </c>
      <c r="B41" s="160"/>
      <c r="C41" s="160"/>
      <c r="D41" s="160"/>
      <c r="E41" s="160"/>
      <c r="F41" s="160"/>
      <c r="G41" s="169"/>
      <c r="H41" s="169"/>
      <c r="I41" s="169"/>
      <c r="J41" s="169"/>
      <c r="K41" s="169"/>
      <c r="BD41" s="160"/>
    </row>
    <row r="42" spans="1:56" x14ac:dyDescent="0.25">
      <c r="A42" s="160">
        <v>33</v>
      </c>
      <c r="B42" s="160"/>
      <c r="C42" s="168" t="s">
        <v>41</v>
      </c>
      <c r="D42" s="160"/>
      <c r="E42" s="160"/>
      <c r="F42" s="160"/>
      <c r="G42" s="169"/>
      <c r="H42" s="169"/>
      <c r="I42" s="169"/>
      <c r="J42" s="169"/>
      <c r="K42" s="169"/>
      <c r="BD42" s="160"/>
    </row>
    <row r="43" spans="1:56" x14ac:dyDescent="0.25">
      <c r="A43" s="160">
        <v>34</v>
      </c>
      <c r="B43" s="160"/>
      <c r="C43" s="160" t="s">
        <v>42</v>
      </c>
      <c r="D43" s="160"/>
      <c r="E43" s="160">
        <v>1711240085</v>
      </c>
      <c r="F43" s="160"/>
      <c r="G43" s="169"/>
      <c r="H43" s="169"/>
      <c r="I43" s="169"/>
      <c r="J43" s="169"/>
      <c r="K43" s="169"/>
      <c r="AA43" s="32">
        <f>'Adj_5.2-Colstrip'!K19+'Adj_5.2-Colstrip'!K20</f>
        <v>-28055197.115011949</v>
      </c>
      <c r="AO43" s="32">
        <f>'Adj_8.1-JB_Mine'!K12</f>
        <v>71649802.690511286</v>
      </c>
      <c r="AR43" s="32">
        <f>'Adj_8.4.1-MajorPlant'!K12</f>
        <v>26303638.163894784</v>
      </c>
      <c r="AU43" s="32">
        <v>-342058</v>
      </c>
      <c r="AZ43" s="32">
        <v>0</v>
      </c>
      <c r="BB43" s="32">
        <f>Adj_8.13_Idaho!K30+Adj_8.13_Idaho!K58</f>
        <v>882530.78121477552</v>
      </c>
      <c r="BD43" s="160">
        <f t="shared" ref="BD43:BD53" si="104">SUM(E43:BC43)</f>
        <v>1781678801.5206089</v>
      </c>
    </row>
    <row r="44" spans="1:56" x14ac:dyDescent="0.25">
      <c r="A44" s="160">
        <v>35</v>
      </c>
      <c r="B44" s="160"/>
      <c r="C44" s="160" t="s">
        <v>43</v>
      </c>
      <c r="D44" s="160"/>
      <c r="E44" s="160">
        <v>424723</v>
      </c>
      <c r="F44" s="160"/>
      <c r="G44" s="169"/>
      <c r="H44" s="169"/>
      <c r="I44" s="169"/>
      <c r="J44" s="169"/>
      <c r="K44" s="169"/>
      <c r="BD44" s="160">
        <f t="shared" si="104"/>
        <v>424723</v>
      </c>
    </row>
    <row r="45" spans="1:56" x14ac:dyDescent="0.25">
      <c r="A45" s="160">
        <v>36</v>
      </c>
      <c r="B45" s="160"/>
      <c r="C45" s="32" t="s">
        <v>284</v>
      </c>
      <c r="D45" s="160"/>
      <c r="E45" s="160">
        <v>10635421</v>
      </c>
      <c r="F45" s="160"/>
      <c r="G45" s="169"/>
      <c r="H45" s="169"/>
      <c r="I45" s="169"/>
      <c r="J45" s="169"/>
      <c r="K45" s="169"/>
      <c r="AO45" s="32">
        <f>'Adj_8.1-JB_Mine'!K13</f>
        <v>170174.88796459077</v>
      </c>
      <c r="AP45" s="32">
        <v>-326958</v>
      </c>
      <c r="AT45" s="32">
        <v>-6990957</v>
      </c>
      <c r="BA45" s="32">
        <v>-3000000</v>
      </c>
      <c r="BD45" s="160">
        <f t="shared" si="104"/>
        <v>487680.88796459138</v>
      </c>
    </row>
    <row r="46" spans="1:56" x14ac:dyDescent="0.25">
      <c r="A46" s="160">
        <v>37</v>
      </c>
      <c r="B46" s="160"/>
      <c r="C46" s="160" t="s">
        <v>44</v>
      </c>
      <c r="D46" s="160"/>
      <c r="E46" s="160">
        <v>0</v>
      </c>
      <c r="F46" s="160"/>
      <c r="G46" s="169"/>
      <c r="H46" s="169"/>
      <c r="I46" s="169"/>
      <c r="J46" s="169"/>
      <c r="K46" s="169"/>
      <c r="BD46" s="160">
        <f t="shared" si="104"/>
        <v>0</v>
      </c>
    </row>
    <row r="47" spans="1:56" x14ac:dyDescent="0.25">
      <c r="A47" s="160">
        <v>38</v>
      </c>
      <c r="B47" s="160"/>
      <c r="C47" s="160" t="s">
        <v>45</v>
      </c>
      <c r="D47" s="160"/>
      <c r="E47" s="160">
        <v>0</v>
      </c>
      <c r="F47" s="160"/>
      <c r="G47" s="169"/>
      <c r="H47" s="169"/>
      <c r="I47" s="169"/>
      <c r="J47" s="169"/>
      <c r="K47" s="169"/>
      <c r="BD47" s="160">
        <f t="shared" si="104"/>
        <v>0</v>
      </c>
    </row>
    <row r="48" spans="1:56" x14ac:dyDescent="0.25">
      <c r="A48" s="160">
        <v>39</v>
      </c>
      <c r="B48" s="160"/>
      <c r="C48" s="160" t="s">
        <v>46</v>
      </c>
      <c r="D48" s="160"/>
      <c r="E48" s="160">
        <v>1753737</v>
      </c>
      <c r="F48" s="160"/>
      <c r="G48" s="169"/>
      <c r="H48" s="169"/>
      <c r="I48" s="169"/>
      <c r="J48" s="169"/>
      <c r="K48" s="169"/>
      <c r="AT48" s="32">
        <f>-1536500-217237</f>
        <v>-1753737</v>
      </c>
      <c r="BD48" s="160">
        <f t="shared" si="104"/>
        <v>0</v>
      </c>
    </row>
    <row r="49" spans="1:56" x14ac:dyDescent="0.25">
      <c r="A49" s="160">
        <v>40</v>
      </c>
      <c r="B49" s="160"/>
      <c r="C49" s="160" t="s">
        <v>47</v>
      </c>
      <c r="D49" s="160"/>
      <c r="E49" s="160">
        <v>6572936</v>
      </c>
      <c r="F49" s="160"/>
      <c r="G49" s="169"/>
      <c r="H49" s="169"/>
      <c r="I49" s="169"/>
      <c r="J49" s="169"/>
      <c r="K49" s="169"/>
      <c r="AT49" s="32">
        <v>-6572936</v>
      </c>
      <c r="BD49" s="160">
        <f t="shared" si="104"/>
        <v>0</v>
      </c>
    </row>
    <row r="50" spans="1:56" x14ac:dyDescent="0.25">
      <c r="A50" s="160">
        <v>41</v>
      </c>
      <c r="B50" s="160"/>
      <c r="C50" s="160" t="s">
        <v>48</v>
      </c>
      <c r="D50" s="160"/>
      <c r="E50" s="160">
        <v>7344634</v>
      </c>
      <c r="F50" s="160"/>
      <c r="G50" s="169"/>
      <c r="H50" s="169"/>
      <c r="I50" s="169"/>
      <c r="J50" s="169"/>
      <c r="K50" s="169"/>
      <c r="AT50" s="32">
        <v>-7344634</v>
      </c>
      <c r="BD50" s="160">
        <f t="shared" si="104"/>
        <v>0</v>
      </c>
    </row>
    <row r="51" spans="1:56" x14ac:dyDescent="0.25">
      <c r="A51" s="160">
        <v>42</v>
      </c>
      <c r="B51" s="160"/>
      <c r="C51" s="160" t="s">
        <v>49</v>
      </c>
      <c r="D51" s="160"/>
      <c r="E51" s="160">
        <v>2150960</v>
      </c>
      <c r="F51" s="160"/>
      <c r="G51" s="169"/>
      <c r="H51" s="169"/>
      <c r="I51" s="169"/>
      <c r="J51" s="169"/>
      <c r="K51" s="169"/>
      <c r="AT51" s="32">
        <v>-2150961</v>
      </c>
      <c r="AY51" s="32">
        <v>23962204</v>
      </c>
      <c r="BD51" s="160">
        <f t="shared" si="104"/>
        <v>23962203</v>
      </c>
    </row>
    <row r="52" spans="1:56" x14ac:dyDescent="0.25">
      <c r="A52" s="160">
        <v>43</v>
      </c>
      <c r="B52" s="160"/>
      <c r="C52" s="160" t="s">
        <v>50</v>
      </c>
      <c r="D52" s="160"/>
      <c r="E52" s="160">
        <v>1840890</v>
      </c>
      <c r="F52" s="160"/>
      <c r="G52" s="169"/>
      <c r="H52" s="169"/>
      <c r="I52" s="169"/>
      <c r="J52" s="169"/>
      <c r="K52" s="169"/>
      <c r="BD52" s="160">
        <f t="shared" si="104"/>
        <v>1840890</v>
      </c>
    </row>
    <row r="53" spans="1:56" x14ac:dyDescent="0.25">
      <c r="A53" s="160">
        <v>44</v>
      </c>
      <c r="B53" s="160"/>
      <c r="C53" s="160" t="s">
        <v>51</v>
      </c>
      <c r="D53" s="160"/>
      <c r="E53" s="170">
        <v>0</v>
      </c>
      <c r="F53" s="170"/>
      <c r="G53" s="169"/>
      <c r="H53" s="169"/>
      <c r="I53" s="169"/>
      <c r="J53" s="169"/>
      <c r="K53" s="169"/>
      <c r="BD53" s="160">
        <f t="shared" si="104"/>
        <v>0</v>
      </c>
    </row>
    <row r="54" spans="1:56" x14ac:dyDescent="0.25">
      <c r="A54" s="160">
        <v>45</v>
      </c>
      <c r="B54" s="160"/>
      <c r="C54" s="160" t="s">
        <v>52</v>
      </c>
      <c r="D54" s="160"/>
      <c r="E54" s="171">
        <f>SUM(E43:E53)</f>
        <v>1741963386</v>
      </c>
      <c r="F54" s="171">
        <f t="shared" ref="F54:Q54" si="105">SUM(F43:F53)</f>
        <v>0</v>
      </c>
      <c r="G54" s="171">
        <f t="shared" si="105"/>
        <v>0</v>
      </c>
      <c r="H54" s="171">
        <f t="shared" si="105"/>
        <v>0</v>
      </c>
      <c r="I54" s="171">
        <f t="shared" si="105"/>
        <v>0</v>
      </c>
      <c r="J54" s="171">
        <f t="shared" si="105"/>
        <v>0</v>
      </c>
      <c r="K54" s="171">
        <f t="shared" si="105"/>
        <v>0</v>
      </c>
      <c r="L54" s="171">
        <f t="shared" si="105"/>
        <v>0</v>
      </c>
      <c r="M54" s="171">
        <f t="shared" si="105"/>
        <v>0</v>
      </c>
      <c r="N54" s="171">
        <f t="shared" si="105"/>
        <v>0</v>
      </c>
      <c r="O54" s="171">
        <f t="shared" si="105"/>
        <v>0</v>
      </c>
      <c r="P54" s="171">
        <f t="shared" si="105"/>
        <v>0</v>
      </c>
      <c r="Q54" s="171">
        <f t="shared" si="105"/>
        <v>0</v>
      </c>
      <c r="R54" s="171">
        <f t="shared" ref="R54" si="106">SUM(R43:R53)</f>
        <v>0</v>
      </c>
      <c r="S54" s="171">
        <f t="shared" ref="S54" si="107">SUM(S43:S53)</f>
        <v>0</v>
      </c>
      <c r="T54" s="171">
        <f t="shared" ref="T54" si="108">SUM(T43:T53)</f>
        <v>0</v>
      </c>
      <c r="U54" s="171">
        <f t="shared" ref="U54:Y54" si="109">SUM(U43:U53)</f>
        <v>0</v>
      </c>
      <c r="V54" s="171">
        <f t="shared" si="109"/>
        <v>0</v>
      </c>
      <c r="W54" s="171">
        <f t="shared" si="109"/>
        <v>0</v>
      </c>
      <c r="X54" s="171">
        <f t="shared" si="109"/>
        <v>0</v>
      </c>
      <c r="Y54" s="171">
        <f t="shared" si="109"/>
        <v>0</v>
      </c>
      <c r="Z54" s="171">
        <f t="shared" ref="Z54" si="110">SUM(Z43:Z53)</f>
        <v>0</v>
      </c>
      <c r="AA54" s="171">
        <f t="shared" ref="AA54" si="111">SUM(AA43:AA53)</f>
        <v>-28055197.115011949</v>
      </c>
      <c r="AB54" s="171">
        <f t="shared" ref="AB54" si="112">SUM(AB43:AB53)</f>
        <v>0</v>
      </c>
      <c r="AC54" s="171">
        <f t="shared" ref="AC54" si="113">SUM(AC43:AC53)</f>
        <v>0</v>
      </c>
      <c r="AD54" s="171">
        <f t="shared" ref="AD54" si="114">SUM(AD43:AD53)</f>
        <v>0</v>
      </c>
      <c r="AE54" s="171">
        <f t="shared" ref="AE54" si="115">SUM(AE43:AE53)</f>
        <v>0</v>
      </c>
      <c r="AF54" s="171">
        <f t="shared" ref="AF54" si="116">SUM(AF43:AF53)</f>
        <v>0</v>
      </c>
      <c r="AG54" s="171">
        <f t="shared" ref="AG54" si="117">SUM(AG43:AG53)</f>
        <v>0</v>
      </c>
      <c r="AH54" s="171">
        <f t="shared" ref="AH54" si="118">SUM(AH43:AH53)</f>
        <v>0</v>
      </c>
      <c r="AI54" s="171">
        <f t="shared" ref="AI54" si="119">SUM(AI43:AI53)</f>
        <v>0</v>
      </c>
      <c r="AJ54" s="171">
        <f t="shared" ref="AJ54" si="120">SUM(AJ43:AJ53)</f>
        <v>0</v>
      </c>
      <c r="AK54" s="171">
        <f t="shared" ref="AK54" si="121">SUM(AK43:AK53)</f>
        <v>0</v>
      </c>
      <c r="AL54" s="171">
        <f t="shared" ref="AL54" si="122">SUM(AL43:AL53)</f>
        <v>0</v>
      </c>
      <c r="AM54" s="171">
        <f t="shared" ref="AM54" si="123">SUM(AM43:AM53)</f>
        <v>0</v>
      </c>
      <c r="AN54" s="171">
        <f t="shared" ref="AN54" si="124">SUM(AN43:AN53)</f>
        <v>0</v>
      </c>
      <c r="AO54" s="171">
        <f t="shared" ref="AO54" si="125">SUM(AO43:AO53)</f>
        <v>71819977.578475878</v>
      </c>
      <c r="AP54" s="171">
        <f t="shared" ref="AP54" si="126">SUM(AP43:AP53)</f>
        <v>-326958</v>
      </c>
      <c r="AQ54" s="171">
        <f t="shared" ref="AQ54" si="127">SUM(AQ43:AQ53)</f>
        <v>0</v>
      </c>
      <c r="AR54" s="171">
        <f t="shared" ref="AR54:AS54" si="128">SUM(AR43:AR53)</f>
        <v>26303638.163894784</v>
      </c>
      <c r="AS54" s="171">
        <f t="shared" si="128"/>
        <v>0</v>
      </c>
      <c r="AT54" s="171">
        <f t="shared" ref="AT54" si="129">SUM(AT43:AT53)</f>
        <v>-24813225</v>
      </c>
      <c r="AU54" s="171">
        <f t="shared" ref="AU54" si="130">SUM(AU43:AU53)</f>
        <v>-342058</v>
      </c>
      <c r="AV54" s="171">
        <f t="shared" ref="AV54" si="131">SUM(AV43:AV53)</f>
        <v>0</v>
      </c>
      <c r="AW54" s="171">
        <f t="shared" ref="AW54:BC54" si="132">SUM(AW43:AW53)</f>
        <v>0</v>
      </c>
      <c r="AX54" s="171">
        <f t="shared" si="132"/>
        <v>0</v>
      </c>
      <c r="AY54" s="171">
        <f t="shared" si="132"/>
        <v>23962204</v>
      </c>
      <c r="AZ54" s="171">
        <f t="shared" si="132"/>
        <v>0</v>
      </c>
      <c r="BA54" s="171">
        <f t="shared" si="132"/>
        <v>-3000000</v>
      </c>
      <c r="BB54" s="171">
        <f t="shared" ref="BB54" si="133">SUM(BB43:BB53)</f>
        <v>882530.78121477552</v>
      </c>
      <c r="BC54" s="171">
        <f t="shared" si="132"/>
        <v>0</v>
      </c>
      <c r="BD54" s="171">
        <f>SUM(BD43:BD53)</f>
        <v>1808394298.4085734</v>
      </c>
    </row>
    <row r="55" spans="1:56" x14ac:dyDescent="0.25">
      <c r="A55" s="160">
        <v>46</v>
      </c>
      <c r="B55" s="160"/>
      <c r="C55" s="160"/>
      <c r="D55" s="160"/>
      <c r="E55" s="160"/>
      <c r="F55" s="160"/>
      <c r="G55" s="169"/>
      <c r="H55" s="169"/>
      <c r="I55" s="169"/>
      <c r="J55" s="169"/>
      <c r="K55" s="169"/>
      <c r="BD55" s="160"/>
    </row>
    <row r="56" spans="1:56" x14ac:dyDescent="0.25">
      <c r="A56" s="160">
        <v>47</v>
      </c>
      <c r="B56" s="160"/>
      <c r="C56" s="168" t="s">
        <v>53</v>
      </c>
      <c r="D56" s="160"/>
      <c r="E56" s="160"/>
      <c r="F56" s="160"/>
      <c r="G56" s="169"/>
      <c r="H56" s="169"/>
      <c r="I56" s="169"/>
      <c r="J56" s="169"/>
      <c r="K56" s="169"/>
      <c r="BD56" s="160"/>
    </row>
    <row r="57" spans="1:56" x14ac:dyDescent="0.25">
      <c r="A57" s="160">
        <v>48</v>
      </c>
      <c r="B57" s="160"/>
      <c r="C57" s="160" t="s">
        <v>54</v>
      </c>
      <c r="D57" s="160"/>
      <c r="E57" s="160">
        <v>-650698309</v>
      </c>
      <c r="F57" s="160"/>
      <c r="G57" s="169"/>
      <c r="H57" s="169"/>
      <c r="I57" s="169"/>
      <c r="J57" s="169"/>
      <c r="K57" s="169"/>
      <c r="AA57" s="32">
        <f>'Adj_5.2-Colstrip'!K21+'Adj_5.2-Colstrip'!K22</f>
        <v>18814480.062474784</v>
      </c>
      <c r="AB57" s="32">
        <v>0</v>
      </c>
      <c r="AD57" s="32">
        <v>0</v>
      </c>
      <c r="AE57" s="32">
        <v>0</v>
      </c>
      <c r="AO57" s="32">
        <f>'Adj_8.1-JB_Mine'!K14</f>
        <v>-42823752.28652598</v>
      </c>
      <c r="AR57" s="32">
        <f>'Adj_8.4.1-MajorPlant'!K15</f>
        <v>-1274245.0331646346</v>
      </c>
      <c r="AS57" s="32">
        <f>'Adj_8.4.2-MajorPlantDep'!I14</f>
        <v>764871</v>
      </c>
      <c r="BB57" s="32">
        <f>Adj_8.13_Idaho!K39+Adj_8.13_Idaho!K64</f>
        <v>809325.00132636074</v>
      </c>
      <c r="BD57" s="160">
        <f t="shared" ref="BD57:BD63" si="134">SUM(E57:BC57)</f>
        <v>-674407630.25588953</v>
      </c>
    </row>
    <row r="58" spans="1:56" x14ac:dyDescent="0.25">
      <c r="A58" s="160">
        <v>49</v>
      </c>
      <c r="B58" s="160"/>
      <c r="C58" s="160" t="s">
        <v>55</v>
      </c>
      <c r="D58" s="160"/>
      <c r="E58" s="160">
        <v>-51041927</v>
      </c>
      <c r="F58" s="160"/>
      <c r="G58" s="169"/>
      <c r="H58" s="169"/>
      <c r="I58" s="169"/>
      <c r="J58" s="169"/>
      <c r="K58" s="169"/>
      <c r="AB58" s="32">
        <v>0</v>
      </c>
      <c r="BD58" s="160">
        <f t="shared" si="134"/>
        <v>-51041927</v>
      </c>
    </row>
    <row r="59" spans="1:56" x14ac:dyDescent="0.25">
      <c r="A59" s="160">
        <v>50</v>
      </c>
      <c r="B59" s="160"/>
      <c r="C59" s="160" t="s">
        <v>56</v>
      </c>
      <c r="D59" s="160"/>
      <c r="E59" s="160">
        <v>-254566534</v>
      </c>
      <c r="F59" s="160"/>
      <c r="G59" s="169"/>
      <c r="H59" s="169"/>
      <c r="I59" s="169">
        <v>1006</v>
      </c>
      <c r="J59" s="169"/>
      <c r="K59" s="169"/>
      <c r="AA59" s="32">
        <f>'Adj_5.2-Colstrip'!K23</f>
        <v>1229122.9170888779</v>
      </c>
      <c r="AC59" s="32">
        <v>0</v>
      </c>
      <c r="AE59" s="32">
        <v>0</v>
      </c>
      <c r="AI59" s="32">
        <f>'Adj_7.4-PowerTax'!L32</f>
        <v>13399694.164268905</v>
      </c>
      <c r="AK59" s="32">
        <v>-2260168</v>
      </c>
      <c r="AL59" s="32">
        <f>'Adj_7.7-DefStateTax'!L17</f>
        <v>-78</v>
      </c>
      <c r="AP59" s="32">
        <v>-522219</v>
      </c>
      <c r="AR59" s="32">
        <f>'Adj_8.4.1-MajorPlant'!K24</f>
        <v>-5470803.9565861765</v>
      </c>
      <c r="AX59" s="32">
        <v>210870</v>
      </c>
      <c r="BA59" s="32">
        <v>1138530</v>
      </c>
      <c r="BB59" s="32">
        <f>Adj_8.13_Idaho!K71</f>
        <v>1426758</v>
      </c>
      <c r="BD59" s="160">
        <f t="shared" si="134"/>
        <v>-245413821.8752284</v>
      </c>
    </row>
    <row r="60" spans="1:56" x14ac:dyDescent="0.25">
      <c r="A60" s="160">
        <v>51</v>
      </c>
      <c r="B60" s="160"/>
      <c r="C60" s="160" t="s">
        <v>57</v>
      </c>
      <c r="D60" s="160"/>
      <c r="E60" s="160">
        <v>-107192</v>
      </c>
      <c r="F60" s="160"/>
      <c r="G60" s="169"/>
      <c r="H60" s="169"/>
      <c r="I60" s="169"/>
      <c r="J60" s="169"/>
      <c r="K60" s="169"/>
      <c r="AA60" s="32">
        <f>'Adj_5.2-Colstrip'!K24</f>
        <v>822.8424</v>
      </c>
      <c r="BD60" s="160">
        <f t="shared" si="134"/>
        <v>-106369.15760000001</v>
      </c>
    </row>
    <row r="61" spans="1:56" x14ac:dyDescent="0.25">
      <c r="A61" s="160">
        <v>52</v>
      </c>
      <c r="B61" s="160"/>
      <c r="C61" s="160" t="s">
        <v>58</v>
      </c>
      <c r="D61" s="160"/>
      <c r="E61" s="160">
        <v>25235</v>
      </c>
      <c r="F61" s="160"/>
      <c r="G61" s="169"/>
      <c r="H61" s="169"/>
      <c r="I61" s="169"/>
      <c r="J61" s="169"/>
      <c r="K61" s="169"/>
      <c r="AQ61" s="32">
        <f>-997745</f>
        <v>-997745</v>
      </c>
      <c r="BD61" s="160">
        <f t="shared" si="134"/>
        <v>-972510</v>
      </c>
    </row>
    <row r="62" spans="1:56" x14ac:dyDescent="0.25">
      <c r="A62" s="160">
        <v>53</v>
      </c>
      <c r="B62" s="160"/>
      <c r="C62" s="160" t="s">
        <v>59</v>
      </c>
      <c r="D62" s="160"/>
      <c r="E62" s="160">
        <v>0</v>
      </c>
      <c r="F62" s="160"/>
      <c r="G62" s="169"/>
      <c r="H62" s="169"/>
      <c r="I62" s="169"/>
      <c r="J62" s="169"/>
      <c r="K62" s="169"/>
      <c r="AW62" s="32">
        <v>-3272583</v>
      </c>
      <c r="BD62" s="160">
        <f t="shared" si="134"/>
        <v>-3272583</v>
      </c>
    </row>
    <row r="63" spans="1:56" x14ac:dyDescent="0.25">
      <c r="A63" s="160">
        <v>54</v>
      </c>
      <c r="B63" s="160"/>
      <c r="C63" s="32" t="s">
        <v>84</v>
      </c>
      <c r="D63" s="160"/>
      <c r="E63" s="170">
        <v>-4253593</v>
      </c>
      <c r="F63" s="170"/>
      <c r="G63" s="169"/>
      <c r="H63" s="169"/>
      <c r="I63" s="169">
        <v>-2651</v>
      </c>
      <c r="J63" s="169"/>
      <c r="K63" s="169"/>
      <c r="AT63" s="32">
        <v>1181553</v>
      </c>
      <c r="AV63" s="32">
        <v>-277124</v>
      </c>
      <c r="BD63" s="160">
        <f t="shared" si="134"/>
        <v>-3351815</v>
      </c>
    </row>
    <row r="64" spans="1:56" x14ac:dyDescent="0.25">
      <c r="A64" s="160">
        <v>55</v>
      </c>
      <c r="B64" s="160"/>
      <c r="C64" s="160" t="s">
        <v>60</v>
      </c>
      <c r="D64" s="160"/>
      <c r="E64" s="171">
        <f>SUM(E57:E63)</f>
        <v>-960642320</v>
      </c>
      <c r="F64" s="171">
        <f t="shared" ref="F64:Q64" si="135">SUM(F57:F63)</f>
        <v>0</v>
      </c>
      <c r="G64" s="171">
        <f t="shared" si="135"/>
        <v>0</v>
      </c>
      <c r="H64" s="171">
        <f t="shared" si="135"/>
        <v>0</v>
      </c>
      <c r="I64" s="171">
        <f t="shared" si="135"/>
        <v>-1645</v>
      </c>
      <c r="J64" s="171">
        <f t="shared" si="135"/>
        <v>0</v>
      </c>
      <c r="K64" s="171">
        <f t="shared" si="135"/>
        <v>0</v>
      </c>
      <c r="L64" s="171">
        <f t="shared" si="135"/>
        <v>0</v>
      </c>
      <c r="M64" s="171">
        <f t="shared" si="135"/>
        <v>0</v>
      </c>
      <c r="N64" s="171">
        <f t="shared" si="135"/>
        <v>0</v>
      </c>
      <c r="O64" s="171">
        <f t="shared" si="135"/>
        <v>0</v>
      </c>
      <c r="P64" s="171">
        <f t="shared" si="135"/>
        <v>0</v>
      </c>
      <c r="Q64" s="171">
        <f t="shared" si="135"/>
        <v>0</v>
      </c>
      <c r="R64" s="171">
        <f t="shared" ref="R64" si="136">SUM(R57:R63)</f>
        <v>0</v>
      </c>
      <c r="S64" s="171">
        <f t="shared" ref="S64" si="137">SUM(S57:S63)</f>
        <v>0</v>
      </c>
      <c r="T64" s="171">
        <f t="shared" ref="T64" si="138">SUM(T57:T63)</f>
        <v>0</v>
      </c>
      <c r="U64" s="171">
        <f t="shared" ref="U64:Z64" si="139">SUM(U57:U63)</f>
        <v>0</v>
      </c>
      <c r="V64" s="171">
        <f t="shared" si="139"/>
        <v>0</v>
      </c>
      <c r="W64" s="171">
        <f t="shared" si="139"/>
        <v>0</v>
      </c>
      <c r="X64" s="171">
        <f t="shared" si="139"/>
        <v>0</v>
      </c>
      <c r="Y64" s="171">
        <f t="shared" si="139"/>
        <v>0</v>
      </c>
      <c r="Z64" s="171">
        <f t="shared" si="139"/>
        <v>0</v>
      </c>
      <c r="AA64" s="171">
        <f t="shared" ref="AA64" si="140">SUM(AA57:AA63)</f>
        <v>20044425.82196366</v>
      </c>
      <c r="AB64" s="171">
        <f t="shared" ref="AB64" si="141">SUM(AB57:AB63)</f>
        <v>0</v>
      </c>
      <c r="AC64" s="171">
        <f t="shared" ref="AC64" si="142">SUM(AC57:AC63)</f>
        <v>0</v>
      </c>
      <c r="AD64" s="171">
        <f t="shared" ref="AD64" si="143">SUM(AD57:AD63)</f>
        <v>0</v>
      </c>
      <c r="AE64" s="171">
        <f t="shared" ref="AE64" si="144">SUM(AE57:AE63)</f>
        <v>0</v>
      </c>
      <c r="AF64" s="171">
        <f t="shared" ref="AF64" si="145">SUM(AF57:AF63)</f>
        <v>0</v>
      </c>
      <c r="AG64" s="171">
        <f t="shared" ref="AG64" si="146">SUM(AG57:AG63)</f>
        <v>0</v>
      </c>
      <c r="AH64" s="171">
        <f t="shared" ref="AH64" si="147">SUM(AH57:AH63)</f>
        <v>0</v>
      </c>
      <c r="AI64" s="171">
        <f t="shared" ref="AI64" si="148">SUM(AI57:AI63)</f>
        <v>13399694.164268905</v>
      </c>
      <c r="AJ64" s="171">
        <f t="shared" ref="AJ64" si="149">SUM(AJ57:AJ63)</f>
        <v>0</v>
      </c>
      <c r="AK64" s="171">
        <f t="shared" ref="AK64" si="150">SUM(AK57:AK63)</f>
        <v>-2260168</v>
      </c>
      <c r="AL64" s="171">
        <f t="shared" ref="AL64" si="151">SUM(AL57:AL63)</f>
        <v>-78</v>
      </c>
      <c r="AM64" s="171">
        <f t="shared" ref="AM64" si="152">SUM(AM57:AM63)</f>
        <v>0</v>
      </c>
      <c r="AN64" s="171">
        <f t="shared" ref="AN64" si="153">SUM(AN57:AN63)</f>
        <v>0</v>
      </c>
      <c r="AO64" s="171">
        <f t="shared" ref="AO64" si="154">SUM(AO57:AO63)</f>
        <v>-42823752.28652598</v>
      </c>
      <c r="AP64" s="171">
        <f t="shared" ref="AP64" si="155">SUM(AP57:AP63)</f>
        <v>-522219</v>
      </c>
      <c r="AQ64" s="171">
        <f t="shared" ref="AQ64" si="156">SUM(AQ57:AQ63)</f>
        <v>-997745</v>
      </c>
      <c r="AR64" s="171">
        <f t="shared" ref="AR64:AS64" si="157">SUM(AR57:AR63)</f>
        <v>-6745048.9897508109</v>
      </c>
      <c r="AS64" s="171">
        <f t="shared" si="157"/>
        <v>764871</v>
      </c>
      <c r="AT64" s="171">
        <f t="shared" ref="AT64" si="158">SUM(AT57:AT63)</f>
        <v>1181553</v>
      </c>
      <c r="AU64" s="171">
        <f t="shared" ref="AU64" si="159">SUM(AU57:AU63)</f>
        <v>0</v>
      </c>
      <c r="AV64" s="171">
        <f t="shared" ref="AV64" si="160">SUM(AV57:AV63)</f>
        <v>-277124</v>
      </c>
      <c r="AW64" s="171">
        <f t="shared" ref="AW64:BC64" si="161">SUM(AW57:AW63)</f>
        <v>-3272583</v>
      </c>
      <c r="AX64" s="171">
        <f t="shared" si="161"/>
        <v>210870</v>
      </c>
      <c r="AY64" s="171">
        <f t="shared" si="161"/>
        <v>0</v>
      </c>
      <c r="AZ64" s="171">
        <f t="shared" si="161"/>
        <v>0</v>
      </c>
      <c r="BA64" s="171">
        <f t="shared" si="161"/>
        <v>1138530</v>
      </c>
      <c r="BB64" s="171">
        <f t="shared" ref="BB64" si="162">SUM(BB57:BB63)</f>
        <v>2236083.0013263607</v>
      </c>
      <c r="BC64" s="171">
        <f t="shared" si="161"/>
        <v>0</v>
      </c>
      <c r="BD64" s="171">
        <f>SUM(BD57:BD63)</f>
        <v>-978566656.28871799</v>
      </c>
    </row>
    <row r="65" spans="1:56" x14ac:dyDescent="0.25">
      <c r="A65" s="160">
        <v>56</v>
      </c>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row>
    <row r="66" spans="1:56" ht="16.5" thickBot="1" x14ac:dyDescent="0.3">
      <c r="A66" s="160">
        <v>57</v>
      </c>
      <c r="B66" s="160"/>
      <c r="C66" s="168" t="s">
        <v>97</v>
      </c>
      <c r="D66" s="160"/>
      <c r="E66" s="172">
        <f>E54+E64</f>
        <v>781321066</v>
      </c>
      <c r="F66" s="172">
        <f t="shared" ref="F66:Q66" si="163">F54+F64</f>
        <v>0</v>
      </c>
      <c r="G66" s="172">
        <f t="shared" si="163"/>
        <v>0</v>
      </c>
      <c r="H66" s="172">
        <f t="shared" si="163"/>
        <v>0</v>
      </c>
      <c r="I66" s="172">
        <f t="shared" si="163"/>
        <v>-1645</v>
      </c>
      <c r="J66" s="172">
        <f t="shared" si="163"/>
        <v>0</v>
      </c>
      <c r="K66" s="172">
        <f t="shared" si="163"/>
        <v>0</v>
      </c>
      <c r="L66" s="172">
        <f t="shared" si="163"/>
        <v>0</v>
      </c>
      <c r="M66" s="172">
        <f t="shared" si="163"/>
        <v>0</v>
      </c>
      <c r="N66" s="172">
        <f t="shared" si="163"/>
        <v>0</v>
      </c>
      <c r="O66" s="172">
        <f t="shared" si="163"/>
        <v>0</v>
      </c>
      <c r="P66" s="172">
        <f t="shared" si="163"/>
        <v>0</v>
      </c>
      <c r="Q66" s="172">
        <f t="shared" si="163"/>
        <v>0</v>
      </c>
      <c r="R66" s="172">
        <f t="shared" ref="R66:AM66" si="164">R54+R64</f>
        <v>0</v>
      </c>
      <c r="S66" s="172">
        <f t="shared" si="164"/>
        <v>0</v>
      </c>
      <c r="T66" s="172">
        <f t="shared" si="164"/>
        <v>0</v>
      </c>
      <c r="U66" s="172">
        <f t="shared" si="164"/>
        <v>0</v>
      </c>
      <c r="V66" s="172">
        <f t="shared" ref="V66:Z66" si="165">V54+V64</f>
        <v>0</v>
      </c>
      <c r="W66" s="172">
        <f t="shared" si="165"/>
        <v>0</v>
      </c>
      <c r="X66" s="172">
        <f t="shared" si="165"/>
        <v>0</v>
      </c>
      <c r="Y66" s="172">
        <f t="shared" si="165"/>
        <v>0</v>
      </c>
      <c r="Z66" s="172">
        <f t="shared" si="165"/>
        <v>0</v>
      </c>
      <c r="AA66" s="172">
        <f t="shared" si="164"/>
        <v>-8010771.2930482887</v>
      </c>
      <c r="AB66" s="172">
        <f t="shared" si="164"/>
        <v>0</v>
      </c>
      <c r="AC66" s="172">
        <f t="shared" si="164"/>
        <v>0</v>
      </c>
      <c r="AD66" s="172">
        <f t="shared" si="164"/>
        <v>0</v>
      </c>
      <c r="AE66" s="172">
        <f t="shared" si="164"/>
        <v>0</v>
      </c>
      <c r="AF66" s="172">
        <f t="shared" si="164"/>
        <v>0</v>
      </c>
      <c r="AG66" s="172">
        <f t="shared" si="164"/>
        <v>0</v>
      </c>
      <c r="AH66" s="172">
        <f t="shared" si="164"/>
        <v>0</v>
      </c>
      <c r="AI66" s="172">
        <f t="shared" si="164"/>
        <v>13399694.164268905</v>
      </c>
      <c r="AJ66" s="172">
        <f t="shared" si="164"/>
        <v>0</v>
      </c>
      <c r="AK66" s="172">
        <f t="shared" si="164"/>
        <v>-2260168</v>
      </c>
      <c r="AL66" s="172">
        <f t="shared" si="164"/>
        <v>-78</v>
      </c>
      <c r="AM66" s="172">
        <f t="shared" si="164"/>
        <v>0</v>
      </c>
      <c r="AN66" s="172">
        <f t="shared" ref="AN66:AW66" si="166">AN54+AN64</f>
        <v>0</v>
      </c>
      <c r="AO66" s="172">
        <f t="shared" si="166"/>
        <v>28996225.291949898</v>
      </c>
      <c r="AP66" s="172">
        <f t="shared" si="166"/>
        <v>-849177</v>
      </c>
      <c r="AQ66" s="172">
        <f t="shared" si="166"/>
        <v>-997745</v>
      </c>
      <c r="AR66" s="172">
        <f t="shared" si="166"/>
        <v>19558589.174143974</v>
      </c>
      <c r="AS66" s="172">
        <f t="shared" ref="AS66" si="167">AS54+AS64</f>
        <v>764871</v>
      </c>
      <c r="AT66" s="172">
        <f t="shared" si="166"/>
        <v>-23631672</v>
      </c>
      <c r="AU66" s="172">
        <f t="shared" si="166"/>
        <v>-342058</v>
      </c>
      <c r="AV66" s="172">
        <f t="shared" si="166"/>
        <v>-277124</v>
      </c>
      <c r="AW66" s="172">
        <f t="shared" si="166"/>
        <v>-3272583</v>
      </c>
      <c r="AX66" s="172">
        <f t="shared" ref="AX66:BC66" si="168">AX54+AX64</f>
        <v>210870</v>
      </c>
      <c r="AY66" s="172">
        <f t="shared" si="168"/>
        <v>23962204</v>
      </c>
      <c r="AZ66" s="172">
        <f t="shared" si="168"/>
        <v>0</v>
      </c>
      <c r="BA66" s="172">
        <f t="shared" si="168"/>
        <v>-1861470</v>
      </c>
      <c r="BB66" s="172">
        <f t="shared" ref="BB66" si="169">BB54+BB64</f>
        <v>3118613.7825411363</v>
      </c>
      <c r="BC66" s="172">
        <f t="shared" si="168"/>
        <v>0</v>
      </c>
      <c r="BD66" s="172">
        <f>BD54+BD64</f>
        <v>829827642.1198554</v>
      </c>
    </row>
    <row r="67" spans="1:56" ht="16.5" thickTop="1" x14ac:dyDescent="0.25">
      <c r="A67" s="160"/>
      <c r="B67" s="160"/>
      <c r="C67" s="160"/>
      <c r="D67" s="160"/>
      <c r="E67" s="160"/>
      <c r="F67" s="160"/>
      <c r="G67" s="169"/>
      <c r="H67" s="169"/>
      <c r="I67" s="169"/>
      <c r="J67" s="169"/>
      <c r="K67" s="169"/>
      <c r="L67" s="160"/>
      <c r="M67" s="160"/>
      <c r="N67" s="160"/>
      <c r="O67" s="160"/>
      <c r="P67" s="160"/>
    </row>
    <row r="68" spans="1:56" x14ac:dyDescent="0.25">
      <c r="C68" s="34"/>
      <c r="F68" s="34"/>
      <c r="G68" s="34"/>
      <c r="H68" s="34"/>
      <c r="I68" s="34"/>
      <c r="J68" s="34"/>
      <c r="K68" s="34"/>
    </row>
    <row r="69" spans="1:56" x14ac:dyDescent="0.25">
      <c r="C69" s="34"/>
    </row>
    <row r="70" spans="1:56" x14ac:dyDescent="0.25">
      <c r="C70" s="173"/>
    </row>
    <row r="71" spans="1:56" x14ac:dyDescent="0.25">
      <c r="C71" s="173"/>
    </row>
  </sheetData>
  <pageMargins left="0.7" right="0.7" top="0.75" bottom="0.75" header="0.3" footer="0.3"/>
  <pageSetup scale="55" fitToWidth="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O3" sqref="O3"/>
    </sheetView>
  </sheetViews>
  <sheetFormatPr defaultRowHeight="15.75" x14ac:dyDescent="0.25"/>
  <cols>
    <col min="1" max="1" width="3.375" customWidth="1"/>
    <col min="2" max="2" width="1.625" customWidth="1"/>
    <col min="3" max="3" width="42.5" customWidth="1"/>
    <col min="4" max="4" width="1.5" customWidth="1"/>
    <col min="5" max="6" width="1.25" customWidth="1"/>
    <col min="7" max="7" width="7.375" customWidth="1"/>
    <col min="8" max="8" width="1.25" customWidth="1"/>
    <col min="9" max="9" width="12.5" customWidth="1"/>
    <col min="10" max="10" width="1.75" customWidth="1"/>
    <col min="11" max="11" width="9" customWidth="1"/>
    <col min="12" max="12" width="1.875" customWidth="1"/>
    <col min="13" max="13" width="7.25" customWidth="1"/>
    <col min="14" max="14" width="1.625" customWidth="1"/>
    <col min="15" max="15" width="11.125" customWidth="1"/>
  </cols>
  <sheetData>
    <row r="1" spans="1:15" x14ac:dyDescent="0.25">
      <c r="A1" s="487" t="s">
        <v>392</v>
      </c>
      <c r="M1" s="16"/>
      <c r="N1" s="16"/>
      <c r="O1" s="334" t="s">
        <v>275</v>
      </c>
    </row>
    <row r="2" spans="1:15" x14ac:dyDescent="0.25">
      <c r="A2" t="s">
        <v>124</v>
      </c>
      <c r="M2" s="16"/>
      <c r="N2" s="16"/>
      <c r="O2" s="334" t="s">
        <v>189</v>
      </c>
    </row>
    <row r="3" spans="1:15" x14ac:dyDescent="0.25">
      <c r="A3" t="s">
        <v>273</v>
      </c>
      <c r="M3" s="16"/>
      <c r="N3" s="16"/>
      <c r="O3" s="521" t="s">
        <v>748</v>
      </c>
    </row>
    <row r="4" spans="1:15" x14ac:dyDescent="0.25">
      <c r="M4" s="16"/>
      <c r="N4" s="16"/>
      <c r="O4" s="334" t="s">
        <v>721</v>
      </c>
    </row>
    <row r="5" spans="1:15" x14ac:dyDescent="0.25">
      <c r="A5" t="s">
        <v>662</v>
      </c>
      <c r="M5" s="16"/>
      <c r="N5" s="16"/>
      <c r="O5" s="16"/>
    </row>
    <row r="6" spans="1:15" x14ac:dyDescent="0.25">
      <c r="A6" s="157" t="s">
        <v>666</v>
      </c>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129</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108</v>
      </c>
      <c r="G13" s="36" t="s">
        <v>73</v>
      </c>
      <c r="I13" s="27">
        <f>I24</f>
        <v>-10457509.901496982</v>
      </c>
      <c r="K13" s="1" t="s">
        <v>74</v>
      </c>
      <c r="L13" s="1"/>
      <c r="M13" s="1" t="s">
        <v>74</v>
      </c>
      <c r="O13" s="32">
        <f>'PC1p4-Emp.Red.'!F85</f>
        <v>-655672.99363625085</v>
      </c>
    </row>
    <row r="18" spans="1:15" x14ac:dyDescent="0.25">
      <c r="I18" s="32"/>
    </row>
    <row r="19" spans="1:15" x14ac:dyDescent="0.25">
      <c r="C19" s="3" t="s">
        <v>76</v>
      </c>
      <c r="I19" s="32"/>
    </row>
    <row r="20" spans="1:15" x14ac:dyDescent="0.25">
      <c r="A20" t="s">
        <v>77</v>
      </c>
      <c r="C20" s="4" t="s">
        <v>153</v>
      </c>
      <c r="D20" s="4"/>
      <c r="E20" s="4"/>
      <c r="F20" s="4"/>
      <c r="G20" s="4"/>
      <c r="H20" s="4"/>
      <c r="I20" s="34">
        <f>'PC1p3-Emp.Red.'!F20</f>
        <v>676492294</v>
      </c>
      <c r="J20" s="4"/>
      <c r="K20" s="4" t="s">
        <v>664</v>
      </c>
    </row>
    <row r="21" spans="1:15" x14ac:dyDescent="0.25">
      <c r="A21" t="s">
        <v>78</v>
      </c>
      <c r="C21" s="13" t="s">
        <v>121</v>
      </c>
      <c r="I21" s="53">
        <f>'PC1p2-Emp.Red.'!E35</f>
        <v>-2.2700000000000001E-2</v>
      </c>
      <c r="K21" s="4" t="s">
        <v>663</v>
      </c>
    </row>
    <row r="22" spans="1:15" x14ac:dyDescent="0.25">
      <c r="A22" t="s">
        <v>79</v>
      </c>
      <c r="C22" s="18" t="s">
        <v>122</v>
      </c>
      <c r="I22" s="32">
        <f>ROUND(I20*I21,0)</f>
        <v>-15356375</v>
      </c>
      <c r="K22" s="4"/>
    </row>
    <row r="23" spans="1:15" x14ac:dyDescent="0.25">
      <c r="A23" s="4" t="s">
        <v>80</v>
      </c>
      <c r="B23" s="4"/>
      <c r="C23" s="18" t="s">
        <v>107</v>
      </c>
      <c r="D23" s="4"/>
      <c r="E23" s="4"/>
      <c r="F23" s="4"/>
      <c r="G23" s="4"/>
      <c r="H23" s="4"/>
      <c r="I23" s="53">
        <f>'PC1p4-Emp.Red.'!C85</f>
        <v>0.68098818252986026</v>
      </c>
      <c r="K23" s="4" t="s">
        <v>665</v>
      </c>
    </row>
    <row r="24" spans="1:15" x14ac:dyDescent="0.25">
      <c r="A24" s="18" t="s">
        <v>81</v>
      </c>
      <c r="B24" s="4"/>
      <c r="C24" s="18" t="s">
        <v>108</v>
      </c>
      <c r="D24" s="4"/>
      <c r="E24" s="4"/>
      <c r="F24" s="4"/>
      <c r="G24" s="4"/>
      <c r="H24" s="4"/>
      <c r="I24" s="54">
        <f>I22*I23</f>
        <v>-10457509.901496982</v>
      </c>
      <c r="J24" s="4"/>
      <c r="K24" s="4"/>
    </row>
    <row r="25" spans="1:15" x14ac:dyDescent="0.25">
      <c r="A25" s="4"/>
      <c r="B25" s="4"/>
      <c r="C25" s="18"/>
      <c r="D25" s="4"/>
      <c r="E25" s="4"/>
      <c r="F25" s="4"/>
      <c r="G25" s="4"/>
      <c r="H25" s="4"/>
      <c r="J25" s="4"/>
      <c r="K25" s="34"/>
      <c r="L25" s="4"/>
      <c r="M25" s="4"/>
    </row>
    <row r="26" spans="1:15" x14ac:dyDescent="0.25">
      <c r="A26" s="4"/>
      <c r="B26" s="4"/>
      <c r="L26" s="4"/>
      <c r="M26" s="4"/>
    </row>
    <row r="27" spans="1:15" x14ac:dyDescent="0.25">
      <c r="A27" s="4"/>
      <c r="B27" s="4"/>
      <c r="L27" s="4"/>
      <c r="M27" s="4"/>
    </row>
    <row r="28" spans="1:15" x14ac:dyDescent="0.25">
      <c r="A28" s="4"/>
      <c r="B28" s="4"/>
      <c r="C28" s="18"/>
      <c r="D28" s="4"/>
      <c r="E28" s="4"/>
      <c r="F28" s="4"/>
      <c r="G28" s="4"/>
      <c r="H28" s="4"/>
      <c r="I28" s="34"/>
      <c r="J28" s="4"/>
      <c r="K28" s="4"/>
      <c r="L28" s="4"/>
      <c r="M28" s="4"/>
    </row>
    <row r="29" spans="1:15" x14ac:dyDescent="0.25">
      <c r="C29" s="4"/>
      <c r="D29" s="4"/>
      <c r="E29" s="4"/>
      <c r="F29" s="4"/>
      <c r="G29" s="4"/>
      <c r="H29" s="4"/>
      <c r="I29" s="4"/>
      <c r="J29" s="4"/>
      <c r="K29" s="4"/>
      <c r="L29" s="4"/>
      <c r="M29" s="4"/>
    </row>
    <row r="31" spans="1:15" x14ac:dyDescent="0.25">
      <c r="C31" t="s">
        <v>75</v>
      </c>
    </row>
    <row r="32" spans="1:15" ht="15.75" customHeight="1" x14ac:dyDescent="0.25">
      <c r="C32" s="436" t="s">
        <v>247</v>
      </c>
      <c r="D32" s="437"/>
      <c r="E32" s="437"/>
      <c r="F32" s="437"/>
      <c r="G32" s="437"/>
      <c r="H32" s="437"/>
      <c r="I32" s="437"/>
      <c r="J32" s="437"/>
      <c r="K32" s="437"/>
      <c r="L32" s="437"/>
      <c r="M32" s="437"/>
      <c r="N32" s="437"/>
      <c r="O32" s="438"/>
    </row>
    <row r="33" spans="3:15" ht="15.75" customHeight="1" x14ac:dyDescent="0.25">
      <c r="C33" s="439"/>
      <c r="D33" s="440"/>
      <c r="E33" s="440"/>
      <c r="F33" s="440"/>
      <c r="G33" s="440"/>
      <c r="H33" s="440"/>
      <c r="I33" s="440"/>
      <c r="J33" s="440"/>
      <c r="K33" s="440"/>
      <c r="L33" s="440"/>
      <c r="M33" s="440"/>
      <c r="N33" s="440"/>
      <c r="O33" s="441"/>
    </row>
    <row r="34" spans="3:15" x14ac:dyDescent="0.25">
      <c r="C34" s="439"/>
      <c r="D34" s="440"/>
      <c r="E34" s="440"/>
      <c r="F34" s="440"/>
      <c r="G34" s="440"/>
      <c r="H34" s="440"/>
      <c r="I34" s="440"/>
      <c r="J34" s="440"/>
      <c r="K34" s="440"/>
      <c r="L34" s="440"/>
      <c r="M34" s="440"/>
      <c r="N34" s="440"/>
      <c r="O34" s="441"/>
    </row>
    <row r="35" spans="3:15" x14ac:dyDescent="0.25">
      <c r="C35" s="442"/>
      <c r="D35" s="443"/>
      <c r="E35" s="443"/>
      <c r="F35" s="443"/>
      <c r="G35" s="443"/>
      <c r="H35" s="443"/>
      <c r="I35" s="443"/>
      <c r="J35" s="443"/>
      <c r="K35" s="443"/>
      <c r="L35" s="443"/>
      <c r="M35" s="443"/>
      <c r="N35" s="443"/>
      <c r="O35" s="444"/>
    </row>
  </sheetData>
  <mergeCells count="1">
    <mergeCell ref="C32:O35"/>
  </mergeCells>
  <phoneticPr fontId="8" type="noConversion"/>
  <pageMargins left="0.75" right="0.75" top="1" bottom="1" header="0.5" footer="0.5"/>
  <pageSetup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election activeCell="H3" sqref="H3"/>
    </sheetView>
  </sheetViews>
  <sheetFormatPr defaultRowHeight="15.75" x14ac:dyDescent="0.25"/>
  <cols>
    <col min="1" max="1" width="4.375" customWidth="1"/>
    <col min="2" max="2" width="1.125" customWidth="1"/>
    <col min="3" max="3" width="30.375" customWidth="1"/>
    <col min="4" max="4" width="10.125" customWidth="1"/>
    <col min="5" max="5" width="9.75" bestFit="1" customWidth="1"/>
    <col min="6" max="6" width="1.625" customWidth="1"/>
  </cols>
  <sheetData>
    <row r="1" spans="1:8" x14ac:dyDescent="0.25">
      <c r="A1" s="487" t="s">
        <v>392</v>
      </c>
      <c r="H1" s="334" t="s">
        <v>275</v>
      </c>
    </row>
    <row r="2" spans="1:8" x14ac:dyDescent="0.25">
      <c r="A2" t="s">
        <v>124</v>
      </c>
      <c r="H2" s="334" t="s">
        <v>189</v>
      </c>
    </row>
    <row r="3" spans="1:8" x14ac:dyDescent="0.25">
      <c r="A3" t="s">
        <v>273</v>
      </c>
      <c r="H3" s="521" t="s">
        <v>748</v>
      </c>
    </row>
    <row r="4" spans="1:8" x14ac:dyDescent="0.25">
      <c r="H4" s="334" t="s">
        <v>722</v>
      </c>
    </row>
    <row r="5" spans="1:8" x14ac:dyDescent="0.25">
      <c r="A5" t="s">
        <v>662</v>
      </c>
    </row>
    <row r="6" spans="1:8" x14ac:dyDescent="0.25">
      <c r="A6" s="157" t="s">
        <v>667</v>
      </c>
    </row>
    <row r="7" spans="1:8" x14ac:dyDescent="0.25">
      <c r="A7" s="157"/>
    </row>
    <row r="8" spans="1:8" x14ac:dyDescent="0.25">
      <c r="A8" t="s">
        <v>117</v>
      </c>
    </row>
    <row r="9" spans="1:8" x14ac:dyDescent="0.25">
      <c r="E9" t="s">
        <v>118</v>
      </c>
      <c r="G9" s="1" t="s">
        <v>123</v>
      </c>
    </row>
    <row r="10" spans="1:8" x14ac:dyDescent="0.25">
      <c r="A10" s="2" t="s">
        <v>0</v>
      </c>
      <c r="C10" s="61" t="s">
        <v>110</v>
      </c>
      <c r="E10" s="2" t="s">
        <v>119</v>
      </c>
      <c r="G10" s="10" t="s">
        <v>114</v>
      </c>
    </row>
    <row r="11" spans="1:8" x14ac:dyDescent="0.25">
      <c r="A11">
        <v>1</v>
      </c>
      <c r="C11" s="38">
        <v>41821</v>
      </c>
      <c r="E11" s="59">
        <v>5280</v>
      </c>
      <c r="G11" s="62"/>
    </row>
    <row r="12" spans="1:8" x14ac:dyDescent="0.25">
      <c r="A12">
        <v>2</v>
      </c>
      <c r="C12" s="38">
        <v>41852</v>
      </c>
      <c r="E12" s="59">
        <v>5274.5</v>
      </c>
      <c r="G12" s="62">
        <f t="shared" ref="G12:G18" si="0">E12-E11</f>
        <v>-5.5</v>
      </c>
    </row>
    <row r="13" spans="1:8" x14ac:dyDescent="0.25">
      <c r="A13">
        <v>3</v>
      </c>
      <c r="C13" s="38">
        <v>41883</v>
      </c>
      <c r="E13" s="59">
        <v>5261</v>
      </c>
      <c r="G13" s="62">
        <f t="shared" si="0"/>
        <v>-13.5</v>
      </c>
    </row>
    <row r="14" spans="1:8" x14ac:dyDescent="0.25">
      <c r="A14">
        <v>4</v>
      </c>
      <c r="C14" s="38">
        <v>41913</v>
      </c>
      <c r="E14" s="59">
        <v>5235.5</v>
      </c>
      <c r="G14" s="62">
        <f t="shared" si="0"/>
        <v>-25.5</v>
      </c>
    </row>
    <row r="15" spans="1:8" x14ac:dyDescent="0.25">
      <c r="A15">
        <v>5</v>
      </c>
      <c r="C15" s="38">
        <v>41944</v>
      </c>
      <c r="E15" s="59">
        <v>5243</v>
      </c>
      <c r="G15" s="62">
        <f t="shared" si="0"/>
        <v>7.5</v>
      </c>
    </row>
    <row r="16" spans="1:8" x14ac:dyDescent="0.25">
      <c r="A16">
        <v>6</v>
      </c>
      <c r="C16" s="38">
        <v>41974</v>
      </c>
      <c r="E16" s="59">
        <v>5256</v>
      </c>
      <c r="G16" s="62">
        <f t="shared" si="0"/>
        <v>13</v>
      </c>
    </row>
    <row r="17" spans="1:7" x14ac:dyDescent="0.25">
      <c r="A17">
        <v>7</v>
      </c>
      <c r="C17" s="38">
        <v>42005</v>
      </c>
      <c r="E17" s="59">
        <v>5239.5</v>
      </c>
      <c r="G17" s="62">
        <f t="shared" si="0"/>
        <v>-16.5</v>
      </c>
    </row>
    <row r="18" spans="1:7" x14ac:dyDescent="0.25">
      <c r="A18">
        <v>8</v>
      </c>
      <c r="C18" s="38">
        <v>42036</v>
      </c>
      <c r="E18" s="59">
        <v>5237</v>
      </c>
      <c r="G18" s="62">
        <f t="shared" si="0"/>
        <v>-2.5</v>
      </c>
    </row>
    <row r="19" spans="1:7" x14ac:dyDescent="0.25">
      <c r="A19">
        <v>9</v>
      </c>
      <c r="C19" s="38">
        <v>42064</v>
      </c>
      <c r="E19" s="59">
        <v>5241</v>
      </c>
      <c r="G19" s="62">
        <f t="shared" ref="G19:G28" si="1">E19-E18</f>
        <v>4</v>
      </c>
    </row>
    <row r="20" spans="1:7" x14ac:dyDescent="0.25">
      <c r="A20">
        <v>10</v>
      </c>
      <c r="C20" s="38">
        <v>42095</v>
      </c>
      <c r="E20" s="59">
        <v>5230</v>
      </c>
      <c r="G20" s="62">
        <f t="shared" si="1"/>
        <v>-11</v>
      </c>
    </row>
    <row r="21" spans="1:7" x14ac:dyDescent="0.25">
      <c r="A21">
        <v>11</v>
      </c>
      <c r="C21" s="38">
        <v>42125</v>
      </c>
      <c r="E21" s="60">
        <v>5232.5</v>
      </c>
      <c r="G21" s="62">
        <f t="shared" si="1"/>
        <v>2.5</v>
      </c>
    </row>
    <row r="22" spans="1:7" x14ac:dyDescent="0.25">
      <c r="A22">
        <v>12</v>
      </c>
      <c r="C22" s="38">
        <v>42156</v>
      </c>
      <c r="E22" s="59">
        <v>5231.5</v>
      </c>
      <c r="G22" s="62">
        <f t="shared" si="1"/>
        <v>-1</v>
      </c>
    </row>
    <row r="23" spans="1:7" x14ac:dyDescent="0.25">
      <c r="A23">
        <v>13</v>
      </c>
      <c r="C23" s="38">
        <v>42186</v>
      </c>
      <c r="E23" s="59">
        <v>5212.5</v>
      </c>
      <c r="G23" s="62">
        <f t="shared" si="1"/>
        <v>-19</v>
      </c>
    </row>
    <row r="24" spans="1:7" x14ac:dyDescent="0.25">
      <c r="A24">
        <v>14</v>
      </c>
      <c r="C24" s="38">
        <v>42217</v>
      </c>
      <c r="E24" s="59">
        <v>5216</v>
      </c>
      <c r="G24" s="62">
        <f t="shared" si="1"/>
        <v>3.5</v>
      </c>
    </row>
    <row r="25" spans="1:7" x14ac:dyDescent="0.25">
      <c r="A25">
        <v>15</v>
      </c>
      <c r="C25" s="38">
        <v>42248</v>
      </c>
      <c r="E25" s="59">
        <v>5190</v>
      </c>
      <c r="G25" s="62">
        <f t="shared" si="1"/>
        <v>-26</v>
      </c>
    </row>
    <row r="26" spans="1:7" x14ac:dyDescent="0.25">
      <c r="A26">
        <v>16</v>
      </c>
      <c r="C26" s="38">
        <v>42278</v>
      </c>
      <c r="E26" s="59">
        <v>5174.5</v>
      </c>
      <c r="G26" s="62">
        <f t="shared" si="1"/>
        <v>-15.5</v>
      </c>
    </row>
    <row r="27" spans="1:7" x14ac:dyDescent="0.25">
      <c r="A27">
        <v>17</v>
      </c>
      <c r="C27" s="38">
        <v>42309</v>
      </c>
      <c r="E27" s="59">
        <v>5163</v>
      </c>
      <c r="G27" s="62">
        <f t="shared" si="1"/>
        <v>-11.5</v>
      </c>
    </row>
    <row r="28" spans="1:7" x14ac:dyDescent="0.25">
      <c r="A28">
        <v>18</v>
      </c>
      <c r="C28" s="38">
        <v>42339</v>
      </c>
      <c r="E28" s="59">
        <v>5128</v>
      </c>
      <c r="G28" s="62">
        <f t="shared" si="1"/>
        <v>-35</v>
      </c>
    </row>
    <row r="30" spans="1:7" x14ac:dyDescent="0.25">
      <c r="A30">
        <v>19</v>
      </c>
      <c r="C30" t="s">
        <v>186</v>
      </c>
      <c r="E30" s="62">
        <f>ROUND(AVERAGE(E11:E22),0)</f>
        <v>5247</v>
      </c>
      <c r="G30" t="s">
        <v>128</v>
      </c>
    </row>
    <row r="31" spans="1:7" x14ac:dyDescent="0.25">
      <c r="A31">
        <v>20</v>
      </c>
      <c r="C31" t="s">
        <v>241</v>
      </c>
      <c r="E31" s="63">
        <f>E28</f>
        <v>5128</v>
      </c>
      <c r="G31" t="s">
        <v>154</v>
      </c>
    </row>
    <row r="32" spans="1:7" ht="16.5" thickBot="1" x14ac:dyDescent="0.3">
      <c r="A32">
        <v>21</v>
      </c>
      <c r="C32" t="s">
        <v>187</v>
      </c>
      <c r="E32" s="64">
        <f>E31-E30</f>
        <v>-119</v>
      </c>
      <c r="G32" t="s">
        <v>155</v>
      </c>
    </row>
    <row r="33" spans="1:7" ht="16.5" thickTop="1" x14ac:dyDescent="0.25"/>
    <row r="34" spans="1:7" x14ac:dyDescent="0.25">
      <c r="A34">
        <v>2</v>
      </c>
      <c r="C34" t="s">
        <v>188</v>
      </c>
    </row>
    <row r="35" spans="1:7" ht="16.5" thickBot="1" x14ac:dyDescent="0.3">
      <c r="C35" t="s">
        <v>120</v>
      </c>
      <c r="E35" s="65">
        <f>ROUND(E32/E30,4)</f>
        <v>-2.2700000000000001E-2</v>
      </c>
      <c r="G35" t="s">
        <v>156</v>
      </c>
    </row>
    <row r="36" spans="1:7" ht="16.5" thickTop="1" x14ac:dyDescent="0.25"/>
    <row r="37" spans="1:7" ht="16.5" thickBot="1" x14ac:dyDescent="0.3">
      <c r="A37">
        <v>23</v>
      </c>
      <c r="C37" t="s">
        <v>242</v>
      </c>
      <c r="E37" s="66">
        <f>E28-E11</f>
        <v>-152</v>
      </c>
      <c r="G37" t="s">
        <v>157</v>
      </c>
    </row>
    <row r="38" spans="1:7" ht="16.5" thickTop="1" x14ac:dyDescent="0.25"/>
    <row r="39" spans="1:7" x14ac:dyDescent="0.25">
      <c r="C39" s="3" t="s">
        <v>12</v>
      </c>
    </row>
    <row r="40" spans="1:7" x14ac:dyDescent="0.25">
      <c r="C40" t="s">
        <v>289</v>
      </c>
    </row>
    <row r="41" spans="1:7" x14ac:dyDescent="0.25">
      <c r="C41" t="s">
        <v>290</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F3" sqref="F3"/>
    </sheetView>
  </sheetViews>
  <sheetFormatPr defaultRowHeight="15.75" x14ac:dyDescent="0.25"/>
  <cols>
    <col min="1" max="1" width="4" customWidth="1"/>
    <col min="2" max="2" width="1.125" customWidth="1"/>
    <col min="3" max="3" width="49.5" customWidth="1"/>
    <col min="5" max="5" width="3.625" customWidth="1"/>
    <col min="6" max="6" width="14.25" customWidth="1"/>
    <col min="7" max="7" width="9.375" customWidth="1"/>
  </cols>
  <sheetData>
    <row r="1" spans="1:11" x14ac:dyDescent="0.25">
      <c r="A1" s="487" t="s">
        <v>392</v>
      </c>
      <c r="F1" s="334" t="s">
        <v>275</v>
      </c>
    </row>
    <row r="2" spans="1:11" x14ac:dyDescent="0.25">
      <c r="A2" t="s">
        <v>124</v>
      </c>
      <c r="F2" s="334" t="s">
        <v>189</v>
      </c>
    </row>
    <row r="3" spans="1:11" x14ac:dyDescent="0.25">
      <c r="A3" t="s">
        <v>273</v>
      </c>
      <c r="F3" s="521" t="s">
        <v>748</v>
      </c>
    </row>
    <row r="4" spans="1:11" x14ac:dyDescent="0.25">
      <c r="F4" s="334" t="s">
        <v>723</v>
      </c>
      <c r="K4" s="5"/>
    </row>
    <row r="5" spans="1:11" x14ac:dyDescent="0.25">
      <c r="A5" t="s">
        <v>662</v>
      </c>
    </row>
    <row r="6" spans="1:11" x14ac:dyDescent="0.25">
      <c r="A6" s="157" t="s">
        <v>668</v>
      </c>
    </row>
    <row r="9" spans="1:11" x14ac:dyDescent="0.25">
      <c r="A9" t="s">
        <v>115</v>
      </c>
    </row>
    <row r="11" spans="1:11" x14ac:dyDescent="0.25">
      <c r="A11" t="s">
        <v>0</v>
      </c>
    </row>
    <row r="12" spans="1:11" x14ac:dyDescent="0.25">
      <c r="A12" s="2" t="s">
        <v>3</v>
      </c>
      <c r="C12" s="2" t="s">
        <v>1</v>
      </c>
      <c r="F12" s="10" t="s">
        <v>2</v>
      </c>
    </row>
    <row r="14" spans="1:11" x14ac:dyDescent="0.25">
      <c r="A14">
        <v>1</v>
      </c>
      <c r="C14" s="18" t="s">
        <v>243</v>
      </c>
      <c r="F14" s="58">
        <v>486489592</v>
      </c>
    </row>
    <row r="15" spans="1:11" x14ac:dyDescent="0.25">
      <c r="A15">
        <v>2</v>
      </c>
      <c r="C15" s="18" t="s">
        <v>244</v>
      </c>
      <c r="F15" s="32">
        <v>32290295</v>
      </c>
    </row>
    <row r="16" spans="1:11" x14ac:dyDescent="0.25">
      <c r="A16">
        <v>3</v>
      </c>
      <c r="C16" s="18" t="s">
        <v>245</v>
      </c>
      <c r="F16" s="32">
        <v>40409903</v>
      </c>
    </row>
    <row r="17" spans="1:6" x14ac:dyDescent="0.25">
      <c r="A17">
        <v>4</v>
      </c>
      <c r="C17" t="s">
        <v>150</v>
      </c>
      <c r="F17" s="32">
        <v>58081129</v>
      </c>
    </row>
    <row r="18" spans="1:6" x14ac:dyDescent="0.25">
      <c r="A18">
        <v>5</v>
      </c>
      <c r="C18" t="s">
        <v>151</v>
      </c>
      <c r="F18" s="32">
        <v>32404711</v>
      </c>
    </row>
    <row r="19" spans="1:6" x14ac:dyDescent="0.25">
      <c r="A19">
        <v>6</v>
      </c>
      <c r="C19" t="s">
        <v>152</v>
      </c>
      <c r="F19" s="33">
        <v>26816664</v>
      </c>
    </row>
    <row r="20" spans="1:6" ht="16.5" thickBot="1" x14ac:dyDescent="0.3">
      <c r="A20">
        <v>7</v>
      </c>
      <c r="C20" t="s">
        <v>116</v>
      </c>
      <c r="F20" s="55">
        <f>SUM(F14:F19)</f>
        <v>676492294</v>
      </c>
    </row>
    <row r="21" spans="1:6" ht="16.5" thickTop="1" x14ac:dyDescent="0.25">
      <c r="F21" s="32"/>
    </row>
    <row r="22" spans="1:6" x14ac:dyDescent="0.25">
      <c r="F22" s="32"/>
    </row>
    <row r="23" spans="1:6" x14ac:dyDescent="0.25">
      <c r="F23" s="32"/>
    </row>
    <row r="24" spans="1:6" x14ac:dyDescent="0.25">
      <c r="C24" s="3" t="s">
        <v>12</v>
      </c>
      <c r="F24" s="32"/>
    </row>
    <row r="25" spans="1:6" x14ac:dyDescent="0.25">
      <c r="C25" t="s">
        <v>246</v>
      </c>
      <c r="F25" s="32"/>
    </row>
    <row r="26" spans="1:6" x14ac:dyDescent="0.25">
      <c r="F26" s="32"/>
    </row>
    <row r="27" spans="1:6" x14ac:dyDescent="0.25">
      <c r="F27" s="131"/>
    </row>
    <row r="28" spans="1:6" x14ac:dyDescent="0.25">
      <c r="F28" s="34"/>
    </row>
    <row r="29" spans="1:6" x14ac:dyDescent="0.25">
      <c r="F29" s="34"/>
    </row>
    <row r="30" spans="1:6" x14ac:dyDescent="0.25">
      <c r="F30" s="34"/>
    </row>
    <row r="31" spans="1:6" x14ac:dyDescent="0.25">
      <c r="F31" s="34"/>
    </row>
    <row r="32" spans="1:6" x14ac:dyDescent="0.25">
      <c r="F32" s="34"/>
    </row>
    <row r="33" spans="6:6" x14ac:dyDescent="0.25">
      <c r="F33" s="34"/>
    </row>
    <row r="34" spans="6:6" x14ac:dyDescent="0.25">
      <c r="F34" s="4"/>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7"/>
  <sheetViews>
    <sheetView workbookViewId="0">
      <selection activeCell="F3" sqref="F3"/>
    </sheetView>
  </sheetViews>
  <sheetFormatPr defaultRowHeight="15.75" x14ac:dyDescent="0.25"/>
  <cols>
    <col min="1" max="1" width="21.75" style="56" customWidth="1"/>
    <col min="2" max="2" width="15.5" style="56" customWidth="1"/>
    <col min="3" max="3" width="9.625" style="56" customWidth="1"/>
    <col min="4" max="4" width="12" style="56" customWidth="1"/>
    <col min="5" max="5" width="10.875" style="56" customWidth="1"/>
    <col min="6" max="6" width="12.125" style="56" customWidth="1"/>
    <col min="7" max="16384" width="9" style="56"/>
  </cols>
  <sheetData>
    <row r="1" spans="1:8" x14ac:dyDescent="0.25">
      <c r="A1" s="487" t="s">
        <v>392</v>
      </c>
      <c r="B1"/>
      <c r="C1"/>
      <c r="D1"/>
      <c r="E1"/>
      <c r="F1" s="334" t="s">
        <v>275</v>
      </c>
    </row>
    <row r="2" spans="1:8" x14ac:dyDescent="0.25">
      <c r="A2" t="s">
        <v>124</v>
      </c>
      <c r="B2"/>
      <c r="C2"/>
      <c r="D2"/>
      <c r="E2"/>
      <c r="F2" s="334" t="s">
        <v>189</v>
      </c>
    </row>
    <row r="3" spans="1:8" x14ac:dyDescent="0.25">
      <c r="A3" t="s">
        <v>273</v>
      </c>
      <c r="B3"/>
      <c r="C3"/>
      <c r="D3"/>
      <c r="E3"/>
      <c r="F3" s="521" t="s">
        <v>748</v>
      </c>
    </row>
    <row r="4" spans="1:8" x14ac:dyDescent="0.25">
      <c r="A4"/>
      <c r="B4"/>
      <c r="C4"/>
      <c r="D4"/>
      <c r="E4"/>
      <c r="F4" s="334" t="s">
        <v>724</v>
      </c>
    </row>
    <row r="5" spans="1:8" x14ac:dyDescent="0.25">
      <c r="A5" t="s">
        <v>662</v>
      </c>
      <c r="B5"/>
      <c r="C5"/>
      <c r="D5"/>
      <c r="E5"/>
      <c r="F5" s="334"/>
    </row>
    <row r="6" spans="1:8" ht="15.75" customHeight="1" x14ac:dyDescent="0.25">
      <c r="A6" s="157" t="s">
        <v>679</v>
      </c>
      <c r="B6"/>
      <c r="C6"/>
      <c r="D6"/>
      <c r="E6"/>
      <c r="F6"/>
    </row>
    <row r="7" spans="1:8" x14ac:dyDescent="0.25">
      <c r="A7" s="91"/>
      <c r="B7" s="92" t="s">
        <v>61</v>
      </c>
      <c r="C7" s="93"/>
      <c r="D7" s="22" t="s">
        <v>146</v>
      </c>
      <c r="E7" s="22" t="s">
        <v>8</v>
      </c>
      <c r="F7" s="22" t="s">
        <v>129</v>
      </c>
    </row>
    <row r="8" spans="1:8" x14ac:dyDescent="0.25">
      <c r="A8" s="94" t="s">
        <v>71</v>
      </c>
      <c r="B8" s="95" t="s">
        <v>274</v>
      </c>
      <c r="C8" s="96" t="s">
        <v>8</v>
      </c>
      <c r="D8" s="97" t="s">
        <v>72</v>
      </c>
      <c r="E8" s="97" t="s">
        <v>69</v>
      </c>
      <c r="F8" s="97" t="s">
        <v>2</v>
      </c>
    </row>
    <row r="9" spans="1:8" x14ac:dyDescent="0.25">
      <c r="A9" s="68" t="s">
        <v>131</v>
      </c>
      <c r="B9" s="100">
        <v>67884043.425930023</v>
      </c>
      <c r="C9" s="101">
        <f t="shared" ref="C9:C40" si="0">B9/$B$89</f>
        <v>9.7688313701874058E-2</v>
      </c>
      <c r="D9" s="98">
        <f t="shared" ref="D9:D40" si="1">C9*$D$89</f>
        <v>-1500138.3783236162</v>
      </c>
      <c r="E9" s="113">
        <v>0</v>
      </c>
      <c r="F9" s="98">
        <f>D9*E9</f>
        <v>0</v>
      </c>
      <c r="G9" s="70"/>
      <c r="H9" s="70"/>
    </row>
    <row r="10" spans="1:8" x14ac:dyDescent="0.25">
      <c r="A10" s="68" t="s">
        <v>132</v>
      </c>
      <c r="B10" s="100">
        <v>7473965.8163556829</v>
      </c>
      <c r="C10" s="101">
        <f t="shared" si="0"/>
        <v>1.075538639742178E-2</v>
      </c>
      <c r="D10" s="98">
        <f t="shared" si="1"/>
        <v>-165163.74678870788</v>
      </c>
      <c r="E10" s="113">
        <v>0.22437004168265501</v>
      </c>
      <c r="F10" s="98">
        <f t="shared" ref="F10:F73" si="2">D10*E10</f>
        <v>-37057.796751445865</v>
      </c>
      <c r="G10" s="70"/>
      <c r="H10" s="70"/>
    </row>
    <row r="11" spans="1:8" x14ac:dyDescent="0.25">
      <c r="A11" s="68" t="s">
        <v>63</v>
      </c>
      <c r="B11" s="100">
        <v>5688.354078993184</v>
      </c>
      <c r="C11" s="101">
        <f t="shared" si="0"/>
        <v>8.1858075870560602E-6</v>
      </c>
      <c r="D11" s="98">
        <f t="shared" si="1"/>
        <v>-125.70433098467801</v>
      </c>
      <c r="E11" s="113">
        <v>8.2285226967736394E-2</v>
      </c>
      <c r="F11" s="98">
        <f t="shared" si="2"/>
        <v>-10.343609405901688</v>
      </c>
      <c r="G11" s="70"/>
      <c r="H11" s="70"/>
    </row>
    <row r="12" spans="1:8" x14ac:dyDescent="0.25">
      <c r="A12" s="68" t="s">
        <v>133</v>
      </c>
      <c r="B12" s="102">
        <v>1840130.5347571312</v>
      </c>
      <c r="C12" s="101">
        <f t="shared" si="0"/>
        <v>2.6480339098818076E-3</v>
      </c>
      <c r="D12" s="98">
        <f t="shared" si="1"/>
        <v>-40664.201732861242</v>
      </c>
      <c r="E12" s="113">
        <v>0</v>
      </c>
      <c r="F12" s="98">
        <f t="shared" si="2"/>
        <v>0</v>
      </c>
      <c r="G12" s="70"/>
      <c r="H12" s="70"/>
    </row>
    <row r="13" spans="1:8" x14ac:dyDescent="0.25">
      <c r="A13" s="137" t="s">
        <v>134</v>
      </c>
      <c r="B13" s="100">
        <v>651466.40833665896</v>
      </c>
      <c r="C13" s="101">
        <f t="shared" si="0"/>
        <v>9.3749063332187381E-4</v>
      </c>
      <c r="D13" s="98">
        <f t="shared" si="1"/>
        <v>-14396.457724278191</v>
      </c>
      <c r="E13" s="113">
        <v>0.22730931045735822</v>
      </c>
      <c r="F13" s="98">
        <f t="shared" si="2"/>
        <v>-3272.448878334184</v>
      </c>
      <c r="G13" s="70"/>
      <c r="H13" s="70"/>
    </row>
    <row r="14" spans="1:8" x14ac:dyDescent="0.25">
      <c r="A14" s="68" t="s">
        <v>64</v>
      </c>
      <c r="B14" s="100">
        <v>325823.58490444999</v>
      </c>
      <c r="C14" s="101">
        <f t="shared" si="0"/>
        <v>4.6887537876768779E-4</v>
      </c>
      <c r="D14" s="98">
        <f t="shared" si="1"/>
        <v>-7200.2261446236516</v>
      </c>
      <c r="E14" s="113">
        <v>7.6800559158639092E-2</v>
      </c>
      <c r="F14" s="98">
        <f t="shared" si="2"/>
        <v>-552.98139397574857</v>
      </c>
      <c r="G14" s="70"/>
      <c r="H14" s="70"/>
    </row>
    <row r="15" spans="1:8" x14ac:dyDescent="0.25">
      <c r="A15" s="68" t="s">
        <v>196</v>
      </c>
      <c r="B15" s="100">
        <v>119826.97067672609</v>
      </c>
      <c r="C15" s="101">
        <f t="shared" si="0"/>
        <v>1.7243661559709033E-4</v>
      </c>
      <c r="D15" s="98">
        <f t="shared" si="1"/>
        <v>-2648.0013328397681</v>
      </c>
      <c r="E15" s="113">
        <v>0</v>
      </c>
      <c r="F15" s="98">
        <f t="shared" si="2"/>
        <v>0</v>
      </c>
      <c r="G15" s="70"/>
      <c r="H15" s="70"/>
    </row>
    <row r="16" spans="1:8" x14ac:dyDescent="0.25">
      <c r="A16" s="68" t="s">
        <v>135</v>
      </c>
      <c r="B16" s="100">
        <v>2139.63</v>
      </c>
      <c r="C16" s="101">
        <f t="shared" si="0"/>
        <v>3.0790276491706669E-6</v>
      </c>
      <c r="D16" s="98">
        <f t="shared" si="1"/>
        <v>-47.282703216033198</v>
      </c>
      <c r="E16" s="113">
        <v>0.22565052397253504</v>
      </c>
      <c r="F16" s="98">
        <f t="shared" si="2"/>
        <v>-10.669366755535759</v>
      </c>
      <c r="G16" s="70"/>
      <c r="H16" s="70"/>
    </row>
    <row r="17" spans="1:8" x14ac:dyDescent="0.25">
      <c r="A17" s="68" t="s">
        <v>197</v>
      </c>
      <c r="B17" s="100">
        <v>32126887.385325186</v>
      </c>
      <c r="C17" s="101">
        <f t="shared" si="0"/>
        <v>4.6232093652270982E-2</v>
      </c>
      <c r="D17" s="98">
        <f t="shared" si="1"/>
        <v>-709957.3671593928</v>
      </c>
      <c r="E17" s="113">
        <v>0</v>
      </c>
      <c r="F17" s="98">
        <f t="shared" si="2"/>
        <v>0</v>
      </c>
      <c r="G17" s="70"/>
      <c r="H17" s="70"/>
    </row>
    <row r="18" spans="1:8" x14ac:dyDescent="0.25">
      <c r="A18" s="68" t="s">
        <v>198</v>
      </c>
      <c r="B18" s="100">
        <v>18043997.810790766</v>
      </c>
      <c r="C18" s="101">
        <f t="shared" si="0"/>
        <v>2.5966156840668598E-2</v>
      </c>
      <c r="D18" s="98">
        <f t="shared" si="1"/>
        <v>-398746.04175412224</v>
      </c>
      <c r="E18" s="113">
        <v>0.22437004168265501</v>
      </c>
      <c r="F18" s="98">
        <f t="shared" si="2"/>
        <v>-89466.666009166103</v>
      </c>
      <c r="G18" s="70"/>
      <c r="H18" s="70"/>
    </row>
    <row r="19" spans="1:8" x14ac:dyDescent="0.25">
      <c r="A19" s="68" t="s">
        <v>199</v>
      </c>
      <c r="B19" s="100">
        <v>-82229.878538628589</v>
      </c>
      <c r="C19" s="101">
        <f t="shared" si="0"/>
        <v>-1.1833264144192363E-4</v>
      </c>
      <c r="D19" s="98">
        <f t="shared" si="1"/>
        <v>1817.1604167227199</v>
      </c>
      <c r="E19" s="113">
        <v>0.22565052397253504</v>
      </c>
      <c r="F19" s="98">
        <f t="shared" si="2"/>
        <v>410.04320017563185</v>
      </c>
      <c r="G19" s="70"/>
      <c r="H19" s="70"/>
    </row>
    <row r="20" spans="1:8" x14ac:dyDescent="0.25">
      <c r="A20" s="68" t="s">
        <v>136</v>
      </c>
      <c r="B20" s="100">
        <v>7468677.1259951256</v>
      </c>
      <c r="C20" s="101">
        <f t="shared" si="0"/>
        <v>1.0747775724619445E-2</v>
      </c>
      <c r="D20" s="98">
        <f t="shared" si="1"/>
        <v>-165046.87444315295</v>
      </c>
      <c r="E20" s="113">
        <v>0</v>
      </c>
      <c r="F20" s="98">
        <f t="shared" si="2"/>
        <v>0</v>
      </c>
      <c r="G20" s="70"/>
      <c r="H20" s="70"/>
    </row>
    <row r="21" spans="1:8" x14ac:dyDescent="0.25">
      <c r="A21" s="68" t="s">
        <v>137</v>
      </c>
      <c r="B21" s="100">
        <v>7865931.746117129</v>
      </c>
      <c r="C21" s="101">
        <f t="shared" si="0"/>
        <v>1.1319443704184341E-2</v>
      </c>
      <c r="D21" s="98">
        <f t="shared" si="1"/>
        <v>-173825.6223128438</v>
      </c>
      <c r="E21" s="113">
        <v>0.22565052397253504</v>
      </c>
      <c r="F21" s="98">
        <f t="shared" si="2"/>
        <v>-39223.842754745179</v>
      </c>
      <c r="G21" s="70"/>
      <c r="H21" s="70"/>
    </row>
    <row r="22" spans="1:8" x14ac:dyDescent="0.25">
      <c r="A22" s="68" t="s">
        <v>200</v>
      </c>
      <c r="B22" s="100">
        <v>990352.84525628691</v>
      </c>
      <c r="C22" s="101">
        <f t="shared" si="0"/>
        <v>1.4251640671419574E-3</v>
      </c>
      <c r="D22" s="98">
        <f t="shared" si="1"/>
        <v>-21885.353851557076</v>
      </c>
      <c r="E22" s="113">
        <v>0</v>
      </c>
      <c r="F22" s="98">
        <f t="shared" si="2"/>
        <v>0</v>
      </c>
      <c r="G22" s="70"/>
      <c r="H22" s="70"/>
    </row>
    <row r="23" spans="1:8" x14ac:dyDescent="0.25">
      <c r="A23" s="68" t="s">
        <v>201</v>
      </c>
      <c r="B23" s="100">
        <v>2788048.901278784</v>
      </c>
      <c r="C23" s="101">
        <f t="shared" si="0"/>
        <v>4.0121327772919971E-3</v>
      </c>
      <c r="D23" s="98">
        <f t="shared" si="1"/>
        <v>-61611.815477887394</v>
      </c>
      <c r="E23" s="113">
        <v>0.22565052397253504</v>
      </c>
      <c r="F23" s="98">
        <f t="shared" si="2"/>
        <v>-13902.738445484436</v>
      </c>
      <c r="G23" s="70"/>
      <c r="H23" s="70"/>
    </row>
    <row r="24" spans="1:8" x14ac:dyDescent="0.25">
      <c r="A24" s="68" t="s">
        <v>202</v>
      </c>
      <c r="B24" s="100">
        <v>54802.150907052463</v>
      </c>
      <c r="C24" s="101">
        <f t="shared" si="0"/>
        <v>7.8862858474052931E-5</v>
      </c>
      <c r="D24" s="98">
        <f t="shared" si="1"/>
        <v>-1211.0476282994846</v>
      </c>
      <c r="E24" s="113">
        <v>0</v>
      </c>
      <c r="F24" s="98">
        <f t="shared" si="2"/>
        <v>0</v>
      </c>
      <c r="G24" s="70"/>
      <c r="H24" s="70"/>
    </row>
    <row r="25" spans="1:8" x14ac:dyDescent="0.25">
      <c r="A25" s="68" t="s">
        <v>203</v>
      </c>
      <c r="B25" s="100">
        <v>17719.469690664984</v>
      </c>
      <c r="C25" s="101">
        <f t="shared" si="0"/>
        <v>2.5499145696311553E-5</v>
      </c>
      <c r="D25" s="98">
        <f t="shared" si="1"/>
        <v>-391.57444349219634</v>
      </c>
      <c r="E25" s="113">
        <v>0.22565052397253504</v>
      </c>
      <c r="F25" s="98">
        <f t="shared" si="2"/>
        <v>-88.358978348267925</v>
      </c>
      <c r="G25" s="70"/>
      <c r="H25" s="70"/>
    </row>
    <row r="26" spans="1:8" x14ac:dyDescent="0.25">
      <c r="A26" s="68" t="s">
        <v>204</v>
      </c>
      <c r="B26" s="100">
        <v>4986210.316771457</v>
      </c>
      <c r="C26" s="101">
        <f t="shared" si="0"/>
        <v>7.1753898711082497E-3</v>
      </c>
      <c r="D26" s="98">
        <f t="shared" si="1"/>
        <v>-110187.97763193995</v>
      </c>
      <c r="E26" s="113">
        <v>0</v>
      </c>
      <c r="F26" s="98">
        <f t="shared" si="2"/>
        <v>0</v>
      </c>
      <c r="G26" s="70"/>
      <c r="H26" s="70"/>
    </row>
    <row r="27" spans="1:8" x14ac:dyDescent="0.25">
      <c r="A27" s="68" t="s">
        <v>205</v>
      </c>
      <c r="B27" s="100">
        <v>1718632.846716661</v>
      </c>
      <c r="C27" s="101">
        <f t="shared" si="0"/>
        <v>2.4731930538520641E-3</v>
      </c>
      <c r="D27" s="98">
        <f t="shared" si="1"/>
        <v>-37979.279982347492</v>
      </c>
      <c r="E27" s="113">
        <v>0.22565052397253504</v>
      </c>
      <c r="F27" s="98">
        <f t="shared" si="2"/>
        <v>-8570.0444281163236</v>
      </c>
      <c r="G27" s="70"/>
      <c r="H27" s="70"/>
    </row>
    <row r="28" spans="1:8" x14ac:dyDescent="0.25">
      <c r="A28" s="68" t="s">
        <v>206</v>
      </c>
      <c r="B28" s="100">
        <v>505.11772648143074</v>
      </c>
      <c r="C28" s="101">
        <f t="shared" si="0"/>
        <v>7.2688803481094933E-7</v>
      </c>
      <c r="D28" s="98">
        <f t="shared" si="1"/>
        <v>-11.162365245569992</v>
      </c>
      <c r="E28" s="113">
        <v>0</v>
      </c>
      <c r="F28" s="98">
        <f t="shared" si="2"/>
        <v>0</v>
      </c>
      <c r="G28" s="70"/>
      <c r="H28" s="70"/>
    </row>
    <row r="29" spans="1:8" x14ac:dyDescent="0.25">
      <c r="A29" s="68" t="s">
        <v>207</v>
      </c>
      <c r="B29" s="100">
        <v>1872310.5679591252</v>
      </c>
      <c r="C29" s="101">
        <f t="shared" si="0"/>
        <v>2.6943424828501103E-3</v>
      </c>
      <c r="D29" s="98">
        <f t="shared" si="1"/>
        <v>-41375.333545077367</v>
      </c>
      <c r="E29" s="113">
        <v>8.2285226967736394E-2</v>
      </c>
      <c r="F29" s="98">
        <f t="shared" si="2"/>
        <v>-3404.5787116224883</v>
      </c>
      <c r="G29" s="70"/>
      <c r="H29" s="70"/>
    </row>
    <row r="30" spans="1:8" x14ac:dyDescent="0.25">
      <c r="A30" s="68" t="s">
        <v>208</v>
      </c>
      <c r="B30" s="100">
        <v>1978477.6022114239</v>
      </c>
      <c r="C30" s="101">
        <f t="shared" si="0"/>
        <v>2.8471218110018358E-3</v>
      </c>
      <c r="D30" s="98">
        <f t="shared" si="1"/>
        <v>-43721.470200423319</v>
      </c>
      <c r="E30" s="113">
        <v>0</v>
      </c>
      <c r="F30" s="98">
        <f t="shared" si="2"/>
        <v>0</v>
      </c>
      <c r="G30" s="70"/>
      <c r="H30" s="70"/>
    </row>
    <row r="31" spans="1:8" x14ac:dyDescent="0.25">
      <c r="A31" s="68" t="s">
        <v>209</v>
      </c>
      <c r="B31" s="100">
        <v>899293.5980669097</v>
      </c>
      <c r="C31" s="101">
        <f t="shared" si="0"/>
        <v>1.2941255512262343E-3</v>
      </c>
      <c r="D31" s="98">
        <f t="shared" si="1"/>
        <v>-19873.077261711762</v>
      </c>
      <c r="E31" s="113">
        <v>0.22565052397253504</v>
      </c>
      <c r="F31" s="98">
        <f t="shared" si="2"/>
        <v>-4484.3702970519307</v>
      </c>
      <c r="G31" s="70"/>
      <c r="H31" s="70"/>
    </row>
    <row r="32" spans="1:8" x14ac:dyDescent="0.25">
      <c r="A32" s="68" t="s">
        <v>65</v>
      </c>
      <c r="B32" s="100">
        <v>26766065.187209137</v>
      </c>
      <c r="C32" s="101">
        <f t="shared" si="0"/>
        <v>3.851761976179123E-2</v>
      </c>
      <c r="D32" s="98">
        <f t="shared" si="1"/>
        <v>-591491.01316947676</v>
      </c>
      <c r="E32" s="113">
        <v>8.2285226967736394E-2</v>
      </c>
      <c r="F32" s="98">
        <f t="shared" si="2"/>
        <v>-48670.972268026751</v>
      </c>
      <c r="G32" s="70"/>
      <c r="H32" s="70"/>
    </row>
    <row r="33" spans="1:8" x14ac:dyDescent="0.25">
      <c r="A33" s="68" t="s">
        <v>138</v>
      </c>
      <c r="B33" s="100">
        <v>9704036.161406856</v>
      </c>
      <c r="C33" s="101">
        <f t="shared" si="0"/>
        <v>1.3964561933382731E-2</v>
      </c>
      <c r="D33" s="98">
        <f t="shared" si="1"/>
        <v>-214445.04975975023</v>
      </c>
      <c r="E33" s="113">
        <v>0</v>
      </c>
      <c r="F33" s="98">
        <f t="shared" si="2"/>
        <v>0</v>
      </c>
      <c r="G33" s="70"/>
      <c r="H33" s="70"/>
    </row>
    <row r="34" spans="1:8" x14ac:dyDescent="0.25">
      <c r="A34" s="68" t="s">
        <v>139</v>
      </c>
      <c r="B34" s="100">
        <v>134529.60273698869</v>
      </c>
      <c r="C34" s="101">
        <f t="shared" si="0"/>
        <v>1.9359439083352448E-4</v>
      </c>
      <c r="D34" s="98">
        <f t="shared" si="1"/>
        <v>-2972.9080635361647</v>
      </c>
      <c r="E34" s="113">
        <v>0.22565052397253504</v>
      </c>
      <c r="F34" s="98">
        <f t="shared" si="2"/>
        <v>-670.83826225911002</v>
      </c>
      <c r="G34" s="70"/>
      <c r="H34" s="70"/>
    </row>
    <row r="35" spans="1:8" x14ac:dyDescent="0.25">
      <c r="A35" s="68" t="s">
        <v>140</v>
      </c>
      <c r="B35" s="100">
        <v>1640286.7030886197</v>
      </c>
      <c r="C35" s="101">
        <f t="shared" si="0"/>
        <v>2.3604492886045046E-3</v>
      </c>
      <c r="D35" s="98">
        <f t="shared" si="1"/>
        <v>-36247.944444294</v>
      </c>
      <c r="E35" s="113">
        <v>0.22437004168265501</v>
      </c>
      <c r="F35" s="98">
        <f t="shared" si="2"/>
        <v>-8132.9528058768083</v>
      </c>
      <c r="G35" s="70"/>
      <c r="H35" s="70"/>
    </row>
    <row r="36" spans="1:8" x14ac:dyDescent="0.25">
      <c r="A36" s="68" t="s">
        <v>141</v>
      </c>
      <c r="B36" s="100">
        <v>3902219.1207062858</v>
      </c>
      <c r="C36" s="101">
        <f t="shared" si="0"/>
        <v>5.6154758373069651E-3</v>
      </c>
      <c r="D36" s="98">
        <f t="shared" si="1"/>
        <v>-86233.352761124741</v>
      </c>
      <c r="E36" s="113">
        <v>0</v>
      </c>
      <c r="F36" s="98">
        <f t="shared" si="2"/>
        <v>0</v>
      </c>
      <c r="G36" s="70"/>
      <c r="H36" s="70"/>
    </row>
    <row r="37" spans="1:8" x14ac:dyDescent="0.25">
      <c r="A37" s="68" t="s">
        <v>142</v>
      </c>
      <c r="B37" s="100">
        <v>204315.4936260535</v>
      </c>
      <c r="C37" s="101">
        <f t="shared" si="0"/>
        <v>2.940195519919668E-4</v>
      </c>
      <c r="D37" s="98">
        <f t="shared" si="1"/>
        <v>-4515.0744977206396</v>
      </c>
      <c r="E37" s="113">
        <v>0.22565052397253504</v>
      </c>
      <c r="F37" s="98">
        <f t="shared" si="2"/>
        <v>-1018.8289261856928</v>
      </c>
      <c r="G37" s="70"/>
      <c r="H37" s="70"/>
    </row>
    <row r="38" spans="1:8" x14ac:dyDescent="0.25">
      <c r="A38" s="68" t="s">
        <v>66</v>
      </c>
      <c r="B38" s="100">
        <v>15257490.955798399</v>
      </c>
      <c r="C38" s="101">
        <f t="shared" si="0"/>
        <v>2.195624314011051E-2</v>
      </c>
      <c r="D38" s="98">
        <f t="shared" si="1"/>
        <v>-337168.30325071455</v>
      </c>
      <c r="E38" s="113">
        <v>8.2285226967736394E-2</v>
      </c>
      <c r="F38" s="98">
        <f t="shared" si="2"/>
        <v>-27743.970359311621</v>
      </c>
      <c r="G38" s="70"/>
      <c r="H38" s="70"/>
    </row>
    <row r="39" spans="1:8" x14ac:dyDescent="0.25">
      <c r="A39" s="68" t="s">
        <v>143</v>
      </c>
      <c r="B39" s="100">
        <v>23950.698454310346</v>
      </c>
      <c r="C39" s="101">
        <f t="shared" si="0"/>
        <v>3.4466175347032296E-5</v>
      </c>
      <c r="D39" s="98">
        <f t="shared" si="1"/>
        <v>-529.27551344478309</v>
      </c>
      <c r="E39" s="113">
        <v>0.22437004168265501</v>
      </c>
      <c r="F39" s="98">
        <f t="shared" si="2"/>
        <v>-118.75356901321462</v>
      </c>
      <c r="G39" s="70"/>
      <c r="H39" s="70"/>
    </row>
    <row r="40" spans="1:8" x14ac:dyDescent="0.25">
      <c r="A40" s="68" t="s">
        <v>210</v>
      </c>
      <c r="B40" s="100">
        <v>-2077143.3667929284</v>
      </c>
      <c r="C40" s="101">
        <f t="shared" si="0"/>
        <v>-2.9891064612324911E-3</v>
      </c>
      <c r="D40" s="98">
        <f t="shared" si="1"/>
        <v>45901.839733609093</v>
      </c>
      <c r="E40" s="113">
        <v>0</v>
      </c>
      <c r="F40" s="98">
        <f t="shared" si="2"/>
        <v>0</v>
      </c>
      <c r="G40" s="70"/>
      <c r="H40" s="70"/>
    </row>
    <row r="41" spans="1:8" x14ac:dyDescent="0.25">
      <c r="A41" s="68" t="s">
        <v>211</v>
      </c>
      <c r="B41" s="100">
        <v>50701.957012414874</v>
      </c>
      <c r="C41" s="101">
        <f t="shared" ref="C41:C72" si="3">B41/$B$89</f>
        <v>7.296248767697592E-5</v>
      </c>
      <c r="D41" s="98">
        <f t="shared" ref="D41:D72" si="4">C41*$D$89</f>
        <v>-1120.4393217005211</v>
      </c>
      <c r="E41" s="113">
        <v>0.22565052397253504</v>
      </c>
      <c r="F41" s="98">
        <f t="shared" si="2"/>
        <v>-252.82772002115433</v>
      </c>
      <c r="G41" s="70"/>
      <c r="H41" s="70"/>
    </row>
    <row r="42" spans="1:8" x14ac:dyDescent="0.25">
      <c r="A42" s="68" t="s">
        <v>212</v>
      </c>
      <c r="B42" s="100">
        <v>3602262.440574009</v>
      </c>
      <c r="C42" s="101">
        <f t="shared" si="3"/>
        <v>5.183824144406453E-3</v>
      </c>
      <c r="D42" s="98">
        <f t="shared" si="4"/>
        <v>-79604.747495559641</v>
      </c>
      <c r="E42" s="113">
        <v>8.2285226967736394E-2</v>
      </c>
      <c r="F42" s="98">
        <f t="shared" si="2"/>
        <v>-6550.2947153814703</v>
      </c>
      <c r="G42" s="70"/>
      <c r="H42" s="70"/>
    </row>
    <row r="43" spans="1:8" x14ac:dyDescent="0.25">
      <c r="A43" s="68" t="s">
        <v>213</v>
      </c>
      <c r="B43" s="100">
        <v>79030.443447199534</v>
      </c>
      <c r="C43" s="101">
        <f t="shared" si="3"/>
        <v>1.1372850469480523E-4</v>
      </c>
      <c r="D43" s="98">
        <f t="shared" si="4"/>
        <v>-1746.4575662826896</v>
      </c>
      <c r="E43" s="113">
        <v>0.22437004168265501</v>
      </c>
      <c r="F43" s="98">
        <f t="shared" si="2"/>
        <v>-391.85275694383529</v>
      </c>
      <c r="G43" s="70"/>
      <c r="H43" s="70"/>
    </row>
    <row r="44" spans="1:8" x14ac:dyDescent="0.25">
      <c r="A44" s="68" t="s">
        <v>99</v>
      </c>
      <c r="B44" s="100">
        <v>769363.03456823027</v>
      </c>
      <c r="C44" s="101">
        <f t="shared" si="3"/>
        <v>1.1071493929723497E-3</v>
      </c>
      <c r="D44" s="98">
        <f t="shared" si="4"/>
        <v>-17001.801259505766</v>
      </c>
      <c r="E44" s="113">
        <v>0</v>
      </c>
      <c r="F44" s="98">
        <f t="shared" si="2"/>
        <v>0</v>
      </c>
      <c r="G44" s="70"/>
      <c r="H44" s="70"/>
    </row>
    <row r="45" spans="1:8" x14ac:dyDescent="0.25">
      <c r="A45" s="68" t="s">
        <v>214</v>
      </c>
      <c r="B45" s="100">
        <v>1171533.2413468305</v>
      </c>
      <c r="C45" s="101">
        <f t="shared" si="3"/>
        <v>1.6858911316580078E-3</v>
      </c>
      <c r="D45" s="98">
        <f t="shared" si="4"/>
        <v>-25889.176426914739</v>
      </c>
      <c r="E45" s="113">
        <v>0</v>
      </c>
      <c r="F45" s="98">
        <f t="shared" si="2"/>
        <v>0</v>
      </c>
      <c r="G45" s="70"/>
      <c r="H45" s="70"/>
    </row>
    <row r="46" spans="1:8" x14ac:dyDescent="0.25">
      <c r="A46" s="68" t="s">
        <v>100</v>
      </c>
      <c r="B46" s="100">
        <v>7611604.7200949928</v>
      </c>
      <c r="C46" s="101">
        <f t="shared" si="3"/>
        <v>1.095345521783226E-2</v>
      </c>
      <c r="D46" s="98">
        <f t="shared" si="4"/>
        <v>-168205.36587073887</v>
      </c>
      <c r="E46" s="113">
        <v>0</v>
      </c>
      <c r="F46" s="98">
        <f t="shared" si="2"/>
        <v>0</v>
      </c>
      <c r="G46" s="70"/>
      <c r="H46" s="70"/>
    </row>
    <row r="47" spans="1:8" x14ac:dyDescent="0.25">
      <c r="A47" s="68" t="s">
        <v>67</v>
      </c>
      <c r="B47" s="100">
        <v>22783021.431030944</v>
      </c>
      <c r="C47" s="101">
        <f t="shared" si="3"/>
        <v>3.2785833493544268E-2</v>
      </c>
      <c r="D47" s="98">
        <f t="shared" si="4"/>
        <v>-503471.55381442589</v>
      </c>
      <c r="E47" s="113">
        <v>6.3308872574412173E-2</v>
      </c>
      <c r="F47" s="98">
        <f t="shared" si="2"/>
        <v>-31874.216445278791</v>
      </c>
      <c r="G47" s="70"/>
      <c r="H47" s="70"/>
    </row>
    <row r="48" spans="1:8" x14ac:dyDescent="0.25">
      <c r="A48" s="68" t="s">
        <v>111</v>
      </c>
      <c r="B48" s="100">
        <v>8978274.9582358953</v>
      </c>
      <c r="C48" s="101">
        <f t="shared" si="3"/>
        <v>1.2920157615225499E-2</v>
      </c>
      <c r="D48" s="98">
        <f t="shared" si="4"/>
        <v>-198406.78539850848</v>
      </c>
      <c r="E48" s="113">
        <v>0</v>
      </c>
      <c r="F48" s="98">
        <f t="shared" si="2"/>
        <v>0</v>
      </c>
      <c r="G48" s="70"/>
      <c r="H48" s="70"/>
    </row>
    <row r="49" spans="1:8" x14ac:dyDescent="0.25">
      <c r="A49" s="68" t="s">
        <v>101</v>
      </c>
      <c r="B49" s="100">
        <v>1595821.2432592155</v>
      </c>
      <c r="C49" s="101">
        <f t="shared" si="3"/>
        <v>2.2964614120801414E-3</v>
      </c>
      <c r="D49" s="98">
        <f t="shared" si="4"/>
        <v>-35265.322616932179</v>
      </c>
      <c r="E49" s="113">
        <v>1</v>
      </c>
      <c r="F49" s="98">
        <f t="shared" si="2"/>
        <v>-35265.322616932179</v>
      </c>
      <c r="G49" s="70"/>
      <c r="H49" s="70"/>
    </row>
    <row r="50" spans="1:8" x14ac:dyDescent="0.25">
      <c r="A50" s="68" t="s">
        <v>112</v>
      </c>
      <c r="B50" s="100">
        <v>2099728.7106250674</v>
      </c>
      <c r="C50" s="101">
        <f t="shared" si="3"/>
        <v>3.0216078274150466E-3</v>
      </c>
      <c r="D50" s="98">
        <f t="shared" si="4"/>
        <v>-46400.942900720736</v>
      </c>
      <c r="E50" s="113">
        <v>0</v>
      </c>
      <c r="F50" s="98">
        <f t="shared" si="2"/>
        <v>0</v>
      </c>
      <c r="G50" s="70"/>
      <c r="H50" s="70"/>
    </row>
    <row r="51" spans="1:8" x14ac:dyDescent="0.25">
      <c r="A51" s="68" t="s">
        <v>113</v>
      </c>
      <c r="B51" s="100">
        <v>210694.69676372391</v>
      </c>
      <c r="C51" s="101">
        <f t="shared" si="3"/>
        <v>3.0319952368827101E-4</v>
      </c>
      <c r="D51" s="98">
        <f t="shared" si="4"/>
        <v>-4656.045585578473</v>
      </c>
      <c r="E51" s="113">
        <v>0</v>
      </c>
      <c r="F51" s="98">
        <f t="shared" si="2"/>
        <v>0</v>
      </c>
      <c r="G51" s="70"/>
      <c r="H51" s="70"/>
    </row>
    <row r="52" spans="1:8" x14ac:dyDescent="0.25">
      <c r="A52" s="68" t="s">
        <v>215</v>
      </c>
      <c r="B52" s="100">
        <v>2388140.3720043534</v>
      </c>
      <c r="C52" s="101">
        <f t="shared" si="3"/>
        <v>3.4366456983226661E-3</v>
      </c>
      <c r="D52" s="98">
        <f t="shared" si="4"/>
        <v>-52774.420085579732</v>
      </c>
      <c r="E52" s="113">
        <v>0</v>
      </c>
      <c r="F52" s="98">
        <f t="shared" si="2"/>
        <v>0</v>
      </c>
      <c r="G52" s="70"/>
      <c r="H52" s="70"/>
    </row>
    <row r="53" spans="1:8" x14ac:dyDescent="0.25">
      <c r="A53" s="68" t="s">
        <v>216</v>
      </c>
      <c r="B53" s="100">
        <v>2338721.3480784995</v>
      </c>
      <c r="C53" s="101">
        <f t="shared" si="3"/>
        <v>3.3655294113652339E-3</v>
      </c>
      <c r="D53" s="98">
        <f t="shared" si="4"/>
        <v>-51682.331714453794</v>
      </c>
      <c r="E53" s="113">
        <v>0</v>
      </c>
      <c r="F53" s="98">
        <f t="shared" si="2"/>
        <v>0</v>
      </c>
      <c r="G53" s="70"/>
      <c r="H53" s="70"/>
    </row>
    <row r="54" spans="1:8" x14ac:dyDescent="0.25">
      <c r="A54" s="68" t="s">
        <v>217</v>
      </c>
      <c r="B54" s="100">
        <v>11729860.600978389</v>
      </c>
      <c r="C54" s="101">
        <f t="shared" si="3"/>
        <v>1.6879818057949327E-2</v>
      </c>
      <c r="D54" s="98">
        <f t="shared" si="4"/>
        <v>-259212.8160296416</v>
      </c>
      <c r="E54" s="113">
        <v>0</v>
      </c>
      <c r="F54" s="98">
        <f t="shared" si="2"/>
        <v>0</v>
      </c>
      <c r="G54" s="70"/>
      <c r="H54" s="70"/>
    </row>
    <row r="55" spans="1:8" x14ac:dyDescent="0.25">
      <c r="A55" s="68" t="s">
        <v>218</v>
      </c>
      <c r="B55" s="100">
        <v>8556255.8106250465</v>
      </c>
      <c r="C55" s="101">
        <f t="shared" si="3"/>
        <v>1.2312852322266792E-2</v>
      </c>
      <c r="D55" s="98">
        <f t="shared" si="4"/>
        <v>-189080.77758034971</v>
      </c>
      <c r="E55" s="113">
        <v>6.3308872574412173E-2</v>
      </c>
      <c r="F55" s="98">
        <f t="shared" si="2"/>
        <v>-11970.49085410513</v>
      </c>
      <c r="G55" s="70"/>
      <c r="H55" s="70"/>
    </row>
    <row r="56" spans="1:8" x14ac:dyDescent="0.25">
      <c r="A56" s="68" t="s">
        <v>219</v>
      </c>
      <c r="B56" s="100">
        <v>15203315.496409655</v>
      </c>
      <c r="C56" s="101">
        <f t="shared" si="3"/>
        <v>2.1878282120044206E-2</v>
      </c>
      <c r="D56" s="98">
        <f t="shared" si="4"/>
        <v>-335971.10459119384</v>
      </c>
      <c r="E56" s="113">
        <v>0</v>
      </c>
      <c r="F56" s="98">
        <f t="shared" si="2"/>
        <v>0</v>
      </c>
      <c r="G56" s="70"/>
      <c r="H56" s="70"/>
    </row>
    <row r="57" spans="1:8" x14ac:dyDescent="0.25">
      <c r="A57" s="68" t="s">
        <v>220</v>
      </c>
      <c r="B57" s="100">
        <v>1776047.9294476043</v>
      </c>
      <c r="C57" s="101">
        <f t="shared" si="3"/>
        <v>2.5558160434381119E-3</v>
      </c>
      <c r="D57" s="98">
        <f t="shared" si="4"/>
        <v>-39248.069594051936</v>
      </c>
      <c r="E57" s="113">
        <v>1</v>
      </c>
      <c r="F57" s="98">
        <f t="shared" si="2"/>
        <v>-39248.069594051936</v>
      </c>
      <c r="G57" s="70"/>
      <c r="H57" s="70"/>
    </row>
    <row r="58" spans="1:8" x14ac:dyDescent="0.25">
      <c r="A58" s="68" t="s">
        <v>221</v>
      </c>
      <c r="B58" s="100">
        <v>2589172.4950823546</v>
      </c>
      <c r="C58" s="101">
        <f t="shared" si="3"/>
        <v>3.7259403265194322E-3</v>
      </c>
      <c r="D58" s="98">
        <f t="shared" si="4"/>
        <v>-57216.936881654845</v>
      </c>
      <c r="E58" s="113">
        <v>0</v>
      </c>
      <c r="F58" s="98">
        <f t="shared" si="2"/>
        <v>0</v>
      </c>
      <c r="G58" s="70"/>
      <c r="H58" s="70"/>
    </row>
    <row r="59" spans="1:8" x14ac:dyDescent="0.25">
      <c r="A59" s="68" t="s">
        <v>222</v>
      </c>
      <c r="B59" s="100">
        <v>423247.94893862976</v>
      </c>
      <c r="C59" s="101">
        <f t="shared" si="3"/>
        <v>6.0907359554540532E-4</v>
      </c>
      <c r="D59" s="98">
        <f t="shared" si="4"/>
        <v>-9353.1625357935736</v>
      </c>
      <c r="E59" s="113">
        <v>0</v>
      </c>
      <c r="F59" s="98">
        <f t="shared" si="2"/>
        <v>0</v>
      </c>
      <c r="G59" s="70"/>
      <c r="H59" s="70"/>
    </row>
    <row r="60" spans="1:8" x14ac:dyDescent="0.25">
      <c r="A60" s="68" t="s">
        <v>223</v>
      </c>
      <c r="B60" s="100">
        <v>33641169.054122895</v>
      </c>
      <c r="C60" s="101">
        <f t="shared" si="3"/>
        <v>4.8411215802764501E-2</v>
      </c>
      <c r="D60" s="98">
        <f t="shared" si="4"/>
        <v>-743420.78407317773</v>
      </c>
      <c r="E60" s="113">
        <v>6.8836744172887168E-2</v>
      </c>
      <c r="F60" s="98">
        <f t="shared" si="2"/>
        <v>-51174.666326052524</v>
      </c>
      <c r="G60" s="70"/>
      <c r="H60" s="70"/>
    </row>
    <row r="61" spans="1:8" x14ac:dyDescent="0.25">
      <c r="A61" s="68" t="s">
        <v>224</v>
      </c>
      <c r="B61" s="100">
        <v>1161282.7833100678</v>
      </c>
      <c r="C61" s="101">
        <f t="shared" si="3"/>
        <v>1.6711402430876212E-3</v>
      </c>
      <c r="D61" s="98">
        <f t="shared" si="4"/>
        <v>-25662.65625044467</v>
      </c>
      <c r="E61" s="113">
        <v>0</v>
      </c>
      <c r="F61" s="98">
        <f t="shared" si="2"/>
        <v>0</v>
      </c>
      <c r="G61" s="70"/>
      <c r="H61" s="70"/>
    </row>
    <row r="62" spans="1:8" x14ac:dyDescent="0.25">
      <c r="A62" s="68" t="s">
        <v>225</v>
      </c>
      <c r="B62" s="100">
        <v>1040862.3686785746</v>
      </c>
      <c r="C62" s="101">
        <f t="shared" si="3"/>
        <v>1.497849633881841E-3</v>
      </c>
      <c r="D62" s="98">
        <f t="shared" si="4"/>
        <v>-23001.540671502255</v>
      </c>
      <c r="E62" s="113">
        <v>0</v>
      </c>
      <c r="F62" s="98">
        <f t="shared" si="2"/>
        <v>0</v>
      </c>
      <c r="G62" s="70"/>
      <c r="H62" s="70"/>
    </row>
    <row r="63" spans="1:8" x14ac:dyDescent="0.25">
      <c r="A63" s="68" t="s">
        <v>226</v>
      </c>
      <c r="B63" s="100">
        <v>1565974.6592413117</v>
      </c>
      <c r="C63" s="101">
        <f t="shared" si="3"/>
        <v>2.2535107816326243E-3</v>
      </c>
      <c r="D63" s="98">
        <f t="shared" si="4"/>
        <v>-34605.75662929369</v>
      </c>
      <c r="E63" s="113">
        <v>0</v>
      </c>
      <c r="F63" s="98">
        <f t="shared" si="2"/>
        <v>0</v>
      </c>
      <c r="G63" s="70"/>
      <c r="H63" s="70"/>
    </row>
    <row r="64" spans="1:8" x14ac:dyDescent="0.25">
      <c r="A64" s="68" t="s">
        <v>227</v>
      </c>
      <c r="B64" s="100">
        <v>8659755.6641642787</v>
      </c>
      <c r="C64" s="101">
        <f t="shared" si="3"/>
        <v>1.2461793452617559E-2</v>
      </c>
      <c r="D64" s="98">
        <f t="shared" si="4"/>
        <v>-191367.97343093995</v>
      </c>
      <c r="E64" s="113">
        <v>0</v>
      </c>
      <c r="F64" s="98">
        <f t="shared" si="2"/>
        <v>0</v>
      </c>
      <c r="G64" s="70"/>
      <c r="H64" s="70"/>
    </row>
    <row r="65" spans="1:8" x14ac:dyDescent="0.25">
      <c r="A65" s="68" t="s">
        <v>228</v>
      </c>
      <c r="B65" s="100">
        <v>5063531.091486901</v>
      </c>
      <c r="C65" s="101">
        <f t="shared" si="3"/>
        <v>7.2866580825299201E-3</v>
      </c>
      <c r="D65" s="98">
        <f t="shared" si="4"/>
        <v>-111896.6540121104</v>
      </c>
      <c r="E65" s="113">
        <v>0</v>
      </c>
      <c r="F65" s="98">
        <f t="shared" si="2"/>
        <v>0</v>
      </c>
      <c r="G65" s="70"/>
      <c r="H65" s="70"/>
    </row>
    <row r="66" spans="1:8" x14ac:dyDescent="0.25">
      <c r="A66" s="68" t="s">
        <v>229</v>
      </c>
      <c r="B66" s="100">
        <v>1052182.428081865</v>
      </c>
      <c r="C66" s="101">
        <f t="shared" si="3"/>
        <v>1.5141397288482535E-3</v>
      </c>
      <c r="D66" s="98">
        <f t="shared" si="4"/>
        <v>-23251.697478592097</v>
      </c>
      <c r="E66" s="113">
        <v>1</v>
      </c>
      <c r="F66" s="98">
        <f t="shared" si="2"/>
        <v>-23251.697478592097</v>
      </c>
      <c r="G66" s="70"/>
      <c r="H66" s="70"/>
    </row>
    <row r="67" spans="1:8" x14ac:dyDescent="0.25">
      <c r="A67" s="68" t="s">
        <v>230</v>
      </c>
      <c r="B67" s="100">
        <v>207320.58451035304</v>
      </c>
      <c r="C67" s="101">
        <f t="shared" si="3"/>
        <v>2.9834401833475925E-4</v>
      </c>
      <c r="D67" s="98">
        <f t="shared" si="4"/>
        <v>-4581.4826245554386</v>
      </c>
      <c r="E67" s="113">
        <v>0</v>
      </c>
      <c r="F67" s="98">
        <f t="shared" si="2"/>
        <v>0</v>
      </c>
      <c r="G67" s="70"/>
      <c r="H67" s="70"/>
    </row>
    <row r="68" spans="1:8" x14ac:dyDescent="0.25">
      <c r="A68" s="68" t="s">
        <v>231</v>
      </c>
      <c r="B68" s="100">
        <v>2574115.8889564965</v>
      </c>
      <c r="C68" s="101">
        <f t="shared" si="3"/>
        <v>3.7042731660458035E-3</v>
      </c>
      <c r="D68" s="98">
        <f t="shared" si="4"/>
        <v>-56884.207840236624</v>
      </c>
      <c r="E68" s="113">
        <v>6.8836744172887168E-2</v>
      </c>
      <c r="F68" s="98">
        <f t="shared" si="2"/>
        <v>-3915.7236625757109</v>
      </c>
      <c r="G68" s="70"/>
      <c r="H68" s="70"/>
    </row>
    <row r="69" spans="1:8" x14ac:dyDescent="0.25">
      <c r="A69" s="68" t="s">
        <v>232</v>
      </c>
      <c r="B69" s="102">
        <v>1679460.0689229874</v>
      </c>
      <c r="C69" s="101">
        <f t="shared" si="3"/>
        <v>2.4168215943373163E-3</v>
      </c>
      <c r="D69" s="98">
        <f t="shared" si="4"/>
        <v>-37113.618710741706</v>
      </c>
      <c r="E69" s="113">
        <v>0</v>
      </c>
      <c r="F69" s="98">
        <f t="shared" si="2"/>
        <v>0</v>
      </c>
      <c r="G69" s="70"/>
      <c r="H69" s="70"/>
    </row>
    <row r="70" spans="1:8" x14ac:dyDescent="0.25">
      <c r="A70" s="68" t="s">
        <v>233</v>
      </c>
      <c r="B70" s="102">
        <v>52704.45648905819</v>
      </c>
      <c r="C70" s="101">
        <f t="shared" si="3"/>
        <v>7.5844178088885707E-5</v>
      </c>
      <c r="D70" s="98">
        <f t="shared" si="4"/>
        <v>-1164.6916402997122</v>
      </c>
      <c r="E70" s="113">
        <v>0</v>
      </c>
      <c r="F70" s="98">
        <f t="shared" si="2"/>
        <v>0</v>
      </c>
      <c r="G70" s="70"/>
      <c r="H70" s="70"/>
    </row>
    <row r="71" spans="1:8" x14ac:dyDescent="0.25">
      <c r="A71" s="68" t="s">
        <v>234</v>
      </c>
      <c r="B71" s="102">
        <v>355365.0965460015</v>
      </c>
      <c r="C71" s="101">
        <f t="shared" si="3"/>
        <v>5.1138699579616196E-4</v>
      </c>
      <c r="D71" s="98">
        <f t="shared" si="4"/>
        <v>-7853.0504775692862</v>
      </c>
      <c r="E71" s="113">
        <v>0</v>
      </c>
      <c r="F71" s="98">
        <f t="shared" si="2"/>
        <v>0</v>
      </c>
      <c r="G71" s="70"/>
      <c r="H71" s="70"/>
    </row>
    <row r="72" spans="1:8" x14ac:dyDescent="0.25">
      <c r="A72" s="68" t="s">
        <v>235</v>
      </c>
      <c r="B72" s="102">
        <v>54425.557778113303</v>
      </c>
      <c r="C72" s="101">
        <f t="shared" si="3"/>
        <v>7.8320923346721872E-5</v>
      </c>
      <c r="D72" s="98">
        <f t="shared" si="4"/>
        <v>-1202.7254692585161</v>
      </c>
      <c r="E72" s="113">
        <v>0</v>
      </c>
      <c r="F72" s="98">
        <f t="shared" si="2"/>
        <v>0</v>
      </c>
      <c r="G72" s="70"/>
      <c r="H72" s="70"/>
    </row>
    <row r="73" spans="1:8" x14ac:dyDescent="0.25">
      <c r="A73" s="68" t="s">
        <v>236</v>
      </c>
      <c r="B73" s="100">
        <v>2385041.6751109622</v>
      </c>
      <c r="C73" s="101">
        <f t="shared" ref="C73:C83" si="5">B73/$B$89</f>
        <v>3.4321865285544583E-3</v>
      </c>
      <c r="D73" s="98">
        <f t="shared" ref="D73:D83" si="6">C73*$D$89</f>
        <v>-52705.943402430472</v>
      </c>
      <c r="E73" s="113">
        <v>0</v>
      </c>
      <c r="F73" s="98">
        <f t="shared" si="2"/>
        <v>0</v>
      </c>
      <c r="G73" s="70"/>
      <c r="H73" s="70"/>
    </row>
    <row r="74" spans="1:8" x14ac:dyDescent="0.25">
      <c r="A74" s="68" t="s">
        <v>237</v>
      </c>
      <c r="B74" s="102">
        <v>351194.63940799743</v>
      </c>
      <c r="C74" s="101">
        <f t="shared" si="5"/>
        <v>5.0538551290538376E-4</v>
      </c>
      <c r="D74" s="98">
        <f t="shared" si="6"/>
        <v>-7760.8894557424128</v>
      </c>
      <c r="E74" s="113">
        <v>1</v>
      </c>
      <c r="F74" s="98">
        <f t="shared" ref="F74:F83" si="7">D74*E74</f>
        <v>-7760.8894557424128</v>
      </c>
      <c r="G74" s="70"/>
      <c r="H74" s="70"/>
    </row>
    <row r="75" spans="1:8" x14ac:dyDescent="0.25">
      <c r="A75" s="68" t="s">
        <v>238</v>
      </c>
      <c r="B75" s="100">
        <v>1191314.8376383614</v>
      </c>
      <c r="C75" s="101">
        <f t="shared" si="5"/>
        <v>1.7143577739869877E-3</v>
      </c>
      <c r="D75" s="98">
        <f t="shared" si="6"/>
        <v>-26326.320861509426</v>
      </c>
      <c r="E75" s="113">
        <v>0</v>
      </c>
      <c r="F75" s="98">
        <f t="shared" si="7"/>
        <v>0</v>
      </c>
      <c r="G75" s="70"/>
      <c r="H75" s="70"/>
    </row>
    <row r="76" spans="1:8" x14ac:dyDescent="0.25">
      <c r="A76" s="68" t="s">
        <v>102</v>
      </c>
      <c r="B76" s="100">
        <v>32109.090801921579</v>
      </c>
      <c r="C76" s="101">
        <f t="shared" si="5"/>
        <v>4.6206483536334824E-5</v>
      </c>
      <c r="D76" s="98">
        <f t="shared" si="6"/>
        <v>-709.56408861528371</v>
      </c>
      <c r="E76" s="113">
        <v>0</v>
      </c>
      <c r="F76" s="98">
        <f t="shared" si="7"/>
        <v>0</v>
      </c>
      <c r="G76" s="70"/>
      <c r="H76" s="70"/>
    </row>
    <row r="77" spans="1:8" x14ac:dyDescent="0.25">
      <c r="A77" s="68" t="s">
        <v>103</v>
      </c>
      <c r="B77" s="100">
        <v>484962.67595560307</v>
      </c>
      <c r="C77" s="101">
        <f t="shared" si="5"/>
        <v>6.9788397437084751E-4</v>
      </c>
      <c r="D77" s="98">
        <f t="shared" si="6"/>
        <v>-10716.968016929124</v>
      </c>
      <c r="E77" s="113">
        <v>0</v>
      </c>
      <c r="F77" s="98">
        <f t="shared" si="7"/>
        <v>0</v>
      </c>
      <c r="G77" s="70"/>
      <c r="H77" s="70"/>
    </row>
    <row r="78" spans="1:8" x14ac:dyDescent="0.25">
      <c r="A78" s="68" t="s">
        <v>68</v>
      </c>
      <c r="B78" s="100">
        <v>101222865.95621783</v>
      </c>
      <c r="C78" s="101">
        <f t="shared" si="5"/>
        <v>0.14566443871486701</v>
      </c>
      <c r="D78" s="98">
        <f t="shared" si="6"/>
        <v>-2236877.745070016</v>
      </c>
      <c r="E78" s="113">
        <v>6.6548046661184135E-2</v>
      </c>
      <c r="F78" s="98">
        <f t="shared" si="7"/>
        <v>-148859.84455428377</v>
      </c>
      <c r="G78" s="70"/>
      <c r="H78" s="70"/>
    </row>
    <row r="79" spans="1:8" x14ac:dyDescent="0.25">
      <c r="A79" s="68" t="s">
        <v>104</v>
      </c>
      <c r="B79" s="100">
        <v>507733.63108115114</v>
      </c>
      <c r="C79" s="101">
        <f t="shared" si="5"/>
        <v>7.3065244388641182E-4</v>
      </c>
      <c r="D79" s="98">
        <f t="shared" si="6"/>
        <v>-11220.172922986198</v>
      </c>
      <c r="E79" s="113">
        <v>0</v>
      </c>
      <c r="F79" s="98">
        <f t="shared" si="7"/>
        <v>0</v>
      </c>
      <c r="G79" s="70"/>
      <c r="H79" s="70"/>
    </row>
    <row r="80" spans="1:8" x14ac:dyDescent="0.25">
      <c r="A80" s="68" t="s">
        <v>105</v>
      </c>
      <c r="B80" s="136">
        <v>414777.8111685231</v>
      </c>
      <c r="C80" s="101">
        <f t="shared" si="5"/>
        <v>5.968846711115344E-4</v>
      </c>
      <c r="D80" s="98">
        <f t="shared" si="6"/>
        <v>-9165.9848413403888</v>
      </c>
      <c r="E80" s="113">
        <v>1</v>
      </c>
      <c r="F80" s="98">
        <f t="shared" si="7"/>
        <v>-9165.9848413403888</v>
      </c>
      <c r="G80" s="70"/>
      <c r="H80" s="70"/>
    </row>
    <row r="81" spans="1:8" x14ac:dyDescent="0.25">
      <c r="A81" s="68" t="s">
        <v>239</v>
      </c>
      <c r="B81" s="136">
        <v>61606.268722206303</v>
      </c>
      <c r="C81" s="101">
        <f t="shared" si="5"/>
        <v>8.8654302266238212E-5</v>
      </c>
      <c r="D81" s="98">
        <f t="shared" si="6"/>
        <v>-1361.4087109637039</v>
      </c>
      <c r="E81" s="113">
        <v>0</v>
      </c>
      <c r="F81" s="98">
        <f t="shared" si="7"/>
        <v>0</v>
      </c>
      <c r="G81" s="70"/>
      <c r="H81" s="70"/>
    </row>
    <row r="82" spans="1:8" x14ac:dyDescent="0.25">
      <c r="A82" s="68" t="s">
        <v>144</v>
      </c>
      <c r="B82" s="136">
        <v>920416.90510690771</v>
      </c>
      <c r="C82" s="101">
        <f t="shared" si="5"/>
        <v>1.3245229780795105E-3</v>
      </c>
      <c r="D82" s="98">
        <f t="shared" si="6"/>
        <v>-20339.871547505743</v>
      </c>
      <c r="E82" s="113">
        <v>0</v>
      </c>
      <c r="F82" s="98">
        <f t="shared" si="7"/>
        <v>0</v>
      </c>
      <c r="G82" s="70"/>
      <c r="H82" s="70"/>
    </row>
    <row r="83" spans="1:8" x14ac:dyDescent="0.25">
      <c r="A83" s="68" t="s">
        <v>240</v>
      </c>
      <c r="B83" s="136">
        <v>-3709.8577847316133</v>
      </c>
      <c r="C83" s="101">
        <f t="shared" si="5"/>
        <v>-5.3386588773197592E-6</v>
      </c>
      <c r="D83" s="98">
        <f t="shared" si="6"/>
        <v>81.982447717201211</v>
      </c>
      <c r="E83" s="113">
        <v>0</v>
      </c>
      <c r="F83" s="98">
        <f t="shared" si="7"/>
        <v>0</v>
      </c>
      <c r="G83" s="70"/>
      <c r="H83" s="70"/>
    </row>
    <row r="84" spans="1:8" ht="7.5" customHeight="1" x14ac:dyDescent="0.25">
      <c r="A84" s="99"/>
      <c r="B84" s="105"/>
      <c r="C84" s="106"/>
      <c r="D84" s="79"/>
      <c r="E84" s="80"/>
      <c r="F84" s="79"/>
      <c r="G84" s="70"/>
      <c r="H84" s="70"/>
    </row>
    <row r="85" spans="1:8" x14ac:dyDescent="0.25">
      <c r="A85" s="107" t="s">
        <v>106</v>
      </c>
      <c r="B85" s="108">
        <f>SUM(B9:B83)</f>
        <v>473221715.10178638</v>
      </c>
      <c r="C85" s="109">
        <f>SUM(C9:C83)</f>
        <v>0.68098818252986026</v>
      </c>
      <c r="D85" s="108">
        <f>SUM(D9:D83)</f>
        <v>-10457509.90149698</v>
      </c>
      <c r="E85" s="80"/>
      <c r="F85" s="108">
        <f>SUM(F9:F84)</f>
        <v>-655672.99363625085</v>
      </c>
      <c r="G85" s="70"/>
      <c r="H85" s="70"/>
    </row>
    <row r="86" spans="1:8" ht="7.5" customHeight="1" x14ac:dyDescent="0.25">
      <c r="A86" s="99"/>
      <c r="B86" s="105"/>
      <c r="C86" s="106"/>
      <c r="D86" s="79"/>
      <c r="E86" s="80"/>
      <c r="F86" s="79"/>
      <c r="G86" s="70"/>
      <c r="H86" s="70"/>
    </row>
    <row r="87" spans="1:8" x14ac:dyDescent="0.25">
      <c r="A87" s="99" t="s">
        <v>145</v>
      </c>
      <c r="B87" s="102">
        <v>221682730</v>
      </c>
      <c r="C87" s="104">
        <f>B87/B89</f>
        <v>0.31901181747014001</v>
      </c>
      <c r="D87" s="98">
        <f>C87*$D$89</f>
        <v>-4898865.0985030215</v>
      </c>
      <c r="E87" s="80"/>
      <c r="F87" s="79"/>
      <c r="G87" s="70"/>
      <c r="H87" s="70"/>
    </row>
    <row r="88" spans="1:8" ht="6.75" customHeight="1" x14ac:dyDescent="0.25">
      <c r="A88" s="99"/>
      <c r="B88" s="105"/>
      <c r="C88" s="106"/>
      <c r="D88" s="79"/>
      <c r="E88" s="80"/>
      <c r="F88" s="79"/>
      <c r="G88" s="70"/>
      <c r="H88" s="70"/>
    </row>
    <row r="89" spans="1:8" x14ac:dyDescent="0.25">
      <c r="A89" s="110" t="s">
        <v>4</v>
      </c>
      <c r="B89" s="111">
        <f>B85+B87</f>
        <v>694904445.10178638</v>
      </c>
      <c r="C89" s="112">
        <f>C85+C87</f>
        <v>1.0000000000000002</v>
      </c>
      <c r="D89" s="111">
        <f>'PC1p1-Emp.Red.'!I22</f>
        <v>-15356375</v>
      </c>
      <c r="E89" s="80"/>
      <c r="F89" s="79"/>
      <c r="G89" s="70"/>
      <c r="H89" s="70"/>
    </row>
    <row r="90" spans="1:8" x14ac:dyDescent="0.25">
      <c r="A90" s="76"/>
      <c r="B90" s="77"/>
      <c r="C90" s="78"/>
      <c r="D90" s="79"/>
      <c r="E90" s="80"/>
      <c r="F90" s="79"/>
      <c r="G90" s="70"/>
      <c r="H90" s="70"/>
    </row>
    <row r="91" spans="1:8" x14ac:dyDescent="0.25">
      <c r="A91" s="76"/>
      <c r="B91" s="77"/>
      <c r="C91" s="78"/>
      <c r="D91" s="79"/>
      <c r="E91" s="80"/>
      <c r="F91" s="79"/>
      <c r="G91" s="70"/>
      <c r="H91" s="70"/>
    </row>
    <row r="92" spans="1:8" x14ac:dyDescent="0.25">
      <c r="A92" s="76"/>
      <c r="B92" s="77"/>
      <c r="C92" s="78"/>
      <c r="D92" s="79"/>
      <c r="E92" s="80"/>
      <c r="F92" s="156"/>
      <c r="G92" s="70"/>
      <c r="H92" s="70"/>
    </row>
    <row r="93" spans="1:8" x14ac:dyDescent="0.25">
      <c r="A93" s="76"/>
      <c r="B93" s="77"/>
      <c r="C93" s="78"/>
      <c r="D93" s="79"/>
      <c r="E93" s="80"/>
      <c r="F93" s="156"/>
      <c r="G93" s="70"/>
      <c r="H93" s="70"/>
    </row>
    <row r="94" spans="1:8" x14ac:dyDescent="0.25">
      <c r="A94" s="76"/>
      <c r="B94" s="77"/>
      <c r="C94" s="78"/>
      <c r="D94" s="79"/>
      <c r="E94" s="80"/>
      <c r="F94" s="79"/>
      <c r="G94" s="70"/>
      <c r="H94" s="70"/>
    </row>
    <row r="95" spans="1:8" x14ac:dyDescent="0.25">
      <c r="A95" s="76"/>
      <c r="B95" s="77"/>
      <c r="C95" s="78"/>
      <c r="D95" s="79"/>
      <c r="E95" s="80"/>
      <c r="F95" s="79"/>
      <c r="G95" s="70"/>
      <c r="H95" s="70"/>
    </row>
    <row r="96" spans="1:8" x14ac:dyDescent="0.25">
      <c r="A96" s="76"/>
      <c r="B96" s="77"/>
      <c r="C96" s="78"/>
      <c r="D96" s="79"/>
      <c r="E96" s="80"/>
      <c r="F96" s="79"/>
      <c r="G96" s="70"/>
      <c r="H96" s="70"/>
    </row>
    <row r="97" spans="1:8" x14ac:dyDescent="0.25">
      <c r="A97" s="76"/>
      <c r="B97" s="77"/>
      <c r="C97" s="78"/>
      <c r="D97" s="79"/>
      <c r="E97" s="80"/>
      <c r="F97" s="79"/>
      <c r="G97" s="70"/>
      <c r="H97" s="70"/>
    </row>
    <row r="98" spans="1:8" x14ac:dyDescent="0.25">
      <c r="A98" s="76"/>
      <c r="B98" s="77"/>
      <c r="C98" s="78"/>
      <c r="D98" s="79"/>
      <c r="E98" s="80"/>
      <c r="F98" s="79"/>
      <c r="G98" s="70"/>
      <c r="H98" s="70"/>
    </row>
    <row r="99" spans="1:8" x14ac:dyDescent="0.25">
      <c r="A99" s="76"/>
      <c r="B99" s="77"/>
      <c r="C99" s="78"/>
      <c r="D99" s="79"/>
      <c r="E99" s="80"/>
      <c r="F99" s="79"/>
      <c r="G99" s="70"/>
      <c r="H99" s="70"/>
    </row>
    <row r="100" spans="1:8" x14ac:dyDescent="0.25">
      <c r="A100" s="76"/>
      <c r="B100" s="77"/>
      <c r="C100" s="78"/>
      <c r="D100" s="79"/>
      <c r="E100" s="80"/>
      <c r="F100" s="79"/>
      <c r="G100" s="70"/>
      <c r="H100" s="70"/>
    </row>
    <row r="101" spans="1:8" x14ac:dyDescent="0.25">
      <c r="A101" s="76"/>
      <c r="B101" s="77"/>
      <c r="C101" s="78"/>
      <c r="D101" s="79"/>
      <c r="E101" s="80"/>
      <c r="F101" s="79"/>
      <c r="G101" s="70"/>
      <c r="H101" s="70"/>
    </row>
    <row r="102" spans="1:8" x14ac:dyDescent="0.25">
      <c r="A102" s="76"/>
      <c r="B102" s="77"/>
      <c r="C102" s="78"/>
      <c r="D102" s="79"/>
      <c r="E102" s="80"/>
      <c r="F102" s="79"/>
      <c r="G102" s="70"/>
      <c r="H102" s="70"/>
    </row>
    <row r="103" spans="1:8" x14ac:dyDescent="0.25">
      <c r="A103" s="76"/>
      <c r="B103" s="77"/>
      <c r="C103" s="78"/>
      <c r="D103" s="79"/>
      <c r="E103" s="80"/>
      <c r="F103" s="79"/>
      <c r="G103" s="70"/>
      <c r="H103" s="70"/>
    </row>
    <row r="104" spans="1:8" x14ac:dyDescent="0.25">
      <c r="A104" s="76"/>
      <c r="B104" s="77"/>
      <c r="C104" s="78"/>
      <c r="D104" s="79"/>
      <c r="E104" s="80"/>
      <c r="F104" s="79"/>
      <c r="G104" s="70"/>
      <c r="H104" s="70"/>
    </row>
    <row r="105" spans="1:8" x14ac:dyDescent="0.25">
      <c r="A105" s="76"/>
      <c r="B105" s="77"/>
      <c r="C105" s="78"/>
      <c r="D105" s="79"/>
      <c r="E105" s="80"/>
      <c r="F105" s="79"/>
      <c r="G105" s="70"/>
      <c r="H105" s="70"/>
    </row>
    <row r="106" spans="1:8" x14ac:dyDescent="0.25">
      <c r="A106" s="76"/>
      <c r="B106" s="77"/>
      <c r="C106" s="78"/>
      <c r="D106" s="79"/>
      <c r="E106" s="80"/>
      <c r="F106" s="79"/>
      <c r="G106" s="70"/>
      <c r="H106" s="70"/>
    </row>
    <row r="107" spans="1:8" x14ac:dyDescent="0.25">
      <c r="A107" s="76"/>
      <c r="B107" s="77"/>
      <c r="C107" s="78"/>
      <c r="D107" s="79"/>
      <c r="E107" s="80"/>
      <c r="F107" s="79"/>
      <c r="G107" s="70"/>
      <c r="H107" s="70"/>
    </row>
    <row r="108" spans="1:8" x14ac:dyDescent="0.25">
      <c r="A108" s="76"/>
      <c r="B108" s="77"/>
      <c r="C108" s="78"/>
      <c r="D108" s="79"/>
      <c r="E108" s="80"/>
      <c r="F108" s="79"/>
      <c r="G108" s="70"/>
      <c r="H108" s="70"/>
    </row>
    <row r="109" spans="1:8" x14ac:dyDescent="0.25">
      <c r="A109" s="76"/>
      <c r="B109" s="77"/>
      <c r="C109" s="78"/>
      <c r="D109" s="79"/>
      <c r="E109" s="80"/>
      <c r="F109" s="79"/>
      <c r="G109" s="70"/>
      <c r="H109" s="70"/>
    </row>
    <row r="110" spans="1:8" x14ac:dyDescent="0.25">
      <c r="A110" s="76"/>
      <c r="B110" s="77"/>
      <c r="C110" s="78"/>
      <c r="D110" s="79"/>
      <c r="E110" s="80"/>
      <c r="F110" s="79"/>
      <c r="G110" s="70"/>
      <c r="H110" s="70"/>
    </row>
    <row r="111" spans="1:8" x14ac:dyDescent="0.25">
      <c r="A111" s="76"/>
      <c r="B111" s="77"/>
      <c r="C111" s="78"/>
      <c r="D111" s="79"/>
      <c r="E111" s="80"/>
      <c r="F111" s="79"/>
      <c r="G111" s="70"/>
      <c r="H111" s="70"/>
    </row>
    <row r="112" spans="1:8" x14ac:dyDescent="0.25">
      <c r="A112" s="76"/>
      <c r="B112" s="77"/>
      <c r="C112" s="78"/>
      <c r="D112" s="79"/>
      <c r="E112" s="80"/>
      <c r="F112" s="79"/>
      <c r="G112" s="70"/>
      <c r="H112" s="70"/>
    </row>
    <row r="113" spans="1:8" x14ac:dyDescent="0.25">
      <c r="A113" s="76"/>
      <c r="B113" s="77"/>
      <c r="C113" s="78"/>
      <c r="D113" s="79"/>
      <c r="E113" s="80"/>
      <c r="F113" s="79"/>
      <c r="G113" s="70"/>
      <c r="H113" s="70"/>
    </row>
    <row r="114" spans="1:8" x14ac:dyDescent="0.25">
      <c r="A114" s="76"/>
      <c r="B114" s="77"/>
      <c r="C114" s="78"/>
      <c r="D114" s="79"/>
      <c r="E114" s="80"/>
      <c r="F114" s="79"/>
      <c r="G114" s="70"/>
      <c r="H114" s="70"/>
    </row>
    <row r="115" spans="1:8" x14ac:dyDescent="0.25">
      <c r="A115" s="76"/>
      <c r="B115" s="77"/>
      <c r="C115" s="78"/>
      <c r="D115" s="79"/>
      <c r="E115" s="80"/>
      <c r="F115" s="79"/>
      <c r="G115" s="70"/>
      <c r="H115" s="70"/>
    </row>
    <row r="116" spans="1:8" x14ac:dyDescent="0.25">
      <c r="A116" s="76"/>
      <c r="B116" s="77"/>
      <c r="C116" s="78"/>
      <c r="D116" s="79"/>
      <c r="E116" s="80"/>
      <c r="F116" s="79"/>
      <c r="G116" s="70"/>
      <c r="H116" s="70"/>
    </row>
    <row r="117" spans="1:8" x14ac:dyDescent="0.25">
      <c r="A117" s="76"/>
      <c r="B117" s="77"/>
      <c r="C117" s="78"/>
      <c r="D117" s="79"/>
      <c r="E117" s="80"/>
      <c r="F117" s="79"/>
      <c r="G117" s="70"/>
      <c r="H117" s="70"/>
    </row>
    <row r="118" spans="1:8" x14ac:dyDescent="0.25">
      <c r="A118" s="76"/>
      <c r="B118" s="77"/>
      <c r="C118" s="78"/>
      <c r="D118" s="79"/>
      <c r="E118" s="80"/>
      <c r="F118" s="79"/>
      <c r="G118" s="70"/>
      <c r="H118" s="70"/>
    </row>
    <row r="119" spans="1:8" x14ac:dyDescent="0.25">
      <c r="A119" s="76"/>
      <c r="B119" s="77"/>
      <c r="C119" s="78"/>
      <c r="D119" s="79"/>
      <c r="E119" s="80"/>
      <c r="F119" s="79"/>
      <c r="G119" s="70"/>
      <c r="H119" s="70"/>
    </row>
    <row r="120" spans="1:8" x14ac:dyDescent="0.25">
      <c r="A120" s="76"/>
      <c r="B120" s="77"/>
      <c r="C120" s="78"/>
      <c r="D120" s="79"/>
      <c r="E120" s="80"/>
      <c r="F120" s="79"/>
      <c r="G120" s="70"/>
      <c r="H120" s="70"/>
    </row>
    <row r="121" spans="1:8" x14ac:dyDescent="0.25">
      <c r="A121" s="76"/>
      <c r="B121" s="77"/>
      <c r="C121" s="78"/>
      <c r="D121" s="79"/>
      <c r="E121" s="80"/>
      <c r="F121" s="79"/>
      <c r="G121" s="70"/>
      <c r="H121" s="70"/>
    </row>
    <row r="122" spans="1:8" x14ac:dyDescent="0.25">
      <c r="A122" s="76"/>
      <c r="B122" s="77"/>
      <c r="C122" s="78"/>
      <c r="D122" s="79"/>
      <c r="E122" s="80"/>
      <c r="F122" s="79"/>
      <c r="G122" s="70"/>
      <c r="H122" s="70"/>
    </row>
    <row r="123" spans="1:8" x14ac:dyDescent="0.25">
      <c r="A123" s="76"/>
      <c r="B123" s="77"/>
      <c r="C123" s="78"/>
      <c r="D123" s="79"/>
      <c r="E123" s="80"/>
      <c r="F123" s="79"/>
      <c r="G123" s="70"/>
      <c r="H123" s="70"/>
    </row>
    <row r="124" spans="1:8" x14ac:dyDescent="0.25">
      <c r="A124" s="76"/>
      <c r="B124" s="77"/>
      <c r="C124" s="78"/>
      <c r="D124" s="79"/>
      <c r="E124" s="80"/>
      <c r="F124" s="79"/>
      <c r="G124" s="70"/>
      <c r="H124" s="70"/>
    </row>
    <row r="125" spans="1:8" x14ac:dyDescent="0.25">
      <c r="A125" s="76"/>
      <c r="B125" s="77"/>
      <c r="C125" s="78"/>
      <c r="D125" s="79"/>
      <c r="E125" s="80"/>
      <c r="F125" s="79"/>
      <c r="G125" s="70"/>
      <c r="H125" s="70"/>
    </row>
    <row r="126" spans="1:8" x14ac:dyDescent="0.25">
      <c r="A126" s="76"/>
      <c r="B126" s="77"/>
      <c r="C126" s="78"/>
      <c r="D126" s="79"/>
      <c r="E126" s="80"/>
      <c r="F126" s="79"/>
      <c r="G126" s="70"/>
      <c r="H126" s="70"/>
    </row>
    <row r="127" spans="1:8" x14ac:dyDescent="0.25">
      <c r="A127" s="76"/>
      <c r="B127" s="77"/>
      <c r="C127" s="78"/>
      <c r="D127" s="79"/>
      <c r="E127" s="80"/>
      <c r="F127" s="79"/>
      <c r="G127" s="70"/>
      <c r="H127" s="70"/>
    </row>
    <row r="128" spans="1:8" x14ac:dyDescent="0.25">
      <c r="A128" s="76"/>
      <c r="B128" s="77"/>
      <c r="C128" s="78"/>
      <c r="D128" s="79"/>
      <c r="E128" s="80"/>
      <c r="F128" s="79"/>
      <c r="G128" s="70"/>
      <c r="H128" s="70"/>
    </row>
    <row r="129" spans="1:8" x14ac:dyDescent="0.25">
      <c r="A129" s="76"/>
      <c r="B129" s="77"/>
      <c r="C129" s="78"/>
      <c r="D129" s="79"/>
      <c r="E129" s="80"/>
      <c r="F129" s="79"/>
      <c r="G129" s="70"/>
      <c r="H129" s="70"/>
    </row>
    <row r="130" spans="1:8" x14ac:dyDescent="0.25">
      <c r="A130" s="76"/>
      <c r="B130" s="77"/>
      <c r="C130" s="78"/>
      <c r="D130" s="79"/>
      <c r="E130" s="80"/>
      <c r="F130" s="79"/>
      <c r="G130" s="70"/>
      <c r="H130" s="70"/>
    </row>
    <row r="131" spans="1:8" x14ac:dyDescent="0.25">
      <c r="A131" s="76"/>
      <c r="B131" s="77"/>
      <c r="C131" s="78"/>
      <c r="D131" s="79"/>
      <c r="E131" s="80"/>
      <c r="F131" s="79"/>
      <c r="G131" s="70"/>
      <c r="H131" s="70"/>
    </row>
    <row r="132" spans="1:8" x14ac:dyDescent="0.25">
      <c r="A132" s="76"/>
      <c r="B132" s="77"/>
      <c r="C132" s="78"/>
      <c r="D132" s="79"/>
      <c r="E132" s="80"/>
      <c r="F132" s="79"/>
      <c r="G132" s="70"/>
      <c r="H132" s="70"/>
    </row>
    <row r="133" spans="1:8" x14ac:dyDescent="0.25">
      <c r="A133" s="76"/>
      <c r="B133" s="77"/>
      <c r="C133" s="78"/>
      <c r="D133" s="79"/>
      <c r="E133" s="80"/>
      <c r="F133" s="79"/>
      <c r="G133" s="70"/>
      <c r="H133" s="70"/>
    </row>
    <row r="134" spans="1:8" x14ac:dyDescent="0.25">
      <c r="A134" s="76"/>
      <c r="B134" s="77"/>
      <c r="C134" s="78"/>
      <c r="D134" s="79"/>
      <c r="E134" s="80"/>
      <c r="F134" s="79"/>
      <c r="G134" s="70"/>
      <c r="H134" s="70"/>
    </row>
    <row r="135" spans="1:8" x14ac:dyDescent="0.25">
      <c r="A135" s="76"/>
      <c r="B135" s="77"/>
      <c r="C135" s="78"/>
      <c r="D135" s="79"/>
      <c r="E135" s="80"/>
      <c r="F135" s="79"/>
      <c r="G135" s="70"/>
      <c r="H135" s="70"/>
    </row>
    <row r="136" spans="1:8" x14ac:dyDescent="0.25">
      <c r="A136" s="76"/>
      <c r="B136" s="77"/>
      <c r="C136" s="78"/>
      <c r="D136" s="79"/>
      <c r="E136" s="80"/>
      <c r="F136" s="79"/>
      <c r="G136" s="70"/>
      <c r="H136" s="70"/>
    </row>
    <row r="137" spans="1:8" x14ac:dyDescent="0.25">
      <c r="A137" s="76"/>
      <c r="B137" s="77"/>
      <c r="C137" s="78"/>
      <c r="D137" s="79"/>
      <c r="E137" s="80"/>
      <c r="F137" s="79"/>
      <c r="G137" s="70"/>
      <c r="H137" s="70"/>
    </row>
    <row r="138" spans="1:8" x14ac:dyDescent="0.25">
      <c r="A138" s="76"/>
      <c r="B138" s="77"/>
      <c r="C138" s="78"/>
      <c r="D138" s="79"/>
      <c r="E138" s="80"/>
      <c r="F138" s="79"/>
      <c r="G138" s="70"/>
      <c r="H138" s="70"/>
    </row>
    <row r="139" spans="1:8" x14ac:dyDescent="0.25">
      <c r="A139" s="76"/>
      <c r="B139" s="77"/>
      <c r="C139" s="78"/>
      <c r="D139" s="79"/>
      <c r="E139" s="80"/>
      <c r="F139" s="79"/>
      <c r="G139" s="70"/>
      <c r="H139" s="70"/>
    </row>
    <row r="140" spans="1:8" x14ac:dyDescent="0.25">
      <c r="A140" s="76"/>
      <c r="B140" s="77"/>
      <c r="C140" s="78"/>
      <c r="D140" s="79"/>
      <c r="E140" s="80"/>
      <c r="F140" s="79"/>
      <c r="G140" s="70"/>
      <c r="H140" s="70"/>
    </row>
    <row r="141" spans="1:8" x14ac:dyDescent="0.25">
      <c r="A141" s="76"/>
      <c r="B141" s="77"/>
      <c r="C141" s="78"/>
      <c r="D141" s="79"/>
      <c r="E141" s="80"/>
      <c r="F141" s="79"/>
      <c r="G141" s="70"/>
      <c r="H141" s="70"/>
    </row>
    <row r="142" spans="1:8" x14ac:dyDescent="0.25">
      <c r="A142" s="76"/>
      <c r="B142" s="77"/>
      <c r="C142" s="78"/>
      <c r="D142" s="79"/>
      <c r="E142" s="80"/>
      <c r="F142" s="79"/>
      <c r="G142" s="70"/>
      <c r="H142" s="70"/>
    </row>
    <row r="143" spans="1:8" x14ac:dyDescent="0.25">
      <c r="A143" s="76"/>
      <c r="B143" s="77"/>
      <c r="C143" s="78"/>
      <c r="D143" s="79"/>
      <c r="E143" s="80"/>
      <c r="F143" s="79"/>
      <c r="G143" s="70"/>
      <c r="H143" s="70"/>
    </row>
    <row r="144" spans="1:8" x14ac:dyDescent="0.25">
      <c r="A144" s="76"/>
      <c r="B144" s="77"/>
      <c r="C144" s="78"/>
      <c r="D144" s="79"/>
      <c r="E144" s="80"/>
      <c r="F144" s="79"/>
      <c r="G144" s="70"/>
      <c r="H144" s="70"/>
    </row>
    <row r="145" spans="1:8" x14ac:dyDescent="0.25">
      <c r="A145" s="76"/>
      <c r="B145" s="77"/>
      <c r="C145" s="78"/>
      <c r="D145" s="79"/>
      <c r="E145" s="80"/>
      <c r="F145" s="79"/>
      <c r="G145" s="70"/>
      <c r="H145" s="70"/>
    </row>
    <row r="146" spans="1:8" x14ac:dyDescent="0.25">
      <c r="A146" s="76"/>
      <c r="B146" s="77"/>
      <c r="C146" s="78"/>
      <c r="D146" s="79"/>
      <c r="E146" s="80"/>
      <c r="F146" s="79"/>
      <c r="G146" s="70"/>
      <c r="H146" s="70"/>
    </row>
    <row r="147" spans="1:8" x14ac:dyDescent="0.25">
      <c r="A147" s="76"/>
      <c r="B147" s="77"/>
      <c r="C147" s="78"/>
      <c r="D147" s="79"/>
      <c r="E147" s="80"/>
      <c r="F147" s="79"/>
      <c r="G147" s="70"/>
      <c r="H147" s="70"/>
    </row>
    <row r="148" spans="1:8" x14ac:dyDescent="0.25">
      <c r="A148" s="76"/>
      <c r="B148" s="77"/>
      <c r="C148" s="78"/>
      <c r="D148" s="79"/>
      <c r="E148" s="80"/>
      <c r="F148" s="79"/>
      <c r="G148" s="70"/>
      <c r="H148" s="70"/>
    </row>
    <row r="149" spans="1:8" x14ac:dyDescent="0.25">
      <c r="A149" s="76"/>
      <c r="B149" s="77"/>
      <c r="C149" s="78"/>
      <c r="D149" s="79"/>
      <c r="E149" s="80"/>
      <c r="F149" s="79"/>
      <c r="G149" s="70"/>
      <c r="H149" s="70"/>
    </row>
    <row r="150" spans="1:8" x14ac:dyDescent="0.25">
      <c r="A150" s="76"/>
      <c r="B150" s="77"/>
      <c r="C150" s="78"/>
      <c r="D150" s="79"/>
      <c r="E150" s="80"/>
      <c r="F150" s="79"/>
      <c r="G150" s="70"/>
      <c r="H150" s="70"/>
    </row>
    <row r="151" spans="1:8" x14ac:dyDescent="0.25">
      <c r="A151" s="76"/>
      <c r="B151" s="77"/>
      <c r="C151" s="78"/>
      <c r="D151" s="79"/>
      <c r="E151" s="80"/>
      <c r="F151" s="79"/>
      <c r="G151" s="70"/>
      <c r="H151" s="70"/>
    </row>
    <row r="152" spans="1:8" x14ac:dyDescent="0.25">
      <c r="A152" s="76"/>
      <c r="B152" s="77"/>
      <c r="C152" s="78"/>
      <c r="D152" s="79"/>
      <c r="E152" s="80"/>
      <c r="F152" s="79"/>
      <c r="G152" s="70"/>
      <c r="H152" s="70"/>
    </row>
    <row r="153" spans="1:8" x14ac:dyDescent="0.25">
      <c r="A153" s="76"/>
      <c r="B153" s="77"/>
      <c r="C153" s="78"/>
      <c r="D153" s="79"/>
      <c r="E153" s="80"/>
      <c r="F153" s="79"/>
      <c r="G153" s="70"/>
      <c r="H153" s="70"/>
    </row>
    <row r="154" spans="1:8" x14ac:dyDescent="0.25">
      <c r="A154" s="76"/>
      <c r="B154" s="77"/>
      <c r="C154" s="78"/>
      <c r="D154" s="79"/>
      <c r="E154" s="80"/>
      <c r="F154" s="79"/>
      <c r="G154" s="70"/>
      <c r="H154" s="70"/>
    </row>
    <row r="155" spans="1:8" x14ac:dyDescent="0.25">
      <c r="A155" s="76"/>
      <c r="B155" s="77"/>
      <c r="C155" s="78"/>
      <c r="D155" s="79"/>
      <c r="E155" s="80"/>
      <c r="F155" s="79"/>
      <c r="G155" s="70"/>
      <c r="H155" s="70"/>
    </row>
    <row r="156" spans="1:8" x14ac:dyDescent="0.25">
      <c r="A156" s="76"/>
      <c r="B156" s="77"/>
      <c r="C156" s="78"/>
      <c r="D156" s="79"/>
      <c r="E156" s="80"/>
      <c r="F156" s="79"/>
      <c r="G156" s="70"/>
      <c r="H156" s="70"/>
    </row>
    <row r="157" spans="1:8" x14ac:dyDescent="0.25">
      <c r="A157" s="76"/>
      <c r="B157" s="77"/>
      <c r="C157" s="78"/>
      <c r="D157" s="79"/>
      <c r="E157" s="80"/>
      <c r="F157" s="79"/>
      <c r="G157" s="70"/>
      <c r="H157" s="70"/>
    </row>
    <row r="158" spans="1:8" x14ac:dyDescent="0.25">
      <c r="A158" s="76"/>
      <c r="B158" s="77"/>
      <c r="C158" s="78"/>
      <c r="D158" s="79"/>
      <c r="E158" s="80"/>
      <c r="F158" s="79"/>
      <c r="G158" s="70"/>
      <c r="H158" s="70"/>
    </row>
    <row r="159" spans="1:8" x14ac:dyDescent="0.25">
      <c r="A159" s="76"/>
      <c r="B159" s="77"/>
      <c r="C159" s="78"/>
      <c r="D159" s="79"/>
      <c r="E159" s="80"/>
      <c r="F159" s="79"/>
      <c r="G159" s="70"/>
      <c r="H159" s="70"/>
    </row>
    <row r="160" spans="1:8" x14ac:dyDescent="0.25">
      <c r="A160" s="76"/>
      <c r="B160" s="77"/>
      <c r="C160" s="78"/>
      <c r="D160" s="79"/>
      <c r="E160" s="80"/>
      <c r="F160" s="79"/>
      <c r="G160" s="70"/>
      <c r="H160" s="70"/>
    </row>
    <row r="161" spans="1:8" x14ac:dyDescent="0.25">
      <c r="A161" s="76"/>
      <c r="B161" s="77"/>
      <c r="C161" s="78"/>
      <c r="D161" s="79"/>
      <c r="E161" s="80"/>
      <c r="F161" s="79"/>
      <c r="G161" s="70"/>
      <c r="H161" s="70"/>
    </row>
    <row r="162" spans="1:8" x14ac:dyDescent="0.25">
      <c r="A162" s="76"/>
      <c r="B162" s="77"/>
      <c r="C162" s="78"/>
      <c r="D162" s="79"/>
      <c r="E162" s="80"/>
      <c r="F162" s="79"/>
      <c r="G162" s="70"/>
      <c r="H162" s="70"/>
    </row>
    <row r="163" spans="1:8" x14ac:dyDescent="0.25">
      <c r="A163" s="76"/>
      <c r="B163" s="77"/>
      <c r="C163" s="78"/>
      <c r="D163" s="79"/>
      <c r="E163" s="80"/>
      <c r="F163" s="79"/>
      <c r="G163" s="70"/>
      <c r="H163" s="70"/>
    </row>
    <row r="164" spans="1:8" x14ac:dyDescent="0.25">
      <c r="A164" s="76"/>
      <c r="B164" s="77"/>
      <c r="C164" s="78"/>
      <c r="D164" s="79"/>
      <c r="E164" s="80"/>
      <c r="F164" s="79"/>
      <c r="G164" s="70"/>
      <c r="H164" s="70"/>
    </row>
    <row r="165" spans="1:8" x14ac:dyDescent="0.25">
      <c r="A165" s="76"/>
      <c r="B165" s="77"/>
      <c r="C165" s="78"/>
      <c r="D165" s="79"/>
      <c r="E165" s="80"/>
      <c r="F165" s="79"/>
      <c r="G165" s="70"/>
      <c r="H165" s="70"/>
    </row>
    <row r="166" spans="1:8" x14ac:dyDescent="0.25">
      <c r="A166" s="76"/>
      <c r="B166" s="77"/>
      <c r="C166" s="78"/>
      <c r="D166" s="79"/>
      <c r="E166" s="80"/>
      <c r="F166" s="79"/>
      <c r="G166" s="70"/>
      <c r="H166" s="70"/>
    </row>
    <row r="167" spans="1:8" x14ac:dyDescent="0.25">
      <c r="A167" s="76"/>
      <c r="B167" s="77"/>
      <c r="C167" s="78"/>
      <c r="D167" s="79"/>
      <c r="E167" s="80"/>
      <c r="F167" s="79"/>
      <c r="G167" s="70"/>
      <c r="H167" s="70"/>
    </row>
    <row r="168" spans="1:8" x14ac:dyDescent="0.25">
      <c r="A168" s="76"/>
      <c r="B168" s="77"/>
      <c r="C168" s="78"/>
      <c r="D168" s="79"/>
      <c r="E168" s="80"/>
      <c r="F168" s="79"/>
      <c r="G168" s="70"/>
      <c r="H168" s="70"/>
    </row>
    <row r="169" spans="1:8" x14ac:dyDescent="0.25">
      <c r="A169" s="76"/>
      <c r="B169" s="77"/>
      <c r="C169" s="78"/>
      <c r="D169" s="79"/>
      <c r="E169" s="80"/>
      <c r="F169" s="79"/>
      <c r="G169" s="70"/>
      <c r="H169" s="70"/>
    </row>
    <row r="170" spans="1:8" x14ac:dyDescent="0.25">
      <c r="A170" s="76"/>
      <c r="B170" s="77"/>
      <c r="C170" s="78"/>
      <c r="D170" s="79"/>
      <c r="E170" s="80"/>
      <c r="F170" s="79"/>
      <c r="G170" s="70"/>
      <c r="H170" s="70"/>
    </row>
    <row r="171" spans="1:8" x14ac:dyDescent="0.25">
      <c r="A171" s="76"/>
      <c r="B171" s="77"/>
      <c r="C171" s="78"/>
      <c r="D171" s="79"/>
      <c r="E171" s="80"/>
      <c r="F171" s="79"/>
      <c r="G171" s="70"/>
      <c r="H171" s="70"/>
    </row>
    <row r="172" spans="1:8" x14ac:dyDescent="0.25">
      <c r="A172" s="76"/>
      <c r="B172" s="77"/>
      <c r="C172" s="78"/>
      <c r="D172" s="79"/>
      <c r="E172" s="80"/>
      <c r="F172" s="79"/>
      <c r="G172" s="70"/>
      <c r="H172" s="70"/>
    </row>
    <row r="173" spans="1:8" x14ac:dyDescent="0.25">
      <c r="A173" s="76"/>
      <c r="B173" s="77"/>
      <c r="C173" s="78"/>
      <c r="D173" s="79"/>
      <c r="E173" s="80"/>
      <c r="F173" s="79"/>
      <c r="G173" s="70"/>
      <c r="H173" s="70"/>
    </row>
    <row r="174" spans="1:8" x14ac:dyDescent="0.25">
      <c r="A174" s="76"/>
      <c r="B174" s="77"/>
      <c r="C174" s="78"/>
      <c r="D174" s="79"/>
      <c r="E174" s="80"/>
      <c r="F174" s="79"/>
      <c r="G174" s="70"/>
      <c r="H174" s="70"/>
    </row>
    <row r="175" spans="1:8" x14ac:dyDescent="0.25">
      <c r="A175" s="76"/>
      <c r="B175" s="77"/>
      <c r="C175" s="78"/>
      <c r="D175" s="79"/>
      <c r="E175" s="80"/>
      <c r="F175" s="79"/>
      <c r="G175" s="70"/>
      <c r="H175" s="70"/>
    </row>
    <row r="176" spans="1:8" x14ac:dyDescent="0.25">
      <c r="A176" s="76"/>
      <c r="B176" s="77"/>
      <c r="C176" s="78"/>
      <c r="D176" s="79"/>
      <c r="E176" s="80"/>
      <c r="F176" s="79"/>
      <c r="G176" s="70"/>
      <c r="H176" s="70"/>
    </row>
    <row r="177" spans="1:8" x14ac:dyDescent="0.25">
      <c r="A177" s="76"/>
      <c r="B177" s="77"/>
      <c r="C177" s="78"/>
      <c r="D177" s="79"/>
      <c r="E177" s="80"/>
      <c r="F177" s="79"/>
      <c r="G177" s="70"/>
      <c r="H177" s="70"/>
    </row>
    <row r="178" spans="1:8" x14ac:dyDescent="0.25">
      <c r="A178" s="76"/>
      <c r="B178" s="77"/>
      <c r="C178" s="78"/>
      <c r="D178" s="79"/>
      <c r="E178" s="80"/>
      <c r="F178" s="79"/>
      <c r="G178" s="70"/>
      <c r="H178" s="70"/>
    </row>
    <row r="179" spans="1:8" x14ac:dyDescent="0.25">
      <c r="A179" s="76"/>
      <c r="B179" s="77"/>
      <c r="C179" s="78"/>
      <c r="D179" s="79"/>
      <c r="E179" s="80"/>
      <c r="F179" s="79"/>
      <c r="G179" s="70"/>
      <c r="H179" s="70"/>
    </row>
    <row r="180" spans="1:8" x14ac:dyDescent="0.25">
      <c r="A180" s="76"/>
      <c r="B180" s="77"/>
      <c r="C180" s="78"/>
      <c r="D180" s="79"/>
      <c r="E180" s="80"/>
      <c r="F180" s="79"/>
      <c r="G180" s="70"/>
      <c r="H180" s="70"/>
    </row>
    <row r="181" spans="1:8" x14ac:dyDescent="0.25">
      <c r="A181" s="76"/>
      <c r="B181" s="77"/>
      <c r="C181" s="78"/>
      <c r="D181" s="79"/>
      <c r="E181" s="80"/>
      <c r="F181" s="79"/>
      <c r="G181" s="70"/>
      <c r="H181" s="70"/>
    </row>
    <row r="182" spans="1:8" x14ac:dyDescent="0.25">
      <c r="A182" s="76"/>
      <c r="B182" s="77"/>
      <c r="C182" s="78"/>
      <c r="D182" s="79"/>
      <c r="E182" s="80"/>
      <c r="F182" s="79"/>
      <c r="G182" s="70"/>
      <c r="H182" s="70"/>
    </row>
    <row r="183" spans="1:8" x14ac:dyDescent="0.25">
      <c r="A183" s="76"/>
      <c r="B183" s="77"/>
      <c r="C183" s="78"/>
      <c r="D183" s="79"/>
      <c r="E183" s="80"/>
      <c r="F183" s="79"/>
      <c r="G183" s="70"/>
      <c r="H183" s="70"/>
    </row>
    <row r="184" spans="1:8" x14ac:dyDescent="0.25">
      <c r="A184" s="76"/>
      <c r="B184" s="77"/>
      <c r="C184" s="78"/>
      <c r="D184" s="79"/>
      <c r="E184" s="80"/>
      <c r="F184" s="79"/>
      <c r="G184" s="70"/>
      <c r="H184" s="70"/>
    </row>
    <row r="185" spans="1:8" x14ac:dyDescent="0.25">
      <c r="A185" s="76"/>
      <c r="B185" s="77"/>
      <c r="C185" s="78"/>
      <c r="D185" s="79"/>
      <c r="E185" s="80"/>
      <c r="F185" s="79"/>
      <c r="G185" s="70"/>
      <c r="H185" s="70"/>
    </row>
    <row r="186" spans="1:8" x14ac:dyDescent="0.25">
      <c r="A186" s="76"/>
      <c r="B186" s="77"/>
      <c r="C186" s="78"/>
      <c r="D186" s="79"/>
      <c r="E186" s="80"/>
      <c r="F186" s="79"/>
      <c r="G186" s="70"/>
      <c r="H186" s="70"/>
    </row>
    <row r="187" spans="1:8" x14ac:dyDescent="0.25">
      <c r="A187" s="76"/>
      <c r="B187" s="77"/>
      <c r="C187" s="78"/>
      <c r="D187" s="79"/>
      <c r="E187" s="80"/>
      <c r="F187" s="79"/>
      <c r="G187" s="70"/>
      <c r="H187" s="70"/>
    </row>
    <row r="188" spans="1:8" x14ac:dyDescent="0.25">
      <c r="A188" s="76"/>
      <c r="B188" s="77"/>
      <c r="C188" s="78"/>
      <c r="D188" s="79"/>
      <c r="E188" s="80"/>
      <c r="F188" s="79"/>
      <c r="G188" s="70"/>
      <c r="H188" s="70"/>
    </row>
    <row r="189" spans="1:8" x14ac:dyDescent="0.25">
      <c r="A189" s="76"/>
      <c r="B189" s="77"/>
      <c r="C189" s="78"/>
      <c r="D189" s="79"/>
      <c r="E189" s="80"/>
      <c r="F189" s="79"/>
      <c r="G189" s="70"/>
      <c r="H189" s="70"/>
    </row>
    <row r="190" spans="1:8" x14ac:dyDescent="0.25">
      <c r="A190" s="76"/>
      <c r="B190" s="77"/>
      <c r="C190" s="78"/>
      <c r="D190" s="79"/>
      <c r="E190" s="80"/>
      <c r="F190" s="79"/>
      <c r="G190" s="70"/>
      <c r="H190" s="70"/>
    </row>
    <row r="191" spans="1:8" x14ac:dyDescent="0.25">
      <c r="A191" s="76"/>
      <c r="B191" s="77"/>
      <c r="C191" s="78"/>
      <c r="D191" s="79"/>
      <c r="E191" s="80"/>
      <c r="F191" s="79"/>
      <c r="G191" s="70"/>
      <c r="H191" s="70"/>
    </row>
    <row r="192" spans="1:8" x14ac:dyDescent="0.25">
      <c r="A192" s="76"/>
      <c r="B192" s="77"/>
      <c r="C192" s="78"/>
      <c r="D192" s="79"/>
      <c r="E192" s="80"/>
      <c r="F192" s="79"/>
      <c r="G192" s="70"/>
      <c r="H192" s="70"/>
    </row>
    <row r="193" spans="1:8" x14ac:dyDescent="0.25">
      <c r="A193" s="76"/>
      <c r="B193" s="77"/>
      <c r="C193" s="78"/>
      <c r="D193" s="79"/>
      <c r="E193" s="80"/>
      <c r="F193" s="79"/>
      <c r="G193" s="70"/>
      <c r="H193" s="70"/>
    </row>
    <row r="194" spans="1:8" x14ac:dyDescent="0.25">
      <c r="A194" s="76"/>
      <c r="B194" s="77"/>
      <c r="C194" s="78"/>
      <c r="D194" s="79"/>
      <c r="E194" s="80"/>
      <c r="F194" s="79"/>
      <c r="G194" s="70"/>
      <c r="H194" s="70"/>
    </row>
    <row r="195" spans="1:8" x14ac:dyDescent="0.25">
      <c r="A195" s="76"/>
      <c r="B195" s="77"/>
      <c r="C195" s="78"/>
      <c r="D195" s="79"/>
      <c r="E195" s="80"/>
      <c r="F195" s="79"/>
      <c r="G195" s="70"/>
      <c r="H195" s="70"/>
    </row>
    <row r="196" spans="1:8" x14ac:dyDescent="0.25">
      <c r="A196" s="76"/>
      <c r="B196" s="77"/>
      <c r="C196" s="78"/>
      <c r="D196" s="79"/>
      <c r="E196" s="80"/>
      <c r="F196" s="79"/>
      <c r="G196" s="70"/>
      <c r="H196" s="70"/>
    </row>
    <row r="197" spans="1:8" x14ac:dyDescent="0.25">
      <c r="A197" s="76"/>
      <c r="B197" s="77"/>
      <c r="C197" s="78"/>
      <c r="D197" s="79"/>
      <c r="E197" s="80"/>
      <c r="F197" s="79"/>
      <c r="G197" s="70"/>
      <c r="H197" s="70"/>
    </row>
    <row r="198" spans="1:8" x14ac:dyDescent="0.25">
      <c r="A198" s="76"/>
      <c r="B198" s="77"/>
      <c r="C198" s="78"/>
      <c r="D198" s="79"/>
      <c r="E198" s="80"/>
      <c r="F198" s="79"/>
      <c r="G198" s="70"/>
      <c r="H198" s="70"/>
    </row>
    <row r="199" spans="1:8" x14ac:dyDescent="0.25">
      <c r="A199" s="76"/>
      <c r="B199" s="77"/>
      <c r="C199" s="78"/>
      <c r="D199" s="79"/>
      <c r="E199" s="80"/>
      <c r="F199" s="79"/>
      <c r="G199" s="70"/>
      <c r="H199" s="70"/>
    </row>
    <row r="200" spans="1:8" x14ac:dyDescent="0.25">
      <c r="A200" s="76"/>
      <c r="B200" s="77"/>
      <c r="C200" s="78"/>
      <c r="D200" s="79"/>
      <c r="E200" s="80"/>
      <c r="F200" s="79"/>
      <c r="G200" s="70"/>
      <c r="H200" s="70"/>
    </row>
    <row r="201" spans="1:8" x14ac:dyDescent="0.25">
      <c r="A201" s="76"/>
      <c r="B201" s="77"/>
      <c r="C201" s="78"/>
      <c r="D201" s="79"/>
      <c r="E201" s="80"/>
      <c r="F201" s="79"/>
      <c r="G201" s="70"/>
      <c r="H201" s="70"/>
    </row>
    <row r="202" spans="1:8" x14ac:dyDescent="0.25">
      <c r="A202" s="76"/>
      <c r="B202" s="77"/>
      <c r="C202" s="78"/>
      <c r="D202" s="79"/>
      <c r="E202" s="80"/>
      <c r="F202" s="79"/>
      <c r="G202" s="70"/>
      <c r="H202" s="70"/>
    </row>
    <row r="203" spans="1:8" x14ac:dyDescent="0.25">
      <c r="A203" s="76"/>
      <c r="B203" s="77"/>
      <c r="C203" s="78"/>
      <c r="D203" s="79"/>
      <c r="E203" s="80"/>
      <c r="F203" s="79"/>
      <c r="G203" s="70"/>
      <c r="H203" s="70"/>
    </row>
    <row r="204" spans="1:8" x14ac:dyDescent="0.25">
      <c r="A204" s="76"/>
      <c r="B204" s="77"/>
      <c r="C204" s="78"/>
      <c r="D204" s="79"/>
      <c r="E204" s="80"/>
      <c r="F204" s="79"/>
      <c r="G204" s="70"/>
      <c r="H204" s="70"/>
    </row>
    <row r="205" spans="1:8" x14ac:dyDescent="0.25">
      <c r="A205" s="76"/>
      <c r="B205" s="77"/>
      <c r="C205" s="78"/>
      <c r="D205" s="79"/>
      <c r="E205" s="80"/>
      <c r="F205" s="79"/>
      <c r="G205" s="70"/>
      <c r="H205" s="70"/>
    </row>
    <row r="206" spans="1:8" x14ac:dyDescent="0.25">
      <c r="A206" s="76"/>
      <c r="B206" s="77"/>
      <c r="C206" s="78"/>
      <c r="D206" s="79"/>
      <c r="E206" s="80"/>
      <c r="F206" s="79"/>
      <c r="G206" s="70"/>
      <c r="H206" s="70"/>
    </row>
    <row r="207" spans="1:8" x14ac:dyDescent="0.25">
      <c r="A207" s="76"/>
      <c r="B207" s="77"/>
      <c r="C207" s="78"/>
      <c r="D207" s="79"/>
      <c r="E207" s="80"/>
      <c r="F207" s="79"/>
      <c r="G207" s="70"/>
      <c r="H207" s="70"/>
    </row>
    <row r="208" spans="1:8" x14ac:dyDescent="0.25">
      <c r="A208" s="76"/>
      <c r="B208" s="77"/>
      <c r="C208" s="78"/>
      <c r="D208" s="79"/>
      <c r="E208" s="80"/>
      <c r="F208" s="79"/>
      <c r="G208" s="70"/>
      <c r="H208" s="70"/>
    </row>
    <row r="209" spans="1:8" x14ac:dyDescent="0.25">
      <c r="A209" s="76"/>
      <c r="B209" s="77"/>
      <c r="C209" s="78"/>
      <c r="D209" s="79"/>
      <c r="E209" s="80"/>
      <c r="F209" s="79"/>
      <c r="G209" s="70"/>
      <c r="H209" s="70"/>
    </row>
    <row r="210" spans="1:8" x14ac:dyDescent="0.25">
      <c r="A210" s="81"/>
      <c r="B210" s="82"/>
      <c r="C210" s="78"/>
      <c r="D210" s="79"/>
      <c r="E210" s="80"/>
      <c r="F210" s="79"/>
      <c r="G210" s="70"/>
      <c r="H210" s="70"/>
    </row>
    <row r="211" spans="1:8" x14ac:dyDescent="0.25">
      <c r="A211" s="76"/>
      <c r="B211" s="77"/>
      <c r="C211" s="78"/>
      <c r="D211" s="79"/>
      <c r="E211" s="80"/>
      <c r="F211" s="79"/>
      <c r="G211" s="70"/>
      <c r="H211" s="70"/>
    </row>
    <row r="212" spans="1:8" x14ac:dyDescent="0.25">
      <c r="A212" s="76"/>
      <c r="B212" s="77"/>
      <c r="C212" s="78"/>
      <c r="D212" s="79"/>
      <c r="E212" s="80"/>
      <c r="F212" s="79"/>
      <c r="G212" s="70"/>
      <c r="H212" s="70"/>
    </row>
    <row r="213" spans="1:8" x14ac:dyDescent="0.25">
      <c r="A213" s="76"/>
      <c r="B213" s="77"/>
      <c r="C213" s="78"/>
      <c r="D213" s="79"/>
      <c r="E213" s="80"/>
      <c r="F213" s="79"/>
      <c r="G213" s="70"/>
      <c r="H213" s="70"/>
    </row>
    <row r="214" spans="1:8" x14ac:dyDescent="0.25">
      <c r="A214" s="76"/>
      <c r="B214" s="77"/>
      <c r="C214" s="78"/>
      <c r="D214" s="79"/>
      <c r="E214" s="80"/>
      <c r="F214" s="79"/>
      <c r="G214" s="70"/>
      <c r="H214" s="70"/>
    </row>
    <row r="215" spans="1:8" x14ac:dyDescent="0.25">
      <c r="A215" s="76"/>
      <c r="B215" s="77"/>
      <c r="C215" s="78"/>
      <c r="D215" s="79"/>
      <c r="E215" s="80"/>
      <c r="F215" s="79"/>
      <c r="G215" s="70"/>
      <c r="H215" s="70"/>
    </row>
    <row r="216" spans="1:8" x14ac:dyDescent="0.25">
      <c r="A216" s="76"/>
      <c r="B216" s="77"/>
      <c r="C216" s="78"/>
      <c r="D216" s="79"/>
      <c r="E216" s="80"/>
      <c r="F216" s="79"/>
      <c r="G216" s="70"/>
      <c r="H216" s="70"/>
    </row>
    <row r="217" spans="1:8" x14ac:dyDescent="0.25">
      <c r="A217" s="76"/>
      <c r="B217" s="77"/>
      <c r="C217" s="83"/>
      <c r="D217" s="70"/>
      <c r="E217" s="84"/>
      <c r="F217" s="70"/>
      <c r="G217" s="70"/>
      <c r="H217" s="70"/>
    </row>
    <row r="218" spans="1:8" x14ac:dyDescent="0.25">
      <c r="A218" s="85"/>
      <c r="B218" s="114"/>
      <c r="C218" s="87"/>
      <c r="D218" s="114"/>
      <c r="E218" s="84"/>
      <c r="F218" s="114"/>
      <c r="G218" s="70"/>
      <c r="H218" s="70"/>
    </row>
    <row r="219" spans="1:8" x14ac:dyDescent="0.25">
      <c r="A219" s="88"/>
      <c r="B219" s="115"/>
      <c r="C219" s="83"/>
      <c r="D219" s="79"/>
      <c r="E219" s="84"/>
      <c r="F219" s="79"/>
      <c r="G219" s="70"/>
      <c r="H219" s="70"/>
    </row>
    <row r="220" spans="1:8" x14ac:dyDescent="0.25">
      <c r="A220" s="88"/>
      <c r="B220" s="82"/>
      <c r="C220" s="78"/>
      <c r="D220" s="90"/>
      <c r="E220" s="84"/>
      <c r="F220" s="79"/>
      <c r="G220" s="70"/>
      <c r="H220" s="70"/>
    </row>
    <row r="221" spans="1:8" x14ac:dyDescent="0.25">
      <c r="A221" s="88"/>
      <c r="B221" s="115"/>
      <c r="C221" s="83"/>
      <c r="D221" s="89"/>
      <c r="E221" s="84"/>
      <c r="F221" s="79"/>
      <c r="G221" s="70"/>
      <c r="H221" s="70"/>
    </row>
    <row r="222" spans="1:8" x14ac:dyDescent="0.25">
      <c r="A222" s="85"/>
      <c r="B222" s="114"/>
      <c r="C222" s="87"/>
      <c r="D222" s="86"/>
      <c r="E222" s="84"/>
      <c r="F222" s="79"/>
      <c r="G222" s="70"/>
      <c r="H222" s="70"/>
    </row>
    <row r="223" spans="1:8" x14ac:dyDescent="0.25">
      <c r="A223" s="88"/>
      <c r="B223" s="89"/>
      <c r="C223" s="83"/>
      <c r="D223" s="89"/>
      <c r="E223" s="84"/>
      <c r="F223" s="79"/>
      <c r="G223" s="70"/>
      <c r="H223" s="70"/>
    </row>
    <row r="224" spans="1:8" x14ac:dyDescent="0.25">
      <c r="A224" s="70"/>
      <c r="B224" s="70"/>
      <c r="C224" s="70"/>
      <c r="D224" s="70"/>
      <c r="E224" s="70"/>
      <c r="F224" s="70"/>
      <c r="G224" s="70"/>
      <c r="H224" s="70"/>
    </row>
    <row r="225" spans="1:8" x14ac:dyDescent="0.25">
      <c r="A225" s="70"/>
      <c r="B225" s="70"/>
      <c r="C225" s="70"/>
      <c r="D225" s="70"/>
      <c r="E225" s="70"/>
      <c r="F225" s="70"/>
      <c r="G225" s="70"/>
      <c r="H225" s="70"/>
    </row>
    <row r="226" spans="1:8" x14ac:dyDescent="0.25">
      <c r="A226" s="70"/>
      <c r="B226" s="70"/>
      <c r="C226" s="70"/>
      <c r="D226" s="70"/>
      <c r="E226" s="70"/>
      <c r="F226" s="70"/>
      <c r="G226" s="70"/>
      <c r="H226" s="70"/>
    </row>
    <row r="227" spans="1:8" x14ac:dyDescent="0.25">
      <c r="A227" s="70"/>
      <c r="B227" s="70"/>
      <c r="C227" s="70"/>
      <c r="D227" s="70"/>
      <c r="E227" s="70"/>
      <c r="F227" s="70"/>
      <c r="G227" s="70"/>
      <c r="H227" s="70"/>
    </row>
  </sheetData>
  <phoneticPr fontId="8" type="noConversion"/>
  <pageMargins left="0.75" right="0.75" top="1" bottom="1" header="0.5" footer="0.5"/>
  <pageSetup scale="4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O3" sqref="O3"/>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s="487" t="s">
        <v>392</v>
      </c>
      <c r="M1" s="16"/>
      <c r="N1" s="16"/>
      <c r="O1" s="334" t="s">
        <v>275</v>
      </c>
    </row>
    <row r="2" spans="1:15" x14ac:dyDescent="0.25">
      <c r="A2" t="s">
        <v>82</v>
      </c>
      <c r="M2" s="16"/>
      <c r="N2" s="16"/>
      <c r="O2" s="334" t="s">
        <v>189</v>
      </c>
    </row>
    <row r="3" spans="1:15" x14ac:dyDescent="0.25">
      <c r="A3" t="s">
        <v>273</v>
      </c>
      <c r="M3" s="16"/>
      <c r="N3" s="16"/>
      <c r="O3" s="521" t="s">
        <v>748</v>
      </c>
    </row>
    <row r="4" spans="1:15" x14ac:dyDescent="0.25">
      <c r="M4" s="16"/>
      <c r="N4" s="16"/>
      <c r="O4" s="334" t="s">
        <v>725</v>
      </c>
    </row>
    <row r="5" spans="1:15" x14ac:dyDescent="0.25">
      <c r="A5" t="s">
        <v>669</v>
      </c>
      <c r="M5" s="16"/>
      <c r="N5" s="16"/>
      <c r="O5" s="16"/>
    </row>
    <row r="6" spans="1:15" x14ac:dyDescent="0.25">
      <c r="A6" s="157" t="s">
        <v>670</v>
      </c>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57"/>
    </row>
    <row r="8" spans="1:15" x14ac:dyDescent="0.25">
      <c r="G8" s="1"/>
      <c r="H8" s="1"/>
      <c r="I8" s="1" t="s">
        <v>4</v>
      </c>
      <c r="J8" s="1"/>
      <c r="K8" s="1"/>
      <c r="L8" s="1"/>
      <c r="M8" s="1"/>
      <c r="N8" s="1"/>
      <c r="O8" s="1" t="s">
        <v>129</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83</v>
      </c>
      <c r="G13" s="36" t="s">
        <v>73</v>
      </c>
      <c r="I13" s="32">
        <f>I22</f>
        <v>-1252917.4696039285</v>
      </c>
      <c r="K13" s="1" t="s">
        <v>74</v>
      </c>
      <c r="L13" s="1"/>
      <c r="M13" s="1" t="s">
        <v>74</v>
      </c>
      <c r="O13" s="148">
        <f>'PC2p2-Pension'!F86</f>
        <v>-78556.38252436812</v>
      </c>
    </row>
    <row r="16" spans="1:15" x14ac:dyDescent="0.25">
      <c r="I16" s="32"/>
    </row>
    <row r="17" spans="1:15" x14ac:dyDescent="0.25">
      <c r="C17" s="3" t="s">
        <v>76</v>
      </c>
      <c r="I17" s="32"/>
    </row>
    <row r="18" spans="1:15" x14ac:dyDescent="0.25">
      <c r="A18" t="s">
        <v>77</v>
      </c>
      <c r="C18" s="18" t="s">
        <v>158</v>
      </c>
      <c r="D18" s="4"/>
      <c r="E18" s="4"/>
      <c r="F18" s="4"/>
      <c r="G18" s="4"/>
      <c r="H18" s="4"/>
      <c r="I18" s="34">
        <f>24712488-937209</f>
        <v>23775279</v>
      </c>
      <c r="J18" s="4"/>
      <c r="K18" s="13" t="s">
        <v>173</v>
      </c>
    </row>
    <row r="19" spans="1:15" x14ac:dyDescent="0.25">
      <c r="A19" t="s">
        <v>78</v>
      </c>
      <c r="C19" t="s">
        <v>296</v>
      </c>
      <c r="I19" s="33">
        <f>22855427-920000</f>
        <v>21935427</v>
      </c>
      <c r="K19" s="13" t="s">
        <v>174</v>
      </c>
    </row>
    <row r="20" spans="1:15" x14ac:dyDescent="0.25">
      <c r="A20" t="s">
        <v>79</v>
      </c>
      <c r="C20" t="s">
        <v>159</v>
      </c>
      <c r="I20" s="34">
        <f>I19-I18</f>
        <v>-1839852</v>
      </c>
      <c r="K20" t="s">
        <v>160</v>
      </c>
    </row>
    <row r="21" spans="1:15" x14ac:dyDescent="0.25">
      <c r="A21" s="4" t="s">
        <v>80</v>
      </c>
      <c r="B21" s="4"/>
      <c r="C21" s="18" t="s">
        <v>107</v>
      </c>
      <c r="D21" s="4"/>
      <c r="E21" s="4"/>
      <c r="F21" s="4"/>
      <c r="G21" s="4"/>
      <c r="H21" s="4"/>
      <c r="I21" s="53">
        <f>'PC2p2-Pension'!C86</f>
        <v>0.68098818252986026</v>
      </c>
      <c r="J21" s="4"/>
    </row>
    <row r="22" spans="1:15" x14ac:dyDescent="0.25">
      <c r="A22" s="18" t="s">
        <v>81</v>
      </c>
      <c r="B22" s="4"/>
      <c r="C22" s="18" t="s">
        <v>83</v>
      </c>
      <c r="D22" s="4"/>
      <c r="E22" s="4"/>
      <c r="F22" s="4"/>
      <c r="G22" s="4"/>
      <c r="H22" s="4"/>
      <c r="I22" s="54">
        <f>I20*I21</f>
        <v>-1252917.4696039285</v>
      </c>
      <c r="J22" s="4"/>
    </row>
    <row r="23" spans="1:15" x14ac:dyDescent="0.25">
      <c r="A23" s="4"/>
      <c r="B23" s="4"/>
    </row>
    <row r="24" spans="1:15" x14ac:dyDescent="0.25">
      <c r="A24" s="4"/>
      <c r="B24" s="4"/>
      <c r="C24" s="144" t="s">
        <v>276</v>
      </c>
      <c r="D24" s="4"/>
      <c r="E24" s="4"/>
      <c r="F24" s="4"/>
      <c r="G24" s="4"/>
      <c r="H24" s="4"/>
      <c r="I24" s="34"/>
      <c r="J24" s="4"/>
      <c r="K24" s="4"/>
      <c r="L24" s="4"/>
      <c r="M24" s="4"/>
    </row>
    <row r="25" spans="1:15" x14ac:dyDescent="0.25">
      <c r="A25" s="4"/>
      <c r="B25" s="4"/>
      <c r="C25" s="138" t="s">
        <v>249</v>
      </c>
      <c r="D25" s="4"/>
      <c r="E25" s="4"/>
      <c r="F25" s="4"/>
      <c r="G25" s="4"/>
      <c r="H25" s="4"/>
      <c r="I25" s="19"/>
      <c r="J25" s="4"/>
      <c r="K25" s="4"/>
      <c r="L25" s="4"/>
      <c r="M25" s="4"/>
    </row>
    <row r="26" spans="1:15" x14ac:dyDescent="0.25">
      <c r="A26" s="4"/>
      <c r="B26" s="4"/>
      <c r="C26" s="18" t="s">
        <v>291</v>
      </c>
      <c r="D26" s="4"/>
      <c r="E26" s="4"/>
      <c r="F26" s="4"/>
      <c r="G26" s="4"/>
      <c r="H26" s="4"/>
      <c r="I26" s="34"/>
      <c r="J26" s="4"/>
      <c r="K26" s="4"/>
      <c r="L26" s="4"/>
      <c r="M26" s="4"/>
    </row>
    <row r="27" spans="1:15" x14ac:dyDescent="0.25">
      <c r="A27" s="4"/>
      <c r="B27" s="4"/>
      <c r="C27" s="18" t="s">
        <v>292</v>
      </c>
      <c r="D27" s="4"/>
      <c r="E27" s="4"/>
      <c r="F27" s="4"/>
      <c r="G27" s="4"/>
      <c r="H27" s="4"/>
      <c r="I27" s="34"/>
      <c r="J27" s="4"/>
      <c r="K27" s="4"/>
      <c r="L27" s="4"/>
      <c r="M27" s="4"/>
    </row>
    <row r="28" spans="1:15" x14ac:dyDescent="0.25">
      <c r="A28" s="4"/>
      <c r="B28" s="4"/>
      <c r="C28" s="138" t="s">
        <v>294</v>
      </c>
      <c r="D28" s="4"/>
      <c r="E28" s="4"/>
      <c r="F28" s="4"/>
      <c r="G28" s="4"/>
      <c r="H28" s="4"/>
      <c r="I28" s="34"/>
      <c r="J28" s="4"/>
      <c r="K28" s="4"/>
      <c r="L28" s="4"/>
      <c r="M28" s="4"/>
    </row>
    <row r="29" spans="1:15" x14ac:dyDescent="0.25">
      <c r="A29" s="4"/>
      <c r="B29" s="4"/>
      <c r="C29" s="138" t="s">
        <v>293</v>
      </c>
      <c r="D29" s="4"/>
      <c r="E29" s="4"/>
      <c r="F29" s="4"/>
      <c r="G29" s="4"/>
      <c r="H29" s="4"/>
      <c r="I29" s="4"/>
      <c r="J29" s="4"/>
      <c r="K29" s="4"/>
      <c r="L29" s="4"/>
      <c r="M29" s="4"/>
    </row>
    <row r="30" spans="1:15" x14ac:dyDescent="0.25">
      <c r="A30" s="4"/>
      <c r="B30" s="4"/>
      <c r="C30" s="18"/>
      <c r="D30" s="4"/>
      <c r="E30" s="4"/>
      <c r="F30" s="4"/>
      <c r="G30" s="4"/>
      <c r="H30" s="4"/>
      <c r="I30" s="4"/>
      <c r="J30" s="4"/>
      <c r="K30" s="4"/>
      <c r="L30" s="4"/>
      <c r="M30" s="4"/>
    </row>
    <row r="31" spans="1:15" x14ac:dyDescent="0.25">
      <c r="C31" t="s">
        <v>75</v>
      </c>
    </row>
    <row r="32" spans="1:15" x14ac:dyDescent="0.25">
      <c r="C32" s="436" t="s">
        <v>250</v>
      </c>
      <c r="D32" s="437"/>
      <c r="E32" s="437"/>
      <c r="F32" s="437"/>
      <c r="G32" s="437"/>
      <c r="H32" s="437"/>
      <c r="I32" s="437"/>
      <c r="J32" s="437"/>
      <c r="K32" s="437"/>
      <c r="L32" s="437"/>
      <c r="M32" s="437"/>
      <c r="N32" s="437"/>
      <c r="O32" s="438"/>
    </row>
    <row r="33" spans="3:15" x14ac:dyDescent="0.25">
      <c r="C33" s="439"/>
      <c r="D33" s="440"/>
      <c r="E33" s="440"/>
      <c r="F33" s="440"/>
      <c r="G33" s="440"/>
      <c r="H33" s="440"/>
      <c r="I33" s="440"/>
      <c r="J33" s="440"/>
      <c r="K33" s="440"/>
      <c r="L33" s="440"/>
      <c r="M33" s="440"/>
      <c r="N33" s="440"/>
      <c r="O33" s="441"/>
    </row>
    <row r="34" spans="3:15" x14ac:dyDescent="0.25">
      <c r="C34" s="439"/>
      <c r="D34" s="440"/>
      <c r="E34" s="440"/>
      <c r="F34" s="440"/>
      <c r="G34" s="440"/>
      <c r="H34" s="440"/>
      <c r="I34" s="440"/>
      <c r="J34" s="440"/>
      <c r="K34" s="440"/>
      <c r="L34" s="440"/>
      <c r="M34" s="440"/>
      <c r="N34" s="440"/>
      <c r="O34" s="441"/>
    </row>
    <row r="35" spans="3:15" x14ac:dyDescent="0.25">
      <c r="C35" s="442"/>
      <c r="D35" s="443"/>
      <c r="E35" s="443"/>
      <c r="F35" s="443"/>
      <c r="G35" s="443"/>
      <c r="H35" s="443"/>
      <c r="I35" s="443"/>
      <c r="J35" s="443"/>
      <c r="K35" s="443"/>
      <c r="L35" s="443"/>
      <c r="M35" s="443"/>
      <c r="N35" s="443"/>
      <c r="O35" s="444"/>
    </row>
  </sheetData>
  <mergeCells count="1">
    <mergeCell ref="C32:O35"/>
  </mergeCells>
  <phoneticPr fontId="8" type="noConversion"/>
  <pageMargins left="0.75" right="0.75" top="1" bottom="1" header="0.5" footer="0.5"/>
  <pageSetup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6"/>
  <sheetViews>
    <sheetView workbookViewId="0">
      <selection activeCell="F3" sqref="F3"/>
    </sheetView>
  </sheetViews>
  <sheetFormatPr defaultRowHeight="15.75" x14ac:dyDescent="0.25"/>
  <cols>
    <col min="1" max="1" width="17.625" style="56" customWidth="1"/>
    <col min="2" max="2" width="14.75" style="56" customWidth="1"/>
    <col min="3" max="3" width="9.625" style="56" customWidth="1"/>
    <col min="4" max="4" width="12" style="56" customWidth="1"/>
    <col min="5" max="5" width="10.875" style="56" customWidth="1"/>
    <col min="6" max="6" width="12.125" style="56" customWidth="1"/>
    <col min="7" max="16384" width="9" style="56"/>
  </cols>
  <sheetData>
    <row r="1" spans="1:10" x14ac:dyDescent="0.25">
      <c r="A1" s="487" t="s">
        <v>392</v>
      </c>
      <c r="B1"/>
      <c r="C1"/>
      <c r="D1"/>
      <c r="E1"/>
      <c r="F1" s="334" t="s">
        <v>275</v>
      </c>
    </row>
    <row r="2" spans="1:10" x14ac:dyDescent="0.25">
      <c r="A2" t="s">
        <v>82</v>
      </c>
      <c r="B2"/>
      <c r="C2"/>
      <c r="D2"/>
      <c r="E2"/>
      <c r="F2" s="334" t="s">
        <v>189</v>
      </c>
    </row>
    <row r="3" spans="1:10" x14ac:dyDescent="0.25">
      <c r="A3" t="s">
        <v>273</v>
      </c>
      <c r="B3"/>
      <c r="C3"/>
      <c r="D3"/>
      <c r="E3"/>
      <c r="F3" s="521" t="s">
        <v>748</v>
      </c>
    </row>
    <row r="4" spans="1:10" x14ac:dyDescent="0.25">
      <c r="A4"/>
      <c r="B4"/>
      <c r="C4"/>
      <c r="D4"/>
      <c r="E4"/>
      <c r="F4" s="334" t="s">
        <v>726</v>
      </c>
    </row>
    <row r="5" spans="1:10" ht="15" customHeight="1" x14ac:dyDescent="0.25">
      <c r="A5" t="s">
        <v>669</v>
      </c>
      <c r="B5"/>
      <c r="C5"/>
      <c r="D5"/>
      <c r="E5" s="178"/>
      <c r="F5" s="178"/>
      <c r="H5" s="70"/>
      <c r="I5" s="70"/>
      <c r="J5" s="70"/>
    </row>
    <row r="6" spans="1:10" ht="15" customHeight="1" x14ac:dyDescent="0.25">
      <c r="A6" s="157" t="s">
        <v>671</v>
      </c>
      <c r="B6"/>
      <c r="C6"/>
      <c r="D6"/>
      <c r="E6" s="178"/>
      <c r="F6" s="178"/>
      <c r="H6" s="70"/>
      <c r="I6" s="70"/>
      <c r="J6" s="70"/>
    </row>
    <row r="7" spans="1:10" x14ac:dyDescent="0.25">
      <c r="A7" s="91"/>
      <c r="B7" s="92" t="s">
        <v>61</v>
      </c>
      <c r="C7" s="93"/>
      <c r="D7" s="22" t="s">
        <v>146</v>
      </c>
      <c r="E7" s="178" t="s">
        <v>8</v>
      </c>
      <c r="F7" s="178" t="s">
        <v>129</v>
      </c>
      <c r="H7" s="70"/>
      <c r="I7" s="70"/>
      <c r="J7" s="70"/>
    </row>
    <row r="8" spans="1:10" x14ac:dyDescent="0.25">
      <c r="A8" s="94" t="s">
        <v>71</v>
      </c>
      <c r="B8" s="95" t="s">
        <v>274</v>
      </c>
      <c r="C8" s="96" t="s">
        <v>8</v>
      </c>
      <c r="D8" s="97" t="s">
        <v>72</v>
      </c>
      <c r="E8" s="495" t="s">
        <v>69</v>
      </c>
      <c r="F8" s="495" t="s">
        <v>2</v>
      </c>
      <c r="H8" s="70"/>
      <c r="I8" s="70"/>
      <c r="J8" s="70"/>
    </row>
    <row r="9" spans="1:10" x14ac:dyDescent="0.25">
      <c r="A9" s="68" t="s">
        <v>131</v>
      </c>
      <c r="B9" s="100">
        <v>67884043.425930023</v>
      </c>
      <c r="C9" s="101">
        <f t="shared" ref="C9:C40" si="0">B9/$B$90</f>
        <v>9.7688313701874058E-2</v>
      </c>
      <c r="D9" s="98">
        <f t="shared" ref="D9:D40" si="1">C9*$D$90</f>
        <v>-179732.0393410204</v>
      </c>
      <c r="E9" s="113">
        <v>0</v>
      </c>
      <c r="F9" s="496">
        <f>D9*E9</f>
        <v>0</v>
      </c>
      <c r="G9" s="70"/>
      <c r="H9" s="70"/>
      <c r="I9" s="70"/>
      <c r="J9" s="70"/>
    </row>
    <row r="10" spans="1:10" x14ac:dyDescent="0.25">
      <c r="A10" s="68" t="s">
        <v>132</v>
      </c>
      <c r="B10" s="100">
        <v>7473965.8163556829</v>
      </c>
      <c r="C10" s="101">
        <f t="shared" si="0"/>
        <v>1.075538639742178E-2</v>
      </c>
      <c r="D10" s="98">
        <f t="shared" si="1"/>
        <v>-19788.319174069256</v>
      </c>
      <c r="E10" s="113">
        <v>0.22437004168265501</v>
      </c>
      <c r="F10" s="496">
        <f t="shared" ref="F10:F73" si="2">D10*E10</f>
        <v>-4439.9059979156</v>
      </c>
      <c r="G10" s="70"/>
      <c r="H10" s="70"/>
      <c r="I10" s="70"/>
      <c r="J10" s="70"/>
    </row>
    <row r="11" spans="1:10" x14ac:dyDescent="0.25">
      <c r="A11" s="68" t="s">
        <v>63</v>
      </c>
      <c r="B11" s="100">
        <v>5688.354078993184</v>
      </c>
      <c r="C11" s="101">
        <f t="shared" si="0"/>
        <v>8.1858075870560602E-6</v>
      </c>
      <c r="D11" s="98">
        <f t="shared" si="1"/>
        <v>-15.060674460660266</v>
      </c>
      <c r="E11" s="113">
        <v>8.2285226967736394E-2</v>
      </c>
      <c r="F11" s="496">
        <f t="shared" si="2"/>
        <v>-1.2392710162826208</v>
      </c>
      <c r="G11" s="70"/>
      <c r="H11" s="70"/>
      <c r="I11" s="70"/>
      <c r="J11" s="70"/>
    </row>
    <row r="12" spans="1:10" x14ac:dyDescent="0.25">
      <c r="A12" s="68" t="s">
        <v>133</v>
      </c>
      <c r="B12" s="102">
        <v>1840130.5347571312</v>
      </c>
      <c r="C12" s="101">
        <f t="shared" si="0"/>
        <v>2.6480339098818076E-3</v>
      </c>
      <c r="D12" s="98">
        <f t="shared" si="1"/>
        <v>-4871.9904851638639</v>
      </c>
      <c r="E12" s="113">
        <v>0</v>
      </c>
      <c r="F12" s="496">
        <f t="shared" si="2"/>
        <v>0</v>
      </c>
      <c r="G12" s="70"/>
      <c r="H12" s="70"/>
      <c r="I12" s="70"/>
      <c r="J12" s="70"/>
    </row>
    <row r="13" spans="1:10" x14ac:dyDescent="0.25">
      <c r="A13" s="137" t="s">
        <v>134</v>
      </c>
      <c r="B13" s="100">
        <v>651466.40833665896</v>
      </c>
      <c r="C13" s="101">
        <f t="shared" si="0"/>
        <v>9.3749063332187381E-4</v>
      </c>
      <c r="D13" s="98">
        <f t="shared" si="1"/>
        <v>-1724.8440166985163</v>
      </c>
      <c r="E13" s="113">
        <v>0.22730931045735822</v>
      </c>
      <c r="F13" s="496">
        <f t="shared" si="2"/>
        <v>-392.07310408223981</v>
      </c>
      <c r="G13" s="70"/>
      <c r="H13" s="70"/>
      <c r="I13" s="70"/>
      <c r="J13" s="70"/>
    </row>
    <row r="14" spans="1:10" x14ac:dyDescent="0.25">
      <c r="A14" s="68" t="s">
        <v>64</v>
      </c>
      <c r="B14" s="100">
        <v>325823.58490444999</v>
      </c>
      <c r="C14" s="101">
        <f t="shared" si="0"/>
        <v>4.6887537876768779E-4</v>
      </c>
      <c r="D14" s="98">
        <f t="shared" si="1"/>
        <v>-862.66130337648792</v>
      </c>
      <c r="E14" s="113">
        <v>7.6800559158639092E-2</v>
      </c>
      <c r="F14" s="496">
        <f t="shared" si="2"/>
        <v>-66.252870463834668</v>
      </c>
      <c r="G14" s="70"/>
      <c r="H14" s="70"/>
      <c r="I14" s="70"/>
      <c r="J14" s="70"/>
    </row>
    <row r="15" spans="1:10" x14ac:dyDescent="0.25">
      <c r="A15" s="68" t="s">
        <v>196</v>
      </c>
      <c r="B15" s="100">
        <v>119826.97067672609</v>
      </c>
      <c r="C15" s="101">
        <f t="shared" si="0"/>
        <v>1.7243661559709033E-4</v>
      </c>
      <c r="D15" s="98">
        <f t="shared" si="1"/>
        <v>-317.25785207953783</v>
      </c>
      <c r="E15" s="113">
        <v>0</v>
      </c>
      <c r="F15" s="496">
        <f t="shared" si="2"/>
        <v>0</v>
      </c>
      <c r="G15" s="70"/>
      <c r="H15" s="70"/>
      <c r="I15" s="70"/>
      <c r="J15" s="70"/>
    </row>
    <row r="16" spans="1:10" x14ac:dyDescent="0.25">
      <c r="A16" s="68" t="s">
        <v>135</v>
      </c>
      <c r="B16" s="100">
        <v>2139.63</v>
      </c>
      <c r="C16" s="101">
        <f t="shared" si="0"/>
        <v>3.0790276491706669E-6</v>
      </c>
      <c r="D16" s="98">
        <f t="shared" si="1"/>
        <v>-5.6649551783819501</v>
      </c>
      <c r="E16" s="113">
        <v>0.22565052397253504</v>
      </c>
      <c r="F16" s="496">
        <f t="shared" si="2"/>
        <v>-1.2783001042828128</v>
      </c>
      <c r="G16" s="70"/>
      <c r="H16" s="70"/>
      <c r="I16" s="70"/>
      <c r="J16" s="70"/>
    </row>
    <row r="17" spans="1:10" x14ac:dyDescent="0.25">
      <c r="A17" s="68" t="s">
        <v>197</v>
      </c>
      <c r="B17" s="100">
        <v>32126887.385325186</v>
      </c>
      <c r="C17" s="101">
        <f t="shared" si="0"/>
        <v>4.6232093652270982E-2</v>
      </c>
      <c r="D17" s="98">
        <f t="shared" si="1"/>
        <v>-85060.209970318072</v>
      </c>
      <c r="E17" s="113">
        <v>0</v>
      </c>
      <c r="F17" s="496">
        <f t="shared" si="2"/>
        <v>0</v>
      </c>
      <c r="G17" s="70"/>
      <c r="H17" s="70"/>
      <c r="I17" s="70"/>
      <c r="J17" s="70"/>
    </row>
    <row r="18" spans="1:10" x14ac:dyDescent="0.25">
      <c r="A18" s="68" t="s">
        <v>198</v>
      </c>
      <c r="B18" s="100">
        <v>18043997.810790766</v>
      </c>
      <c r="C18" s="101">
        <f t="shared" si="0"/>
        <v>2.5966156840668598E-2</v>
      </c>
      <c r="D18" s="98">
        <f t="shared" si="1"/>
        <v>-47773.885595617801</v>
      </c>
      <c r="E18" s="113">
        <v>0.22437004168265501</v>
      </c>
      <c r="F18" s="496">
        <f t="shared" si="2"/>
        <v>-10719.028702431158</v>
      </c>
      <c r="G18" s="70"/>
      <c r="H18" s="70"/>
      <c r="I18" s="70"/>
      <c r="J18" s="70"/>
    </row>
    <row r="19" spans="1:10" x14ac:dyDescent="0.25">
      <c r="A19" s="68" t="s">
        <v>199</v>
      </c>
      <c r="B19" s="100">
        <v>-82229.878538628589</v>
      </c>
      <c r="C19" s="101">
        <f t="shared" si="0"/>
        <v>-1.1833264144192363E-4</v>
      </c>
      <c r="D19" s="98">
        <f t="shared" si="1"/>
        <v>217.71454702220606</v>
      </c>
      <c r="E19" s="113">
        <v>0.22565052397253504</v>
      </c>
      <c r="F19" s="496">
        <f t="shared" si="2"/>
        <v>49.127401612003915</v>
      </c>
      <c r="G19" s="70"/>
      <c r="H19" s="70"/>
      <c r="I19" s="70"/>
      <c r="J19" s="70"/>
    </row>
    <row r="20" spans="1:10" x14ac:dyDescent="0.25">
      <c r="A20" s="68" t="s">
        <v>136</v>
      </c>
      <c r="B20" s="100">
        <v>7468677.1259951256</v>
      </c>
      <c r="C20" s="101">
        <f t="shared" si="0"/>
        <v>1.0747775724619445E-2</v>
      </c>
      <c r="D20" s="98">
        <f t="shared" si="1"/>
        <v>-19774.316662492536</v>
      </c>
      <c r="E20" s="113">
        <v>0</v>
      </c>
      <c r="F20" s="496">
        <f t="shared" si="2"/>
        <v>0</v>
      </c>
      <c r="G20" s="70"/>
      <c r="H20" s="70"/>
      <c r="I20" s="70"/>
      <c r="J20" s="70"/>
    </row>
    <row r="21" spans="1:10" x14ac:dyDescent="0.25">
      <c r="A21" s="68" t="s">
        <v>137</v>
      </c>
      <c r="B21" s="100">
        <v>7865931.746117129</v>
      </c>
      <c r="C21" s="101">
        <f t="shared" si="0"/>
        <v>1.1319443704184341E-2</v>
      </c>
      <c r="D21" s="98">
        <f t="shared" si="1"/>
        <v>-20826.101138030968</v>
      </c>
      <c r="E21" s="113">
        <v>0.22565052397253504</v>
      </c>
      <c r="F21" s="496">
        <f t="shared" si="2"/>
        <v>-4699.4206341016961</v>
      </c>
      <c r="G21" s="70"/>
      <c r="H21" s="70"/>
      <c r="I21" s="70"/>
      <c r="J21" s="70"/>
    </row>
    <row r="22" spans="1:10" x14ac:dyDescent="0.25">
      <c r="A22" s="68" t="s">
        <v>200</v>
      </c>
      <c r="B22" s="100">
        <v>990352.84525628691</v>
      </c>
      <c r="C22" s="101">
        <f t="shared" si="0"/>
        <v>1.4251640671419574E-3</v>
      </c>
      <c r="D22" s="98">
        <f t="shared" si="1"/>
        <v>-2622.0909592592648</v>
      </c>
      <c r="E22" s="113">
        <v>0</v>
      </c>
      <c r="F22" s="496">
        <f t="shared" si="2"/>
        <v>0</v>
      </c>
      <c r="G22" s="70"/>
      <c r="H22" s="70"/>
      <c r="I22" s="70"/>
      <c r="J22" s="70"/>
    </row>
    <row r="23" spans="1:10" x14ac:dyDescent="0.25">
      <c r="A23" s="68" t="s">
        <v>201</v>
      </c>
      <c r="B23" s="100">
        <v>2788048.901278784</v>
      </c>
      <c r="C23" s="101">
        <f t="shared" si="0"/>
        <v>4.0121327772919971E-3</v>
      </c>
      <c r="D23" s="98">
        <f t="shared" si="1"/>
        <v>-7381.7305145662358</v>
      </c>
      <c r="E23" s="113">
        <v>0.22565052397253504</v>
      </c>
      <c r="F23" s="496">
        <f t="shared" si="2"/>
        <v>-1665.6913584359218</v>
      </c>
      <c r="G23" s="70"/>
      <c r="H23" s="70"/>
      <c r="I23" s="70"/>
      <c r="J23" s="70"/>
    </row>
    <row r="24" spans="1:10" x14ac:dyDescent="0.25">
      <c r="A24" s="68" t="s">
        <v>202</v>
      </c>
      <c r="B24" s="100">
        <v>54802.150907052463</v>
      </c>
      <c r="C24" s="101">
        <f t="shared" si="0"/>
        <v>7.8862858474052931E-5</v>
      </c>
      <c r="D24" s="98">
        <f t="shared" si="1"/>
        <v>-145.09598788920323</v>
      </c>
      <c r="E24" s="113">
        <v>0</v>
      </c>
      <c r="F24" s="496">
        <f t="shared" si="2"/>
        <v>0</v>
      </c>
      <c r="G24" s="70"/>
      <c r="H24" s="70"/>
      <c r="I24" s="70"/>
      <c r="J24" s="70"/>
    </row>
    <row r="25" spans="1:10" x14ac:dyDescent="0.25">
      <c r="A25" s="68" t="s">
        <v>203</v>
      </c>
      <c r="B25" s="100">
        <v>17719.469690664984</v>
      </c>
      <c r="C25" s="101">
        <f t="shared" si="0"/>
        <v>2.5499145696311553E-5</v>
      </c>
      <c r="D25" s="98">
        <f t="shared" si="1"/>
        <v>-46.914654207650202</v>
      </c>
      <c r="E25" s="113">
        <v>0.22565052397253504</v>
      </c>
      <c r="F25" s="496">
        <f t="shared" si="2"/>
        <v>-10.586316303946564</v>
      </c>
      <c r="G25" s="70"/>
      <c r="H25" s="70"/>
      <c r="I25" s="70"/>
      <c r="J25" s="70"/>
    </row>
    <row r="26" spans="1:10" x14ac:dyDescent="0.25">
      <c r="A26" s="68" t="s">
        <v>204</v>
      </c>
      <c r="B26" s="100">
        <v>4986210.316771457</v>
      </c>
      <c r="C26" s="101">
        <f t="shared" si="0"/>
        <v>7.1753898711082497E-3</v>
      </c>
      <c r="D26" s="98">
        <f t="shared" si="1"/>
        <v>-13201.655405138255</v>
      </c>
      <c r="E26" s="113">
        <v>0</v>
      </c>
      <c r="F26" s="496">
        <f t="shared" si="2"/>
        <v>0</v>
      </c>
      <c r="G26" s="70"/>
      <c r="H26" s="70"/>
      <c r="I26" s="70"/>
      <c r="J26" s="70"/>
    </row>
    <row r="27" spans="1:10" x14ac:dyDescent="0.25">
      <c r="A27" s="68" t="s">
        <v>205</v>
      </c>
      <c r="B27" s="100">
        <v>1718632.846716661</v>
      </c>
      <c r="C27" s="101">
        <f t="shared" si="0"/>
        <v>2.4731930538520641E-3</v>
      </c>
      <c r="D27" s="98">
        <f t="shared" si="1"/>
        <v>-4550.3091865158276</v>
      </c>
      <c r="E27" s="113">
        <v>0.22565052397253504</v>
      </c>
      <c r="F27" s="496">
        <f t="shared" si="2"/>
        <v>-1026.7796521743362</v>
      </c>
      <c r="G27" s="70"/>
      <c r="H27" s="70"/>
      <c r="I27" s="70"/>
      <c r="J27" s="70"/>
    </row>
    <row r="28" spans="1:10" x14ac:dyDescent="0.25">
      <c r="A28" s="68" t="s">
        <v>206</v>
      </c>
      <c r="B28" s="100">
        <v>505.11772648143074</v>
      </c>
      <c r="C28" s="101">
        <f t="shared" si="0"/>
        <v>7.2688803481094933E-7</v>
      </c>
      <c r="D28" s="98">
        <f t="shared" si="1"/>
        <v>-1.3373664046229947</v>
      </c>
      <c r="E28" s="113">
        <v>0</v>
      </c>
      <c r="F28" s="496">
        <f t="shared" si="2"/>
        <v>0</v>
      </c>
      <c r="G28" s="70"/>
      <c r="H28" s="70"/>
      <c r="I28" s="70"/>
      <c r="J28" s="70"/>
    </row>
    <row r="29" spans="1:10" x14ac:dyDescent="0.25">
      <c r="A29" s="68" t="s">
        <v>207</v>
      </c>
      <c r="B29" s="100">
        <v>1872310.5679591252</v>
      </c>
      <c r="C29" s="101">
        <f t="shared" si="0"/>
        <v>2.6943424828501103E-3</v>
      </c>
      <c r="D29" s="98">
        <f t="shared" si="1"/>
        <v>-4957.191405756741</v>
      </c>
      <c r="E29" s="113">
        <v>8.2285226967736394E-2</v>
      </c>
      <c r="F29" s="496">
        <f t="shared" si="2"/>
        <v>-407.90361994520566</v>
      </c>
      <c r="G29" s="70"/>
      <c r="H29" s="70"/>
      <c r="I29" s="70"/>
      <c r="J29" s="70"/>
    </row>
    <row r="30" spans="1:10" x14ac:dyDescent="0.25">
      <c r="A30" s="68" t="s">
        <v>208</v>
      </c>
      <c r="B30" s="100">
        <v>1978477.6022114239</v>
      </c>
      <c r="C30" s="101">
        <f t="shared" si="0"/>
        <v>2.8471218110018358E-3</v>
      </c>
      <c r="D30" s="98">
        <f t="shared" si="1"/>
        <v>-5238.2827582153495</v>
      </c>
      <c r="E30" s="113">
        <v>0</v>
      </c>
      <c r="F30" s="496">
        <f t="shared" si="2"/>
        <v>0</v>
      </c>
      <c r="G30" s="70"/>
      <c r="H30" s="70"/>
      <c r="I30" s="70"/>
      <c r="J30" s="70"/>
    </row>
    <row r="31" spans="1:10" x14ac:dyDescent="0.25">
      <c r="A31" s="68" t="s">
        <v>209</v>
      </c>
      <c r="B31" s="100">
        <v>899293.5980669097</v>
      </c>
      <c r="C31" s="101">
        <f t="shared" si="0"/>
        <v>1.2941255512262343E-3</v>
      </c>
      <c r="D31" s="98">
        <f t="shared" si="1"/>
        <v>-2380.9994836746896</v>
      </c>
      <c r="E31" s="113">
        <v>0.22565052397253504</v>
      </c>
      <c r="F31" s="496">
        <f t="shared" si="2"/>
        <v>-537.27378106952915</v>
      </c>
      <c r="G31" s="70"/>
      <c r="H31" s="70"/>
      <c r="I31" s="70"/>
      <c r="J31" s="70"/>
    </row>
    <row r="32" spans="1:10" x14ac:dyDescent="0.25">
      <c r="A32" s="68" t="s">
        <v>65</v>
      </c>
      <c r="B32" s="100">
        <v>26766065.187209137</v>
      </c>
      <c r="C32" s="101">
        <f t="shared" si="0"/>
        <v>3.851761976179123E-2</v>
      </c>
      <c r="D32" s="98">
        <f t="shared" si="1"/>
        <v>-70866.71975397112</v>
      </c>
      <c r="E32" s="113">
        <v>8.2285226967736394E-2</v>
      </c>
      <c r="F32" s="496">
        <f t="shared" si="2"/>
        <v>-5831.2841194144821</v>
      </c>
      <c r="G32" s="70"/>
      <c r="H32" s="70"/>
      <c r="I32" s="70"/>
      <c r="J32" s="70"/>
    </row>
    <row r="33" spans="1:10" x14ac:dyDescent="0.25">
      <c r="A33" s="68" t="s">
        <v>138</v>
      </c>
      <c r="B33" s="100">
        <v>9704036.161406856</v>
      </c>
      <c r="C33" s="101">
        <f t="shared" si="0"/>
        <v>1.3964561933382731E-2</v>
      </c>
      <c r="D33" s="98">
        <f t="shared" si="1"/>
        <v>-25692.727202258084</v>
      </c>
      <c r="E33" s="113">
        <v>0</v>
      </c>
      <c r="F33" s="496">
        <f t="shared" si="2"/>
        <v>0</v>
      </c>
      <c r="G33" s="70"/>
      <c r="H33" s="70"/>
      <c r="I33" s="70"/>
      <c r="J33" s="70"/>
    </row>
    <row r="34" spans="1:10" x14ac:dyDescent="0.25">
      <c r="A34" s="68" t="s">
        <v>139</v>
      </c>
      <c r="B34" s="100">
        <v>134529.60273698869</v>
      </c>
      <c r="C34" s="101">
        <f t="shared" si="0"/>
        <v>1.9359439083352448E-4</v>
      </c>
      <c r="D34" s="98">
        <f t="shared" si="1"/>
        <v>-356.18502716384171</v>
      </c>
      <c r="E34" s="113">
        <v>0.22565052397253504</v>
      </c>
      <c r="F34" s="496">
        <f t="shared" si="2"/>
        <v>-80.373338010692507</v>
      </c>
      <c r="G34" s="70"/>
      <c r="H34" s="70"/>
      <c r="I34" s="70"/>
      <c r="J34" s="70"/>
    </row>
    <row r="35" spans="1:10" x14ac:dyDescent="0.25">
      <c r="A35" s="68" t="s">
        <v>140</v>
      </c>
      <c r="B35" s="100">
        <v>1640286.7030886197</v>
      </c>
      <c r="C35" s="101">
        <f t="shared" si="0"/>
        <v>2.3604492886045046E-3</v>
      </c>
      <c r="D35" s="98">
        <f t="shared" si="1"/>
        <v>-4342.8773445375746</v>
      </c>
      <c r="E35" s="113">
        <v>0.22437004168265501</v>
      </c>
      <c r="F35" s="496">
        <f t="shared" si="2"/>
        <v>-974.41157081655365</v>
      </c>
      <c r="G35" s="70"/>
      <c r="H35" s="70"/>
      <c r="I35" s="70"/>
      <c r="J35" s="70"/>
    </row>
    <row r="36" spans="1:10" x14ac:dyDescent="0.25">
      <c r="A36" s="68" t="s">
        <v>141</v>
      </c>
      <c r="B36" s="100">
        <v>3902219.1207062858</v>
      </c>
      <c r="C36" s="101">
        <f t="shared" si="0"/>
        <v>5.6154758373069651E-3</v>
      </c>
      <c r="D36" s="98">
        <f t="shared" si="1"/>
        <v>-10331.644450220894</v>
      </c>
      <c r="E36" s="113">
        <v>0</v>
      </c>
      <c r="F36" s="496">
        <f t="shared" si="2"/>
        <v>0</v>
      </c>
      <c r="G36" s="70"/>
      <c r="H36" s="70"/>
      <c r="I36" s="70"/>
      <c r="J36" s="70"/>
    </row>
    <row r="37" spans="1:10" x14ac:dyDescent="0.25">
      <c r="A37" s="68" t="s">
        <v>142</v>
      </c>
      <c r="B37" s="100">
        <v>204315.4936260535</v>
      </c>
      <c r="C37" s="101">
        <f t="shared" si="0"/>
        <v>2.940195519919668E-4</v>
      </c>
      <c r="D37" s="98">
        <f t="shared" si="1"/>
        <v>-540.9524607715241</v>
      </c>
      <c r="E37" s="113">
        <v>0.22565052397253504</v>
      </c>
      <c r="F37" s="496">
        <f t="shared" si="2"/>
        <v>-122.06620621732662</v>
      </c>
      <c r="G37" s="70"/>
      <c r="H37" s="70"/>
      <c r="I37" s="70"/>
      <c r="J37" s="70"/>
    </row>
    <row r="38" spans="1:10" x14ac:dyDescent="0.25">
      <c r="A38" s="68" t="s">
        <v>66</v>
      </c>
      <c r="B38" s="100">
        <v>15257490.955798399</v>
      </c>
      <c r="C38" s="101">
        <f t="shared" si="0"/>
        <v>2.195624314011051E-2</v>
      </c>
      <c r="D38" s="98">
        <f t="shared" si="1"/>
        <v>-40396.237853818602</v>
      </c>
      <c r="E38" s="113">
        <v>8.2285226967736394E-2</v>
      </c>
      <c r="F38" s="496">
        <f t="shared" si="2"/>
        <v>-3324.0136004441283</v>
      </c>
      <c r="G38" s="70"/>
      <c r="H38" s="70"/>
      <c r="I38" s="70"/>
      <c r="J38" s="70"/>
    </row>
    <row r="39" spans="1:10" x14ac:dyDescent="0.25">
      <c r="A39" s="68" t="s">
        <v>143</v>
      </c>
      <c r="B39" s="100">
        <v>23950.698454310346</v>
      </c>
      <c r="C39" s="101">
        <f t="shared" si="0"/>
        <v>3.4466175347032296E-5</v>
      </c>
      <c r="D39" s="98">
        <f t="shared" si="1"/>
        <v>-63.412661644588063</v>
      </c>
      <c r="E39" s="113">
        <v>0.22437004168265501</v>
      </c>
      <c r="F39" s="496">
        <f t="shared" si="2"/>
        <v>-14.227901536404323</v>
      </c>
      <c r="G39" s="70"/>
      <c r="H39" s="70"/>
      <c r="I39" s="70"/>
      <c r="J39" s="70"/>
    </row>
    <row r="40" spans="1:10" x14ac:dyDescent="0.25">
      <c r="A40" s="68" t="s">
        <v>210</v>
      </c>
      <c r="B40" s="100">
        <v>-2077143.3667929284</v>
      </c>
      <c r="C40" s="101">
        <f t="shared" si="0"/>
        <v>-2.9891064612324911E-3</v>
      </c>
      <c r="D40" s="98">
        <f t="shared" si="1"/>
        <v>5499.5135009115211</v>
      </c>
      <c r="E40" s="113">
        <v>0</v>
      </c>
      <c r="F40" s="496">
        <f t="shared" si="2"/>
        <v>0</v>
      </c>
      <c r="G40" s="70"/>
      <c r="H40" s="70"/>
      <c r="I40" s="70"/>
      <c r="J40" s="70"/>
    </row>
    <row r="41" spans="1:10" x14ac:dyDescent="0.25">
      <c r="A41" s="68" t="s">
        <v>211</v>
      </c>
      <c r="B41" s="100">
        <v>50701.957012414874</v>
      </c>
      <c r="C41" s="101">
        <f t="shared" ref="C41:C72" si="3">B41/$B$90</f>
        <v>7.296248767697592E-5</v>
      </c>
      <c r="D41" s="98">
        <f t="shared" ref="D41:D72" si="4">C41*$D$90</f>
        <v>-134.2401788774595</v>
      </c>
      <c r="E41" s="113">
        <v>0.22565052397253504</v>
      </c>
      <c r="F41" s="496">
        <f t="shared" si="2"/>
        <v>-30.291366701865567</v>
      </c>
      <c r="G41" s="70"/>
      <c r="H41" s="70"/>
      <c r="I41" s="70"/>
      <c r="J41" s="70"/>
    </row>
    <row r="42" spans="1:10" x14ac:dyDescent="0.25">
      <c r="A42" s="68" t="s">
        <v>212</v>
      </c>
      <c r="B42" s="100">
        <v>3602262.440574009</v>
      </c>
      <c r="C42" s="101">
        <f t="shared" si="3"/>
        <v>5.183824144406453E-3</v>
      </c>
      <c r="D42" s="98">
        <f t="shared" si="4"/>
        <v>-9537.4692197345012</v>
      </c>
      <c r="E42" s="113">
        <v>8.2285226967736394E-2</v>
      </c>
      <c r="F42" s="496">
        <f t="shared" si="2"/>
        <v>-784.79281944365312</v>
      </c>
      <c r="G42" s="70"/>
      <c r="H42" s="70"/>
      <c r="I42" s="70"/>
      <c r="J42" s="70"/>
    </row>
    <row r="43" spans="1:10" x14ac:dyDescent="0.25">
      <c r="A43" s="68" t="s">
        <v>213</v>
      </c>
      <c r="B43" s="100">
        <v>79030.443447199534</v>
      </c>
      <c r="C43" s="101">
        <f t="shared" si="3"/>
        <v>1.1372850469480523E-4</v>
      </c>
      <c r="D43" s="98">
        <f t="shared" si="4"/>
        <v>-209.24361681974679</v>
      </c>
      <c r="E43" s="113">
        <v>0.22437004168265501</v>
      </c>
      <c r="F43" s="496">
        <f t="shared" si="2"/>
        <v>-46.947999027676083</v>
      </c>
      <c r="G43" s="70"/>
      <c r="H43" s="70"/>
      <c r="I43" s="70"/>
      <c r="J43" s="70"/>
    </row>
    <row r="44" spans="1:10" x14ac:dyDescent="0.25">
      <c r="A44" s="68" t="s">
        <v>99</v>
      </c>
      <c r="B44" s="100">
        <v>769363.03456823027</v>
      </c>
      <c r="C44" s="101">
        <f t="shared" si="3"/>
        <v>1.1071493929723497E-3</v>
      </c>
      <c r="D44" s="98">
        <f t="shared" si="4"/>
        <v>-2036.9910249589636</v>
      </c>
      <c r="E44" s="113">
        <v>0</v>
      </c>
      <c r="F44" s="496">
        <f t="shared" si="2"/>
        <v>0</v>
      </c>
      <c r="G44" s="70"/>
      <c r="H44" s="70"/>
      <c r="I44" s="70"/>
      <c r="J44" s="70"/>
    </row>
    <row r="45" spans="1:10" x14ac:dyDescent="0.25">
      <c r="A45" s="68" t="s">
        <v>214</v>
      </c>
      <c r="B45" s="100">
        <v>1171533.2413468305</v>
      </c>
      <c r="C45" s="101">
        <f t="shared" si="3"/>
        <v>1.6858911316580078E-3</v>
      </c>
      <c r="D45" s="98">
        <f t="shared" si="4"/>
        <v>-3101.7901703632488</v>
      </c>
      <c r="E45" s="113">
        <v>0</v>
      </c>
      <c r="F45" s="496">
        <f t="shared" si="2"/>
        <v>0</v>
      </c>
      <c r="G45" s="70"/>
      <c r="H45" s="70"/>
      <c r="I45" s="70"/>
      <c r="J45" s="70"/>
    </row>
    <row r="46" spans="1:10" x14ac:dyDescent="0.25">
      <c r="A46" s="68" t="s">
        <v>100</v>
      </c>
      <c r="B46" s="100">
        <v>7611604.7200949928</v>
      </c>
      <c r="C46" s="101">
        <f t="shared" si="3"/>
        <v>1.095345521783226E-2</v>
      </c>
      <c r="D46" s="98">
        <f t="shared" si="4"/>
        <v>-20152.736489439118</v>
      </c>
      <c r="E46" s="113">
        <v>0</v>
      </c>
      <c r="F46" s="496">
        <f t="shared" si="2"/>
        <v>0</v>
      </c>
      <c r="G46" s="70"/>
      <c r="H46" s="70"/>
      <c r="I46" s="70"/>
      <c r="J46" s="70"/>
    </row>
    <row r="47" spans="1:10" x14ac:dyDescent="0.25">
      <c r="A47" s="68" t="s">
        <v>67</v>
      </c>
      <c r="B47" s="100">
        <v>22783021.431030944</v>
      </c>
      <c r="C47" s="101">
        <f t="shared" si="3"/>
        <v>3.2785833493544268E-2</v>
      </c>
      <c r="D47" s="98">
        <f t="shared" si="4"/>
        <v>-60321.081324764411</v>
      </c>
      <c r="E47" s="113">
        <v>6.3308872574412173E-2</v>
      </c>
      <c r="F47" s="496">
        <f t="shared" si="2"/>
        <v>-3818.8596511402638</v>
      </c>
      <c r="G47" s="70"/>
      <c r="H47" s="70"/>
      <c r="I47" s="70"/>
      <c r="J47" s="70"/>
    </row>
    <row r="48" spans="1:10" x14ac:dyDescent="0.25">
      <c r="A48" s="68" t="s">
        <v>111</v>
      </c>
      <c r="B48" s="100">
        <v>8978274.9582358953</v>
      </c>
      <c r="C48" s="101">
        <f t="shared" si="3"/>
        <v>1.2920157615225499E-2</v>
      </c>
      <c r="D48" s="98">
        <f t="shared" si="4"/>
        <v>-23771.177828687865</v>
      </c>
      <c r="E48" s="113">
        <v>0</v>
      </c>
      <c r="F48" s="496">
        <f t="shared" si="2"/>
        <v>0</v>
      </c>
      <c r="G48" s="70"/>
      <c r="H48" s="70"/>
      <c r="I48" s="70"/>
      <c r="J48" s="70"/>
    </row>
    <row r="49" spans="1:10" x14ac:dyDescent="0.25">
      <c r="A49" s="68" t="s">
        <v>101</v>
      </c>
      <c r="B49" s="100">
        <v>1595821.2432592155</v>
      </c>
      <c r="C49" s="101">
        <f t="shared" si="3"/>
        <v>2.2964614120801414E-3</v>
      </c>
      <c r="D49" s="98">
        <f t="shared" si="4"/>
        <v>-4225.1491219384725</v>
      </c>
      <c r="E49" s="113">
        <v>1</v>
      </c>
      <c r="F49" s="496">
        <f t="shared" si="2"/>
        <v>-4225.1491219384725</v>
      </c>
      <c r="G49" s="70"/>
      <c r="H49" s="70"/>
      <c r="I49" s="70"/>
      <c r="J49" s="70"/>
    </row>
    <row r="50" spans="1:10" x14ac:dyDescent="0.25">
      <c r="A50" s="68" t="s">
        <v>112</v>
      </c>
      <c r="B50" s="100">
        <v>2099728.7106250674</v>
      </c>
      <c r="C50" s="101">
        <f t="shared" si="3"/>
        <v>3.0216078274150466E-3</v>
      </c>
      <c r="D50" s="98">
        <f t="shared" si="4"/>
        <v>-5559.3112044852287</v>
      </c>
      <c r="E50" s="113">
        <v>0</v>
      </c>
      <c r="F50" s="496">
        <f t="shared" si="2"/>
        <v>0</v>
      </c>
      <c r="G50" s="70"/>
      <c r="H50" s="70"/>
      <c r="I50" s="70"/>
      <c r="J50" s="70"/>
    </row>
    <row r="51" spans="1:10" x14ac:dyDescent="0.25">
      <c r="A51" s="68" t="s">
        <v>113</v>
      </c>
      <c r="B51" s="100">
        <v>210694.69676372391</v>
      </c>
      <c r="C51" s="101">
        <f t="shared" si="3"/>
        <v>3.0319952368827101E-4</v>
      </c>
      <c r="D51" s="98">
        <f t="shared" si="4"/>
        <v>-557.8422500569128</v>
      </c>
      <c r="E51" s="113">
        <v>0</v>
      </c>
      <c r="F51" s="496">
        <f t="shared" si="2"/>
        <v>0</v>
      </c>
      <c r="G51" s="70"/>
      <c r="H51" s="70"/>
      <c r="I51" s="70"/>
      <c r="J51" s="70"/>
    </row>
    <row r="52" spans="1:10" x14ac:dyDescent="0.25">
      <c r="A52" s="68" t="s">
        <v>215</v>
      </c>
      <c r="B52" s="100">
        <v>2388140.3720043534</v>
      </c>
      <c r="C52" s="101">
        <f t="shared" si="3"/>
        <v>3.4366456983226661E-3</v>
      </c>
      <c r="D52" s="98">
        <f t="shared" si="4"/>
        <v>-6322.9194613503541</v>
      </c>
      <c r="E52" s="113">
        <v>0</v>
      </c>
      <c r="F52" s="496">
        <f t="shared" si="2"/>
        <v>0</v>
      </c>
      <c r="G52" s="70"/>
      <c r="H52" s="70"/>
      <c r="I52" s="70"/>
      <c r="J52" s="70"/>
    </row>
    <row r="53" spans="1:10" x14ac:dyDescent="0.25">
      <c r="A53" s="68" t="s">
        <v>216</v>
      </c>
      <c r="B53" s="100">
        <v>2338721.3480784995</v>
      </c>
      <c r="C53" s="101">
        <f t="shared" si="3"/>
        <v>3.3655294113652339E-3</v>
      </c>
      <c r="D53" s="98">
        <f t="shared" si="4"/>
        <v>-6192.076018559148</v>
      </c>
      <c r="E53" s="113">
        <v>0</v>
      </c>
      <c r="F53" s="496">
        <f t="shared" si="2"/>
        <v>0</v>
      </c>
      <c r="G53" s="70"/>
      <c r="H53" s="70"/>
      <c r="I53" s="70"/>
      <c r="J53" s="70"/>
    </row>
    <row r="54" spans="1:10" x14ac:dyDescent="0.25">
      <c r="A54" s="68" t="s">
        <v>217</v>
      </c>
      <c r="B54" s="100">
        <v>11729860.600978389</v>
      </c>
      <c r="C54" s="101">
        <f t="shared" si="3"/>
        <v>1.6879818057949327E-2</v>
      </c>
      <c r="D54" s="98">
        <f t="shared" si="4"/>
        <v>-31056.367013554187</v>
      </c>
      <c r="E54" s="113">
        <v>0</v>
      </c>
      <c r="F54" s="496">
        <f t="shared" si="2"/>
        <v>0</v>
      </c>
      <c r="G54" s="70"/>
      <c r="H54" s="70"/>
      <c r="I54" s="70"/>
      <c r="J54" s="70"/>
    </row>
    <row r="55" spans="1:10" x14ac:dyDescent="0.25">
      <c r="A55" s="68" t="s">
        <v>218</v>
      </c>
      <c r="B55" s="100">
        <v>8556255.8106250465</v>
      </c>
      <c r="C55" s="101">
        <f t="shared" si="3"/>
        <v>1.2312852322266792E-2</v>
      </c>
      <c r="D55" s="98">
        <f t="shared" si="4"/>
        <v>-22653.825970827202</v>
      </c>
      <c r="E55" s="113">
        <v>6.3308872574412173E-2</v>
      </c>
      <c r="F55" s="496">
        <f t="shared" si="2"/>
        <v>-1434.1881817100084</v>
      </c>
      <c r="G55" s="70"/>
      <c r="H55" s="70"/>
      <c r="I55" s="70"/>
      <c r="J55" s="70"/>
    </row>
    <row r="56" spans="1:10" x14ac:dyDescent="0.25">
      <c r="A56" s="68" t="s">
        <v>219</v>
      </c>
      <c r="B56" s="100">
        <v>15203315.496409655</v>
      </c>
      <c r="C56" s="101">
        <f t="shared" si="3"/>
        <v>2.1878282120044206E-2</v>
      </c>
      <c r="D56" s="98">
        <f t="shared" si="4"/>
        <v>-40252.801115127571</v>
      </c>
      <c r="E56" s="113">
        <v>0</v>
      </c>
      <c r="F56" s="496">
        <f t="shared" si="2"/>
        <v>0</v>
      </c>
      <c r="G56" s="70"/>
      <c r="H56" s="70"/>
      <c r="I56" s="70"/>
      <c r="J56" s="70"/>
    </row>
    <row r="57" spans="1:10" x14ac:dyDescent="0.25">
      <c r="A57" s="68" t="s">
        <v>220</v>
      </c>
      <c r="B57" s="100">
        <v>1776047.9294476043</v>
      </c>
      <c r="C57" s="101">
        <f t="shared" si="3"/>
        <v>2.5558160434381119E-3</v>
      </c>
      <c r="D57" s="98">
        <f t="shared" si="4"/>
        <v>-4702.3232591516971</v>
      </c>
      <c r="E57" s="113">
        <v>1</v>
      </c>
      <c r="F57" s="496">
        <f t="shared" si="2"/>
        <v>-4702.3232591516971</v>
      </c>
      <c r="G57" s="70"/>
      <c r="H57" s="70"/>
      <c r="I57" s="70"/>
      <c r="J57" s="70"/>
    </row>
    <row r="58" spans="1:10" x14ac:dyDescent="0.25">
      <c r="A58" s="68" t="s">
        <v>221</v>
      </c>
      <c r="B58" s="100">
        <v>2589172.4950823546</v>
      </c>
      <c r="C58" s="101">
        <f t="shared" si="3"/>
        <v>3.7259403265194322E-3</v>
      </c>
      <c r="D58" s="98">
        <f t="shared" si="4"/>
        <v>-6855.1787616274305</v>
      </c>
      <c r="E58" s="113">
        <v>0</v>
      </c>
      <c r="F58" s="496">
        <f t="shared" si="2"/>
        <v>0</v>
      </c>
      <c r="G58" s="70"/>
      <c r="H58" s="70"/>
      <c r="I58" s="70"/>
      <c r="J58" s="70"/>
    </row>
    <row r="59" spans="1:10" x14ac:dyDescent="0.25">
      <c r="A59" s="68" t="s">
        <v>222</v>
      </c>
      <c r="B59" s="100">
        <v>423247.94893862976</v>
      </c>
      <c r="C59" s="101">
        <f t="shared" si="3"/>
        <v>6.0907359554540532E-4</v>
      </c>
      <c r="D59" s="98">
        <f t="shared" si="4"/>
        <v>-1120.6052729114051</v>
      </c>
      <c r="E59" s="113">
        <v>0</v>
      </c>
      <c r="F59" s="496">
        <f t="shared" si="2"/>
        <v>0</v>
      </c>
      <c r="G59" s="70"/>
      <c r="H59" s="70"/>
      <c r="I59" s="70"/>
      <c r="J59" s="70"/>
    </row>
    <row r="60" spans="1:10" x14ac:dyDescent="0.25">
      <c r="A60" s="68" t="s">
        <v>223</v>
      </c>
      <c r="B60" s="100">
        <v>33641169.054122895</v>
      </c>
      <c r="C60" s="101">
        <f t="shared" si="3"/>
        <v>4.8411215802764501E-2</v>
      </c>
      <c r="D60" s="98">
        <f t="shared" si="4"/>
        <v>-89069.472217147879</v>
      </c>
      <c r="E60" s="113">
        <v>6.8836744172887168E-2</v>
      </c>
      <c r="F60" s="496">
        <f t="shared" si="2"/>
        <v>-6131.2524726258898</v>
      </c>
      <c r="G60" s="70"/>
      <c r="H60" s="70"/>
      <c r="I60" s="70"/>
      <c r="J60" s="70"/>
    </row>
    <row r="61" spans="1:10" x14ac:dyDescent="0.25">
      <c r="A61" s="68" t="s">
        <v>224</v>
      </c>
      <c r="B61" s="100">
        <v>1161282.7833100678</v>
      </c>
      <c r="C61" s="101">
        <f t="shared" si="3"/>
        <v>1.6711402430876212E-3</v>
      </c>
      <c r="D61" s="98">
        <f t="shared" si="4"/>
        <v>-3074.6507185252462</v>
      </c>
      <c r="E61" s="113">
        <v>0</v>
      </c>
      <c r="F61" s="496">
        <f t="shared" si="2"/>
        <v>0</v>
      </c>
      <c r="G61" s="70"/>
      <c r="H61" s="70"/>
      <c r="I61" s="70"/>
      <c r="J61" s="70"/>
    </row>
    <row r="62" spans="1:10" x14ac:dyDescent="0.25">
      <c r="A62" s="68" t="s">
        <v>225</v>
      </c>
      <c r="B62" s="100">
        <v>1040862.3686785746</v>
      </c>
      <c r="C62" s="101">
        <f t="shared" si="3"/>
        <v>1.497849633881841E-3</v>
      </c>
      <c r="D62" s="98">
        <f t="shared" si="4"/>
        <v>-2755.8216445967728</v>
      </c>
      <c r="E62" s="113">
        <v>0</v>
      </c>
      <c r="F62" s="496">
        <f t="shared" si="2"/>
        <v>0</v>
      </c>
      <c r="G62" s="70"/>
      <c r="H62" s="70"/>
      <c r="I62" s="70"/>
      <c r="J62" s="70"/>
    </row>
    <row r="63" spans="1:10" x14ac:dyDescent="0.25">
      <c r="A63" s="68" t="s">
        <v>226</v>
      </c>
      <c r="B63" s="100">
        <v>1565974.6592413117</v>
      </c>
      <c r="C63" s="101">
        <f t="shared" si="3"/>
        <v>2.2535107816326243E-3</v>
      </c>
      <c r="D63" s="98">
        <f t="shared" si="4"/>
        <v>-4146.126318608347</v>
      </c>
      <c r="E63" s="113">
        <v>0</v>
      </c>
      <c r="F63" s="496">
        <f t="shared" si="2"/>
        <v>0</v>
      </c>
      <c r="G63" s="70"/>
      <c r="H63" s="70"/>
      <c r="I63" s="70"/>
      <c r="J63" s="70"/>
    </row>
    <row r="64" spans="1:10" x14ac:dyDescent="0.25">
      <c r="A64" s="68" t="s">
        <v>227</v>
      </c>
      <c r="B64" s="100">
        <v>8659755.6641642787</v>
      </c>
      <c r="C64" s="101">
        <f t="shared" si="3"/>
        <v>1.2461793452617559E-2</v>
      </c>
      <c r="D64" s="98">
        <f t="shared" si="4"/>
        <v>-22927.855607385321</v>
      </c>
      <c r="E64" s="113">
        <v>0</v>
      </c>
      <c r="F64" s="496">
        <f t="shared" si="2"/>
        <v>0</v>
      </c>
      <c r="G64" s="70"/>
      <c r="H64" s="70"/>
      <c r="I64" s="70"/>
      <c r="J64" s="70"/>
    </row>
    <row r="65" spans="1:10" x14ac:dyDescent="0.25">
      <c r="A65" s="68" t="s">
        <v>228</v>
      </c>
      <c r="B65" s="100">
        <v>5063531.091486901</v>
      </c>
      <c r="C65" s="101">
        <f t="shared" si="3"/>
        <v>7.2866580825299201E-3</v>
      </c>
      <c r="D65" s="98">
        <f t="shared" si="4"/>
        <v>-13406.372446458838</v>
      </c>
      <c r="E65" s="113">
        <v>0</v>
      </c>
      <c r="F65" s="496">
        <f t="shared" si="2"/>
        <v>0</v>
      </c>
      <c r="G65" s="70"/>
      <c r="H65" s="70"/>
      <c r="I65" s="70"/>
      <c r="J65" s="70"/>
    </row>
    <row r="66" spans="1:10" x14ac:dyDescent="0.25">
      <c r="A66" s="68" t="s">
        <v>229</v>
      </c>
      <c r="B66" s="100">
        <v>1052182.428081865</v>
      </c>
      <c r="C66" s="101">
        <f t="shared" si="3"/>
        <v>1.5141397288482535E-3</v>
      </c>
      <c r="D66" s="98">
        <f t="shared" si="4"/>
        <v>-2785.7930084009167</v>
      </c>
      <c r="E66" s="113">
        <v>1</v>
      </c>
      <c r="F66" s="496">
        <f t="shared" si="2"/>
        <v>-2785.7930084009167</v>
      </c>
      <c r="G66" s="70"/>
      <c r="H66" s="70"/>
      <c r="I66" s="70"/>
      <c r="J66" s="70"/>
    </row>
    <row r="67" spans="1:10" x14ac:dyDescent="0.25">
      <c r="A67" s="68" t="s">
        <v>230</v>
      </c>
      <c r="B67" s="100">
        <v>207320.58451035304</v>
      </c>
      <c r="C67" s="101">
        <f t="shared" si="3"/>
        <v>2.9834401833475925E-4</v>
      </c>
      <c r="D67" s="98">
        <f t="shared" si="4"/>
        <v>-548.90883882124342</v>
      </c>
      <c r="E67" s="113">
        <v>0</v>
      </c>
      <c r="F67" s="496">
        <f t="shared" si="2"/>
        <v>0</v>
      </c>
      <c r="G67" s="70"/>
      <c r="H67" s="70"/>
      <c r="I67" s="70"/>
      <c r="J67" s="70"/>
    </row>
    <row r="68" spans="1:10" x14ac:dyDescent="0.25">
      <c r="A68" s="68" t="s">
        <v>231</v>
      </c>
      <c r="B68" s="100">
        <v>2574115.8889564965</v>
      </c>
      <c r="C68" s="101">
        <f t="shared" si="3"/>
        <v>3.7042731660458035E-3</v>
      </c>
      <c r="D68" s="98">
        <f t="shared" si="4"/>
        <v>-6815.314393095704</v>
      </c>
      <c r="E68" s="113">
        <v>6.8836744172887168E-2</v>
      </c>
      <c r="F68" s="496">
        <f t="shared" si="2"/>
        <v>-469.14405333532477</v>
      </c>
      <c r="G68" s="70"/>
      <c r="H68" s="70"/>
      <c r="I68" s="70"/>
      <c r="J68" s="70"/>
    </row>
    <row r="69" spans="1:10" x14ac:dyDescent="0.25">
      <c r="A69" s="68" t="s">
        <v>232</v>
      </c>
      <c r="B69" s="102">
        <v>1679460.0689229874</v>
      </c>
      <c r="C69" s="101">
        <f t="shared" si="3"/>
        <v>2.4168215943373163E-3</v>
      </c>
      <c r="D69" s="98">
        <f t="shared" si="4"/>
        <v>-4446.5940439847</v>
      </c>
      <c r="E69" s="113">
        <v>0</v>
      </c>
      <c r="F69" s="496">
        <f t="shared" si="2"/>
        <v>0</v>
      </c>
      <c r="G69" s="70"/>
      <c r="H69" s="70"/>
      <c r="I69" s="70"/>
      <c r="J69" s="70"/>
    </row>
    <row r="70" spans="1:10" x14ac:dyDescent="0.25">
      <c r="A70" s="68" t="s">
        <v>233</v>
      </c>
      <c r="B70" s="102">
        <v>52704.45648905819</v>
      </c>
      <c r="C70" s="101">
        <f t="shared" si="3"/>
        <v>7.5844178088885707E-5</v>
      </c>
      <c r="D70" s="98">
        <f t="shared" si="4"/>
        <v>-139.54206274519254</v>
      </c>
      <c r="E70" s="113">
        <v>0</v>
      </c>
      <c r="F70" s="496">
        <f t="shared" si="2"/>
        <v>0</v>
      </c>
      <c r="G70" s="70"/>
      <c r="H70" s="70"/>
      <c r="I70" s="70"/>
      <c r="J70" s="70"/>
    </row>
    <row r="71" spans="1:10" x14ac:dyDescent="0.25">
      <c r="A71" s="68" t="s">
        <v>234</v>
      </c>
      <c r="B71" s="102">
        <v>355365.0965460015</v>
      </c>
      <c r="C71" s="101">
        <f t="shared" si="3"/>
        <v>5.1138699579616196E-4</v>
      </c>
      <c r="D71" s="98">
        <f t="shared" si="4"/>
        <v>-940.87638698956016</v>
      </c>
      <c r="E71" s="113">
        <v>0</v>
      </c>
      <c r="F71" s="496">
        <f t="shared" si="2"/>
        <v>0</v>
      </c>
      <c r="G71" s="70"/>
      <c r="H71" s="70"/>
      <c r="I71" s="70"/>
      <c r="J71" s="70"/>
    </row>
    <row r="72" spans="1:10" x14ac:dyDescent="0.25">
      <c r="A72" s="68" t="s">
        <v>235</v>
      </c>
      <c r="B72" s="102">
        <v>54425.557778113303</v>
      </c>
      <c r="C72" s="101">
        <f t="shared" si="3"/>
        <v>7.8320923346721872E-5</v>
      </c>
      <c r="D72" s="98">
        <f t="shared" si="4"/>
        <v>-144.09890746131293</v>
      </c>
      <c r="E72" s="113">
        <v>0</v>
      </c>
      <c r="F72" s="496">
        <f t="shared" si="2"/>
        <v>0</v>
      </c>
      <c r="G72" s="70"/>
      <c r="H72" s="70"/>
      <c r="I72" s="70"/>
      <c r="J72" s="70"/>
    </row>
    <row r="73" spans="1:10" x14ac:dyDescent="0.25">
      <c r="A73" s="68" t="s">
        <v>236</v>
      </c>
      <c r="B73" s="100">
        <v>2385041.6751109622</v>
      </c>
      <c r="C73" s="101">
        <f t="shared" ref="C73:C83" si="5">B73/$B$90</f>
        <v>3.4321865285544583E-3</v>
      </c>
      <c r="D73" s="98">
        <f t="shared" ref="D73:D83" si="6">C73*$D$90</f>
        <v>-6314.7152489339769</v>
      </c>
      <c r="E73" s="113">
        <v>0</v>
      </c>
      <c r="F73" s="496">
        <f t="shared" si="2"/>
        <v>0</v>
      </c>
      <c r="G73" s="70"/>
      <c r="H73" s="70"/>
      <c r="I73" s="70"/>
      <c r="J73" s="70"/>
    </row>
    <row r="74" spans="1:10" x14ac:dyDescent="0.25">
      <c r="A74" s="68" t="s">
        <v>237</v>
      </c>
      <c r="B74" s="102">
        <v>351194.63940799743</v>
      </c>
      <c r="C74" s="101">
        <f t="shared" si="5"/>
        <v>5.0538551290538376E-4</v>
      </c>
      <c r="D74" s="98">
        <f t="shared" si="6"/>
        <v>-929.83454668999616</v>
      </c>
      <c r="E74" s="113">
        <v>1</v>
      </c>
      <c r="F74" s="496">
        <f t="shared" ref="F74:F83" si="7">D74*E74</f>
        <v>-929.83454668999616</v>
      </c>
      <c r="G74" s="70"/>
      <c r="H74" s="70"/>
      <c r="I74" s="70"/>
      <c r="J74" s="70"/>
    </row>
    <row r="75" spans="1:10" x14ac:dyDescent="0.25">
      <c r="A75" s="68" t="s">
        <v>238</v>
      </c>
      <c r="B75" s="100">
        <v>1191314.8376383614</v>
      </c>
      <c r="C75" s="101">
        <f t="shared" si="5"/>
        <v>1.7143577739869877E-3</v>
      </c>
      <c r="D75" s="98">
        <f t="shared" si="6"/>
        <v>-3154.1645791855071</v>
      </c>
      <c r="E75" s="113">
        <v>0</v>
      </c>
      <c r="F75" s="496">
        <f t="shared" si="7"/>
        <v>0</v>
      </c>
      <c r="G75" s="70"/>
      <c r="H75" s="70"/>
      <c r="I75" s="70"/>
      <c r="J75" s="70"/>
    </row>
    <row r="76" spans="1:10" x14ac:dyDescent="0.25">
      <c r="A76" s="68" t="s">
        <v>102</v>
      </c>
      <c r="B76" s="100">
        <v>32109.090801921579</v>
      </c>
      <c r="C76" s="101">
        <f t="shared" si="5"/>
        <v>4.6206483536334824E-5</v>
      </c>
      <c r="D76" s="98">
        <f t="shared" si="6"/>
        <v>-85.013091147292698</v>
      </c>
      <c r="E76" s="113">
        <v>0</v>
      </c>
      <c r="F76" s="496">
        <f t="shared" si="7"/>
        <v>0</v>
      </c>
      <c r="G76" s="70"/>
      <c r="H76" s="70"/>
      <c r="I76" s="70"/>
      <c r="J76" s="70"/>
    </row>
    <row r="77" spans="1:10" x14ac:dyDescent="0.25">
      <c r="A77" s="68" t="s">
        <v>103</v>
      </c>
      <c r="B77" s="100">
        <v>484962.67595560307</v>
      </c>
      <c r="C77" s="101">
        <f t="shared" si="5"/>
        <v>6.9788397437084751E-4</v>
      </c>
      <c r="D77" s="98">
        <f t="shared" si="6"/>
        <v>-1284.0032260141525</v>
      </c>
      <c r="E77" s="113">
        <v>0</v>
      </c>
      <c r="F77" s="496">
        <f t="shared" si="7"/>
        <v>0</v>
      </c>
      <c r="G77" s="70"/>
      <c r="H77" s="70"/>
      <c r="I77" s="70"/>
      <c r="J77" s="70"/>
    </row>
    <row r="78" spans="1:10" x14ac:dyDescent="0.25">
      <c r="A78" s="68" t="s">
        <v>68</v>
      </c>
      <c r="B78" s="100">
        <v>101222865.95621783</v>
      </c>
      <c r="C78" s="101">
        <f t="shared" si="5"/>
        <v>0.14566443871486701</v>
      </c>
      <c r="D78" s="98">
        <f t="shared" si="6"/>
        <v>-268001.0088984255</v>
      </c>
      <c r="E78" s="113">
        <v>6.6548046661184135E-2</v>
      </c>
      <c r="F78" s="496">
        <f t="shared" si="7"/>
        <v>-17834.943645416846</v>
      </c>
      <c r="G78" s="70"/>
      <c r="H78" s="70"/>
      <c r="I78" s="70"/>
      <c r="J78" s="70"/>
    </row>
    <row r="79" spans="1:10" x14ac:dyDescent="0.25">
      <c r="A79" s="68" t="s">
        <v>104</v>
      </c>
      <c r="B79" s="100">
        <v>507733.63108115114</v>
      </c>
      <c r="C79" s="101">
        <f t="shared" si="5"/>
        <v>7.3065244388641182E-4</v>
      </c>
      <c r="D79" s="98">
        <f t="shared" si="6"/>
        <v>-1344.2923601893026</v>
      </c>
      <c r="E79" s="113">
        <v>0</v>
      </c>
      <c r="F79" s="496">
        <f t="shared" si="7"/>
        <v>0</v>
      </c>
      <c r="G79" s="70"/>
      <c r="H79" s="70"/>
      <c r="I79" s="70"/>
      <c r="J79" s="70"/>
    </row>
    <row r="80" spans="1:10" x14ac:dyDescent="0.25">
      <c r="A80" s="68" t="s">
        <v>105</v>
      </c>
      <c r="B80" s="136">
        <v>414777.8111685231</v>
      </c>
      <c r="C80" s="101">
        <f t="shared" si="5"/>
        <v>5.968846711115344E-4</v>
      </c>
      <c r="D80" s="98">
        <f t="shared" si="6"/>
        <v>-1098.1794559138989</v>
      </c>
      <c r="E80" s="113">
        <v>1</v>
      </c>
      <c r="F80" s="496">
        <f t="shared" si="7"/>
        <v>-1098.1794559138989</v>
      </c>
      <c r="G80" s="70"/>
      <c r="H80" s="70"/>
      <c r="I80" s="70"/>
      <c r="J80" s="70"/>
    </row>
    <row r="81" spans="1:10" x14ac:dyDescent="0.25">
      <c r="A81" s="68" t="s">
        <v>239</v>
      </c>
      <c r="B81" s="136">
        <v>61606.268722206303</v>
      </c>
      <c r="C81" s="101">
        <f t="shared" si="5"/>
        <v>8.8654302266238212E-5</v>
      </c>
      <c r="D81" s="98">
        <f t="shared" si="6"/>
        <v>-163.1107953331429</v>
      </c>
      <c r="E81" s="113">
        <v>0</v>
      </c>
      <c r="F81" s="496">
        <f t="shared" si="7"/>
        <v>0</v>
      </c>
      <c r="G81" s="70"/>
      <c r="H81" s="70"/>
      <c r="I81" s="70"/>
      <c r="J81" s="70"/>
    </row>
    <row r="82" spans="1:10" x14ac:dyDescent="0.25">
      <c r="A82" s="68" t="s">
        <v>144</v>
      </c>
      <c r="B82" s="136">
        <v>920416.90510690771</v>
      </c>
      <c r="C82" s="101">
        <f t="shared" si="5"/>
        <v>1.3245229780795105E-3</v>
      </c>
      <c r="D82" s="98">
        <f t="shared" si="6"/>
        <v>-2436.9262502655433</v>
      </c>
      <c r="E82" s="113">
        <v>0</v>
      </c>
      <c r="F82" s="496">
        <f t="shared" si="7"/>
        <v>0</v>
      </c>
      <c r="G82" s="70"/>
      <c r="H82" s="70"/>
      <c r="I82" s="70"/>
      <c r="J82" s="70"/>
    </row>
    <row r="83" spans="1:10" x14ac:dyDescent="0.25">
      <c r="A83" s="68" t="s">
        <v>240</v>
      </c>
      <c r="B83" s="136">
        <v>-3709.8577847316133</v>
      </c>
      <c r="C83" s="101">
        <f t="shared" si="5"/>
        <v>-5.3386588773197592E-6</v>
      </c>
      <c r="D83" s="98">
        <f t="shared" si="6"/>
        <v>9.8223422127545135</v>
      </c>
      <c r="E83" s="113">
        <v>0</v>
      </c>
      <c r="F83" s="496">
        <f t="shared" si="7"/>
        <v>0</v>
      </c>
      <c r="G83" s="70"/>
      <c r="H83" s="70"/>
      <c r="I83" s="70"/>
      <c r="J83" s="70"/>
    </row>
    <row r="84" spans="1:10" ht="5.25" customHeight="1" x14ac:dyDescent="0.25">
      <c r="A84" s="99"/>
      <c r="B84" s="103"/>
      <c r="C84" s="104"/>
      <c r="D84" s="79"/>
      <c r="E84" s="497"/>
      <c r="F84" s="498"/>
      <c r="G84" s="70"/>
      <c r="H84" s="70"/>
      <c r="I84" s="70"/>
      <c r="J84" s="70"/>
    </row>
    <row r="85" spans="1:10" ht="6.75" customHeight="1" x14ac:dyDescent="0.25">
      <c r="A85" s="99"/>
      <c r="B85" s="105"/>
      <c r="C85" s="106"/>
      <c r="D85" s="79"/>
      <c r="E85" s="499"/>
      <c r="F85" s="498"/>
      <c r="G85" s="70"/>
      <c r="H85" s="70"/>
      <c r="I85" s="70"/>
      <c r="J85" s="70"/>
    </row>
    <row r="86" spans="1:10" x14ac:dyDescent="0.25">
      <c r="A86" s="107" t="s">
        <v>106</v>
      </c>
      <c r="B86" s="108">
        <f>SUM(B9:B83)</f>
        <v>473221715.10178638</v>
      </c>
      <c r="C86" s="109">
        <f>SUM(C9:C83)</f>
        <v>0.68098818252986026</v>
      </c>
      <c r="D86" s="108">
        <f>SUM(D9:D83)</f>
        <v>-1252917.4696039283</v>
      </c>
      <c r="E86" s="499"/>
      <c r="F86" s="500">
        <f>SUM(F9:F85)</f>
        <v>-78556.38252436812</v>
      </c>
      <c r="G86" s="70"/>
      <c r="H86" s="70"/>
      <c r="I86" s="70"/>
      <c r="J86" s="70"/>
    </row>
    <row r="87" spans="1:10" ht="8.25" customHeight="1" x14ac:dyDescent="0.25">
      <c r="A87" s="99"/>
      <c r="B87" s="105"/>
      <c r="C87" s="106"/>
      <c r="D87" s="79"/>
      <c r="E87" s="499"/>
      <c r="F87" s="498"/>
      <c r="G87" s="70"/>
      <c r="H87" s="70"/>
      <c r="I87" s="70"/>
      <c r="J87" s="70"/>
    </row>
    <row r="88" spans="1:10" x14ac:dyDescent="0.25">
      <c r="A88" s="99" t="s">
        <v>145</v>
      </c>
      <c r="B88" s="102">
        <v>221682730</v>
      </c>
      <c r="C88" s="104">
        <f>B88/B90</f>
        <v>0.31901181747014001</v>
      </c>
      <c r="D88" s="98">
        <f>C88*$D$90</f>
        <v>-586934.53039607208</v>
      </c>
      <c r="E88" s="499"/>
      <c r="F88" s="498"/>
      <c r="G88" s="70"/>
      <c r="H88" s="70"/>
      <c r="I88" s="70"/>
      <c r="J88" s="70"/>
    </row>
    <row r="89" spans="1:10" ht="4.5" customHeight="1" x14ac:dyDescent="0.25">
      <c r="A89" s="99"/>
      <c r="B89" s="105"/>
      <c r="C89" s="106"/>
      <c r="D89" s="79"/>
      <c r="E89" s="80"/>
      <c r="F89" s="79"/>
      <c r="G89" s="70"/>
      <c r="H89" s="70"/>
      <c r="I89" s="70"/>
      <c r="J89" s="70"/>
    </row>
    <row r="90" spans="1:10" x14ac:dyDescent="0.25">
      <c r="A90" s="110" t="s">
        <v>4</v>
      </c>
      <c r="B90" s="111">
        <f>B86+B88</f>
        <v>694904445.10178638</v>
      </c>
      <c r="C90" s="112">
        <f>C86+C88</f>
        <v>1.0000000000000002</v>
      </c>
      <c r="D90" s="111">
        <f>'PC2p1-Pension'!I20</f>
        <v>-1839852</v>
      </c>
      <c r="E90" s="80"/>
      <c r="F90" s="79"/>
      <c r="G90" s="70"/>
      <c r="H90" s="70"/>
      <c r="I90" s="70"/>
      <c r="J90" s="70"/>
    </row>
    <row r="91" spans="1:10" x14ac:dyDescent="0.25">
      <c r="A91" s="76"/>
      <c r="B91" s="77"/>
      <c r="C91" s="78"/>
      <c r="D91" s="79"/>
      <c r="E91" s="80"/>
      <c r="F91" s="79"/>
      <c r="G91" s="70"/>
      <c r="H91" s="70"/>
      <c r="I91" s="70"/>
      <c r="J91" s="70"/>
    </row>
    <row r="92" spans="1:10" x14ac:dyDescent="0.25">
      <c r="A92" s="76"/>
      <c r="B92" s="77"/>
      <c r="C92" s="78"/>
      <c r="D92" s="79"/>
      <c r="E92" s="80"/>
      <c r="F92" s="79"/>
      <c r="G92" s="70"/>
      <c r="H92" s="70"/>
      <c r="I92" s="70"/>
      <c r="J92" s="70"/>
    </row>
    <row r="93" spans="1:10" x14ac:dyDescent="0.25">
      <c r="A93" s="76"/>
      <c r="B93" s="77"/>
      <c r="C93" s="78"/>
      <c r="D93" s="79"/>
      <c r="E93" s="80"/>
      <c r="F93" s="79"/>
      <c r="G93" s="70"/>
      <c r="H93" s="70"/>
      <c r="I93" s="70"/>
      <c r="J93" s="70"/>
    </row>
    <row r="94" spans="1:10" x14ac:dyDescent="0.25">
      <c r="A94" s="76"/>
      <c r="B94" s="77"/>
      <c r="C94" s="78"/>
      <c r="D94" s="79"/>
      <c r="E94" s="80"/>
      <c r="F94" s="79"/>
      <c r="G94" s="70"/>
      <c r="H94" s="70"/>
      <c r="I94" s="70"/>
      <c r="J94" s="70"/>
    </row>
    <row r="95" spans="1:10" x14ac:dyDescent="0.25">
      <c r="A95" s="76"/>
      <c r="B95" s="77"/>
      <c r="C95" s="78"/>
      <c r="D95" s="79"/>
      <c r="E95" s="80"/>
      <c r="F95" s="79"/>
      <c r="G95" s="70"/>
      <c r="H95" s="70"/>
      <c r="I95" s="70"/>
      <c r="J95" s="70"/>
    </row>
    <row r="96" spans="1:10" x14ac:dyDescent="0.25">
      <c r="A96" s="76"/>
      <c r="B96" s="77"/>
      <c r="C96" s="78"/>
      <c r="D96" s="79"/>
      <c r="E96" s="80"/>
      <c r="F96" s="79"/>
      <c r="G96" s="70"/>
      <c r="H96" s="70"/>
      <c r="I96" s="70"/>
      <c r="J96" s="70"/>
    </row>
    <row r="97" spans="1:10" x14ac:dyDescent="0.25">
      <c r="A97" s="76"/>
      <c r="B97" s="77"/>
      <c r="C97" s="78"/>
      <c r="D97" s="79"/>
      <c r="E97" s="80"/>
      <c r="F97" s="79"/>
      <c r="G97" s="70"/>
      <c r="H97" s="70"/>
      <c r="I97" s="70"/>
      <c r="J97" s="70"/>
    </row>
    <row r="98" spans="1:10" x14ac:dyDescent="0.25">
      <c r="A98" s="76"/>
      <c r="B98" s="77"/>
      <c r="C98" s="78"/>
      <c r="D98" s="79"/>
      <c r="E98" s="80"/>
      <c r="F98" s="79"/>
      <c r="G98" s="70"/>
      <c r="H98" s="70"/>
      <c r="I98" s="70"/>
      <c r="J98" s="70"/>
    </row>
    <row r="99" spans="1:10" x14ac:dyDescent="0.25">
      <c r="A99" s="76"/>
      <c r="B99" s="77"/>
      <c r="C99" s="78"/>
      <c r="D99" s="79"/>
      <c r="E99" s="80"/>
      <c r="F99" s="79"/>
      <c r="G99" s="70"/>
      <c r="H99" s="70"/>
      <c r="I99" s="70"/>
      <c r="J99" s="70"/>
    </row>
    <row r="100" spans="1:10" x14ac:dyDescent="0.25">
      <c r="A100" s="76"/>
      <c r="B100" s="77"/>
      <c r="C100" s="78"/>
      <c r="D100" s="79"/>
      <c r="E100" s="80"/>
      <c r="F100" s="79"/>
      <c r="G100" s="70"/>
      <c r="H100" s="70"/>
      <c r="I100" s="70"/>
      <c r="J100" s="70"/>
    </row>
    <row r="101" spans="1:10" x14ac:dyDescent="0.25">
      <c r="A101" s="76"/>
      <c r="B101" s="77"/>
      <c r="C101" s="78"/>
      <c r="D101" s="79"/>
      <c r="E101" s="80"/>
      <c r="F101" s="79"/>
      <c r="G101" s="70"/>
      <c r="H101" s="70"/>
      <c r="I101" s="70"/>
      <c r="J101" s="70"/>
    </row>
    <row r="102" spans="1:10" x14ac:dyDescent="0.25">
      <c r="A102" s="76"/>
      <c r="B102" s="77"/>
      <c r="C102" s="78"/>
      <c r="D102" s="79"/>
      <c r="E102" s="80"/>
      <c r="F102" s="79"/>
      <c r="G102" s="70"/>
      <c r="H102" s="70"/>
      <c r="I102" s="70"/>
      <c r="J102" s="70"/>
    </row>
    <row r="103" spans="1:10" x14ac:dyDescent="0.25">
      <c r="A103" s="76"/>
      <c r="B103" s="77"/>
      <c r="C103" s="78"/>
      <c r="D103" s="79"/>
      <c r="E103" s="80"/>
      <c r="F103" s="79"/>
      <c r="G103" s="70"/>
      <c r="H103" s="70"/>
      <c r="I103" s="70"/>
      <c r="J103" s="70"/>
    </row>
    <row r="104" spans="1:10" x14ac:dyDescent="0.25">
      <c r="A104" s="76"/>
      <c r="B104" s="77"/>
      <c r="C104" s="78"/>
      <c r="D104" s="79"/>
      <c r="E104" s="80"/>
      <c r="F104" s="79"/>
      <c r="G104" s="70"/>
      <c r="H104" s="70"/>
      <c r="I104" s="70"/>
      <c r="J104" s="70"/>
    </row>
    <row r="105" spans="1:10" x14ac:dyDescent="0.25">
      <c r="A105" s="76"/>
      <c r="B105" s="77"/>
      <c r="C105" s="78"/>
      <c r="D105" s="79"/>
      <c r="E105" s="80"/>
      <c r="F105" s="79"/>
      <c r="G105" s="70"/>
      <c r="H105" s="70"/>
      <c r="I105" s="70"/>
      <c r="J105" s="70"/>
    </row>
    <row r="106" spans="1:10" x14ac:dyDescent="0.25">
      <c r="A106" s="76"/>
      <c r="B106" s="77"/>
      <c r="C106" s="78"/>
      <c r="D106" s="79"/>
      <c r="E106" s="80"/>
      <c r="F106" s="79"/>
      <c r="G106" s="70"/>
      <c r="H106" s="70"/>
      <c r="I106" s="70"/>
      <c r="J106" s="70"/>
    </row>
    <row r="107" spans="1:10" x14ac:dyDescent="0.25">
      <c r="A107" s="76"/>
      <c r="B107" s="77"/>
      <c r="C107" s="78"/>
      <c r="D107" s="79"/>
      <c r="E107" s="80"/>
      <c r="F107" s="79"/>
      <c r="G107" s="70"/>
      <c r="H107" s="70"/>
      <c r="I107" s="70"/>
      <c r="J107" s="70"/>
    </row>
    <row r="108" spans="1:10" x14ac:dyDescent="0.25">
      <c r="A108" s="76"/>
      <c r="B108" s="77"/>
      <c r="C108" s="78"/>
      <c r="D108" s="79"/>
      <c r="E108" s="80"/>
      <c r="F108" s="79"/>
      <c r="G108" s="70"/>
      <c r="H108" s="70"/>
      <c r="I108" s="70"/>
      <c r="J108" s="70"/>
    </row>
    <row r="109" spans="1:10" x14ac:dyDescent="0.25">
      <c r="A109" s="76"/>
      <c r="B109" s="77"/>
      <c r="C109" s="78"/>
      <c r="D109" s="79"/>
      <c r="E109" s="80"/>
      <c r="F109" s="79"/>
      <c r="G109" s="70"/>
      <c r="H109" s="70"/>
      <c r="I109" s="70"/>
      <c r="J109" s="70"/>
    </row>
    <row r="110" spans="1:10" x14ac:dyDescent="0.25">
      <c r="A110" s="76"/>
      <c r="B110" s="77"/>
      <c r="C110" s="78"/>
      <c r="D110" s="79"/>
      <c r="E110" s="80"/>
      <c r="F110" s="79"/>
      <c r="G110" s="70"/>
      <c r="H110" s="70"/>
      <c r="I110" s="70"/>
      <c r="J110" s="70"/>
    </row>
    <row r="111" spans="1:10" x14ac:dyDescent="0.25">
      <c r="A111" s="76"/>
      <c r="B111" s="77"/>
      <c r="C111" s="78"/>
      <c r="D111" s="79"/>
      <c r="E111" s="80"/>
      <c r="F111" s="79"/>
      <c r="G111" s="70"/>
      <c r="H111" s="70"/>
      <c r="I111" s="70"/>
      <c r="J111" s="70"/>
    </row>
    <row r="112" spans="1:10" x14ac:dyDescent="0.25">
      <c r="A112" s="76"/>
      <c r="B112" s="77"/>
      <c r="C112" s="78"/>
      <c r="D112" s="79"/>
      <c r="E112" s="80"/>
      <c r="F112" s="79"/>
      <c r="G112" s="70"/>
      <c r="H112" s="70"/>
      <c r="I112" s="70"/>
      <c r="J112" s="70"/>
    </row>
    <row r="113" spans="1:10" x14ac:dyDescent="0.25">
      <c r="A113" s="76"/>
      <c r="B113" s="77"/>
      <c r="C113" s="78"/>
      <c r="D113" s="79"/>
      <c r="E113" s="80"/>
      <c r="F113" s="79"/>
      <c r="G113" s="70"/>
      <c r="H113" s="70"/>
      <c r="I113" s="70"/>
      <c r="J113" s="70"/>
    </row>
    <row r="114" spans="1:10" x14ac:dyDescent="0.25">
      <c r="A114" s="76"/>
      <c r="B114" s="77"/>
      <c r="C114" s="78"/>
      <c r="D114" s="79"/>
      <c r="E114" s="80"/>
      <c r="F114" s="79"/>
      <c r="G114" s="70"/>
      <c r="H114" s="70"/>
      <c r="I114" s="70"/>
      <c r="J114" s="70"/>
    </row>
    <row r="115" spans="1:10" x14ac:dyDescent="0.25">
      <c r="A115" s="76"/>
      <c r="B115" s="77"/>
      <c r="C115" s="78"/>
      <c r="D115" s="79"/>
      <c r="E115" s="80"/>
      <c r="F115" s="79"/>
      <c r="G115" s="70"/>
      <c r="H115" s="70"/>
      <c r="I115" s="70"/>
      <c r="J115" s="70"/>
    </row>
    <row r="116" spans="1:10" x14ac:dyDescent="0.25">
      <c r="A116" s="76"/>
      <c r="B116" s="77"/>
      <c r="C116" s="78"/>
      <c r="D116" s="79"/>
      <c r="E116" s="80"/>
      <c r="F116" s="79"/>
      <c r="G116" s="70"/>
      <c r="H116" s="70"/>
      <c r="I116" s="70"/>
      <c r="J116" s="70"/>
    </row>
    <row r="117" spans="1:10" x14ac:dyDescent="0.25">
      <c r="A117" s="76"/>
      <c r="B117" s="77"/>
      <c r="C117" s="78"/>
      <c r="D117" s="79"/>
      <c r="E117" s="80"/>
      <c r="F117" s="79"/>
      <c r="G117" s="70"/>
      <c r="H117" s="70"/>
      <c r="I117" s="70"/>
      <c r="J117" s="70"/>
    </row>
    <row r="118" spans="1:10" x14ac:dyDescent="0.25">
      <c r="A118" s="76"/>
      <c r="B118" s="77"/>
      <c r="C118" s="78"/>
      <c r="D118" s="79"/>
      <c r="E118" s="80"/>
      <c r="F118" s="79"/>
      <c r="G118" s="70"/>
      <c r="H118" s="70"/>
      <c r="I118" s="70"/>
      <c r="J118" s="70"/>
    </row>
    <row r="119" spans="1:10" x14ac:dyDescent="0.25">
      <c r="A119" s="76"/>
      <c r="B119" s="77"/>
      <c r="C119" s="78"/>
      <c r="D119" s="79"/>
      <c r="E119" s="80"/>
      <c r="F119" s="79"/>
      <c r="G119" s="70"/>
      <c r="H119" s="70"/>
      <c r="I119" s="70"/>
      <c r="J119" s="70"/>
    </row>
    <row r="120" spans="1:10" x14ac:dyDescent="0.25">
      <c r="A120" s="76"/>
      <c r="B120" s="77"/>
      <c r="C120" s="78"/>
      <c r="D120" s="79"/>
      <c r="E120" s="80"/>
      <c r="F120" s="79"/>
      <c r="G120" s="70"/>
      <c r="H120" s="70"/>
      <c r="I120" s="70"/>
      <c r="J120" s="70"/>
    </row>
    <row r="121" spans="1:10" x14ac:dyDescent="0.25">
      <c r="A121" s="76"/>
      <c r="B121" s="77"/>
      <c r="C121" s="78"/>
      <c r="D121" s="79"/>
      <c r="E121" s="80"/>
      <c r="F121" s="79"/>
      <c r="G121" s="70"/>
      <c r="H121" s="70"/>
      <c r="I121" s="70"/>
      <c r="J121" s="70"/>
    </row>
    <row r="122" spans="1:10" x14ac:dyDescent="0.25">
      <c r="A122" s="76"/>
      <c r="B122" s="77"/>
      <c r="C122" s="78"/>
      <c r="D122" s="79"/>
      <c r="E122" s="80"/>
      <c r="F122" s="79"/>
      <c r="G122" s="70"/>
      <c r="H122" s="70"/>
      <c r="I122" s="70"/>
      <c r="J122" s="70"/>
    </row>
    <row r="123" spans="1:10" x14ac:dyDescent="0.25">
      <c r="A123" s="76"/>
      <c r="B123" s="77"/>
      <c r="C123" s="78"/>
      <c r="D123" s="79"/>
      <c r="E123" s="80"/>
      <c r="F123" s="79"/>
      <c r="G123" s="70"/>
      <c r="H123" s="70"/>
      <c r="I123" s="70"/>
      <c r="J123" s="70"/>
    </row>
    <row r="124" spans="1:10" x14ac:dyDescent="0.25">
      <c r="A124" s="76"/>
      <c r="B124" s="77"/>
      <c r="C124" s="78"/>
      <c r="D124" s="79"/>
      <c r="E124" s="80"/>
      <c r="F124" s="79"/>
      <c r="G124" s="70"/>
      <c r="H124" s="70"/>
      <c r="I124" s="70"/>
      <c r="J124" s="70"/>
    </row>
    <row r="125" spans="1:10" x14ac:dyDescent="0.25">
      <c r="A125" s="76"/>
      <c r="B125" s="77"/>
      <c r="C125" s="78"/>
      <c r="D125" s="79"/>
      <c r="E125" s="80"/>
      <c r="F125" s="79"/>
      <c r="G125" s="70"/>
      <c r="H125" s="70"/>
      <c r="I125" s="70"/>
      <c r="J125" s="70"/>
    </row>
    <row r="126" spans="1:10" x14ac:dyDescent="0.25">
      <c r="A126" s="76"/>
      <c r="B126" s="77"/>
      <c r="C126" s="78"/>
      <c r="D126" s="79"/>
      <c r="E126" s="80"/>
      <c r="F126" s="79"/>
      <c r="G126" s="70"/>
      <c r="H126" s="70"/>
      <c r="I126" s="70"/>
      <c r="J126" s="70"/>
    </row>
    <row r="127" spans="1:10" x14ac:dyDescent="0.25">
      <c r="A127" s="76"/>
      <c r="B127" s="77"/>
      <c r="C127" s="78"/>
      <c r="D127" s="79"/>
      <c r="E127" s="80"/>
      <c r="F127" s="79"/>
      <c r="G127" s="70"/>
      <c r="H127" s="70"/>
      <c r="I127" s="70"/>
      <c r="J127" s="70"/>
    </row>
    <row r="128" spans="1:10" x14ac:dyDescent="0.25">
      <c r="A128" s="76"/>
      <c r="B128" s="77"/>
      <c r="C128" s="78"/>
      <c r="D128" s="79"/>
      <c r="E128" s="80"/>
      <c r="F128" s="79"/>
      <c r="G128" s="70"/>
      <c r="H128" s="70"/>
      <c r="I128" s="70"/>
      <c r="J128" s="70"/>
    </row>
    <row r="129" spans="1:10" x14ac:dyDescent="0.25">
      <c r="A129" s="76"/>
      <c r="B129" s="77"/>
      <c r="C129" s="78"/>
      <c r="D129" s="79"/>
      <c r="E129" s="80"/>
      <c r="F129" s="79"/>
      <c r="G129" s="70"/>
      <c r="H129" s="70"/>
      <c r="I129" s="70"/>
      <c r="J129" s="70"/>
    </row>
    <row r="130" spans="1:10" x14ac:dyDescent="0.25">
      <c r="A130" s="76"/>
      <c r="B130" s="77"/>
      <c r="C130" s="78"/>
      <c r="D130" s="79"/>
      <c r="E130" s="80"/>
      <c r="F130" s="79"/>
      <c r="G130" s="70"/>
      <c r="H130" s="70"/>
      <c r="I130" s="70"/>
      <c r="J130" s="70"/>
    </row>
    <row r="131" spans="1:10" x14ac:dyDescent="0.25">
      <c r="A131" s="76"/>
      <c r="B131" s="77"/>
      <c r="C131" s="78"/>
      <c r="D131" s="79"/>
      <c r="E131" s="80"/>
      <c r="F131" s="79"/>
      <c r="G131" s="70"/>
      <c r="H131" s="70"/>
      <c r="I131" s="70"/>
      <c r="J131" s="70"/>
    </row>
    <row r="132" spans="1:10" x14ac:dyDescent="0.25">
      <c r="A132" s="76"/>
      <c r="B132" s="77"/>
      <c r="C132" s="78"/>
      <c r="D132" s="79"/>
      <c r="E132" s="80"/>
      <c r="F132" s="79"/>
      <c r="G132" s="70"/>
      <c r="H132" s="70"/>
      <c r="I132" s="70"/>
      <c r="J132" s="70"/>
    </row>
    <row r="133" spans="1:10" x14ac:dyDescent="0.25">
      <c r="A133" s="76"/>
      <c r="B133" s="77"/>
      <c r="C133" s="78"/>
      <c r="D133" s="79"/>
      <c r="E133" s="80"/>
      <c r="F133" s="79"/>
      <c r="G133" s="70"/>
      <c r="H133" s="70"/>
      <c r="I133" s="70"/>
      <c r="J133" s="70"/>
    </row>
    <row r="134" spans="1:10" x14ac:dyDescent="0.25">
      <c r="A134" s="76"/>
      <c r="B134" s="77"/>
      <c r="C134" s="78"/>
      <c r="D134" s="79"/>
      <c r="E134" s="80"/>
      <c r="F134" s="79"/>
      <c r="G134" s="70"/>
      <c r="H134" s="70"/>
      <c r="I134" s="70"/>
      <c r="J134" s="70"/>
    </row>
    <row r="135" spans="1:10" x14ac:dyDescent="0.25">
      <c r="A135" s="76"/>
      <c r="B135" s="77"/>
      <c r="C135" s="78"/>
      <c r="D135" s="79"/>
      <c r="E135" s="80"/>
      <c r="F135" s="79"/>
      <c r="G135" s="70"/>
      <c r="H135" s="70"/>
      <c r="I135" s="70"/>
      <c r="J135" s="70"/>
    </row>
    <row r="136" spans="1:10" x14ac:dyDescent="0.25">
      <c r="A136" s="76"/>
      <c r="B136" s="77"/>
      <c r="C136" s="78"/>
      <c r="D136" s="79"/>
      <c r="E136" s="80"/>
      <c r="F136" s="79"/>
      <c r="G136" s="70"/>
      <c r="H136" s="70"/>
      <c r="I136" s="70"/>
      <c r="J136" s="70"/>
    </row>
    <row r="137" spans="1:10" x14ac:dyDescent="0.25">
      <c r="A137" s="76"/>
      <c r="B137" s="77"/>
      <c r="C137" s="78"/>
      <c r="D137" s="79"/>
      <c r="E137" s="80"/>
      <c r="F137" s="79"/>
      <c r="G137" s="70"/>
      <c r="H137" s="70"/>
      <c r="I137" s="70"/>
      <c r="J137" s="70"/>
    </row>
    <row r="138" spans="1:10" x14ac:dyDescent="0.25">
      <c r="A138" s="76"/>
      <c r="B138" s="77"/>
      <c r="C138" s="78"/>
      <c r="D138" s="79"/>
      <c r="E138" s="80"/>
      <c r="F138" s="79"/>
      <c r="G138" s="70"/>
      <c r="H138" s="70"/>
      <c r="I138" s="70"/>
      <c r="J138" s="70"/>
    </row>
    <row r="139" spans="1:10" x14ac:dyDescent="0.25">
      <c r="A139" s="76"/>
      <c r="B139" s="77"/>
      <c r="C139" s="78"/>
      <c r="D139" s="79"/>
      <c r="E139" s="80"/>
      <c r="F139" s="79"/>
      <c r="G139" s="70"/>
      <c r="H139" s="70"/>
      <c r="I139" s="70"/>
      <c r="J139" s="70"/>
    </row>
    <row r="140" spans="1:10" x14ac:dyDescent="0.25">
      <c r="A140" s="76"/>
      <c r="B140" s="77"/>
      <c r="C140" s="78"/>
      <c r="D140" s="79"/>
      <c r="E140" s="80"/>
      <c r="F140" s="79"/>
      <c r="G140" s="70"/>
      <c r="H140" s="70"/>
      <c r="I140" s="70"/>
      <c r="J140" s="70"/>
    </row>
    <row r="141" spans="1:10" x14ac:dyDescent="0.25">
      <c r="A141" s="76"/>
      <c r="B141" s="77"/>
      <c r="C141" s="78"/>
      <c r="D141" s="79"/>
      <c r="E141" s="80"/>
      <c r="F141" s="79"/>
      <c r="G141" s="70"/>
      <c r="H141" s="70"/>
      <c r="I141" s="70"/>
      <c r="J141" s="70"/>
    </row>
    <row r="142" spans="1:10" x14ac:dyDescent="0.25">
      <c r="A142" s="76"/>
      <c r="B142" s="77"/>
      <c r="C142" s="78"/>
      <c r="D142" s="79"/>
      <c r="E142" s="80"/>
      <c r="F142" s="79"/>
      <c r="G142" s="70"/>
      <c r="H142" s="70"/>
      <c r="I142" s="70"/>
      <c r="J142" s="70"/>
    </row>
    <row r="143" spans="1:10" x14ac:dyDescent="0.25">
      <c r="A143" s="76"/>
      <c r="B143" s="77"/>
      <c r="C143" s="78"/>
      <c r="D143" s="79"/>
      <c r="E143" s="80"/>
      <c r="F143" s="79"/>
      <c r="G143" s="70"/>
      <c r="H143" s="70"/>
      <c r="I143" s="70"/>
      <c r="J143" s="70"/>
    </row>
    <row r="144" spans="1:10" x14ac:dyDescent="0.25">
      <c r="A144" s="76"/>
      <c r="B144" s="77"/>
      <c r="C144" s="78"/>
      <c r="D144" s="79"/>
      <c r="E144" s="80"/>
      <c r="F144" s="79"/>
      <c r="G144" s="70"/>
      <c r="H144" s="70"/>
      <c r="I144" s="70"/>
      <c r="J144" s="70"/>
    </row>
    <row r="145" spans="1:10" x14ac:dyDescent="0.25">
      <c r="A145" s="76"/>
      <c r="B145" s="77"/>
      <c r="C145" s="78"/>
      <c r="D145" s="79"/>
      <c r="E145" s="80"/>
      <c r="F145" s="79"/>
      <c r="G145" s="70"/>
      <c r="H145" s="70"/>
      <c r="I145" s="70"/>
      <c r="J145" s="70"/>
    </row>
    <row r="146" spans="1:10" x14ac:dyDescent="0.25">
      <c r="A146" s="76"/>
      <c r="B146" s="77"/>
      <c r="C146" s="78"/>
      <c r="D146" s="79"/>
      <c r="E146" s="80"/>
      <c r="F146" s="79"/>
      <c r="G146" s="70"/>
      <c r="H146" s="70"/>
      <c r="I146" s="70"/>
      <c r="J146" s="70"/>
    </row>
    <row r="147" spans="1:10" x14ac:dyDescent="0.25">
      <c r="A147" s="76"/>
      <c r="B147" s="77"/>
      <c r="C147" s="78"/>
      <c r="D147" s="79"/>
      <c r="E147" s="80"/>
      <c r="F147" s="79"/>
      <c r="G147" s="70"/>
      <c r="H147" s="70"/>
      <c r="I147" s="70"/>
      <c r="J147" s="70"/>
    </row>
    <row r="148" spans="1:10" x14ac:dyDescent="0.25">
      <c r="A148" s="76"/>
      <c r="B148" s="77"/>
      <c r="C148" s="78"/>
      <c r="D148" s="79"/>
      <c r="E148" s="80"/>
      <c r="F148" s="79"/>
      <c r="G148" s="70"/>
      <c r="H148" s="70"/>
      <c r="I148" s="70"/>
      <c r="J148" s="70"/>
    </row>
    <row r="149" spans="1:10" x14ac:dyDescent="0.25">
      <c r="A149" s="76"/>
      <c r="B149" s="77"/>
      <c r="C149" s="78"/>
      <c r="D149" s="79"/>
      <c r="E149" s="80"/>
      <c r="F149" s="79"/>
      <c r="G149" s="70"/>
      <c r="H149" s="70"/>
      <c r="I149" s="70"/>
      <c r="J149" s="70"/>
    </row>
    <row r="150" spans="1:10" x14ac:dyDescent="0.25">
      <c r="A150" s="76"/>
      <c r="B150" s="77"/>
      <c r="C150" s="78"/>
      <c r="D150" s="79"/>
      <c r="E150" s="80"/>
      <c r="F150" s="79"/>
      <c r="G150" s="70"/>
      <c r="H150" s="70"/>
      <c r="I150" s="70"/>
      <c r="J150" s="70"/>
    </row>
    <row r="151" spans="1:10" x14ac:dyDescent="0.25">
      <c r="A151" s="76"/>
      <c r="B151" s="77"/>
      <c r="C151" s="78"/>
      <c r="D151" s="79"/>
      <c r="E151" s="80"/>
      <c r="F151" s="79"/>
      <c r="G151" s="70"/>
      <c r="H151" s="70"/>
      <c r="I151" s="70"/>
      <c r="J151" s="70"/>
    </row>
    <row r="152" spans="1:10" x14ac:dyDescent="0.25">
      <c r="A152" s="76"/>
      <c r="B152" s="77"/>
      <c r="C152" s="78"/>
      <c r="D152" s="79"/>
      <c r="E152" s="80"/>
      <c r="F152" s="79"/>
      <c r="G152" s="70"/>
      <c r="H152" s="70"/>
      <c r="I152" s="70"/>
      <c r="J152" s="70"/>
    </row>
    <row r="153" spans="1:10" x14ac:dyDescent="0.25">
      <c r="A153" s="76"/>
      <c r="B153" s="77"/>
      <c r="C153" s="78"/>
      <c r="D153" s="79"/>
      <c r="E153" s="80"/>
      <c r="F153" s="79"/>
      <c r="G153" s="70"/>
      <c r="H153" s="70"/>
      <c r="I153" s="70"/>
      <c r="J153" s="70"/>
    </row>
    <row r="154" spans="1:10" x14ac:dyDescent="0.25">
      <c r="A154" s="76"/>
      <c r="B154" s="77"/>
      <c r="C154" s="78"/>
      <c r="D154" s="79"/>
      <c r="E154" s="80"/>
      <c r="F154" s="79"/>
      <c r="G154" s="70"/>
      <c r="H154" s="70"/>
      <c r="I154" s="70"/>
      <c r="J154" s="70"/>
    </row>
    <row r="155" spans="1:10" x14ac:dyDescent="0.25">
      <c r="A155" s="76"/>
      <c r="B155" s="77"/>
      <c r="C155" s="78"/>
      <c r="D155" s="79"/>
      <c r="E155" s="80"/>
      <c r="F155" s="79"/>
      <c r="G155" s="70"/>
      <c r="H155" s="70"/>
      <c r="I155" s="70"/>
      <c r="J155" s="70"/>
    </row>
    <row r="156" spans="1:10" x14ac:dyDescent="0.25">
      <c r="A156" s="76"/>
      <c r="B156" s="77"/>
      <c r="C156" s="78"/>
      <c r="D156" s="79"/>
      <c r="E156" s="80"/>
      <c r="F156" s="79"/>
      <c r="G156" s="70"/>
      <c r="H156" s="70"/>
      <c r="I156" s="70"/>
      <c r="J156" s="70"/>
    </row>
    <row r="157" spans="1:10" x14ac:dyDescent="0.25">
      <c r="A157" s="76"/>
      <c r="B157" s="77"/>
      <c r="C157" s="78"/>
      <c r="D157" s="79"/>
      <c r="E157" s="80"/>
      <c r="F157" s="79"/>
      <c r="G157" s="70"/>
      <c r="H157" s="70"/>
      <c r="I157" s="70"/>
      <c r="J157" s="70"/>
    </row>
    <row r="158" spans="1:10" x14ac:dyDescent="0.25">
      <c r="A158" s="76"/>
      <c r="B158" s="77"/>
      <c r="C158" s="78"/>
      <c r="D158" s="79"/>
      <c r="E158" s="80"/>
      <c r="F158" s="79"/>
      <c r="G158" s="70"/>
      <c r="H158" s="70"/>
      <c r="I158" s="70"/>
      <c r="J158" s="70"/>
    </row>
    <row r="159" spans="1:10" x14ac:dyDescent="0.25">
      <c r="A159" s="76"/>
      <c r="B159" s="77"/>
      <c r="C159" s="78"/>
      <c r="D159" s="79"/>
      <c r="E159" s="80"/>
      <c r="F159" s="79"/>
      <c r="G159" s="70"/>
      <c r="H159" s="70"/>
      <c r="I159" s="70"/>
      <c r="J159" s="70"/>
    </row>
    <row r="160" spans="1:10" x14ac:dyDescent="0.25">
      <c r="A160" s="76"/>
      <c r="B160" s="77"/>
      <c r="C160" s="78"/>
      <c r="D160" s="79"/>
      <c r="E160" s="80"/>
      <c r="F160" s="79"/>
      <c r="G160" s="70"/>
      <c r="H160" s="70"/>
      <c r="I160" s="70"/>
      <c r="J160" s="70"/>
    </row>
    <row r="161" spans="1:10" x14ac:dyDescent="0.25">
      <c r="A161" s="76"/>
      <c r="B161" s="77"/>
      <c r="C161" s="78"/>
      <c r="D161" s="79"/>
      <c r="E161" s="80"/>
      <c r="F161" s="79"/>
      <c r="G161" s="70"/>
      <c r="H161" s="70"/>
      <c r="I161" s="70"/>
      <c r="J161" s="70"/>
    </row>
    <row r="162" spans="1:10" x14ac:dyDescent="0.25">
      <c r="A162" s="76"/>
      <c r="B162" s="77"/>
      <c r="C162" s="78"/>
      <c r="D162" s="79"/>
      <c r="E162" s="80"/>
      <c r="F162" s="79"/>
      <c r="G162" s="70"/>
      <c r="H162" s="70"/>
      <c r="I162" s="70"/>
      <c r="J162" s="70"/>
    </row>
    <row r="163" spans="1:10" x14ac:dyDescent="0.25">
      <c r="A163" s="76"/>
      <c r="B163" s="77"/>
      <c r="C163" s="78"/>
      <c r="D163" s="79"/>
      <c r="E163" s="80"/>
      <c r="F163" s="79"/>
      <c r="G163" s="70"/>
      <c r="H163" s="70"/>
      <c r="I163" s="70"/>
      <c r="J163" s="70"/>
    </row>
    <row r="164" spans="1:10" x14ac:dyDescent="0.25">
      <c r="A164" s="76"/>
      <c r="B164" s="77"/>
      <c r="C164" s="78"/>
      <c r="D164" s="79"/>
      <c r="E164" s="80"/>
      <c r="F164" s="79"/>
      <c r="G164" s="70"/>
      <c r="H164" s="70"/>
      <c r="I164" s="70"/>
      <c r="J164" s="70"/>
    </row>
    <row r="165" spans="1:10" x14ac:dyDescent="0.25">
      <c r="A165" s="76"/>
      <c r="B165" s="77"/>
      <c r="C165" s="78"/>
      <c r="D165" s="79"/>
      <c r="E165" s="80"/>
      <c r="F165" s="79"/>
      <c r="G165" s="70"/>
      <c r="H165" s="70"/>
      <c r="I165" s="70"/>
      <c r="J165" s="70"/>
    </row>
    <row r="166" spans="1:10" x14ac:dyDescent="0.25">
      <c r="A166" s="76"/>
      <c r="B166" s="77"/>
      <c r="C166" s="78"/>
      <c r="D166" s="79"/>
      <c r="E166" s="80"/>
      <c r="F166" s="79"/>
      <c r="G166" s="70"/>
      <c r="H166" s="70"/>
      <c r="I166" s="70"/>
      <c r="J166" s="70"/>
    </row>
    <row r="167" spans="1:10" x14ac:dyDescent="0.25">
      <c r="A167" s="76"/>
      <c r="B167" s="77"/>
      <c r="C167" s="78"/>
      <c r="D167" s="79"/>
      <c r="E167" s="80"/>
      <c r="F167" s="79"/>
      <c r="G167" s="70"/>
      <c r="H167" s="70"/>
      <c r="I167" s="70"/>
      <c r="J167" s="70"/>
    </row>
    <row r="168" spans="1:10" x14ac:dyDescent="0.25">
      <c r="A168" s="76"/>
      <c r="B168" s="77"/>
      <c r="C168" s="78"/>
      <c r="D168" s="79"/>
      <c r="E168" s="80"/>
      <c r="F168" s="79"/>
      <c r="G168" s="70"/>
      <c r="H168" s="70"/>
      <c r="I168" s="70"/>
      <c r="J168" s="70"/>
    </row>
    <row r="169" spans="1:10" x14ac:dyDescent="0.25">
      <c r="A169" s="76"/>
      <c r="B169" s="77"/>
      <c r="C169" s="78"/>
      <c r="D169" s="79"/>
      <c r="E169" s="80"/>
      <c r="F169" s="79"/>
      <c r="G169" s="70"/>
      <c r="H169" s="70"/>
      <c r="I169" s="70"/>
      <c r="J169" s="70"/>
    </row>
    <row r="170" spans="1:10" x14ac:dyDescent="0.25">
      <c r="A170" s="76"/>
      <c r="B170" s="77"/>
      <c r="C170" s="78"/>
      <c r="D170" s="79"/>
      <c r="E170" s="80"/>
      <c r="F170" s="79"/>
      <c r="G170" s="70"/>
      <c r="H170" s="70"/>
      <c r="I170" s="70"/>
      <c r="J170" s="70"/>
    </row>
    <row r="171" spans="1:10" x14ac:dyDescent="0.25">
      <c r="A171" s="76"/>
      <c r="B171" s="77"/>
      <c r="C171" s="78"/>
      <c r="D171" s="79"/>
      <c r="E171" s="80"/>
      <c r="F171" s="79"/>
      <c r="G171" s="70"/>
      <c r="H171" s="70"/>
      <c r="I171" s="70"/>
      <c r="J171" s="70"/>
    </row>
    <row r="172" spans="1:10" x14ac:dyDescent="0.25">
      <c r="A172" s="76"/>
      <c r="B172" s="77"/>
      <c r="C172" s="78"/>
      <c r="D172" s="79"/>
      <c r="E172" s="80"/>
      <c r="F172" s="79"/>
      <c r="G172" s="70"/>
      <c r="H172" s="70"/>
      <c r="I172" s="70"/>
      <c r="J172" s="70"/>
    </row>
    <row r="173" spans="1:10" x14ac:dyDescent="0.25">
      <c r="A173" s="76"/>
      <c r="B173" s="77"/>
      <c r="C173" s="78"/>
      <c r="D173" s="79"/>
      <c r="E173" s="80"/>
      <c r="F173" s="79"/>
      <c r="G173" s="70"/>
      <c r="H173" s="70"/>
      <c r="I173" s="70"/>
      <c r="J173" s="70"/>
    </row>
    <row r="174" spans="1:10" x14ac:dyDescent="0.25">
      <c r="A174" s="76"/>
      <c r="B174" s="77"/>
      <c r="C174" s="78"/>
      <c r="D174" s="79"/>
      <c r="E174" s="80"/>
      <c r="F174" s="79"/>
      <c r="G174" s="70"/>
      <c r="H174" s="70"/>
      <c r="I174" s="70"/>
      <c r="J174" s="70"/>
    </row>
    <row r="175" spans="1:10" x14ac:dyDescent="0.25">
      <c r="A175" s="76"/>
      <c r="B175" s="77"/>
      <c r="C175" s="78"/>
      <c r="D175" s="79"/>
      <c r="E175" s="80"/>
      <c r="F175" s="79"/>
      <c r="G175" s="70"/>
      <c r="H175" s="70"/>
      <c r="I175" s="70"/>
      <c r="J175" s="70"/>
    </row>
    <row r="176" spans="1:10" x14ac:dyDescent="0.25">
      <c r="A176" s="76"/>
      <c r="B176" s="77"/>
      <c r="C176" s="78"/>
      <c r="D176" s="79"/>
      <c r="E176" s="80"/>
      <c r="F176" s="79"/>
      <c r="G176" s="70"/>
      <c r="H176" s="70"/>
      <c r="I176" s="70"/>
      <c r="J176" s="70"/>
    </row>
    <row r="177" spans="1:10" x14ac:dyDescent="0.25">
      <c r="A177" s="76"/>
      <c r="B177" s="77"/>
      <c r="C177" s="78"/>
      <c r="D177" s="79"/>
      <c r="E177" s="80"/>
      <c r="F177" s="79"/>
      <c r="G177" s="70"/>
      <c r="H177" s="70"/>
      <c r="I177" s="70"/>
      <c r="J177" s="70"/>
    </row>
    <row r="178" spans="1:10" x14ac:dyDescent="0.25">
      <c r="A178" s="76"/>
      <c r="B178" s="77"/>
      <c r="C178" s="78"/>
      <c r="D178" s="79"/>
      <c r="E178" s="80"/>
      <c r="F178" s="79"/>
      <c r="G178" s="70"/>
      <c r="H178" s="70"/>
      <c r="I178" s="70"/>
      <c r="J178" s="70"/>
    </row>
    <row r="179" spans="1:10" x14ac:dyDescent="0.25">
      <c r="A179" s="76"/>
      <c r="B179" s="77"/>
      <c r="C179" s="78"/>
      <c r="D179" s="79"/>
      <c r="E179" s="80"/>
      <c r="F179" s="79"/>
      <c r="G179" s="70"/>
      <c r="H179" s="70"/>
      <c r="I179" s="70"/>
      <c r="J179" s="70"/>
    </row>
    <row r="180" spans="1:10" x14ac:dyDescent="0.25">
      <c r="A180" s="76"/>
      <c r="B180" s="77"/>
      <c r="C180" s="78"/>
      <c r="D180" s="79"/>
      <c r="E180" s="80"/>
      <c r="F180" s="79"/>
      <c r="G180" s="70"/>
      <c r="H180" s="70"/>
      <c r="I180" s="70"/>
      <c r="J180" s="70"/>
    </row>
    <row r="181" spans="1:10" x14ac:dyDescent="0.25">
      <c r="A181" s="76"/>
      <c r="B181" s="77"/>
      <c r="C181" s="78"/>
      <c r="D181" s="79"/>
      <c r="E181" s="80"/>
      <c r="F181" s="79"/>
      <c r="G181" s="70"/>
      <c r="H181" s="70"/>
      <c r="I181" s="70"/>
      <c r="J181" s="70"/>
    </row>
    <row r="182" spans="1:10" x14ac:dyDescent="0.25">
      <c r="A182" s="76"/>
      <c r="B182" s="77"/>
      <c r="C182" s="78"/>
      <c r="D182" s="79"/>
      <c r="E182" s="80"/>
      <c r="F182" s="79"/>
      <c r="G182" s="70"/>
      <c r="H182" s="70"/>
      <c r="I182" s="70"/>
      <c r="J182" s="70"/>
    </row>
    <row r="183" spans="1:10" x14ac:dyDescent="0.25">
      <c r="A183" s="76"/>
      <c r="B183" s="77"/>
      <c r="C183" s="78"/>
      <c r="D183" s="79"/>
      <c r="E183" s="80"/>
      <c r="F183" s="79"/>
      <c r="G183" s="70"/>
      <c r="H183" s="70"/>
      <c r="I183" s="70"/>
      <c r="J183" s="70"/>
    </row>
    <row r="184" spans="1:10" x14ac:dyDescent="0.25">
      <c r="A184" s="76"/>
      <c r="B184" s="77"/>
      <c r="C184" s="78"/>
      <c r="D184" s="79"/>
      <c r="E184" s="80"/>
      <c r="F184" s="79"/>
      <c r="G184" s="70"/>
      <c r="H184" s="70"/>
      <c r="I184" s="70"/>
      <c r="J184" s="70"/>
    </row>
    <row r="185" spans="1:10" x14ac:dyDescent="0.25">
      <c r="A185" s="76"/>
      <c r="B185" s="77"/>
      <c r="C185" s="78"/>
      <c r="D185" s="79"/>
      <c r="E185" s="80"/>
      <c r="F185" s="79"/>
      <c r="G185" s="70"/>
      <c r="H185" s="70"/>
      <c r="I185" s="70"/>
      <c r="J185" s="70"/>
    </row>
    <row r="186" spans="1:10" x14ac:dyDescent="0.25">
      <c r="A186" s="76"/>
      <c r="B186" s="77"/>
      <c r="C186" s="78"/>
      <c r="D186" s="79"/>
      <c r="E186" s="80"/>
      <c r="F186" s="79"/>
      <c r="G186" s="70"/>
      <c r="H186" s="70"/>
      <c r="I186" s="70"/>
      <c r="J186" s="70"/>
    </row>
    <row r="187" spans="1:10" x14ac:dyDescent="0.25">
      <c r="A187" s="76"/>
      <c r="B187" s="77"/>
      <c r="C187" s="78"/>
      <c r="D187" s="79"/>
      <c r="E187" s="80"/>
      <c r="F187" s="79"/>
      <c r="G187" s="70"/>
      <c r="H187" s="70"/>
      <c r="I187" s="70"/>
      <c r="J187" s="70"/>
    </row>
    <row r="188" spans="1:10" x14ac:dyDescent="0.25">
      <c r="A188" s="76"/>
      <c r="B188" s="77"/>
      <c r="C188" s="78"/>
      <c r="D188" s="79"/>
      <c r="E188" s="80"/>
      <c r="F188" s="79"/>
      <c r="G188" s="70"/>
      <c r="H188" s="70"/>
      <c r="I188" s="70"/>
      <c r="J188" s="70"/>
    </row>
    <row r="189" spans="1:10" x14ac:dyDescent="0.25">
      <c r="A189" s="76"/>
      <c r="B189" s="77"/>
      <c r="C189" s="78"/>
      <c r="D189" s="79"/>
      <c r="E189" s="80"/>
      <c r="F189" s="79"/>
      <c r="G189" s="70"/>
      <c r="H189" s="70"/>
      <c r="I189" s="70"/>
      <c r="J189" s="70"/>
    </row>
    <row r="190" spans="1:10" x14ac:dyDescent="0.25">
      <c r="A190" s="76"/>
      <c r="B190" s="77"/>
      <c r="C190" s="78"/>
      <c r="D190" s="79"/>
      <c r="E190" s="80"/>
      <c r="F190" s="79"/>
      <c r="G190" s="70"/>
      <c r="H190" s="70"/>
      <c r="I190" s="70"/>
      <c r="J190" s="70"/>
    </row>
    <row r="191" spans="1:10" x14ac:dyDescent="0.25">
      <c r="A191" s="76"/>
      <c r="B191" s="77"/>
      <c r="C191" s="78"/>
      <c r="D191" s="79"/>
      <c r="E191" s="80"/>
      <c r="F191" s="79"/>
      <c r="G191" s="70"/>
      <c r="H191" s="70"/>
      <c r="I191" s="70"/>
      <c r="J191" s="70"/>
    </row>
    <row r="192" spans="1:10" x14ac:dyDescent="0.25">
      <c r="A192" s="76"/>
      <c r="B192" s="77"/>
      <c r="C192" s="78"/>
      <c r="D192" s="79"/>
      <c r="E192" s="80"/>
      <c r="F192" s="79"/>
      <c r="G192" s="70"/>
      <c r="H192" s="70"/>
      <c r="I192" s="70"/>
      <c r="J192" s="70"/>
    </row>
    <row r="193" spans="1:10" x14ac:dyDescent="0.25">
      <c r="A193" s="76"/>
      <c r="B193" s="77"/>
      <c r="C193" s="78"/>
      <c r="D193" s="79"/>
      <c r="E193" s="80"/>
      <c r="F193" s="79"/>
      <c r="G193" s="70"/>
      <c r="H193" s="70"/>
      <c r="I193" s="70"/>
      <c r="J193" s="70"/>
    </row>
    <row r="194" spans="1:10" x14ac:dyDescent="0.25">
      <c r="A194" s="76"/>
      <c r="B194" s="77"/>
      <c r="C194" s="78"/>
      <c r="D194" s="79"/>
      <c r="E194" s="80"/>
      <c r="F194" s="79"/>
      <c r="G194" s="70"/>
      <c r="H194" s="70"/>
      <c r="I194" s="70"/>
      <c r="J194" s="70"/>
    </row>
    <row r="195" spans="1:10" x14ac:dyDescent="0.25">
      <c r="A195" s="76"/>
      <c r="B195" s="77"/>
      <c r="C195" s="78"/>
      <c r="D195" s="79"/>
      <c r="E195" s="80"/>
      <c r="F195" s="79"/>
      <c r="G195" s="70"/>
      <c r="H195" s="70"/>
      <c r="I195" s="70"/>
      <c r="J195" s="70"/>
    </row>
    <row r="196" spans="1:10" x14ac:dyDescent="0.25">
      <c r="A196" s="76"/>
      <c r="B196" s="77"/>
      <c r="C196" s="78"/>
      <c r="D196" s="79"/>
      <c r="E196" s="80"/>
      <c r="F196" s="79"/>
      <c r="G196" s="70"/>
      <c r="H196" s="70"/>
      <c r="I196" s="70"/>
      <c r="J196" s="70"/>
    </row>
    <row r="197" spans="1:10" x14ac:dyDescent="0.25">
      <c r="A197" s="76"/>
      <c r="B197" s="77"/>
      <c r="C197" s="78"/>
      <c r="D197" s="79"/>
      <c r="E197" s="80"/>
      <c r="F197" s="79"/>
      <c r="G197" s="70"/>
      <c r="H197" s="70"/>
      <c r="I197" s="70"/>
      <c r="J197" s="70"/>
    </row>
    <row r="198" spans="1:10" x14ac:dyDescent="0.25">
      <c r="A198" s="76"/>
      <c r="B198" s="77"/>
      <c r="C198" s="78"/>
      <c r="D198" s="79"/>
      <c r="E198" s="80"/>
      <c r="F198" s="79"/>
      <c r="G198" s="70"/>
      <c r="H198" s="70"/>
      <c r="I198" s="70"/>
      <c r="J198" s="70"/>
    </row>
    <row r="199" spans="1:10" x14ac:dyDescent="0.25">
      <c r="A199" s="76"/>
      <c r="B199" s="77"/>
      <c r="C199" s="78"/>
      <c r="D199" s="79"/>
      <c r="E199" s="80"/>
      <c r="F199" s="79"/>
      <c r="G199" s="70"/>
      <c r="H199" s="70"/>
      <c r="I199" s="70"/>
      <c r="J199" s="70"/>
    </row>
    <row r="200" spans="1:10" x14ac:dyDescent="0.25">
      <c r="A200" s="76"/>
      <c r="B200" s="77"/>
      <c r="C200" s="78"/>
      <c r="D200" s="79"/>
      <c r="E200" s="80"/>
      <c r="F200" s="79"/>
      <c r="G200" s="70"/>
      <c r="H200" s="70"/>
      <c r="I200" s="70"/>
      <c r="J200" s="70"/>
    </row>
    <row r="201" spans="1:10" x14ac:dyDescent="0.25">
      <c r="A201" s="76"/>
      <c r="B201" s="77"/>
      <c r="C201" s="78"/>
      <c r="D201" s="79"/>
      <c r="E201" s="80"/>
      <c r="F201" s="79"/>
      <c r="G201" s="70"/>
      <c r="H201" s="70"/>
      <c r="I201" s="70"/>
      <c r="J201" s="70"/>
    </row>
    <row r="202" spans="1:10" x14ac:dyDescent="0.25">
      <c r="A202" s="76"/>
      <c r="B202" s="77"/>
      <c r="C202" s="78"/>
      <c r="D202" s="79"/>
      <c r="E202" s="80"/>
      <c r="F202" s="79"/>
      <c r="G202" s="70"/>
      <c r="H202" s="70"/>
      <c r="I202" s="70"/>
      <c r="J202" s="70"/>
    </row>
    <row r="203" spans="1:10" x14ac:dyDescent="0.25">
      <c r="A203" s="76"/>
      <c r="B203" s="77"/>
      <c r="C203" s="78"/>
      <c r="D203" s="79"/>
      <c r="E203" s="80"/>
      <c r="F203" s="79"/>
      <c r="G203" s="70"/>
      <c r="H203" s="70"/>
      <c r="I203" s="70"/>
      <c r="J203" s="70"/>
    </row>
    <row r="204" spans="1:10" x14ac:dyDescent="0.25">
      <c r="A204" s="76"/>
      <c r="B204" s="77"/>
      <c r="C204" s="78"/>
      <c r="D204" s="79"/>
      <c r="E204" s="80"/>
      <c r="F204" s="79"/>
      <c r="G204" s="70"/>
      <c r="H204" s="70"/>
      <c r="I204" s="70"/>
      <c r="J204" s="70"/>
    </row>
    <row r="205" spans="1:10" x14ac:dyDescent="0.25">
      <c r="A205" s="76"/>
      <c r="B205" s="77"/>
      <c r="C205" s="78"/>
      <c r="D205" s="79"/>
      <c r="E205" s="80"/>
      <c r="F205" s="79"/>
      <c r="G205" s="70"/>
      <c r="H205" s="70"/>
      <c r="I205" s="70"/>
      <c r="J205" s="70"/>
    </row>
    <row r="206" spans="1:10" x14ac:dyDescent="0.25">
      <c r="A206" s="76"/>
      <c r="B206" s="77"/>
      <c r="C206" s="78"/>
      <c r="D206" s="79"/>
      <c r="E206" s="80"/>
      <c r="F206" s="79"/>
      <c r="G206" s="70"/>
      <c r="H206" s="70"/>
      <c r="I206" s="70"/>
      <c r="J206" s="70"/>
    </row>
    <row r="207" spans="1:10" x14ac:dyDescent="0.25">
      <c r="A207" s="76"/>
      <c r="B207" s="77"/>
      <c r="C207" s="78"/>
      <c r="D207" s="79"/>
      <c r="E207" s="80"/>
      <c r="F207" s="79"/>
      <c r="G207" s="70"/>
      <c r="H207" s="70"/>
      <c r="I207" s="70"/>
      <c r="J207" s="70"/>
    </row>
    <row r="208" spans="1:10" x14ac:dyDescent="0.25">
      <c r="A208" s="76"/>
      <c r="B208" s="77"/>
      <c r="C208" s="78"/>
      <c r="D208" s="79"/>
      <c r="E208" s="80"/>
      <c r="F208" s="79"/>
      <c r="G208" s="70"/>
      <c r="H208" s="70"/>
      <c r="I208" s="70"/>
      <c r="J208" s="70"/>
    </row>
    <row r="209" spans="1:10" x14ac:dyDescent="0.25">
      <c r="A209" s="76"/>
      <c r="B209" s="77"/>
      <c r="C209" s="78"/>
      <c r="D209" s="79"/>
      <c r="E209" s="80"/>
      <c r="F209" s="79"/>
      <c r="G209" s="70"/>
      <c r="H209" s="70"/>
      <c r="I209" s="70"/>
      <c r="J209" s="70"/>
    </row>
    <row r="210" spans="1:10" x14ac:dyDescent="0.25">
      <c r="A210" s="76"/>
      <c r="B210" s="77"/>
      <c r="C210" s="78"/>
      <c r="D210" s="79"/>
      <c r="E210" s="80"/>
      <c r="F210" s="79"/>
      <c r="G210" s="70"/>
      <c r="H210" s="70"/>
      <c r="I210" s="70"/>
      <c r="J210" s="70"/>
    </row>
    <row r="211" spans="1:10" x14ac:dyDescent="0.25">
      <c r="A211" s="81"/>
      <c r="B211" s="82"/>
      <c r="C211" s="78"/>
      <c r="D211" s="79"/>
      <c r="E211" s="80"/>
      <c r="F211" s="79"/>
      <c r="G211" s="70"/>
      <c r="H211" s="70"/>
      <c r="I211" s="70"/>
      <c r="J211" s="70"/>
    </row>
    <row r="212" spans="1:10" x14ac:dyDescent="0.25">
      <c r="A212" s="76"/>
      <c r="B212" s="77"/>
      <c r="C212" s="78"/>
      <c r="D212" s="79"/>
      <c r="E212" s="80"/>
      <c r="F212" s="79"/>
      <c r="G212" s="70"/>
      <c r="H212" s="70"/>
      <c r="I212" s="70"/>
      <c r="J212" s="70"/>
    </row>
    <row r="213" spans="1:10" x14ac:dyDescent="0.25">
      <c r="A213" s="76"/>
      <c r="B213" s="77"/>
      <c r="C213" s="78"/>
      <c r="D213" s="79"/>
      <c r="E213" s="80"/>
      <c r="F213" s="79"/>
      <c r="G213" s="70"/>
      <c r="H213" s="70"/>
      <c r="I213" s="70"/>
      <c r="J213" s="70"/>
    </row>
    <row r="214" spans="1:10" x14ac:dyDescent="0.25">
      <c r="A214" s="76"/>
      <c r="B214" s="77"/>
      <c r="C214" s="78"/>
      <c r="D214" s="79"/>
      <c r="E214" s="80"/>
      <c r="F214" s="79"/>
      <c r="G214" s="70"/>
      <c r="H214" s="70"/>
      <c r="I214" s="70"/>
      <c r="J214" s="70"/>
    </row>
    <row r="215" spans="1:10" x14ac:dyDescent="0.25">
      <c r="A215" s="76"/>
      <c r="B215" s="77"/>
      <c r="C215" s="78"/>
      <c r="D215" s="79"/>
      <c r="E215" s="80"/>
      <c r="F215" s="79"/>
      <c r="G215" s="70"/>
      <c r="H215" s="70"/>
      <c r="I215" s="70"/>
      <c r="J215" s="70"/>
    </row>
    <row r="216" spans="1:10" x14ac:dyDescent="0.25">
      <c r="A216" s="76"/>
      <c r="B216" s="77"/>
      <c r="C216" s="78"/>
      <c r="D216" s="79"/>
      <c r="E216" s="80"/>
      <c r="F216" s="79"/>
      <c r="G216" s="70"/>
      <c r="H216" s="70"/>
      <c r="I216" s="70"/>
      <c r="J216" s="70"/>
    </row>
    <row r="217" spans="1:10" x14ac:dyDescent="0.25">
      <c r="A217" s="76"/>
      <c r="B217" s="77"/>
      <c r="C217" s="78"/>
      <c r="D217" s="79"/>
      <c r="E217" s="80"/>
      <c r="F217" s="79"/>
      <c r="G217" s="70"/>
      <c r="H217" s="70"/>
      <c r="I217" s="70"/>
      <c r="J217" s="70"/>
    </row>
    <row r="218" spans="1:10" x14ac:dyDescent="0.25">
      <c r="A218" s="76"/>
      <c r="B218" s="83"/>
      <c r="C218" s="83"/>
      <c r="D218" s="70"/>
      <c r="E218" s="84"/>
      <c r="F218" s="70"/>
      <c r="G218" s="70"/>
      <c r="H218" s="70"/>
      <c r="I218" s="70"/>
      <c r="J218" s="70"/>
    </row>
    <row r="219" spans="1:10" x14ac:dyDescent="0.25">
      <c r="A219" s="85"/>
      <c r="B219" s="86"/>
      <c r="C219" s="87"/>
      <c r="D219" s="86"/>
      <c r="E219" s="84"/>
      <c r="F219" s="86"/>
      <c r="G219" s="70"/>
      <c r="H219" s="70"/>
      <c r="I219" s="70"/>
      <c r="J219" s="70"/>
    </row>
    <row r="220" spans="1:10" x14ac:dyDescent="0.25">
      <c r="A220" s="88"/>
      <c r="B220" s="89"/>
      <c r="C220" s="83"/>
      <c r="D220" s="79"/>
      <c r="E220" s="84"/>
      <c r="F220" s="79"/>
      <c r="G220" s="70"/>
      <c r="H220" s="70"/>
      <c r="I220" s="70"/>
      <c r="J220" s="70"/>
    </row>
    <row r="221" spans="1:10" x14ac:dyDescent="0.25">
      <c r="A221" s="88"/>
      <c r="B221" s="82"/>
      <c r="C221" s="78"/>
      <c r="D221" s="90"/>
      <c r="E221" s="84"/>
      <c r="F221" s="79"/>
      <c r="G221" s="70"/>
      <c r="H221" s="70"/>
      <c r="I221" s="70"/>
      <c r="J221" s="70"/>
    </row>
    <row r="222" spans="1:10" x14ac:dyDescent="0.25">
      <c r="A222" s="88"/>
      <c r="B222" s="89"/>
      <c r="C222" s="83"/>
      <c r="D222" s="89"/>
      <c r="E222" s="84"/>
      <c r="F222" s="79"/>
      <c r="G222" s="70"/>
      <c r="H222" s="70"/>
      <c r="I222" s="70"/>
      <c r="J222" s="70"/>
    </row>
    <row r="223" spans="1:10" x14ac:dyDescent="0.25">
      <c r="A223" s="85"/>
      <c r="B223" s="86"/>
      <c r="C223" s="87"/>
      <c r="D223" s="86"/>
      <c r="E223" s="84"/>
      <c r="F223" s="79"/>
      <c r="G223" s="70"/>
      <c r="H223" s="70"/>
      <c r="I223" s="70"/>
      <c r="J223" s="70"/>
    </row>
    <row r="224" spans="1:10" x14ac:dyDescent="0.25">
      <c r="A224" s="88"/>
      <c r="B224" s="70"/>
      <c r="C224" s="70"/>
      <c r="D224" s="70"/>
      <c r="E224" s="70"/>
      <c r="F224" s="70"/>
      <c r="G224" s="70"/>
      <c r="H224" s="70"/>
      <c r="I224" s="70"/>
      <c r="J224" s="70"/>
    </row>
    <row r="225" spans="1:10" x14ac:dyDescent="0.25">
      <c r="A225" s="70"/>
      <c r="B225" s="70"/>
      <c r="C225" s="70"/>
      <c r="D225" s="70"/>
      <c r="E225" s="70"/>
      <c r="F225" s="70"/>
      <c r="G225" s="70"/>
      <c r="H225" s="70"/>
      <c r="I225" s="70"/>
      <c r="J225" s="70"/>
    </row>
    <row r="226" spans="1:10" x14ac:dyDescent="0.25">
      <c r="A226" s="70"/>
      <c r="B226" s="70"/>
      <c r="C226" s="70"/>
      <c r="D226" s="70"/>
      <c r="E226" s="70"/>
      <c r="F226" s="70"/>
      <c r="G226" s="70"/>
      <c r="H226" s="70"/>
      <c r="I226" s="70"/>
      <c r="J226" s="70"/>
    </row>
  </sheetData>
  <phoneticPr fontId="8" type="noConversion"/>
  <pageMargins left="0.75" right="0.75" top="1" bottom="1" header="0.5" footer="0.5"/>
  <pageSetup scale="4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2016-04-01T07:00:00+00:00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EB6748FB-EB68-4D06-8A8D-A7500938C79C}"/>
</file>

<file path=customXml/itemProps2.xml><?xml version="1.0" encoding="utf-8"?>
<ds:datastoreItem xmlns:ds="http://schemas.openxmlformats.org/officeDocument/2006/customXml" ds:itemID="{F9648DCD-B5C4-4686-A961-43A10FDB7BC2}"/>
</file>

<file path=customXml/itemProps3.xml><?xml version="1.0" encoding="utf-8"?>
<ds:datastoreItem xmlns:ds="http://schemas.openxmlformats.org/officeDocument/2006/customXml" ds:itemID="{82DE9378-5333-4972-A9D3-8E84ADFD6236}"/>
</file>

<file path=customXml/itemProps4.xml><?xml version="1.0" encoding="utf-8"?>
<ds:datastoreItem xmlns:ds="http://schemas.openxmlformats.org/officeDocument/2006/customXml" ds:itemID="{5E928EE0-CCCD-49D4-AF3A-8352A48CDF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DMR-2</vt:lpstr>
      <vt:lpstr>DMR3p1</vt:lpstr>
      <vt:lpstr>DMR3p2to7</vt:lpstr>
      <vt:lpstr>PC1p1-Emp.Red.</vt:lpstr>
      <vt:lpstr>PC1p2-Emp.Red.</vt:lpstr>
      <vt:lpstr>PC1p3-Emp.Red.</vt:lpstr>
      <vt:lpstr>PC1p4-Emp.Red.</vt:lpstr>
      <vt:lpstr>PC2p1-Pension</vt:lpstr>
      <vt:lpstr>PC2p2-Pension</vt:lpstr>
      <vt:lpstr>PC3p1-OPEB</vt:lpstr>
      <vt:lpstr>PC3p2-OPEB</vt:lpstr>
      <vt:lpstr>PC4p1_SalaryOH</vt:lpstr>
      <vt:lpstr>PC4p2-SalaryOH</vt:lpstr>
      <vt:lpstr>PC5-JB_Retire</vt:lpstr>
      <vt:lpstr>Adj_5.2-Colstrip</vt:lpstr>
      <vt:lpstr>Adj_6.1-EOP_Reserves</vt:lpstr>
      <vt:lpstr>Adj_6.2-DeprecAnnualize</vt:lpstr>
      <vt:lpstr>Adj_6.3-HydroDecomm</vt:lpstr>
      <vt:lpstr>Adj_6.4-Accel.Dep.</vt:lpstr>
      <vt:lpstr>Adj_7.1-InterestSync</vt:lpstr>
      <vt:lpstr>Adj_7.4-PowerTax</vt:lpstr>
      <vt:lpstr>Adj_7.7-DefStateTax</vt:lpstr>
      <vt:lpstr>Adj_8.1-JB_Mine</vt:lpstr>
      <vt:lpstr>Adj_8.4.1-MajorPlant</vt:lpstr>
      <vt:lpstr>Adj_8.4.2-MajorPlantDep</vt:lpstr>
      <vt:lpstr>Adj_8.11-EOP Plant</vt:lpstr>
      <vt:lpstr>Adj_8.13_Idaho</vt:lpstr>
      <vt:lpstr>DMR3p2to7!Print_Titles</vt:lpstr>
      <vt:lpstr>'PC1p4-Emp.Red.'!Print_Titles</vt:lpstr>
      <vt:lpstr>'PC2p2-Pension'!Print_Titles</vt:lpstr>
      <vt:lpstr>'PC3p2-OPEB'!Print_Titles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Donna</cp:lastModifiedBy>
  <cp:lastPrinted>2016-03-31T18:15:46Z</cp:lastPrinted>
  <dcterms:created xsi:type="dcterms:W3CDTF">1998-04-03T16:01:20Z</dcterms:created>
  <dcterms:modified xsi:type="dcterms:W3CDTF">2016-03-31T18:15:54Z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