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80" windowHeight="8460"/>
  </bookViews>
  <sheets>
    <sheet name="ADJ 3.08" sheetId="12" r:id="rId1"/>
    <sheet name="Calculation" sheetId="1" r:id="rId2"/>
    <sheet name="2012 Allocations-All" sheetId="11" r:id="rId3"/>
  </sheets>
  <definedNames>
    <definedName name="_xlnm._FilterDatabase" localSheetId="1" hidden="1">Calculation!$A$10:$A$10</definedName>
    <definedName name="Z_6E1B8C45_B07F_11D2_B0DC_0000832CDFF0_.wvu.Cols" localSheetId="0" hidden="1">'ADJ 3.08'!#REF!,'ADJ 3.08'!$E:$E</definedName>
    <definedName name="Z_6E1B8C45_B07F_11D2_B0DC_0000832CDFF0_.wvu.PrintArea" localSheetId="0" hidden="1">'ADJ 3.08'!#REF!</definedName>
    <definedName name="Z_6E1B8C45_B07F_11D2_B0DC_0000832CDFF0_.wvu.PrintTitles" localSheetId="0" hidden="1">'ADJ 3.08'!$A:$D,'ADJ 3.08'!$1:$9</definedName>
    <definedName name="Z_A15D1962_B049_11D2_8670_0000832CEEE8_.wvu.Cols" localSheetId="0" hidden="1">'ADJ 3.08'!$E:$E</definedName>
  </definedNames>
  <calcPr calcId="145621"/>
</workbook>
</file>

<file path=xl/calcChain.xml><?xml version="1.0" encoding="utf-8"?>
<calcChain xmlns="http://schemas.openxmlformats.org/spreadsheetml/2006/main">
  <c r="A2" i="11" l="1"/>
  <c r="A3" i="11"/>
  <c r="A4" i="11"/>
  <c r="A5" i="11"/>
  <c r="A1" i="11"/>
  <c r="A2" i="1"/>
  <c r="A3" i="1"/>
  <c r="A4" i="1"/>
  <c r="A1" i="1"/>
  <c r="E42" i="12" l="1"/>
  <c r="E32" i="12"/>
  <c r="E15" i="12"/>
  <c r="E17" i="12" s="1"/>
  <c r="B314" i="11"/>
  <c r="B306" i="11"/>
  <c r="B310" i="11" s="1"/>
  <c r="B301" i="11"/>
  <c r="D297" i="11"/>
  <c r="C297" i="11"/>
  <c r="D292" i="11"/>
  <c r="B291" i="11"/>
  <c r="C292" i="11" s="1"/>
  <c r="D287" i="11"/>
  <c r="C287" i="11"/>
  <c r="C231" i="11"/>
  <c r="E230" i="11"/>
  <c r="E229" i="11"/>
  <c r="D229" i="11"/>
  <c r="C222" i="11"/>
  <c r="C224" i="11" s="1"/>
  <c r="E223" i="11"/>
  <c r="D223" i="11"/>
  <c r="C215" i="11"/>
  <c r="C210" i="11"/>
  <c r="E209" i="11"/>
  <c r="D208" i="11"/>
  <c r="C205" i="11"/>
  <c r="C204" i="11"/>
  <c r="D204" i="11" s="1"/>
  <c r="E203" i="11"/>
  <c r="D203" i="11"/>
  <c r="C198" i="11"/>
  <c r="E196" i="11"/>
  <c r="D197" i="11"/>
  <c r="C193" i="11"/>
  <c r="C192" i="11"/>
  <c r="E190" i="11"/>
  <c r="E192" i="11"/>
  <c r="D190" i="11"/>
  <c r="C186" i="11"/>
  <c r="E186" i="11" s="1"/>
  <c r="E185" i="11"/>
  <c r="D184" i="11"/>
  <c r="C181" i="11"/>
  <c r="C180" i="11"/>
  <c r="D180" i="11" s="1"/>
  <c r="D178" i="11"/>
  <c r="E179" i="11"/>
  <c r="D179" i="11"/>
  <c r="C174" i="11"/>
  <c r="E172" i="11"/>
  <c r="D173" i="11"/>
  <c r="C159" i="11"/>
  <c r="E156" i="11"/>
  <c r="E257" i="11" s="1"/>
  <c r="E157" i="11"/>
  <c r="E265" i="11" s="1"/>
  <c r="D158" i="11"/>
  <c r="D273" i="11" s="1"/>
  <c r="E142" i="11"/>
  <c r="E149" i="11" s="1"/>
  <c r="D141" i="11"/>
  <c r="D145" i="11" s="1"/>
  <c r="E141" i="11"/>
  <c r="D142" i="11"/>
  <c r="E129" i="11"/>
  <c r="E136" i="11" s="1"/>
  <c r="E127" i="11"/>
  <c r="E131" i="11" s="1"/>
  <c r="E128" i="11"/>
  <c r="D129" i="11"/>
  <c r="D136" i="11" s="1"/>
  <c r="C122" i="11"/>
  <c r="E115" i="11"/>
  <c r="E122" i="11" s="1"/>
  <c r="E113" i="11"/>
  <c r="E117" i="11" s="1"/>
  <c r="E114" i="11"/>
  <c r="D113" i="11"/>
  <c r="D100" i="11"/>
  <c r="D107" i="11" s="1"/>
  <c r="E101" i="11"/>
  <c r="E108" i="11" s="1"/>
  <c r="D101" i="11"/>
  <c r="D108" i="11" s="1"/>
  <c r="C93" i="11"/>
  <c r="E92" i="11"/>
  <c r="D94" i="11"/>
  <c r="C88" i="11"/>
  <c r="E87" i="11"/>
  <c r="E41" i="11" s="1"/>
  <c r="D87" i="11"/>
  <c r="D41" i="11" s="1"/>
  <c r="C81" i="11"/>
  <c r="C80" i="11"/>
  <c r="E79" i="11"/>
  <c r="D79" i="11"/>
  <c r="C75" i="11"/>
  <c r="E74" i="11"/>
  <c r="D74" i="11"/>
  <c r="C70" i="11"/>
  <c r="E68" i="11"/>
  <c r="D69" i="11"/>
  <c r="D40" i="11" s="1"/>
  <c r="C63" i="11"/>
  <c r="D61" i="11"/>
  <c r="E62" i="11"/>
  <c r="D62" i="11"/>
  <c r="C57" i="11"/>
  <c r="E56" i="11"/>
  <c r="D55" i="11"/>
  <c r="E55" i="11"/>
  <c r="D56" i="11"/>
  <c r="C51" i="11"/>
  <c r="E49" i="11"/>
  <c r="D50" i="11"/>
  <c r="C45" i="11"/>
  <c r="E31" i="11"/>
  <c r="E249" i="11" s="1"/>
  <c r="D30" i="11"/>
  <c r="D240" i="11" s="1"/>
  <c r="D25" i="11"/>
  <c r="E26" i="11"/>
  <c r="D26" i="11"/>
  <c r="E21" i="11"/>
  <c r="E20" i="11"/>
  <c r="E15" i="11"/>
  <c r="E16" i="11"/>
  <c r="D15" i="11"/>
  <c r="E134" i="11" l="1"/>
  <c r="E135" i="11"/>
  <c r="E264" i="11" s="1"/>
  <c r="E25" i="11"/>
  <c r="D272" i="11"/>
  <c r="E61" i="11"/>
  <c r="E67" i="11"/>
  <c r="D80" i="11"/>
  <c r="E85" i="11"/>
  <c r="E94" i="11"/>
  <c r="D115" i="11"/>
  <c r="D122" i="11" s="1"/>
  <c r="E208" i="11"/>
  <c r="E224" i="11"/>
  <c r="D49" i="11"/>
  <c r="E69" i="11"/>
  <c r="E40" i="11" s="1"/>
  <c r="E42" i="11" s="1"/>
  <c r="D73" i="11"/>
  <c r="E86" i="11"/>
  <c r="D143" i="11"/>
  <c r="D150" i="11" s="1"/>
  <c r="D192" i="11"/>
  <c r="E210" i="11"/>
  <c r="D42" i="11"/>
  <c r="D43" i="11" s="1"/>
  <c r="E73" i="11"/>
  <c r="D99" i="11"/>
  <c r="E143" i="11"/>
  <c r="E150" i="11" s="1"/>
  <c r="E158" i="11"/>
  <c r="E273" i="11" s="1"/>
  <c r="E184" i="11"/>
  <c r="D202" i="11"/>
  <c r="C225" i="11"/>
  <c r="E222" i="11"/>
  <c r="B287" i="11"/>
  <c r="B297" i="11"/>
  <c r="D118" i="11"/>
  <c r="D117" i="11"/>
  <c r="E145" i="11"/>
  <c r="E238" i="11" s="1"/>
  <c r="E146" i="11"/>
  <c r="D275" i="11"/>
  <c r="E272" i="11"/>
  <c r="C95" i="11"/>
  <c r="D93" i="11"/>
  <c r="E132" i="11"/>
  <c r="D148" i="11"/>
  <c r="D149" i="11"/>
  <c r="D174" i="11"/>
  <c r="C175" i="11"/>
  <c r="E180" i="11"/>
  <c r="D185" i="11"/>
  <c r="D198" i="11"/>
  <c r="C199" i="11"/>
  <c r="E204" i="11"/>
  <c r="D209" i="11"/>
  <c r="C218" i="11"/>
  <c r="E248" i="11"/>
  <c r="D20" i="11"/>
  <c r="D21" i="11"/>
  <c r="E30" i="11"/>
  <c r="E240" i="11" s="1"/>
  <c r="E93" i="11"/>
  <c r="D114" i="11"/>
  <c r="E275" i="11"/>
  <c r="E148" i="11"/>
  <c r="E256" i="11" s="1"/>
  <c r="E174" i="11"/>
  <c r="C187" i="11"/>
  <c r="D186" i="11"/>
  <c r="E198" i="11"/>
  <c r="C211" i="11"/>
  <c r="D210" i="11"/>
  <c r="D16" i="11"/>
  <c r="D44" i="11"/>
  <c r="D92" i="11"/>
  <c r="D106" i="11"/>
  <c r="E120" i="11"/>
  <c r="E121" i="11"/>
  <c r="D172" i="11"/>
  <c r="E178" i="11"/>
  <c r="D196" i="11"/>
  <c r="E202" i="11"/>
  <c r="E215" i="11"/>
  <c r="E239" i="11"/>
  <c r="E80" i="11"/>
  <c r="E191" i="11"/>
  <c r="D224" i="11"/>
  <c r="D31" i="11"/>
  <c r="D249" i="11" s="1"/>
  <c r="E50" i="11"/>
  <c r="D68" i="11"/>
  <c r="D86" i="11"/>
  <c r="E100" i="11"/>
  <c r="E118" i="11"/>
  <c r="D128" i="11"/>
  <c r="D146" i="11"/>
  <c r="D157" i="11"/>
  <c r="D265" i="11" s="1"/>
  <c r="E173" i="11"/>
  <c r="D191" i="11"/>
  <c r="E197" i="11"/>
  <c r="C216" i="11"/>
  <c r="E216" i="11" s="1"/>
  <c r="D230" i="11"/>
  <c r="E292" i="11"/>
  <c r="B292" i="11" s="1"/>
  <c r="D67" i="11"/>
  <c r="D85" i="11"/>
  <c r="E99" i="11"/>
  <c r="D127" i="11"/>
  <c r="D156" i="11"/>
  <c r="D257" i="11" s="1"/>
  <c r="E258" i="11" l="1"/>
  <c r="D104" i="11"/>
  <c r="D245" i="11" s="1"/>
  <c r="D103" i="11"/>
  <c r="D242" i="11" s="1"/>
  <c r="D274" i="11"/>
  <c r="D276" i="11" s="1"/>
  <c r="E266" i="11"/>
  <c r="D258" i="11"/>
  <c r="E247" i="11"/>
  <c r="D239" i="11"/>
  <c r="B13" i="1"/>
  <c r="E260" i="11"/>
  <c r="D132" i="11"/>
  <c r="D247" i="11" s="1"/>
  <c r="D131" i="11"/>
  <c r="D238" i="11" s="1"/>
  <c r="E104" i="11"/>
  <c r="E251" i="11" s="1"/>
  <c r="E103" i="11"/>
  <c r="E242" i="11" s="1"/>
  <c r="D135" i="11"/>
  <c r="D264" i="11" s="1"/>
  <c r="D134" i="11"/>
  <c r="D256" i="11" s="1"/>
  <c r="D250" i="11"/>
  <c r="D270" i="11"/>
  <c r="D266" i="11"/>
  <c r="D241" i="11"/>
  <c r="D121" i="11"/>
  <c r="D120" i="11"/>
  <c r="D259" i="11" s="1"/>
  <c r="E43" i="11"/>
  <c r="E241" i="11" s="1"/>
  <c r="E44" i="11"/>
  <c r="E107" i="11"/>
  <c r="E262" i="11" s="1"/>
  <c r="E106" i="11"/>
  <c r="E254" i="11" s="1"/>
  <c r="E268" i="11"/>
  <c r="D248" i="11"/>
  <c r="C217" i="11"/>
  <c r="E217" i="11" s="1"/>
  <c r="E270" i="11" s="1"/>
  <c r="D254" i="11" l="1"/>
  <c r="E267" i="11"/>
  <c r="D251" i="11"/>
  <c r="E58" i="12"/>
  <c r="E62" i="12" s="1"/>
  <c r="E13" i="1"/>
  <c r="D260" i="11"/>
  <c r="E243" i="11"/>
  <c r="D236" i="11"/>
  <c r="E250" i="11"/>
  <c r="E252" i="11" s="1"/>
  <c r="E245" i="11"/>
  <c r="D267" i="11"/>
  <c r="D268" i="11" s="1"/>
  <c r="D262" i="11"/>
  <c r="D278" i="11"/>
  <c r="E259" i="11"/>
  <c r="E274" i="11"/>
  <c r="E276" i="11" s="1"/>
  <c r="D243" i="11"/>
  <c r="E236" i="11"/>
  <c r="D252" i="11"/>
  <c r="E278" i="11" l="1"/>
  <c r="B43" i="1"/>
  <c r="J42" i="1" l="1"/>
  <c r="I42" i="1"/>
  <c r="C43" i="1"/>
  <c r="J45" i="1"/>
  <c r="I45" i="1"/>
  <c r="J41" i="1"/>
  <c r="I41" i="1"/>
  <c r="J38" i="1"/>
  <c r="I38" i="1"/>
  <c r="J37" i="1"/>
  <c r="I37" i="1"/>
  <c r="J36" i="1"/>
  <c r="I36" i="1"/>
  <c r="J33" i="1"/>
  <c r="I33" i="1"/>
  <c r="J28" i="1"/>
  <c r="I28" i="1"/>
  <c r="J25" i="1"/>
  <c r="I25" i="1"/>
  <c r="J24" i="1"/>
  <c r="I24" i="1"/>
  <c r="J21" i="1"/>
  <c r="I21" i="1"/>
  <c r="J20" i="1"/>
  <c r="I20" i="1"/>
  <c r="J17" i="1"/>
  <c r="I17" i="1"/>
  <c r="J14" i="1"/>
  <c r="I14" i="1"/>
  <c r="J13" i="1"/>
  <c r="I13" i="1"/>
  <c r="J12" i="1"/>
  <c r="I12" i="1"/>
  <c r="C39" i="1"/>
  <c r="C26" i="1"/>
  <c r="C22" i="1"/>
  <c r="C15" i="1"/>
  <c r="F45" i="1"/>
  <c r="E45" i="1"/>
  <c r="F28" i="1"/>
  <c r="E28" i="1"/>
  <c r="F42" i="1"/>
  <c r="E42" i="1"/>
  <c r="F41" i="1"/>
  <c r="E41" i="1"/>
  <c r="F25" i="1"/>
  <c r="E25" i="1"/>
  <c r="F24" i="1"/>
  <c r="E24" i="1"/>
  <c r="F38" i="1"/>
  <c r="E38" i="1"/>
  <c r="F37" i="1"/>
  <c r="E37" i="1"/>
  <c r="F36" i="1"/>
  <c r="E36" i="1"/>
  <c r="F33" i="1"/>
  <c r="E33" i="1"/>
  <c r="F21" i="1"/>
  <c r="E21" i="1"/>
  <c r="F20" i="1"/>
  <c r="E20" i="1"/>
  <c r="F17" i="1"/>
  <c r="E17" i="1"/>
  <c r="F14" i="1"/>
  <c r="E14" i="1"/>
  <c r="F13" i="1"/>
  <c r="E23" i="12"/>
  <c r="E26" i="12" s="1"/>
  <c r="E43" i="12" s="1"/>
  <c r="E45" i="12" s="1"/>
  <c r="E48" i="12" s="1"/>
  <c r="F12" i="1"/>
  <c r="E12" i="1"/>
  <c r="B39" i="1"/>
  <c r="B26" i="1"/>
  <c r="B22" i="1"/>
  <c r="B15" i="1"/>
  <c r="K12" i="1" l="1"/>
  <c r="L12" i="1" s="1"/>
  <c r="M12" i="1" s="1"/>
  <c r="E43" i="1"/>
  <c r="F43" i="1"/>
  <c r="I39" i="1"/>
  <c r="J22" i="1"/>
  <c r="C47" i="1"/>
  <c r="J43" i="1"/>
  <c r="J26" i="1"/>
  <c r="J15" i="1"/>
  <c r="K13" i="1"/>
  <c r="I15" i="1"/>
  <c r="F15" i="1"/>
  <c r="I43" i="1"/>
  <c r="G45" i="1"/>
  <c r="H45" i="1" s="1"/>
  <c r="G42" i="1"/>
  <c r="H42" i="1" s="1"/>
  <c r="G41" i="1"/>
  <c r="H41" i="1" s="1"/>
  <c r="G37" i="1"/>
  <c r="H37" i="1" s="1"/>
  <c r="G36" i="1"/>
  <c r="H36" i="1" s="1"/>
  <c r="G28" i="1"/>
  <c r="H28" i="1" s="1"/>
  <c r="G24" i="1"/>
  <c r="H24" i="1" s="1"/>
  <c r="G20" i="1"/>
  <c r="H20" i="1" s="1"/>
  <c r="C30" i="1"/>
  <c r="G14" i="1"/>
  <c r="H14" i="1" s="1"/>
  <c r="G13" i="1"/>
  <c r="H13" i="1" s="1"/>
  <c r="G12" i="1"/>
  <c r="H12" i="1" s="1"/>
  <c r="K20" i="1"/>
  <c r="K24" i="1"/>
  <c r="L24" i="1" s="1"/>
  <c r="K41" i="1"/>
  <c r="I22" i="1"/>
  <c r="J39" i="1"/>
  <c r="J47" i="1" s="1"/>
  <c r="F22" i="1"/>
  <c r="F26" i="1"/>
  <c r="I26" i="1"/>
  <c r="K45" i="1"/>
  <c r="K42" i="1"/>
  <c r="G38" i="1"/>
  <c r="H38" i="1" s="1"/>
  <c r="K38" i="1"/>
  <c r="K37" i="1"/>
  <c r="E39" i="1"/>
  <c r="K36" i="1"/>
  <c r="F39" i="1"/>
  <c r="G33" i="1"/>
  <c r="H33" i="1" s="1"/>
  <c r="K33" i="1"/>
  <c r="K28" i="1"/>
  <c r="G25" i="1"/>
  <c r="K25" i="1"/>
  <c r="E26" i="1"/>
  <c r="G21" i="1"/>
  <c r="E22" i="1"/>
  <c r="K21" i="1"/>
  <c r="K14" i="1"/>
  <c r="E15" i="1"/>
  <c r="G17" i="1"/>
  <c r="H17" i="1" s="1"/>
  <c r="K17" i="1"/>
  <c r="L45" i="1"/>
  <c r="B30" i="1"/>
  <c r="B47" i="1"/>
  <c r="E65" i="12" l="1"/>
  <c r="E69" i="12" s="1"/>
  <c r="E70" i="12" s="1"/>
  <c r="H15" i="1"/>
  <c r="M45" i="1"/>
  <c r="H43" i="1"/>
  <c r="I47" i="1"/>
  <c r="L41" i="1"/>
  <c r="M41" i="1" s="1"/>
  <c r="L38" i="1"/>
  <c r="M38" i="1" s="1"/>
  <c r="H39" i="1"/>
  <c r="L37" i="1"/>
  <c r="M37" i="1"/>
  <c r="L36" i="1"/>
  <c r="M36" i="1" s="1"/>
  <c r="G26" i="1"/>
  <c r="H25" i="1"/>
  <c r="H26" i="1" s="1"/>
  <c r="M24" i="1"/>
  <c r="L21" i="1"/>
  <c r="M21" i="1" s="1"/>
  <c r="G22" i="1"/>
  <c r="H21" i="1"/>
  <c r="H22" i="1" s="1"/>
  <c r="L20" i="1"/>
  <c r="M20" i="1" s="1"/>
  <c r="L14" i="1"/>
  <c r="M14" i="1" s="1"/>
  <c r="L13" i="1"/>
  <c r="M13" i="1" s="1"/>
  <c r="J30" i="1"/>
  <c r="F47" i="1"/>
  <c r="F30" i="1"/>
  <c r="L33" i="1"/>
  <c r="M33" i="1" s="1"/>
  <c r="L28" i="1"/>
  <c r="M28" i="1" s="1"/>
  <c r="L17" i="1"/>
  <c r="M17" i="1" s="1"/>
  <c r="G43" i="1"/>
  <c r="K22" i="1"/>
  <c r="G15" i="1"/>
  <c r="L42" i="1"/>
  <c r="K43" i="1"/>
  <c r="I30" i="1"/>
  <c r="K26" i="1"/>
  <c r="K15" i="1"/>
  <c r="E30" i="1"/>
  <c r="E47" i="1"/>
  <c r="G39" i="1"/>
  <c r="K39" i="1"/>
  <c r="L25" i="1"/>
  <c r="L26" i="1" s="1"/>
  <c r="L39" i="1" l="1"/>
  <c r="L15" i="1"/>
  <c r="G47" i="1"/>
  <c r="L43" i="1"/>
  <c r="L47" i="1" s="1"/>
  <c r="L22" i="1"/>
  <c r="H47" i="1"/>
  <c r="M42" i="1"/>
  <c r="M43" i="1" s="1"/>
  <c r="M39" i="1"/>
  <c r="G30" i="1"/>
  <c r="M25" i="1"/>
  <c r="M26" i="1" s="1"/>
  <c r="H30" i="1"/>
  <c r="M22" i="1"/>
  <c r="M15" i="1"/>
  <c r="E72" i="12" s="1"/>
  <c r="E73" i="12" s="1"/>
  <c r="E77" i="12" s="1"/>
  <c r="E49" i="12" s="1"/>
  <c r="E53" i="12" s="1"/>
  <c r="K47" i="1"/>
  <c r="K30" i="1"/>
  <c r="L30" i="1" l="1"/>
  <c r="M47" i="1"/>
  <c r="M30" i="1"/>
</calcChain>
</file>

<file path=xl/sharedStrings.xml><?xml version="1.0" encoding="utf-8"?>
<sst xmlns="http://schemas.openxmlformats.org/spreadsheetml/2006/main" count="341" uniqueCount="181">
  <si>
    <t>1st Year Rate</t>
  </si>
  <si>
    <t>2nd Year Rate</t>
  </si>
  <si>
    <t>Description</t>
  </si>
  <si>
    <t>Distribution</t>
  </si>
  <si>
    <t>General Plant</t>
  </si>
  <si>
    <t>GP</t>
  </si>
  <si>
    <t>Estimated Annual Deprec Expense</t>
  </si>
  <si>
    <t>Generation</t>
  </si>
  <si>
    <t>Thermal</t>
  </si>
  <si>
    <t>Other</t>
  </si>
  <si>
    <t>Subtotal</t>
  </si>
  <si>
    <t>Transmission</t>
  </si>
  <si>
    <t>Direct</t>
  </si>
  <si>
    <t>AN</t>
  </si>
  <si>
    <t>Transport.</t>
  </si>
  <si>
    <t>Software</t>
  </si>
  <si>
    <t>Electric Total</t>
  </si>
  <si>
    <t>Gas U/G Storage</t>
  </si>
  <si>
    <t>AA</t>
  </si>
  <si>
    <t>Gas Total</t>
  </si>
  <si>
    <t>EOP Cost</t>
  </si>
  <si>
    <t>AMA Cost</t>
  </si>
  <si>
    <t>Book Rate</t>
  </si>
  <si>
    <t>Tax Rate</t>
  </si>
  <si>
    <t>P/T/D</t>
  </si>
  <si>
    <t>Transport. &amp; Software</t>
  </si>
  <si>
    <t>Total Accumulated Depreciation</t>
  </si>
  <si>
    <t>AMA</t>
  </si>
  <si>
    <t>Additions</t>
  </si>
  <si>
    <t>Accum Deprec 12/31/12</t>
  </si>
  <si>
    <t>2012 Tax Deprec</t>
  </si>
  <si>
    <t>Accum DFIT 12/31/12</t>
  </si>
  <si>
    <t>Accum Deprec 12/31/13</t>
  </si>
  <si>
    <t>AMA Accum Deprec 12/31/13</t>
  </si>
  <si>
    <t>2013 Tax Deprec</t>
  </si>
  <si>
    <t>Accum DFIT 12/31/13</t>
  </si>
  <si>
    <t>AMA Accum DFIT 12/31/13</t>
  </si>
  <si>
    <t>2012 Non-Revenue</t>
  </si>
  <si>
    <t>2012 Vintage</t>
  </si>
  <si>
    <t xml:space="preserve">  Plant Additions</t>
  </si>
  <si>
    <t>in (000's)</t>
  </si>
  <si>
    <t>Vintage</t>
  </si>
  <si>
    <t xml:space="preserve">12mos </t>
  </si>
  <si>
    <t>12mo EOP</t>
  </si>
  <si>
    <t>Functional Plant Categories</t>
  </si>
  <si>
    <t>Allocation</t>
  </si>
  <si>
    <t xml:space="preserve">Plant </t>
  </si>
  <si>
    <t>Thermal Plant - System Total</t>
  </si>
  <si>
    <t xml:space="preserve">   </t>
  </si>
  <si>
    <t xml:space="preserve">  - Washington Electric</t>
  </si>
  <si>
    <t xml:space="preserve">  - Idaho Electric</t>
  </si>
  <si>
    <t>Other Production - System Total</t>
  </si>
  <si>
    <t>Electric Transmission-System Total</t>
  </si>
  <si>
    <t>Electric WA Distribution-Total</t>
  </si>
  <si>
    <t>Electric ID Distribution-Total</t>
  </si>
  <si>
    <t>Electric AN Distribution-System Total</t>
  </si>
  <si>
    <t xml:space="preserve">  (excluding ER 1006,2054,2055,2056,2059,2060,2204)</t>
  </si>
  <si>
    <t>ER 2056 AN</t>
  </si>
  <si>
    <t>ER 2204 AN</t>
  </si>
  <si>
    <t>Electric AN Distribution-ER 1006</t>
  </si>
  <si>
    <t>Electric AN Distribution-ER 2054</t>
  </si>
  <si>
    <t>Electric AN Distribution-ER 2055</t>
  </si>
  <si>
    <t>Electric AN Distribution-ER 2056</t>
  </si>
  <si>
    <t>Electric AN Distribution-ER 2059</t>
  </si>
  <si>
    <t>Electric AN Distribution-ER 2060</t>
  </si>
  <si>
    <t>Electric AN Distribution-ER 2204</t>
  </si>
  <si>
    <t>Electric AN Distribution-ER 2535</t>
  </si>
  <si>
    <t>General Plant Common System Total</t>
  </si>
  <si>
    <t>Electric</t>
  </si>
  <si>
    <t>Gas North</t>
  </si>
  <si>
    <t>Gas South</t>
  </si>
  <si>
    <t xml:space="preserve">  - Washington Gas</t>
  </si>
  <si>
    <t xml:space="preserve">  - Idaho Gas</t>
  </si>
  <si>
    <t xml:space="preserve">  - Oregon Gas</t>
  </si>
  <si>
    <t>Transportation Common System Total</t>
  </si>
  <si>
    <t>Software AA Common Total</t>
  </si>
  <si>
    <t>Software AN Common Total</t>
  </si>
  <si>
    <t xml:space="preserve">Gas UG/Production </t>
  </si>
  <si>
    <t>Gas WA Distribution Total</t>
  </si>
  <si>
    <t>Gas ID Distribution Total</t>
  </si>
  <si>
    <t>Gas OR Distribution Total</t>
  </si>
  <si>
    <t>Gas AA Distribution ER 3000</t>
  </si>
  <si>
    <t>per Gas Eng Est of work by state</t>
  </si>
  <si>
    <t>Gas AN Distribution Total</t>
  </si>
  <si>
    <t>2012 Non-Revenue Plant Additions on an Allocated Basis:</t>
  </si>
  <si>
    <t>Washington Electric Totals</t>
  </si>
  <si>
    <t>Intangible Plant</t>
  </si>
  <si>
    <t>Production Plant</t>
  </si>
  <si>
    <t>Transmission Plant</t>
  </si>
  <si>
    <t>Distribution Plant</t>
  </si>
  <si>
    <t>Check Total</t>
  </si>
  <si>
    <t>Idaho Electric Totals</t>
  </si>
  <si>
    <t>Washington Gas Totals</t>
  </si>
  <si>
    <t>Underground Storage Plant</t>
  </si>
  <si>
    <t>Idaho Gas Totals</t>
  </si>
  <si>
    <t>Oregon Gas Totals</t>
  </si>
  <si>
    <t>Grand Total</t>
  </si>
  <si>
    <t xml:space="preserve"> Gas Dist AN Allocation Basis:</t>
  </si>
  <si>
    <t>System</t>
  </si>
  <si>
    <t>Wash</t>
  </si>
  <si>
    <t>Idaho</t>
  </si>
  <si>
    <t>2010 Gas net Plant EOP</t>
  </si>
  <si>
    <t>% Allocation (Note 12 ROO)</t>
  </si>
  <si>
    <t xml:space="preserve"> Gas Dist AA Allocation Basis:</t>
  </si>
  <si>
    <t>Oregon</t>
  </si>
  <si>
    <t>2007 Gas Distribution Plant EOP</t>
  </si>
  <si>
    <t>% Allocation</t>
  </si>
  <si>
    <t>Electric Dist AN Allocation Basis</t>
  </si>
  <si>
    <t>2010Elec Distribution Plant EOP</t>
  </si>
  <si>
    <t>% Allocation (Note 10 per ROO)</t>
  </si>
  <si>
    <t>Electric Prod-Transm Ratio</t>
  </si>
  <si>
    <t>Common Plant Allocation:</t>
  </si>
  <si>
    <t>Total</t>
  </si>
  <si>
    <t>Oregon Gas</t>
  </si>
  <si>
    <t>Service Allocators</t>
  </si>
  <si>
    <t>Electric Jurisdicion Allocators</t>
  </si>
  <si>
    <t>Gas North Allocators</t>
  </si>
  <si>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</si>
  <si>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</si>
  <si>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</si>
  <si>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</si>
  <si>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>Line</t>
  </si>
  <si>
    <t>No.</t>
  </si>
  <si>
    <t>DESCRIPTION</t>
  </si>
  <si>
    <t xml:space="preserve">Adjustment Number 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</si>
  <si>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</si>
  <si>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</si>
  <si>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</si>
  <si>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</si>
  <si>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</si>
  <si>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</si>
  <si>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</si>
  <si>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</si>
  <si>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</si>
  <si>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</si>
  <si>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</si>
  <si>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</si>
  <si>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</si>
  <si>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</si>
  <si>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</si>
  <si>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</si>
  <si>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</si>
  <si>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</si>
  <si>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</si>
  <si>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</si>
  <si>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</si>
  <si>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</si>
  <si>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</si>
  <si>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</si>
  <si>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</si>
  <si>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</si>
  <si>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</si>
  <si>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</si>
  <si>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</si>
  <si>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</si>
  <si>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</si>
  <si>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</si>
  <si>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</si>
  <si>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</si>
  <si>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</si>
  <si>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</si>
  <si>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</si>
  <si>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</si>
  <si>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</si>
  <si>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</si>
  <si>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</si>
  <si>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</si>
  <si>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</si>
  <si>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</si>
  <si>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</si>
  <si>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 xml:space="preserve">RATE OF RETURN  </t>
  </si>
  <si>
    <t>Noxon Rapids Unit 4 Runner Upgrade</t>
  </si>
  <si>
    <t>Staff Adjustment 3.08</t>
  </si>
  <si>
    <t>Gas AA Distribution: ER 3001</t>
  </si>
  <si>
    <t>Gas AA Distribution: ER 3002</t>
  </si>
  <si>
    <t>Gas AA Distribution: ER 3003</t>
  </si>
  <si>
    <t>Gas AA Distribution: ER 3004</t>
  </si>
  <si>
    <t>Gas AA Distribution: ER 3005</t>
  </si>
  <si>
    <t>Gas AA Distribution: ER 3006</t>
  </si>
  <si>
    <t>Gas AA Distribution: ER 3007</t>
  </si>
  <si>
    <t>Gas AA Distribution: ER 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</si>
</sst>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,##0.00000"/>
    <numFmt numFmtId="167" formatCode="_(&quot;$&quot;* #,##0_);_(&quot;$&quot;* \(#,##0\);_(&quot;$&quot;* &quot;-&quot;??_);_(@_)"/>
    <numFmt numFmtId="168" formatCode="#,##0.00;[Red]\(#,##0.00\)"/>
    <numFmt numFmtId="169" formatCode="_(&quot;$&quot;#,###_);_(&quot;$&quot;\ \(#,###\);_(* _);_(@_)"/>
    <numFmt numFmtId="170" formatCode="#,###_);\(#,###\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name val="Geneva"/>
      <family val="2"/>
    </font>
    <font>
      <sz val="9"/>
      <name val="Times New Roman"/>
      <family val="1"/>
    </font>
    <font>
      <sz val="9"/>
      <color rgb="FF0033CC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b/>
      <sz val="9"/>
      <name val="Courier New"/>
      <family val="3"/>
    </font>
    <font>
      <sz val="9"/>
      <name val="Courier New"/>
      <family val="3"/>
    </font>
    <font>
      <sz val="12"/>
      <color indexed="1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indexed="8"/>
      <name val="Times New Roman"/>
      <family val="1"/>
    </font>
    <font>
      <b/>
      <i/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168" fontId="6" fillId="3" borderId="0" applyBorder="0">
      <alignment horizontal="right"/>
    </xf>
    <xf numFmtId="0" fontId="7" fillId="4" borderId="0" applyBorder="0"/>
    <xf numFmtId="9" fontId="2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5" fillId="5" borderId="0"/>
    <xf numFmtId="0" fontId="2" fillId="0" borderId="0"/>
    <xf numFmtId="0" fontId="8" fillId="0" borderId="0"/>
  </cellStyleXfs>
  <cellXfs count="182">
    <xf numFmtId="0" fontId="0" fillId="0" borderId="0" xfId="0"/>
    <xf numFmtId="0" fontId="2" fillId="0" borderId="0" xfId="4"/>
    <xf numFmtId="0" fontId="9" fillId="0" borderId="0" xfId="23" applyNumberFormat="1" applyFont="1" applyAlignment="1">
      <alignment horizontal="center"/>
    </xf>
    <xf numFmtId="0" fontId="9" fillId="0" borderId="0" xfId="23" applyFont="1"/>
    <xf numFmtId="41" fontId="10" fillId="0" borderId="0" xfId="23" applyNumberFormat="1" applyFont="1" applyFill="1"/>
    <xf numFmtId="41" fontId="9" fillId="0" borderId="0" xfId="23" applyNumberFormat="1" applyFont="1" applyFill="1"/>
    <xf numFmtId="41" fontId="9" fillId="0" borderId="0" xfId="23" applyNumberFormat="1" applyFont="1"/>
    <xf numFmtId="3" fontId="9" fillId="0" borderId="0" xfId="23" applyNumberFormat="1" applyFont="1" applyFill="1" applyBorder="1"/>
    <xf numFmtId="0" fontId="9" fillId="0" borderId="0" xfId="23" applyFont="1" applyBorder="1"/>
    <xf numFmtId="0" fontId="9" fillId="0" borderId="0" xfId="23" applyNumberFormat="1" applyFont="1" applyAlignment="1">
      <alignment horizontal="left"/>
    </xf>
    <xf numFmtId="41" fontId="9" fillId="0" borderId="0" xfId="23" applyNumberFormat="1" applyFont="1" applyFill="1" applyBorder="1"/>
    <xf numFmtId="3" fontId="11" fillId="0" borderId="0" xfId="23" applyNumberFormat="1" applyFont="1" applyFill="1" applyBorder="1" applyAlignment="1">
      <alignment horizontal="center"/>
    </xf>
    <xf numFmtId="0" fontId="11" fillId="0" borderId="0" xfId="23" applyNumberFormat="1" applyFont="1" applyAlignment="1">
      <alignment horizontal="center"/>
    </xf>
    <xf numFmtId="0" fontId="11" fillId="0" borderId="0" xfId="23" applyFont="1" applyAlignment="1">
      <alignment horizontal="center"/>
    </xf>
    <xf numFmtId="41" fontId="11" fillId="0" borderId="0" xfId="23" applyNumberFormat="1" applyFont="1" applyFill="1" applyAlignment="1">
      <alignment horizontal="center"/>
    </xf>
    <xf numFmtId="0" fontId="11" fillId="0" borderId="0" xfId="23" applyFont="1" applyBorder="1" applyAlignment="1">
      <alignment horizontal="center"/>
    </xf>
    <xf numFmtId="0" fontId="11" fillId="0" borderId="21" xfId="23" applyNumberFormat="1" applyFont="1" applyBorder="1" applyAlignment="1">
      <alignment horizontal="center"/>
    </xf>
    <xf numFmtId="0" fontId="11" fillId="0" borderId="16" xfId="23" applyFont="1" applyBorder="1" applyAlignment="1">
      <alignment horizontal="center"/>
    </xf>
    <xf numFmtId="0" fontId="11" fillId="0" borderId="4" xfId="23" applyFont="1" applyBorder="1" applyAlignment="1">
      <alignment horizontal="center"/>
    </xf>
    <xf numFmtId="169" fontId="11" fillId="0" borderId="0" xfId="24" applyNumberFormat="1" applyFont="1" applyFill="1" applyBorder="1" applyAlignment="1">
      <alignment horizontal="center"/>
    </xf>
    <xf numFmtId="0" fontId="11" fillId="0" borderId="22" xfId="23" applyNumberFormat="1" applyFont="1" applyBorder="1" applyAlignment="1">
      <alignment horizontal="center"/>
    </xf>
    <xf numFmtId="0" fontId="11" fillId="0" borderId="18" xfId="23" applyFont="1" applyBorder="1" applyAlignment="1">
      <alignment horizontal="center"/>
    </xf>
    <xf numFmtId="0" fontId="11" fillId="0" borderId="23" xfId="23" applyNumberFormat="1" applyFont="1" applyBorder="1" applyAlignment="1">
      <alignment horizontal="center"/>
    </xf>
    <xf numFmtId="0" fontId="11" fillId="0" borderId="19" xfId="23" applyFont="1" applyBorder="1" applyAlignment="1">
      <alignment horizontal="center"/>
    </xf>
    <xf numFmtId="0" fontId="11" fillId="0" borderId="2" xfId="23" applyFont="1" applyBorder="1" applyAlignment="1">
      <alignment horizontal="center"/>
    </xf>
    <xf numFmtId="2" fontId="11" fillId="0" borderId="0" xfId="23" applyNumberFormat="1" applyFont="1" applyAlignment="1">
      <alignment horizontal="center"/>
    </xf>
    <xf numFmtId="2" fontId="9" fillId="0" borderId="0" xfId="23" applyNumberFormat="1" applyFont="1" applyAlignment="1">
      <alignment horizontal="left"/>
    </xf>
    <xf numFmtId="2" fontId="11" fillId="0" borderId="0" xfId="25" applyNumberFormat="1" applyFont="1" applyAlignment="1" applyProtection="1">
      <alignment horizontal="center"/>
    </xf>
    <xf numFmtId="2" fontId="11" fillId="0" borderId="0" xfId="25" applyNumberFormat="1" applyFont="1" applyFill="1" applyAlignment="1" applyProtection="1">
      <alignment horizontal="center"/>
    </xf>
    <xf numFmtId="2" fontId="11" fillId="0" borderId="0" xfId="25" applyNumberFormat="1" applyFont="1" applyFill="1" applyBorder="1" applyAlignment="1" applyProtection="1">
      <alignment horizontal="center"/>
    </xf>
    <xf numFmtId="2" fontId="11" fillId="0" borderId="0" xfId="23" applyNumberFormat="1" applyFont="1" applyBorder="1" applyAlignment="1">
      <alignment horizontal="center"/>
    </xf>
    <xf numFmtId="2" fontId="11" fillId="0" borderId="0" xfId="23" applyNumberFormat="1" applyFont="1" applyFill="1" applyBorder="1" applyAlignment="1">
      <alignment horizontal="center"/>
    </xf>
    <xf numFmtId="37" fontId="9" fillId="0" borderId="0" xfId="23" applyNumberFormat="1" applyFont="1" applyAlignment="1">
      <alignment horizontal="center"/>
    </xf>
    <xf numFmtId="5" fontId="9" fillId="0" borderId="0" xfId="23" applyNumberFormat="1" applyFont="1"/>
    <xf numFmtId="5" fontId="9" fillId="0" borderId="0" xfId="23" applyNumberFormat="1" applyFont="1" applyFill="1"/>
    <xf numFmtId="5" fontId="10" fillId="0" borderId="0" xfId="24" applyNumberFormat="1" applyFont="1" applyFill="1" applyBorder="1"/>
    <xf numFmtId="169" fontId="9" fillId="0" borderId="0" xfId="24" applyNumberFormat="1" applyFont="1" applyFill="1" applyBorder="1"/>
    <xf numFmtId="0" fontId="13" fillId="0" borderId="0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37" fontId="9" fillId="0" borderId="0" xfId="23" applyNumberFormat="1" applyFont="1"/>
    <xf numFmtId="37" fontId="9" fillId="0" borderId="0" xfId="23" applyNumberFormat="1" applyFont="1" applyFill="1"/>
    <xf numFmtId="170" fontId="9" fillId="0" borderId="0" xfId="23" applyNumberFormat="1" applyFont="1" applyFill="1" applyBorder="1"/>
    <xf numFmtId="37" fontId="9" fillId="0" borderId="0" xfId="23" applyNumberFormat="1" applyFont="1" applyBorder="1"/>
    <xf numFmtId="41" fontId="10" fillId="0" borderId="2" xfId="23" applyNumberFormat="1" applyFont="1" applyFill="1" applyBorder="1"/>
    <xf numFmtId="37" fontId="9" fillId="0" borderId="0" xfId="23" applyNumberFormat="1" applyFont="1" applyFill="1" applyBorder="1"/>
    <xf numFmtId="0" fontId="14" fillId="0" borderId="0" xfId="4" applyFont="1" applyBorder="1" applyAlignment="1">
      <alignment horizontal="center"/>
    </xf>
    <xf numFmtId="0" fontId="14" fillId="0" borderId="0" xfId="4" applyFont="1"/>
    <xf numFmtId="37" fontId="9" fillId="0" borderId="0" xfId="23" applyNumberFormat="1" applyFont="1" applyFill="1" applyAlignment="1">
      <alignment horizontal="center"/>
    </xf>
    <xf numFmtId="41" fontId="9" fillId="0" borderId="2" xfId="23" applyNumberFormat="1" applyFont="1" applyFill="1" applyBorder="1"/>
    <xf numFmtId="1" fontId="9" fillId="0" borderId="0" xfId="26" applyNumberFormat="1" applyFont="1" applyAlignment="1">
      <alignment horizontal="center"/>
    </xf>
    <xf numFmtId="9" fontId="9" fillId="0" borderId="0" xfId="3" applyFont="1"/>
    <xf numFmtId="3" fontId="9" fillId="0" borderId="0" xfId="26" applyNumberFormat="1" applyFont="1" applyAlignment="1">
      <alignment horizontal="center"/>
    </xf>
    <xf numFmtId="5" fontId="9" fillId="0" borderId="24" xfId="23" applyNumberFormat="1" applyFont="1" applyFill="1" applyBorder="1"/>
    <xf numFmtId="5" fontId="9" fillId="0" borderId="0" xfId="23" applyNumberFormat="1" applyFont="1" applyFill="1" applyBorder="1"/>
    <xf numFmtId="5" fontId="9" fillId="0" borderId="0" xfId="23" applyNumberFormat="1" applyFont="1" applyBorder="1"/>
    <xf numFmtId="3" fontId="9" fillId="0" borderId="0" xfId="26" applyNumberFormat="1" applyFont="1" applyFill="1" applyAlignment="1">
      <alignment horizontal="center"/>
    </xf>
    <xf numFmtId="5" fontId="10" fillId="0" borderId="0" xfId="23" applyNumberFormat="1" applyFont="1" applyFill="1"/>
    <xf numFmtId="169" fontId="9" fillId="0" borderId="0" xfId="23" applyNumberFormat="1" applyFont="1" applyFill="1" applyBorder="1"/>
    <xf numFmtId="41" fontId="9" fillId="0" borderId="4" xfId="23" applyNumberFormat="1" applyFont="1" applyFill="1" applyBorder="1"/>
    <xf numFmtId="41" fontId="9" fillId="0" borderId="0" xfId="29" applyNumberFormat="1" applyFont="1" applyAlignment="1">
      <alignment horizontal="right"/>
    </xf>
    <xf numFmtId="0" fontId="18" fillId="0" borderId="0" xfId="0" applyFont="1"/>
    <xf numFmtId="10" fontId="18" fillId="0" borderId="0" xfId="3" applyNumberFormat="1" applyFont="1" applyAlignment="1">
      <alignment horizontal="center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0" fontId="18" fillId="0" borderId="0" xfId="3" applyNumberFormat="1" applyFont="1" applyBorder="1" applyAlignment="1">
      <alignment horizontal="center" wrapText="1"/>
    </xf>
    <xf numFmtId="164" fontId="21" fillId="0" borderId="0" xfId="1" applyNumberFormat="1" applyFont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20" fillId="0" borderId="0" xfId="0" applyFont="1" applyBorder="1"/>
    <xf numFmtId="0" fontId="18" fillId="0" borderId="0" xfId="0" applyFont="1" applyBorder="1"/>
    <xf numFmtId="10" fontId="18" fillId="0" borderId="0" xfId="3" applyNumberFormat="1" applyFont="1" applyBorder="1" applyAlignment="1">
      <alignment horizontal="center"/>
    </xf>
    <xf numFmtId="164" fontId="18" fillId="0" borderId="0" xfId="1" applyNumberFormat="1" applyFont="1" applyBorder="1"/>
    <xf numFmtId="165" fontId="18" fillId="0" borderId="0" xfId="0" applyNumberFormat="1" applyFont="1" applyBorder="1"/>
    <xf numFmtId="10" fontId="18" fillId="0" borderId="0" xfId="0" applyNumberFormat="1" applyFont="1" applyBorder="1"/>
    <xf numFmtId="0" fontId="21" fillId="0" borderId="0" xfId="0" applyFont="1" applyBorder="1"/>
    <xf numFmtId="0" fontId="22" fillId="0" borderId="0" xfId="2" applyFont="1" applyFill="1" applyBorder="1" applyAlignment="1">
      <alignment horizontal="center" wrapText="1"/>
    </xf>
    <xf numFmtId="10" fontId="22" fillId="0" borderId="0" xfId="3" applyNumberFormat="1" applyFont="1" applyFill="1" applyBorder="1" applyAlignment="1">
      <alignment horizontal="center" wrapText="1"/>
    </xf>
    <xf numFmtId="164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wrapText="1"/>
    </xf>
    <xf numFmtId="164" fontId="18" fillId="0" borderId="0" xfId="1" applyNumberFormat="1" applyFont="1"/>
    <xf numFmtId="0" fontId="22" fillId="0" borderId="25" xfId="5" applyFont="1" applyFill="1" applyBorder="1" applyAlignment="1">
      <alignment wrapText="1"/>
    </xf>
    <xf numFmtId="164" fontId="18" fillId="0" borderId="3" xfId="1" applyNumberFormat="1" applyFont="1" applyBorder="1"/>
    <xf numFmtId="164" fontId="6" fillId="0" borderId="2" xfId="1" applyNumberFormat="1" applyFont="1" applyFill="1" applyBorder="1" applyAlignment="1">
      <alignment wrapText="1"/>
    </xf>
    <xf numFmtId="164" fontId="18" fillId="0" borderId="2" xfId="1" applyNumberFormat="1" applyFont="1" applyBorder="1"/>
    <xf numFmtId="0" fontId="21" fillId="0" borderId="0" xfId="0" applyFont="1"/>
    <xf numFmtId="164" fontId="21" fillId="0" borderId="1" xfId="1" applyNumberFormat="1" applyFont="1" applyBorder="1"/>
    <xf numFmtId="164" fontId="21" fillId="0" borderId="0" xfId="1" applyNumberFormat="1" applyFont="1" applyBorder="1"/>
    <xf numFmtId="164" fontId="21" fillId="0" borderId="0" xfId="1" applyNumberFormat="1" applyFont="1"/>
    <xf numFmtId="10" fontId="21" fillId="0" borderId="0" xfId="3" applyNumberFormat="1" applyFont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21" fillId="0" borderId="0" xfId="4" applyFont="1"/>
    <xf numFmtId="0" fontId="23" fillId="0" borderId="0" xfId="4" applyFont="1" applyAlignment="1">
      <alignment horizontal="left"/>
    </xf>
    <xf numFmtId="0" fontId="21" fillId="0" borderId="0" xfId="4" applyFont="1" applyAlignment="1">
      <alignment horizontal="center"/>
    </xf>
    <xf numFmtId="0" fontId="24" fillId="0" borderId="0" xfId="4" applyFont="1"/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4" fillId="0" borderId="0" xfId="4" applyFont="1" applyBorder="1" applyAlignment="1">
      <alignment horizontal="center"/>
    </xf>
    <xf numFmtId="0" fontId="25" fillId="0" borderId="0" xfId="4" applyFont="1"/>
    <xf numFmtId="3" fontId="18" fillId="0" borderId="0" xfId="4" applyNumberFormat="1" applyFont="1"/>
    <xf numFmtId="10" fontId="18" fillId="0" borderId="0" xfId="3" applyNumberFormat="1" applyFont="1"/>
    <xf numFmtId="0" fontId="18" fillId="0" borderId="0" xfId="4" applyFont="1" applyAlignment="1">
      <alignment horizontal="right"/>
    </xf>
    <xf numFmtId="165" fontId="18" fillId="0" borderId="0" xfId="4" applyNumberFormat="1" applyFont="1"/>
    <xf numFmtId="0" fontId="25" fillId="0" borderId="0" xfId="4" applyFont="1" applyAlignment="1">
      <alignment horizontal="left"/>
    </xf>
    <xf numFmtId="43" fontId="18" fillId="0" borderId="0" xfId="1" applyFont="1"/>
    <xf numFmtId="3" fontId="18" fillId="0" borderId="2" xfId="4" applyNumberFormat="1" applyFont="1" applyBorder="1"/>
    <xf numFmtId="10" fontId="18" fillId="0" borderId="0" xfId="3" applyNumberFormat="1" applyFont="1" applyFill="1"/>
    <xf numFmtId="0" fontId="18" fillId="0" borderId="0" xfId="4" applyFont="1" applyFill="1"/>
    <xf numFmtId="10" fontId="18" fillId="0" borderId="0" xfId="4" applyNumberFormat="1" applyFont="1"/>
    <xf numFmtId="0" fontId="26" fillId="0" borderId="0" xfId="5" applyFont="1" applyFill="1" applyBorder="1" applyAlignment="1">
      <alignment horizontal="left"/>
    </xf>
    <xf numFmtId="10" fontId="18" fillId="0" borderId="0" xfId="6" applyNumberFormat="1" applyFont="1"/>
    <xf numFmtId="0" fontId="18" fillId="0" borderId="0" xfId="7" applyFont="1"/>
    <xf numFmtId="0" fontId="26" fillId="0" borderId="0" xfId="5" applyFont="1" applyFill="1" applyBorder="1" applyAlignment="1"/>
    <xf numFmtId="0" fontId="26" fillId="0" borderId="0" xfId="5" applyFont="1" applyFill="1" applyBorder="1" applyAlignment="1">
      <alignment wrapText="1"/>
    </xf>
    <xf numFmtId="0" fontId="26" fillId="0" borderId="0" xfId="5" applyFont="1" applyFill="1" applyBorder="1" applyAlignment="1">
      <alignment horizontal="left" wrapText="1"/>
    </xf>
    <xf numFmtId="44" fontId="18" fillId="0" borderId="0" xfId="8" applyFont="1"/>
    <xf numFmtId="165" fontId="18" fillId="0" borderId="0" xfId="3" applyNumberFormat="1" applyFont="1" applyFill="1"/>
    <xf numFmtId="3" fontId="21" fillId="0" borderId="0" xfId="4" applyNumberFormat="1" applyFont="1"/>
    <xf numFmtId="165" fontId="18" fillId="0" borderId="0" xfId="4" applyNumberFormat="1" applyFont="1" applyFill="1"/>
    <xf numFmtId="0" fontId="26" fillId="0" borderId="5" xfId="5" applyFont="1" applyFill="1" applyBorder="1" applyAlignment="1">
      <alignment horizontal="left" wrapText="1"/>
    </xf>
    <xf numFmtId="10" fontId="18" fillId="0" borderId="0" xfId="4" applyNumberFormat="1" applyFont="1" applyFill="1"/>
    <xf numFmtId="0" fontId="21" fillId="0" borderId="0" xfId="4" applyFont="1" applyAlignment="1">
      <alignment horizontal="right"/>
    </xf>
    <xf numFmtId="166" fontId="18" fillId="0" borderId="0" xfId="4" applyNumberFormat="1" applyFont="1"/>
    <xf numFmtId="0" fontId="18" fillId="0" borderId="6" xfId="4" applyFont="1" applyBorder="1"/>
    <xf numFmtId="0" fontId="18" fillId="0" borderId="7" xfId="4" applyFont="1" applyBorder="1"/>
    <xf numFmtId="0" fontId="18" fillId="0" borderId="8" xfId="4" applyFont="1" applyBorder="1"/>
    <xf numFmtId="0" fontId="18" fillId="0" borderId="0" xfId="4" applyFont="1" applyBorder="1"/>
    <xf numFmtId="0" fontId="27" fillId="0" borderId="9" xfId="4" applyFont="1" applyBorder="1"/>
    <xf numFmtId="0" fontId="18" fillId="0" borderId="10" xfId="4" applyFont="1" applyBorder="1"/>
    <xf numFmtId="0" fontId="18" fillId="0" borderId="9" xfId="4" applyFont="1" applyBorder="1"/>
    <xf numFmtId="0" fontId="25" fillId="0" borderId="9" xfId="4" applyFont="1" applyBorder="1"/>
    <xf numFmtId="3" fontId="18" fillId="0" borderId="0" xfId="4" applyNumberFormat="1" applyFont="1" applyBorder="1"/>
    <xf numFmtId="3" fontId="18" fillId="0" borderId="10" xfId="4" applyNumberFormat="1" applyFont="1" applyBorder="1"/>
    <xf numFmtId="0" fontId="9" fillId="0" borderId="9" xfId="4" applyFont="1" applyBorder="1" applyAlignment="1">
      <alignment horizontal="right"/>
    </xf>
    <xf numFmtId="3" fontId="11" fillId="0" borderId="11" xfId="4" applyNumberFormat="1" applyFont="1" applyBorder="1"/>
    <xf numFmtId="3" fontId="11" fillId="0" borderId="12" xfId="4" applyNumberFormat="1" applyFont="1" applyBorder="1"/>
    <xf numFmtId="3" fontId="11" fillId="0" borderId="0" xfId="4" applyNumberFormat="1" applyFont="1" applyBorder="1"/>
    <xf numFmtId="3" fontId="11" fillId="0" borderId="10" xfId="4" applyNumberFormat="1" applyFont="1" applyBorder="1"/>
    <xf numFmtId="0" fontId="25" fillId="0" borderId="9" xfId="4" applyFont="1" applyFill="1" applyBorder="1"/>
    <xf numFmtId="0" fontId="18" fillId="0" borderId="0" xfId="4" applyFont="1" applyFill="1" applyBorder="1"/>
    <xf numFmtId="3" fontId="18" fillId="0" borderId="0" xfId="4" applyNumberFormat="1" applyFont="1" applyFill="1" applyBorder="1"/>
    <xf numFmtId="3" fontId="18" fillId="0" borderId="10" xfId="4" applyNumberFormat="1" applyFont="1" applyFill="1" applyBorder="1"/>
    <xf numFmtId="0" fontId="18" fillId="0" borderId="9" xfId="4" applyFont="1" applyFill="1" applyBorder="1"/>
    <xf numFmtId="0" fontId="9" fillId="0" borderId="9" xfId="4" applyFont="1" applyFill="1" applyBorder="1" applyAlignment="1">
      <alignment horizontal="right"/>
    </xf>
    <xf numFmtId="3" fontId="11" fillId="0" borderId="11" xfId="4" applyNumberFormat="1" applyFont="1" applyFill="1" applyBorder="1"/>
    <xf numFmtId="3" fontId="11" fillId="0" borderId="12" xfId="4" applyNumberFormat="1" applyFont="1" applyFill="1" applyBorder="1"/>
    <xf numFmtId="0" fontId="18" fillId="0" borderId="10" xfId="4" applyFont="1" applyFill="1" applyBorder="1"/>
    <xf numFmtId="10" fontId="18" fillId="0" borderId="10" xfId="3" applyNumberFormat="1" applyFont="1" applyBorder="1"/>
    <xf numFmtId="0" fontId="27" fillId="0" borderId="0" xfId="4" applyFont="1" applyBorder="1"/>
    <xf numFmtId="3" fontId="18" fillId="0" borderId="11" xfId="4" applyNumberFormat="1" applyFont="1" applyBorder="1"/>
    <xf numFmtId="3" fontId="18" fillId="0" borderId="12" xfId="4" applyNumberFormat="1" applyFont="1" applyBorder="1"/>
    <xf numFmtId="0" fontId="18" fillId="0" borderId="13" xfId="4" applyFont="1" applyBorder="1"/>
    <xf numFmtId="0" fontId="18" fillId="0" borderId="14" xfId="4" applyFont="1" applyBorder="1"/>
    <xf numFmtId="0" fontId="18" fillId="0" borderId="1" xfId="4" applyFont="1" applyBorder="1"/>
    <xf numFmtId="0" fontId="18" fillId="0" borderId="15" xfId="4" applyFont="1" applyBorder="1"/>
    <xf numFmtId="0" fontId="18" fillId="2" borderId="16" xfId="4" applyFont="1" applyFill="1" applyBorder="1"/>
    <xf numFmtId="0" fontId="18" fillId="2" borderId="4" xfId="4" applyFont="1" applyFill="1" applyBorder="1"/>
    <xf numFmtId="0" fontId="18" fillId="2" borderId="17" xfId="4" applyFont="1" applyFill="1" applyBorder="1"/>
    <xf numFmtId="0" fontId="18" fillId="2" borderId="18" xfId="4" applyFont="1" applyFill="1" applyBorder="1"/>
    <xf numFmtId="0" fontId="18" fillId="2" borderId="0" xfId="4" applyFont="1" applyFill="1" applyBorder="1"/>
    <xf numFmtId="0" fontId="18" fillId="2" borderId="10" xfId="4" applyFont="1" applyFill="1" applyBorder="1"/>
    <xf numFmtId="0" fontId="21" fillId="2" borderId="18" xfId="4" applyFont="1" applyFill="1" applyBorder="1"/>
    <xf numFmtId="0" fontId="24" fillId="2" borderId="0" xfId="4" applyFont="1" applyFill="1" applyBorder="1" applyAlignment="1">
      <alignment horizontal="center"/>
    </xf>
    <xf numFmtId="167" fontId="18" fillId="2" borderId="0" xfId="8" applyNumberFormat="1" applyFont="1" applyFill="1" applyBorder="1" applyAlignment="1">
      <alignment horizontal="center"/>
    </xf>
    <xf numFmtId="10" fontId="18" fillId="2" borderId="0" xfId="3" applyNumberFormat="1" applyFont="1" applyFill="1" applyBorder="1"/>
    <xf numFmtId="0" fontId="24" fillId="2" borderId="10" xfId="4" applyFont="1" applyFill="1" applyBorder="1" applyAlignment="1">
      <alignment horizontal="center"/>
    </xf>
    <xf numFmtId="167" fontId="18" fillId="2" borderId="10" xfId="8" applyNumberFormat="1" applyFont="1" applyFill="1" applyBorder="1" applyAlignment="1">
      <alignment horizontal="center"/>
    </xf>
    <xf numFmtId="10" fontId="18" fillId="2" borderId="10" xfId="3" applyNumberFormat="1" applyFont="1" applyFill="1" applyBorder="1"/>
    <xf numFmtId="0" fontId="25" fillId="2" borderId="18" xfId="4" applyFont="1" applyFill="1" applyBorder="1"/>
    <xf numFmtId="165" fontId="18" fillId="2" borderId="0" xfId="3" applyNumberFormat="1" applyFont="1" applyFill="1" applyBorder="1"/>
    <xf numFmtId="165" fontId="18" fillId="2" borderId="0" xfId="4" applyNumberFormat="1" applyFont="1" applyFill="1" applyBorder="1"/>
    <xf numFmtId="165" fontId="18" fillId="2" borderId="10" xfId="3" applyNumberFormat="1" applyFont="1" applyFill="1" applyBorder="1"/>
    <xf numFmtId="0" fontId="18" fillId="2" borderId="19" xfId="4" applyFont="1" applyFill="1" applyBorder="1"/>
    <xf numFmtId="0" fontId="18" fillId="2" borderId="2" xfId="4" applyFont="1" applyFill="1" applyBorder="1"/>
    <xf numFmtId="0" fontId="18" fillId="2" borderId="20" xfId="4" applyFont="1" applyFill="1" applyBorder="1"/>
    <xf numFmtId="0" fontId="18" fillId="2" borderId="0" xfId="4" applyFont="1" applyFill="1"/>
    <xf numFmtId="0" fontId="16" fillId="0" borderId="21" xfId="5" applyFont="1" applyFill="1" applyBorder="1" applyAlignment="1">
      <alignment horizontal="center" wrapText="1"/>
    </xf>
    <xf numFmtId="0" fontId="17" fillId="0" borderId="22" xfId="5" applyFont="1" applyFill="1" applyBorder="1" applyAlignment="1">
      <alignment horizontal="center" wrapText="1"/>
    </xf>
    <xf numFmtId="0" fontId="17" fillId="0" borderId="23" xfId="5" applyFont="1" applyFill="1" applyBorder="1" applyAlignment="1">
      <alignment horizontal="center" wrapText="1"/>
    </xf>
  </cellXfs>
  <cellStyles count="30">
    <cellStyle name="Comma" xfId="1" builtinId="3"/>
    <cellStyle name="Comma 2" xfId="9"/>
    <cellStyle name="Comma 3" xfId="10"/>
    <cellStyle name="Currency 2" xfId="8"/>
    <cellStyle name="Followed Hyperlink" xfId="25" builtinId="9"/>
    <cellStyle name="Manual-Input" xfId="27"/>
    <cellStyle name="Normal" xfId="0" builtinId="0"/>
    <cellStyle name="Normal 10" xfId="11"/>
    <cellStyle name="Normal 12" xfId="12"/>
    <cellStyle name="Normal 13" xfId="13"/>
    <cellStyle name="Normal 2" xfId="4"/>
    <cellStyle name="Normal 2 2" xfId="14"/>
    <cellStyle name="Normal 2 3" xfId="28"/>
    <cellStyle name="Normal 3" xfId="7"/>
    <cellStyle name="Normal 5" xfId="15"/>
    <cellStyle name="Normal 6" xfId="16"/>
    <cellStyle name="Normal 7" xfId="17"/>
    <cellStyle name="Normal 8" xfId="18"/>
    <cellStyle name="Normal 9" xfId="19"/>
    <cellStyle name="Normal_DFIT-WaEle_SUM" xfId="26"/>
    <cellStyle name="Normal_IDGas6_97" xfId="24"/>
    <cellStyle name="Normal_Pro forma Rates" xfId="5"/>
    <cellStyle name="Normal_RestateDebtInt1200case" xfId="29"/>
    <cellStyle name="Normal_Sheet1" xfId="2"/>
    <cellStyle name="Normal_WAElec6_97" xfId="23"/>
    <cellStyle name="OUTPUT AMOUNTS" xfId="20"/>
    <cellStyle name="OUTPUT LINE ITEMS" xfId="21"/>
    <cellStyle name="Percent" xfId="3" builtinId="5"/>
    <cellStyle name="Percent 2" xfId="22"/>
    <cellStyle name="Percent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abSelected="1" zoomScale="110" zoomScaleNormal="110" zoomScaleSheetLayoutView="100" workbookViewId="0">
      <pane xSplit="4" ySplit="9" topLeftCell="E70" activePane="bottomRight" state="frozen"/>
      <selection activeCell="C24" sqref="C24"/>
      <selection pane="topRight" activeCell="C24" sqref="C24"/>
      <selection pane="bottomLeft" activeCell="C24" sqref="C24"/>
      <selection pane="bottomRight" activeCell="C24" sqref="C24"/>
    </sheetView>
  </sheetViews>
  <sheetFormatPr defaultColWidth="10.7109375" defaultRowHeight="12.75"/>
  <cols>
    <col min="1" max="1" width="4.7109375" style="2" customWidth="1"/>
    <col min="2" max="3" width="1.7109375" style="3" customWidth="1"/>
    <col min="4" max="4" width="33.7109375" style="3" customWidth="1"/>
    <col min="5" max="5" width="11.42578125" style="5" customWidth="1"/>
    <col min="6" max="6" width="14.7109375" style="7" customWidth="1"/>
    <col min="7" max="7" width="2.85546875" style="8" customWidth="1"/>
    <col min="8" max="10" width="2.85546875" style="3" customWidth="1"/>
    <col min="11" max="11" width="2.85546875" style="7" customWidth="1"/>
    <col min="12" max="18" width="10.7109375" style="1"/>
    <col min="19" max="16384" width="10.7109375" style="3"/>
  </cols>
  <sheetData>
    <row r="1" spans="1:11" s="1" customFormat="1">
      <c r="A1" s="9" t="s">
        <v>117</v>
      </c>
      <c r="B1" s="3"/>
      <c r="C1" s="3"/>
      <c r="D1" s="2"/>
      <c r="E1" s="5"/>
      <c r="F1" s="7"/>
      <c r="G1" s="8"/>
      <c r="H1" s="3"/>
      <c r="I1" s="3"/>
      <c r="J1" s="3"/>
      <c r="K1" s="7"/>
    </row>
    <row r="2" spans="1:11" s="1" customFormat="1">
      <c r="A2" s="9" t="s">
        <v>118</v>
      </c>
      <c r="B2" s="3"/>
      <c r="C2" s="3"/>
      <c r="D2" s="2"/>
      <c r="E2" s="5"/>
      <c r="F2" s="7"/>
      <c r="G2" s="8"/>
      <c r="H2" s="3"/>
      <c r="I2" s="3"/>
      <c r="J2" s="3"/>
      <c r="K2" s="7"/>
    </row>
    <row r="3" spans="1:11" s="1" customFormat="1">
      <c r="A3" s="9" t="s">
        <v>119</v>
      </c>
      <c r="B3" s="3"/>
      <c r="C3" s="3"/>
      <c r="D3" s="2"/>
      <c r="E3" s="5"/>
      <c r="F3" s="7"/>
      <c r="G3" s="8"/>
      <c r="H3" s="3"/>
      <c r="I3" s="3"/>
      <c r="J3" s="3"/>
      <c r="K3" s="7"/>
    </row>
    <row r="4" spans="1:11" s="1" customFormat="1" ht="12.75" customHeight="1">
      <c r="A4" s="9" t="s">
        <v>120</v>
      </c>
      <c r="B4" s="3"/>
      <c r="C4" s="3"/>
      <c r="D4" s="2"/>
      <c r="E4" s="5"/>
      <c r="F4" s="7"/>
      <c r="G4" s="8"/>
      <c r="H4" s="3"/>
      <c r="I4" s="3"/>
      <c r="J4" s="3"/>
      <c r="K4" s="11"/>
    </row>
    <row r="5" spans="1:11" s="13" customFormat="1" ht="12.75" customHeight="1">
      <c r="A5" s="12"/>
      <c r="D5" s="12"/>
      <c r="E5" s="14"/>
      <c r="F5" s="11"/>
      <c r="G5" s="15"/>
      <c r="K5" s="11"/>
    </row>
    <row r="6" spans="1:11" s="13" customFormat="1" ht="12" customHeight="1">
      <c r="A6" s="16"/>
      <c r="B6" s="17"/>
      <c r="C6" s="18"/>
      <c r="D6" s="18"/>
      <c r="E6" s="179" t="s">
        <v>171</v>
      </c>
      <c r="F6" s="19"/>
      <c r="G6" s="15"/>
      <c r="K6" s="19"/>
    </row>
    <row r="7" spans="1:11" s="13" customFormat="1" ht="12">
      <c r="A7" s="20" t="s">
        <v>121</v>
      </c>
      <c r="B7" s="21"/>
      <c r="C7" s="15"/>
      <c r="D7" s="15"/>
      <c r="E7" s="180"/>
      <c r="F7" s="11"/>
      <c r="G7" s="15"/>
      <c r="K7" s="11"/>
    </row>
    <row r="8" spans="1:11" s="13" customFormat="1" ht="12">
      <c r="A8" s="22" t="s">
        <v>122</v>
      </c>
      <c r="B8" s="23"/>
      <c r="C8" s="24"/>
      <c r="D8" s="24" t="s">
        <v>123</v>
      </c>
      <c r="E8" s="181"/>
      <c r="F8" s="11"/>
      <c r="G8" s="15"/>
      <c r="K8" s="11"/>
    </row>
    <row r="9" spans="1:11" s="25" customFormat="1" ht="12">
      <c r="B9" s="26" t="s">
        <v>124</v>
      </c>
      <c r="E9" s="28">
        <v>3.08</v>
      </c>
      <c r="F9" s="29"/>
      <c r="G9" s="30"/>
      <c r="K9" s="31"/>
    </row>
    <row r="10" spans="1:11" s="25" customFormat="1" ht="12">
      <c r="B10" s="26"/>
      <c r="E10" s="27"/>
      <c r="F10" s="29"/>
      <c r="G10" s="30"/>
      <c r="K10" s="31"/>
    </row>
    <row r="11" spans="1:11" s="1" customFormat="1">
      <c r="A11" s="2"/>
      <c r="B11" s="3" t="s">
        <v>125</v>
      </c>
      <c r="C11" s="3"/>
      <c r="D11" s="3"/>
      <c r="E11" s="5"/>
      <c r="F11" s="7"/>
      <c r="G11" s="8"/>
      <c r="H11" s="3"/>
      <c r="I11" s="3"/>
      <c r="J11" s="3"/>
      <c r="K11" s="7"/>
    </row>
    <row r="12" spans="1:11" s="33" customFormat="1">
      <c r="A12" s="32">
        <v>1</v>
      </c>
      <c r="B12" s="33" t="s">
        <v>126</v>
      </c>
      <c r="E12" s="35">
        <v>0</v>
      </c>
      <c r="F12" s="36"/>
      <c r="G12" s="37"/>
      <c r="H12" s="38"/>
      <c r="K12" s="36"/>
    </row>
    <row r="13" spans="1:11" s="39" customFormat="1" ht="12">
      <c r="A13" s="32">
        <v>2</v>
      </c>
      <c r="B13" s="39" t="s">
        <v>127</v>
      </c>
      <c r="E13" s="4">
        <v>0</v>
      </c>
      <c r="F13" s="41"/>
      <c r="G13" s="42"/>
      <c r="K13" s="41"/>
    </row>
    <row r="14" spans="1:11" s="39" customFormat="1" ht="12">
      <c r="A14" s="32">
        <v>3</v>
      </c>
      <c r="B14" s="39" t="s">
        <v>128</v>
      </c>
      <c r="E14" s="43">
        <v>0</v>
      </c>
      <c r="F14" s="41"/>
      <c r="G14" s="42"/>
      <c r="K14" s="41"/>
    </row>
    <row r="15" spans="1:11" s="39" customFormat="1" ht="12">
      <c r="A15" s="32">
        <v>4</v>
      </c>
      <c r="B15" s="39" t="s">
        <v>129</v>
      </c>
      <c r="E15" s="5">
        <f t="shared" ref="E15" si="0">SUM(E12:E14)</f>
        <v>0</v>
      </c>
      <c r="F15" s="44"/>
      <c r="G15" s="42"/>
      <c r="K15" s="44"/>
    </row>
    <row r="16" spans="1:11" s="39" customFormat="1" ht="12">
      <c r="A16" s="32">
        <v>5</v>
      </c>
      <c r="B16" s="39" t="s">
        <v>130</v>
      </c>
      <c r="E16" s="43">
        <v>0</v>
      </c>
      <c r="F16" s="41"/>
      <c r="G16" s="42"/>
      <c r="K16" s="41"/>
    </row>
    <row r="17" spans="1:11" s="39" customFormat="1" ht="12">
      <c r="A17" s="32">
        <v>6</v>
      </c>
      <c r="B17" s="39" t="s">
        <v>131</v>
      </c>
      <c r="E17" s="5">
        <f t="shared" ref="E17" si="1">SUM(E15:E16)</f>
        <v>0</v>
      </c>
      <c r="F17" s="44"/>
      <c r="G17" s="42"/>
      <c r="K17" s="44"/>
    </row>
    <row r="18" spans="1:11" s="39" customFormat="1" ht="12">
      <c r="A18" s="32"/>
      <c r="E18" s="5"/>
      <c r="F18" s="41"/>
      <c r="G18" s="42"/>
      <c r="K18" s="41"/>
    </row>
    <row r="19" spans="1:11" s="39" customFormat="1" ht="12">
      <c r="A19" s="32"/>
      <c r="B19" s="39" t="s">
        <v>132</v>
      </c>
      <c r="E19" s="5"/>
      <c r="F19" s="41"/>
      <c r="G19" s="42"/>
      <c r="K19" s="41"/>
    </row>
    <row r="20" spans="1:11" s="39" customFormat="1" ht="12">
      <c r="A20" s="32"/>
      <c r="B20" s="39" t="s">
        <v>133</v>
      </c>
      <c r="E20" s="5"/>
      <c r="F20" s="41"/>
      <c r="G20" s="42"/>
      <c r="K20" s="41"/>
    </row>
    <row r="21" spans="1:11" s="39" customFormat="1" ht="12">
      <c r="A21" s="32">
        <v>7</v>
      </c>
      <c r="C21" s="39" t="s">
        <v>134</v>
      </c>
      <c r="E21" s="4">
        <v>0</v>
      </c>
      <c r="F21" s="41"/>
      <c r="G21" s="42"/>
      <c r="K21" s="41"/>
    </row>
    <row r="22" spans="1:11" s="39" customFormat="1" ht="12">
      <c r="A22" s="32">
        <v>8</v>
      </c>
      <c r="C22" s="39" t="s">
        <v>135</v>
      </c>
      <c r="E22" s="4">
        <v>0</v>
      </c>
      <c r="F22" s="41"/>
      <c r="G22" s="42"/>
      <c r="K22" s="41"/>
    </row>
    <row r="23" spans="1:11" s="39" customFormat="1" ht="12">
      <c r="A23" s="32">
        <v>9</v>
      </c>
      <c r="C23" s="39" t="s">
        <v>136</v>
      </c>
      <c r="E23" s="4">
        <f>+Calculation!E13</f>
        <v>109.381</v>
      </c>
      <c r="F23" s="41"/>
      <c r="G23" s="42"/>
      <c r="K23" s="41"/>
    </row>
    <row r="24" spans="1:11" s="39" customFormat="1" ht="12">
      <c r="A24" s="32">
        <v>10</v>
      </c>
      <c r="C24" s="40" t="s">
        <v>137</v>
      </c>
      <c r="D24" s="40"/>
      <c r="E24" s="4">
        <v>0</v>
      </c>
      <c r="F24" s="41"/>
      <c r="G24" s="42"/>
      <c r="K24" s="41"/>
    </row>
    <row r="25" spans="1:11" s="39" customFormat="1" ht="12">
      <c r="A25" s="32">
        <v>11</v>
      </c>
      <c r="C25" s="39" t="s">
        <v>138</v>
      </c>
      <c r="E25" s="43">
        <v>0</v>
      </c>
      <c r="F25" s="41"/>
      <c r="G25" s="42"/>
      <c r="K25" s="41"/>
    </row>
    <row r="26" spans="1:11" s="39" customFormat="1" ht="12">
      <c r="A26" s="32">
        <v>12</v>
      </c>
      <c r="B26" s="39" t="s">
        <v>139</v>
      </c>
      <c r="E26" s="5">
        <f t="shared" ref="E26" si="2">SUM(E21:E25)</f>
        <v>109.381</v>
      </c>
      <c r="F26" s="44"/>
      <c r="G26" s="42"/>
      <c r="K26" s="44"/>
    </row>
    <row r="27" spans="1:11" s="39" customFormat="1" ht="12">
      <c r="A27" s="32"/>
      <c r="E27" s="5"/>
      <c r="F27" s="41"/>
      <c r="G27" s="42"/>
      <c r="K27" s="41"/>
    </row>
    <row r="28" spans="1:11" s="39" customFormat="1" ht="12">
      <c r="A28" s="32"/>
      <c r="B28" s="39" t="s">
        <v>140</v>
      </c>
      <c r="E28" s="5"/>
      <c r="F28" s="41"/>
      <c r="G28" s="42"/>
      <c r="K28" s="41"/>
    </row>
    <row r="29" spans="1:11" s="39" customFormat="1" ht="12">
      <c r="A29" s="32">
        <v>13</v>
      </c>
      <c r="C29" s="39" t="s">
        <v>134</v>
      </c>
      <c r="E29" s="4">
        <v>0</v>
      </c>
      <c r="F29" s="41"/>
      <c r="G29" s="42"/>
      <c r="K29" s="41"/>
    </row>
    <row r="30" spans="1:11" s="39" customFormat="1" ht="12">
      <c r="A30" s="32">
        <v>14</v>
      </c>
      <c r="C30" s="39" t="s">
        <v>141</v>
      </c>
      <c r="E30" s="4">
        <v>0</v>
      </c>
      <c r="F30" s="41"/>
      <c r="G30" s="42"/>
      <c r="K30" s="41"/>
    </row>
    <row r="31" spans="1:11" s="39" customFormat="1" ht="12">
      <c r="A31" s="32">
        <v>15</v>
      </c>
      <c r="C31" s="39" t="s">
        <v>138</v>
      </c>
      <c r="E31" s="43">
        <v>0</v>
      </c>
      <c r="F31" s="41"/>
      <c r="G31" s="42"/>
      <c r="K31" s="41"/>
    </row>
    <row r="32" spans="1:11" s="39" customFormat="1" ht="12">
      <c r="A32" s="32">
        <v>16</v>
      </c>
      <c r="B32" s="39" t="s">
        <v>142</v>
      </c>
      <c r="E32" s="5">
        <f t="shared" ref="E32" si="3">SUM(E29:E31)</f>
        <v>0</v>
      </c>
      <c r="F32" s="44"/>
      <c r="G32" s="42"/>
      <c r="K32" s="44"/>
    </row>
    <row r="33" spans="1:11" s="39" customFormat="1" ht="12">
      <c r="E33" s="5"/>
      <c r="F33" s="41"/>
      <c r="G33" s="42"/>
      <c r="K33" s="41"/>
    </row>
    <row r="34" spans="1:11" s="39" customFormat="1" ht="12">
      <c r="A34" s="32">
        <v>17</v>
      </c>
      <c r="B34" s="39" t="s">
        <v>143</v>
      </c>
      <c r="E34" s="4">
        <v>0</v>
      </c>
      <c r="F34" s="41"/>
      <c r="G34" s="45"/>
      <c r="H34" s="46"/>
      <c r="K34" s="41"/>
    </row>
    <row r="35" spans="1:11" s="39" customFormat="1" ht="12">
      <c r="A35" s="32">
        <v>18</v>
      </c>
      <c r="B35" s="39" t="s">
        <v>144</v>
      </c>
      <c r="E35" s="4">
        <v>0</v>
      </c>
      <c r="F35" s="41"/>
      <c r="G35" s="42"/>
      <c r="K35" s="41"/>
    </row>
    <row r="36" spans="1:11" s="39" customFormat="1" ht="12">
      <c r="A36" s="32">
        <v>19</v>
      </c>
      <c r="B36" s="39" t="s">
        <v>145</v>
      </c>
      <c r="E36" s="4">
        <v>0</v>
      </c>
      <c r="F36" s="41"/>
      <c r="G36" s="42"/>
      <c r="K36" s="41"/>
    </row>
    <row r="37" spans="1:11" s="39" customFormat="1" ht="12">
      <c r="A37" s="32"/>
      <c r="E37" s="4"/>
      <c r="F37" s="41"/>
      <c r="G37" s="42"/>
      <c r="K37" s="41"/>
    </row>
    <row r="38" spans="1:11" s="39" customFormat="1" ht="12">
      <c r="B38" s="39" t="s">
        <v>146</v>
      </c>
      <c r="E38" s="4"/>
      <c r="F38" s="41"/>
      <c r="G38" s="42"/>
      <c r="K38" s="41"/>
    </row>
    <row r="39" spans="1:11" s="39" customFormat="1" ht="12">
      <c r="A39" s="32">
        <v>20</v>
      </c>
      <c r="C39" s="39" t="s">
        <v>134</v>
      </c>
      <c r="E39" s="4">
        <v>0</v>
      </c>
      <c r="F39" s="41"/>
      <c r="G39" s="42"/>
      <c r="K39" s="41"/>
    </row>
    <row r="40" spans="1:11" s="39" customFormat="1" ht="12">
      <c r="A40" s="32">
        <v>21</v>
      </c>
      <c r="C40" s="39" t="s">
        <v>141</v>
      </c>
      <c r="E40" s="4">
        <v>0</v>
      </c>
      <c r="F40" s="41"/>
      <c r="G40" s="42"/>
      <c r="K40" s="41"/>
    </row>
    <row r="41" spans="1:11" s="39" customFormat="1" ht="12">
      <c r="A41" s="47">
        <v>22</v>
      </c>
      <c r="C41" s="39" t="s">
        <v>138</v>
      </c>
      <c r="E41" s="43">
        <v>0</v>
      </c>
      <c r="F41" s="41"/>
      <c r="G41" s="42"/>
      <c r="K41" s="41"/>
    </row>
    <row r="42" spans="1:11" s="39" customFormat="1" ht="12">
      <c r="A42" s="32">
        <v>23</v>
      </c>
      <c r="B42" s="39" t="s">
        <v>147</v>
      </c>
      <c r="E42" s="48">
        <f t="shared" ref="E42" si="4">SUM(E39:E41)</f>
        <v>0</v>
      </c>
      <c r="F42" s="44"/>
      <c r="G42" s="42"/>
      <c r="K42" s="44"/>
    </row>
    <row r="43" spans="1:11" s="39" customFormat="1" ht="18" customHeight="1">
      <c r="A43" s="32">
        <v>24</v>
      </c>
      <c r="B43" s="39" t="s">
        <v>148</v>
      </c>
      <c r="E43" s="48">
        <f t="shared" ref="E43" si="5">E42+E36+E35+E34+E32+E26</f>
        <v>109.381</v>
      </c>
      <c r="F43" s="44"/>
      <c r="G43" s="42"/>
      <c r="K43" s="44"/>
    </row>
    <row r="44" spans="1:11" s="39" customFormat="1" ht="12">
      <c r="E44" s="5"/>
      <c r="F44" s="44"/>
      <c r="G44" s="42"/>
      <c r="K44" s="44"/>
    </row>
    <row r="45" spans="1:11" s="39" customFormat="1" ht="12">
      <c r="A45" s="32">
        <v>25</v>
      </c>
      <c r="B45" s="39" t="s">
        <v>149</v>
      </c>
      <c r="E45" s="5">
        <f t="shared" ref="E45" si="6">E17-E43</f>
        <v>-109.381</v>
      </c>
      <c r="F45" s="44"/>
      <c r="G45" s="42"/>
      <c r="K45" s="44"/>
    </row>
    <row r="46" spans="1:11" s="39" customFormat="1" ht="12">
      <c r="A46" s="32"/>
      <c r="E46" s="5"/>
      <c r="F46" s="41"/>
      <c r="G46" s="42"/>
      <c r="K46" s="41"/>
    </row>
    <row r="47" spans="1:11" s="39" customFormat="1" ht="12">
      <c r="A47" s="49"/>
      <c r="B47" s="39" t="s">
        <v>150</v>
      </c>
      <c r="E47" s="5"/>
      <c r="F47" s="41"/>
      <c r="G47" s="42"/>
      <c r="K47" s="41"/>
    </row>
    <row r="48" spans="1:11" s="39" customFormat="1" ht="12">
      <c r="A48" s="47">
        <v>26</v>
      </c>
      <c r="B48" s="39" t="s">
        <v>151</v>
      </c>
      <c r="D48" s="50"/>
      <c r="E48" s="6">
        <f t="shared" ref="E48" si="7">E45*0.35</f>
        <v>-38.283349999999999</v>
      </c>
      <c r="F48" s="41"/>
      <c r="G48" s="42"/>
      <c r="I48" s="33"/>
      <c r="K48" s="41"/>
    </row>
    <row r="49" spans="1:11" s="40" customFormat="1" ht="12">
      <c r="A49" s="32">
        <v>27</v>
      </c>
      <c r="B49" s="40" t="s">
        <v>152</v>
      </c>
      <c r="E49" s="59">
        <f>ROUND(E77*0.0308*-0.35,0)</f>
        <v>-56</v>
      </c>
      <c r="F49" s="41"/>
      <c r="G49" s="44"/>
      <c r="I49" s="34"/>
      <c r="K49" s="41"/>
    </row>
    <row r="50" spans="1:11" s="39" customFormat="1" ht="12">
      <c r="A50" s="32">
        <v>28</v>
      </c>
      <c r="B50" s="39" t="s">
        <v>153</v>
      </c>
      <c r="E50" s="4">
        <v>0</v>
      </c>
      <c r="F50" s="41"/>
      <c r="G50" s="42"/>
      <c r="I50" s="3"/>
      <c r="K50" s="41"/>
    </row>
    <row r="51" spans="1:11" s="39" customFormat="1" ht="12">
      <c r="A51" s="49">
        <v>29</v>
      </c>
      <c r="B51" s="39" t="s">
        <v>154</v>
      </c>
      <c r="E51" s="43">
        <v>0</v>
      </c>
      <c r="F51" s="41"/>
      <c r="G51" s="42"/>
      <c r="I51" s="3"/>
      <c r="K51" s="41"/>
    </row>
    <row r="52" spans="1:11" s="1" customFormat="1">
      <c r="A52" s="2"/>
      <c r="B52" s="3"/>
      <c r="C52" s="3"/>
      <c r="D52" s="3"/>
      <c r="E52" s="5"/>
      <c r="F52" s="7"/>
      <c r="G52" s="8"/>
      <c r="H52" s="3"/>
      <c r="I52" s="3"/>
      <c r="J52" s="3"/>
      <c r="K52" s="7"/>
    </row>
    <row r="53" spans="1:11" s="33" customFormat="1" thickBot="1">
      <c r="A53" s="51">
        <v>30</v>
      </c>
      <c r="B53" s="33" t="s">
        <v>155</v>
      </c>
      <c r="E53" s="52">
        <f t="shared" ref="E53" si="8">E45-SUM(E48:E51)</f>
        <v>-15.097650000000002</v>
      </c>
      <c r="F53" s="53"/>
      <c r="G53" s="54"/>
      <c r="I53" s="3"/>
      <c r="K53" s="53"/>
    </row>
    <row r="54" spans="1:11" s="1" customFormat="1" ht="13.5" thickTop="1">
      <c r="A54" s="51"/>
      <c r="B54" s="3"/>
      <c r="C54" s="3"/>
      <c r="D54" s="3"/>
      <c r="E54" s="5"/>
      <c r="F54" s="7"/>
      <c r="G54" s="8"/>
      <c r="H54" s="3"/>
      <c r="I54" s="3"/>
      <c r="J54" s="3"/>
      <c r="K54" s="7"/>
    </row>
    <row r="55" spans="1:11" s="1" customFormat="1">
      <c r="A55" s="51"/>
      <c r="B55" s="3" t="s">
        <v>156</v>
      </c>
      <c r="C55" s="3"/>
      <c r="D55" s="3"/>
      <c r="E55" s="5"/>
      <c r="F55" s="7"/>
      <c r="G55" s="8"/>
      <c r="H55" s="3"/>
      <c r="I55" s="3"/>
      <c r="J55" s="3"/>
      <c r="K55" s="7"/>
    </row>
    <row r="56" spans="1:11" s="1" customFormat="1">
      <c r="A56" s="2"/>
      <c r="B56" s="3" t="s">
        <v>157</v>
      </c>
      <c r="C56" s="3"/>
      <c r="D56" s="3"/>
      <c r="E56" s="5"/>
      <c r="F56" s="7"/>
      <c r="G56" s="8"/>
      <c r="H56" s="3"/>
      <c r="I56" s="3"/>
      <c r="J56" s="3"/>
      <c r="K56" s="7"/>
    </row>
    <row r="57" spans="1:11" s="33" customFormat="1" ht="12">
      <c r="A57" s="55">
        <v>31</v>
      </c>
      <c r="C57" s="33" t="s">
        <v>158</v>
      </c>
      <c r="E57" s="56">
        <v>0</v>
      </c>
      <c r="F57" s="57"/>
      <c r="G57" s="54"/>
      <c r="I57" s="3"/>
      <c r="K57" s="57"/>
    </row>
    <row r="58" spans="1:11" s="39" customFormat="1" ht="12">
      <c r="A58" s="51">
        <v>32</v>
      </c>
      <c r="C58" s="39" t="s">
        <v>159</v>
      </c>
      <c r="E58" s="4">
        <f>+Calculation!B13</f>
        <v>5414.92</v>
      </c>
      <c r="F58" s="41"/>
      <c r="G58" s="42"/>
      <c r="I58" s="3"/>
      <c r="K58" s="41"/>
    </row>
    <row r="59" spans="1:11" s="39" customFormat="1" ht="12">
      <c r="A59" s="51">
        <v>33</v>
      </c>
      <c r="C59" s="39" t="s">
        <v>160</v>
      </c>
      <c r="E59" s="4">
        <v>0</v>
      </c>
      <c r="F59" s="41"/>
      <c r="G59" s="42"/>
      <c r="I59" s="3"/>
      <c r="K59" s="41"/>
    </row>
    <row r="60" spans="1:11" s="39" customFormat="1" ht="12">
      <c r="A60" s="51">
        <v>34</v>
      </c>
      <c r="C60" s="39" t="s">
        <v>140</v>
      </c>
      <c r="E60" s="4">
        <v>0</v>
      </c>
      <c r="F60" s="41"/>
      <c r="G60" s="42"/>
      <c r="I60" s="3"/>
      <c r="K60" s="41"/>
    </row>
    <row r="61" spans="1:11" s="39" customFormat="1" ht="12">
      <c r="A61" s="51">
        <v>35</v>
      </c>
      <c r="C61" s="39" t="s">
        <v>161</v>
      </c>
      <c r="E61" s="43">
        <v>0</v>
      </c>
      <c r="F61" s="41"/>
      <c r="G61" s="42"/>
      <c r="I61" s="3"/>
      <c r="K61" s="41"/>
    </row>
    <row r="62" spans="1:11" s="39" customFormat="1" ht="12">
      <c r="A62" s="51">
        <v>36</v>
      </c>
      <c r="B62" s="39" t="s">
        <v>162</v>
      </c>
      <c r="E62" s="5">
        <f t="shared" ref="E62" si="9">SUM(E57:E61)</f>
        <v>5414.92</v>
      </c>
      <c r="F62" s="44"/>
      <c r="G62" s="42"/>
      <c r="I62" s="3"/>
      <c r="K62" s="44"/>
    </row>
    <row r="63" spans="1:11" s="39" customFormat="1" ht="18" customHeight="1">
      <c r="A63" s="51"/>
      <c r="B63" s="39" t="s">
        <v>163</v>
      </c>
      <c r="E63" s="4"/>
      <c r="F63" s="41"/>
      <c r="G63" s="42"/>
      <c r="I63" s="3"/>
      <c r="K63" s="41"/>
    </row>
    <row r="64" spans="1:11" s="39" customFormat="1" ht="12">
      <c r="A64" s="51">
        <v>37</v>
      </c>
      <c r="C64" s="33" t="s">
        <v>158</v>
      </c>
      <c r="E64" s="4">
        <v>0</v>
      </c>
      <c r="F64" s="41"/>
      <c r="G64" s="42"/>
      <c r="I64" s="3"/>
      <c r="K64" s="41"/>
    </row>
    <row r="65" spans="1:11" s="39" customFormat="1" ht="12">
      <c r="A65" s="51">
        <v>38</v>
      </c>
      <c r="C65" s="39" t="s">
        <v>159</v>
      </c>
      <c r="E65" s="4">
        <f>+Calculation!H13</f>
        <v>139.69049999999999</v>
      </c>
      <c r="F65" s="41"/>
      <c r="G65" s="42"/>
      <c r="I65" s="3"/>
      <c r="K65" s="41"/>
    </row>
    <row r="66" spans="1:11" s="39" customFormat="1" ht="12">
      <c r="A66" s="51">
        <v>39</v>
      </c>
      <c r="C66" s="39" t="s">
        <v>160</v>
      </c>
      <c r="E66" s="4">
        <v>0</v>
      </c>
      <c r="F66" s="41"/>
      <c r="G66" s="42"/>
      <c r="I66" s="3"/>
      <c r="K66" s="41"/>
    </row>
    <row r="67" spans="1:11" s="39" customFormat="1" ht="12">
      <c r="A67" s="51">
        <v>40</v>
      </c>
      <c r="C67" s="39" t="s">
        <v>140</v>
      </c>
      <c r="E67" s="4">
        <v>0</v>
      </c>
      <c r="F67" s="41"/>
      <c r="G67" s="42"/>
      <c r="I67" s="3"/>
      <c r="K67" s="41"/>
    </row>
    <row r="68" spans="1:11" s="39" customFormat="1" ht="12">
      <c r="A68" s="51">
        <v>41</v>
      </c>
      <c r="C68" s="39" t="s">
        <v>161</v>
      </c>
      <c r="E68" s="4">
        <v>0</v>
      </c>
      <c r="F68" s="41"/>
      <c r="G68" s="42"/>
      <c r="I68" s="3"/>
      <c r="K68" s="41"/>
    </row>
    <row r="69" spans="1:11" s="39" customFormat="1" ht="12">
      <c r="A69" s="51">
        <v>42</v>
      </c>
      <c r="B69" s="39" t="s">
        <v>26</v>
      </c>
      <c r="E69" s="58">
        <f>SUM(E64:E68)</f>
        <v>139.69049999999999</v>
      </c>
      <c r="F69" s="41"/>
      <c r="G69" s="42"/>
      <c r="I69" s="3"/>
      <c r="K69" s="41"/>
    </row>
    <row r="70" spans="1:11" s="39" customFormat="1" ht="12">
      <c r="A70" s="51">
        <v>43</v>
      </c>
      <c r="B70" s="39" t="s">
        <v>164</v>
      </c>
      <c r="E70" s="58">
        <f t="shared" ref="E70" si="10">E62-E69</f>
        <v>5275.2295000000004</v>
      </c>
      <c r="F70" s="41"/>
      <c r="G70" s="42"/>
      <c r="I70" s="3"/>
      <c r="K70" s="41"/>
    </row>
    <row r="71" spans="1:11" s="39" customFormat="1" ht="6.75" customHeight="1">
      <c r="A71" s="51"/>
      <c r="E71" s="10"/>
      <c r="F71" s="41"/>
      <c r="G71" s="42"/>
      <c r="I71" s="3"/>
      <c r="K71" s="41"/>
    </row>
    <row r="72" spans="1:11" s="39" customFormat="1" ht="12">
      <c r="A72" s="49">
        <v>44</v>
      </c>
      <c r="B72" s="39" t="s">
        <v>165</v>
      </c>
      <c r="E72" s="43">
        <f>+Calculation!M15</f>
        <v>-102</v>
      </c>
      <c r="F72" s="41"/>
      <c r="G72" s="42"/>
      <c r="I72" s="3"/>
      <c r="K72" s="41"/>
    </row>
    <row r="73" spans="1:11" s="39" customFormat="1" ht="12">
      <c r="A73" s="49">
        <v>45</v>
      </c>
      <c r="C73" s="39" t="s">
        <v>166</v>
      </c>
      <c r="E73" s="10">
        <f t="shared" ref="E73" si="11">SUM(E70:E72)</f>
        <v>5173.2295000000004</v>
      </c>
      <c r="F73" s="41"/>
      <c r="G73" s="42"/>
      <c r="I73" s="3"/>
      <c r="K73" s="41"/>
    </row>
    <row r="74" spans="1:11" s="39" customFormat="1" ht="12">
      <c r="A74" s="51">
        <v>46</v>
      </c>
      <c r="B74" s="39" t="s">
        <v>167</v>
      </c>
      <c r="E74" s="4">
        <v>0</v>
      </c>
      <c r="F74" s="41"/>
      <c r="G74" s="42"/>
      <c r="I74" s="3"/>
      <c r="K74" s="41"/>
    </row>
    <row r="75" spans="1:11" s="39" customFormat="1" ht="12">
      <c r="A75" s="51">
        <v>47</v>
      </c>
      <c r="B75" s="39" t="s">
        <v>168</v>
      </c>
      <c r="E75" s="43">
        <v>0</v>
      </c>
      <c r="F75" s="41"/>
      <c r="G75" s="42"/>
      <c r="I75" s="3"/>
      <c r="K75" s="41"/>
    </row>
    <row r="76" spans="1:11" s="39" customFormat="1" ht="12">
      <c r="A76" s="49"/>
      <c r="E76" s="5"/>
      <c r="F76" s="44"/>
      <c r="G76" s="42"/>
      <c r="I76" s="3"/>
      <c r="K76" s="44"/>
    </row>
    <row r="77" spans="1:11" s="33" customFormat="1" thickBot="1">
      <c r="A77" s="32">
        <v>48</v>
      </c>
      <c r="B77" s="33" t="s">
        <v>169</v>
      </c>
      <c r="E77" s="52">
        <f t="shared" ref="E77" si="12">SUM(E73:E75)</f>
        <v>5173.2295000000004</v>
      </c>
      <c r="F77" s="53"/>
      <c r="G77" s="54"/>
      <c r="I77" s="3"/>
      <c r="K77" s="53"/>
    </row>
    <row r="78" spans="1:11" s="1" customFormat="1" ht="18" customHeight="1" thickTop="1">
      <c r="A78" s="32">
        <v>49</v>
      </c>
      <c r="B78" s="3" t="s">
        <v>170</v>
      </c>
      <c r="C78" s="3"/>
      <c r="D78" s="3"/>
      <c r="E78" s="5"/>
      <c r="F78" s="7"/>
      <c r="G78" s="8"/>
      <c r="H78" s="3"/>
      <c r="I78" s="3"/>
      <c r="J78" s="3"/>
      <c r="K78" s="7"/>
    </row>
    <row r="79" spans="1:11" s="1" customFormat="1">
      <c r="A79" s="2"/>
      <c r="B79" s="3"/>
      <c r="C79" s="3"/>
      <c r="D79" s="3"/>
      <c r="E79" s="5"/>
      <c r="F79" s="7"/>
      <c r="G79" s="8"/>
      <c r="H79" s="3"/>
      <c r="I79" s="3"/>
      <c r="J79" s="3"/>
      <c r="K79" s="7"/>
    </row>
  </sheetData>
  <mergeCells count="1">
    <mergeCell ref="E6:E8"/>
  </mergeCells>
  <pageMargins left="1" right="0.2" top="0.75" bottom="0.5" header="0.5" footer="0.3"/>
  <pageSetup scale="75" firstPageNumber="4" fitToWidth="3" orientation="portrait" r:id="rId1"/>
  <headerFooter alignWithMargins="0">
    <oddHeader>&amp;R&amp;"Times New Roman,Regular"&amp;12Exhibit No.___(KHB-7)
Page &amp;P</oddHeader>
    <oddFooter>&amp;L&amp;"Times New Roman,Regular"&amp;12&amp;F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zoomScaleSheetLayoutView="100" workbookViewId="0">
      <selection activeCell="C24" sqref="C24"/>
    </sheetView>
  </sheetViews>
  <sheetFormatPr defaultRowHeight="12.75"/>
  <cols>
    <col min="1" max="1" width="24.28515625" style="60" customWidth="1"/>
    <col min="2" max="3" width="16.28515625" style="60" bestFit="1" customWidth="1"/>
    <col min="4" max="4" width="10.5703125" style="61" bestFit="1" customWidth="1"/>
    <col min="5" max="5" width="22.5703125" style="60" bestFit="1" customWidth="1"/>
    <col min="6" max="6" width="12.28515625" style="60" customWidth="1"/>
    <col min="7" max="7" width="11.7109375" style="60" customWidth="1"/>
    <col min="8" max="8" width="15" style="60" customWidth="1"/>
    <col min="9" max="9" width="14.140625" style="60" customWidth="1"/>
    <col min="10" max="10" width="14.42578125" style="60" customWidth="1"/>
    <col min="11" max="11" width="13" style="60" customWidth="1"/>
    <col min="12" max="12" width="12.85546875" style="60" customWidth="1"/>
    <col min="13" max="13" width="14.85546875" style="60" customWidth="1"/>
    <col min="14" max="16384" width="9.140625" style="60"/>
  </cols>
  <sheetData>
    <row r="1" spans="1:13">
      <c r="A1" s="60" t="str">
        <f>+'ADJ 3.08'!A1</f>
        <v xml:space="preserve">AVISTA UTILITIES  </v>
      </c>
    </row>
    <row r="2" spans="1:13">
      <c r="A2" s="60" t="str">
        <f>+'ADJ 3.08'!A2</f>
        <v xml:space="preserve">WASHINGTON ELECTRIC RESULTS  </v>
      </c>
    </row>
    <row r="3" spans="1:13">
      <c r="A3" s="60" t="str">
        <f>+'ADJ 3.08'!A3</f>
        <v>TWELVE MONTHS ENDED DECEMBER 31, 2011</v>
      </c>
    </row>
    <row r="4" spans="1:13">
      <c r="A4" s="60" t="str">
        <f>+'ADJ 3.08'!A4</f>
        <v xml:space="preserve">(000'S OF DOLLARS)  </v>
      </c>
    </row>
    <row r="5" spans="1:13" s="64" customFormat="1" ht="15.75">
      <c r="A5" s="62" t="s">
        <v>172</v>
      </c>
      <c r="B5" s="63"/>
      <c r="D5" s="65"/>
      <c r="E5" s="66" t="s">
        <v>23</v>
      </c>
      <c r="I5" s="67" t="s">
        <v>0</v>
      </c>
      <c r="J5" s="67" t="s">
        <v>1</v>
      </c>
      <c r="K5" s="68"/>
    </row>
    <row r="6" spans="1:13" s="70" customFormat="1" ht="15.75">
      <c r="A6" s="69"/>
      <c r="B6" s="69"/>
      <c r="D6" s="71"/>
      <c r="E6" s="72" t="s">
        <v>24</v>
      </c>
      <c r="I6" s="73">
        <v>3.7499999999999999E-2</v>
      </c>
      <c r="J6" s="73">
        <v>7.2190000000000004E-2</v>
      </c>
      <c r="K6" s="74"/>
    </row>
    <row r="7" spans="1:13" s="70" customFormat="1">
      <c r="A7" s="75"/>
      <c r="B7" s="75"/>
      <c r="D7" s="71"/>
      <c r="E7" s="72" t="s">
        <v>5</v>
      </c>
      <c r="I7" s="74">
        <v>0.14280000000000001</v>
      </c>
      <c r="J7" s="74">
        <v>0.24490000000000001</v>
      </c>
      <c r="K7" s="74"/>
    </row>
    <row r="8" spans="1:13" s="70" customFormat="1">
      <c r="A8" s="75"/>
      <c r="B8" s="75"/>
      <c r="D8" s="71"/>
      <c r="E8" s="72" t="s">
        <v>25</v>
      </c>
      <c r="I8" s="74">
        <v>0.2</v>
      </c>
      <c r="J8" s="74">
        <v>0.32</v>
      </c>
      <c r="K8" s="74"/>
    </row>
    <row r="9" spans="1:13" s="70" customFormat="1">
      <c r="D9" s="71"/>
    </row>
    <row r="10" spans="1:13" s="80" customFormat="1" ht="39" customHeight="1">
      <c r="A10" s="76" t="s">
        <v>2</v>
      </c>
      <c r="B10" s="76" t="s">
        <v>20</v>
      </c>
      <c r="C10" s="76" t="s">
        <v>21</v>
      </c>
      <c r="D10" s="77" t="s">
        <v>22</v>
      </c>
      <c r="E10" s="78" t="s">
        <v>6</v>
      </c>
      <c r="F10" s="79" t="s">
        <v>29</v>
      </c>
      <c r="G10" s="79" t="s">
        <v>32</v>
      </c>
      <c r="H10" s="79" t="s">
        <v>33</v>
      </c>
      <c r="I10" s="79" t="s">
        <v>30</v>
      </c>
      <c r="J10" s="79" t="s">
        <v>34</v>
      </c>
      <c r="K10" s="79" t="s">
        <v>31</v>
      </c>
      <c r="L10" s="79" t="s">
        <v>35</v>
      </c>
      <c r="M10" s="79" t="s">
        <v>36</v>
      </c>
    </row>
    <row r="11" spans="1:13">
      <c r="A11" s="60" t="s">
        <v>7</v>
      </c>
    </row>
    <row r="12" spans="1:13">
      <c r="A12" s="60" t="s">
        <v>8</v>
      </c>
      <c r="B12" s="81"/>
      <c r="C12" s="81"/>
      <c r="D12" s="71">
        <v>2.7300000000000001E-2</v>
      </c>
      <c r="E12" s="72">
        <f t="shared" ref="E12:E14" si="0">ROUND(B12*D12,0)</f>
        <v>0</v>
      </c>
      <c r="F12" s="72">
        <f t="shared" ref="F12:F14" si="1">ROUND(C12*D12,0)</f>
        <v>0</v>
      </c>
      <c r="G12" s="72">
        <f t="shared" ref="G12:G14" si="2">SUM(E12:F12)</f>
        <v>0</v>
      </c>
      <c r="H12" s="72">
        <f>ROUND((F12+G12)/2,0)</f>
        <v>0</v>
      </c>
      <c r="I12" s="72">
        <f>ROUND(B12*$I$6,0)</f>
        <v>0</v>
      </c>
      <c r="J12" s="72">
        <f>ROUND(B12*$J$6,0)</f>
        <v>0</v>
      </c>
      <c r="K12" s="72">
        <f>ROUND((I12-(E12*6/12))*-0.35,0)</f>
        <v>0</v>
      </c>
      <c r="L12" s="72">
        <f>ROUND(((J12-E12)*-0.35)+K12,0)</f>
        <v>0</v>
      </c>
      <c r="M12" s="82">
        <f>ROUND((K12+L12)/2,0)</f>
        <v>0</v>
      </c>
    </row>
    <row r="13" spans="1:13" ht="25.5">
      <c r="A13" s="83" t="s">
        <v>171</v>
      </c>
      <c r="B13" s="81">
        <f>+'2012 Allocations-All'!D20</f>
        <v>5414.92</v>
      </c>
      <c r="C13" s="81">
        <v>4210</v>
      </c>
      <c r="D13" s="71">
        <v>2.0199999999999999E-2</v>
      </c>
      <c r="E13" s="72">
        <f>ROUND(B13*D13,3)</f>
        <v>109.381</v>
      </c>
      <c r="F13" s="72">
        <f t="shared" si="1"/>
        <v>85</v>
      </c>
      <c r="G13" s="72">
        <f t="shared" si="2"/>
        <v>194.381</v>
      </c>
      <c r="H13" s="72">
        <f t="shared" ref="H13:H45" si="3">(F13+G13)/2</f>
        <v>139.69049999999999</v>
      </c>
      <c r="I13" s="72">
        <f>ROUND(B13*$I$6,0)</f>
        <v>203</v>
      </c>
      <c r="J13" s="72">
        <f>ROUND(B13*$J$6,0)</f>
        <v>391</v>
      </c>
      <c r="K13" s="72">
        <f>ROUND((I13-(E13*6/12))*-0.35,0)</f>
        <v>-52</v>
      </c>
      <c r="L13" s="72">
        <f>ROUND(((J13-E13)*-0.35)+K13,0)</f>
        <v>-151</v>
      </c>
      <c r="M13" s="82">
        <f t="shared" ref="M13:M45" si="4">ROUND((K13+L13)/2,0)</f>
        <v>-102</v>
      </c>
    </row>
    <row r="14" spans="1:13">
      <c r="A14" s="60" t="s">
        <v>9</v>
      </c>
      <c r="B14" s="81"/>
      <c r="C14" s="81"/>
      <c r="D14" s="71">
        <v>3.2300000000000002E-2</v>
      </c>
      <c r="E14" s="72">
        <f t="shared" si="0"/>
        <v>0</v>
      </c>
      <c r="F14" s="72">
        <f t="shared" si="1"/>
        <v>0</v>
      </c>
      <c r="G14" s="72">
        <f t="shared" si="2"/>
        <v>0</v>
      </c>
      <c r="H14" s="72">
        <f t="shared" si="3"/>
        <v>0</v>
      </c>
      <c r="I14" s="72">
        <f>ROUND(B14*$I$6,0)</f>
        <v>0</v>
      </c>
      <c r="J14" s="72">
        <f>ROUND(B14*$J$6,0)</f>
        <v>0</v>
      </c>
      <c r="K14" s="72">
        <f t="shared" ref="K14" si="5">ROUND((I14-(E14*6/12))*-0.35,0)</f>
        <v>0</v>
      </c>
      <c r="L14" s="72">
        <f>ROUND(((J14-E14)*-0.35)+K14,0)</f>
        <v>0</v>
      </c>
      <c r="M14" s="82">
        <f t="shared" si="4"/>
        <v>0</v>
      </c>
    </row>
    <row r="15" spans="1:13">
      <c r="A15" s="60" t="s">
        <v>10</v>
      </c>
      <c r="B15" s="84">
        <f>SUM(B12:B14)</f>
        <v>5414.92</v>
      </c>
      <c r="C15" s="84">
        <f t="shared" ref="C15:M15" si="6">SUM(C12:C14)</f>
        <v>4210</v>
      </c>
      <c r="D15" s="70"/>
      <c r="E15" s="84">
        <f t="shared" si="6"/>
        <v>109.381</v>
      </c>
      <c r="F15" s="84">
        <f t="shared" si="6"/>
        <v>85</v>
      </c>
      <c r="G15" s="84">
        <f t="shared" si="6"/>
        <v>194.381</v>
      </c>
      <c r="H15" s="84">
        <f t="shared" si="6"/>
        <v>139.69049999999999</v>
      </c>
      <c r="I15" s="84">
        <f t="shared" si="6"/>
        <v>203</v>
      </c>
      <c r="J15" s="84">
        <f t="shared" si="6"/>
        <v>391</v>
      </c>
      <c r="K15" s="84">
        <f t="shared" si="6"/>
        <v>-52</v>
      </c>
      <c r="L15" s="84">
        <f t="shared" si="6"/>
        <v>-151</v>
      </c>
      <c r="M15" s="84">
        <f t="shared" si="6"/>
        <v>-102</v>
      </c>
    </row>
    <row r="16" spans="1:13">
      <c r="B16" s="82"/>
      <c r="C16" s="82"/>
      <c r="E16" s="82"/>
      <c r="F16" s="82"/>
      <c r="G16" s="82"/>
      <c r="H16" s="72"/>
      <c r="I16" s="82"/>
      <c r="J16" s="82"/>
      <c r="K16" s="82"/>
      <c r="L16" s="82"/>
      <c r="M16" s="82"/>
    </row>
    <row r="17" spans="1:13">
      <c r="A17" s="60" t="s">
        <v>11</v>
      </c>
      <c r="B17" s="85"/>
      <c r="C17" s="85"/>
      <c r="D17" s="71">
        <v>2.06E-2</v>
      </c>
      <c r="E17" s="86">
        <f>ROUND(B17*D17,0)</f>
        <v>0</v>
      </c>
      <c r="F17" s="86">
        <f>ROUND(C17*D17,0)</f>
        <v>0</v>
      </c>
      <c r="G17" s="86">
        <f>SUM(E17:F17)</f>
        <v>0</v>
      </c>
      <c r="H17" s="86">
        <f t="shared" si="3"/>
        <v>0</v>
      </c>
      <c r="I17" s="86">
        <f>ROUND(B17*$I$6,0)</f>
        <v>0</v>
      </c>
      <c r="J17" s="86">
        <f>ROUND(B17*$J$6,0)</f>
        <v>0</v>
      </c>
      <c r="K17" s="86">
        <f>ROUND((I17-(E17*6/12))*-0.35,0)</f>
        <v>0</v>
      </c>
      <c r="L17" s="86">
        <f>ROUND(((J17-E17)*-0.35)+K17,0)</f>
        <v>0</v>
      </c>
      <c r="M17" s="86">
        <f t="shared" si="4"/>
        <v>0</v>
      </c>
    </row>
    <row r="18" spans="1:13">
      <c r="B18" s="82"/>
      <c r="C18" s="82"/>
      <c r="E18" s="82"/>
      <c r="F18" s="82"/>
      <c r="G18" s="82"/>
      <c r="H18" s="72"/>
      <c r="I18" s="82"/>
      <c r="J18" s="82"/>
      <c r="K18" s="82"/>
      <c r="L18" s="82"/>
      <c r="M18" s="82"/>
    </row>
    <row r="19" spans="1:13">
      <c r="A19" s="60" t="s">
        <v>3</v>
      </c>
      <c r="B19" s="82"/>
      <c r="C19" s="82"/>
      <c r="E19" s="82"/>
      <c r="F19" s="82"/>
      <c r="G19" s="82"/>
      <c r="H19" s="72"/>
      <c r="I19" s="82"/>
      <c r="J19" s="82"/>
      <c r="K19" s="82"/>
      <c r="L19" s="82"/>
      <c r="M19" s="82"/>
    </row>
    <row r="20" spans="1:13">
      <c r="A20" s="60" t="s">
        <v>12</v>
      </c>
      <c r="B20" s="81"/>
      <c r="C20" s="81"/>
      <c r="D20" s="71">
        <v>2.7900000000000001E-2</v>
      </c>
      <c r="E20" s="72">
        <f t="shared" ref="E20:E21" si="7">ROUND(B20*D20,0)</f>
        <v>0</v>
      </c>
      <c r="F20" s="72">
        <f t="shared" ref="F20:F21" si="8">ROUND(C20*D20,0)</f>
        <v>0</v>
      </c>
      <c r="G20" s="72">
        <f t="shared" ref="G20:G21" si="9">SUM(E20:F20)</f>
        <v>0</v>
      </c>
      <c r="H20" s="72">
        <f t="shared" si="3"/>
        <v>0</v>
      </c>
      <c r="I20" s="72">
        <f>ROUND(B20*$I$6,0)</f>
        <v>0</v>
      </c>
      <c r="J20" s="72">
        <f>ROUND(B20*$J$6,0)</f>
        <v>0</v>
      </c>
      <c r="K20" s="72">
        <f t="shared" ref="K20:K21" si="10">ROUND((I20-(E20*6/12))*-0.35,0)</f>
        <v>0</v>
      </c>
      <c r="L20" s="72">
        <f>ROUND(((J20-E20)*-0.35)+K20,0)</f>
        <v>0</v>
      </c>
      <c r="M20" s="82">
        <f t="shared" si="4"/>
        <v>0</v>
      </c>
    </row>
    <row r="21" spans="1:13">
      <c r="A21" s="60" t="s">
        <v>13</v>
      </c>
      <c r="B21" s="81"/>
      <c r="C21" s="81"/>
      <c r="D21" s="71">
        <v>2.7900000000000001E-2</v>
      </c>
      <c r="E21" s="72">
        <f t="shared" si="7"/>
        <v>0</v>
      </c>
      <c r="F21" s="72">
        <f t="shared" si="8"/>
        <v>0</v>
      </c>
      <c r="G21" s="72">
        <f t="shared" si="9"/>
        <v>0</v>
      </c>
      <c r="H21" s="72">
        <f t="shared" si="3"/>
        <v>0</v>
      </c>
      <c r="I21" s="72">
        <f>ROUND(B21*$I$6,0)</f>
        <v>0</v>
      </c>
      <c r="J21" s="72">
        <f>ROUND(B21*$J$6,0)</f>
        <v>0</v>
      </c>
      <c r="K21" s="72">
        <f t="shared" si="10"/>
        <v>0</v>
      </c>
      <c r="L21" s="72">
        <f>ROUND(((J21-E21)*-0.35)+K21,0)</f>
        <v>0</v>
      </c>
      <c r="M21" s="82">
        <f t="shared" si="4"/>
        <v>0</v>
      </c>
    </row>
    <row r="22" spans="1:13">
      <c r="A22" s="60" t="s">
        <v>10</v>
      </c>
      <c r="B22" s="84">
        <f>SUM(B20:B21)</f>
        <v>0</v>
      </c>
      <c r="C22" s="84">
        <f t="shared" ref="C22:M22" si="11">SUM(C20:C21)</f>
        <v>0</v>
      </c>
      <c r="D22" s="70"/>
      <c r="E22" s="84">
        <f t="shared" si="11"/>
        <v>0</v>
      </c>
      <c r="F22" s="84">
        <f t="shared" si="11"/>
        <v>0</v>
      </c>
      <c r="G22" s="84">
        <f t="shared" si="11"/>
        <v>0</v>
      </c>
      <c r="H22" s="84">
        <f t="shared" si="11"/>
        <v>0</v>
      </c>
      <c r="I22" s="84">
        <f t="shared" si="11"/>
        <v>0</v>
      </c>
      <c r="J22" s="84">
        <f t="shared" si="11"/>
        <v>0</v>
      </c>
      <c r="K22" s="84">
        <f t="shared" si="11"/>
        <v>0</v>
      </c>
      <c r="L22" s="84">
        <f t="shared" si="11"/>
        <v>0</v>
      </c>
      <c r="M22" s="84">
        <f t="shared" si="11"/>
        <v>0</v>
      </c>
    </row>
    <row r="23" spans="1:13">
      <c r="B23" s="82"/>
      <c r="C23" s="82"/>
      <c r="E23" s="82"/>
      <c r="F23" s="82"/>
      <c r="G23" s="82"/>
      <c r="H23" s="72"/>
      <c r="I23" s="82"/>
      <c r="J23" s="82"/>
      <c r="K23" s="82"/>
      <c r="L23" s="82"/>
      <c r="M23" s="82"/>
    </row>
    <row r="24" spans="1:13">
      <c r="A24" s="60" t="s">
        <v>4</v>
      </c>
      <c r="B24" s="81"/>
      <c r="C24" s="81"/>
      <c r="D24" s="71">
        <v>6.0699999999999997E-2</v>
      </c>
      <c r="E24" s="72">
        <f t="shared" ref="E24:E25" si="12">ROUND(B24*D24,0)</f>
        <v>0</v>
      </c>
      <c r="F24" s="72">
        <f t="shared" ref="F24:F25" si="13">ROUND(C24*D24,0)</f>
        <v>0</v>
      </c>
      <c r="G24" s="72">
        <f t="shared" ref="G24:G25" si="14">SUM(E24:F24)</f>
        <v>0</v>
      </c>
      <c r="H24" s="72">
        <f t="shared" si="3"/>
        <v>0</v>
      </c>
      <c r="I24" s="72">
        <f>ROUND(B24*$I$7,0)</f>
        <v>0</v>
      </c>
      <c r="J24" s="72">
        <f>ROUND(B24*$J$7,0)</f>
        <v>0</v>
      </c>
      <c r="K24" s="72">
        <f t="shared" ref="K24:K25" si="15">ROUND((I24-(E24*6/12))*-0.35,0)</f>
        <v>0</v>
      </c>
      <c r="L24" s="72">
        <f>ROUND(((J24-E24)*-0.35)+K24,0)</f>
        <v>0</v>
      </c>
      <c r="M24" s="82">
        <f t="shared" si="4"/>
        <v>0</v>
      </c>
    </row>
    <row r="25" spans="1:13">
      <c r="A25" s="60" t="s">
        <v>14</v>
      </c>
      <c r="B25" s="81"/>
      <c r="C25" s="81"/>
      <c r="D25" s="71">
        <v>5.2600000000000001E-2</v>
      </c>
      <c r="E25" s="72">
        <f t="shared" si="12"/>
        <v>0</v>
      </c>
      <c r="F25" s="72">
        <f t="shared" si="13"/>
        <v>0</v>
      </c>
      <c r="G25" s="72">
        <f t="shared" si="14"/>
        <v>0</v>
      </c>
      <c r="H25" s="72">
        <f t="shared" si="3"/>
        <v>0</v>
      </c>
      <c r="I25" s="72">
        <f>ROUND(B25*$I$7,0)</f>
        <v>0</v>
      </c>
      <c r="J25" s="72">
        <f>ROUND(B25*$J$7,0)</f>
        <v>0</v>
      </c>
      <c r="K25" s="72">
        <f t="shared" si="15"/>
        <v>0</v>
      </c>
      <c r="L25" s="72">
        <f>ROUND(((J25-E25)*-0.35)+K25,0)</f>
        <v>0</v>
      </c>
      <c r="M25" s="82">
        <f t="shared" si="4"/>
        <v>0</v>
      </c>
    </row>
    <row r="26" spans="1:13">
      <c r="A26" s="60" t="s">
        <v>10</v>
      </c>
      <c r="B26" s="84">
        <f>SUM(B24:B25)</f>
        <v>0</v>
      </c>
      <c r="C26" s="84">
        <f t="shared" ref="C26:M26" si="16">SUM(C24:C25)</f>
        <v>0</v>
      </c>
      <c r="D26" s="70"/>
      <c r="E26" s="84">
        <f t="shared" si="16"/>
        <v>0</v>
      </c>
      <c r="F26" s="84">
        <f t="shared" si="16"/>
        <v>0</v>
      </c>
      <c r="G26" s="84">
        <f t="shared" si="16"/>
        <v>0</v>
      </c>
      <c r="H26" s="84">
        <f t="shared" si="16"/>
        <v>0</v>
      </c>
      <c r="I26" s="84">
        <f t="shared" si="16"/>
        <v>0</v>
      </c>
      <c r="J26" s="84">
        <f t="shared" si="16"/>
        <v>0</v>
      </c>
      <c r="K26" s="84">
        <f t="shared" si="16"/>
        <v>0</v>
      </c>
      <c r="L26" s="84">
        <f t="shared" si="16"/>
        <v>0</v>
      </c>
      <c r="M26" s="84">
        <f t="shared" si="16"/>
        <v>0</v>
      </c>
    </row>
    <row r="27" spans="1:13">
      <c r="B27" s="82"/>
      <c r="C27" s="82"/>
      <c r="E27" s="82"/>
      <c r="F27" s="82"/>
      <c r="G27" s="82"/>
      <c r="H27" s="72"/>
      <c r="I27" s="82"/>
      <c r="J27" s="82"/>
      <c r="K27" s="82"/>
      <c r="L27" s="82"/>
      <c r="M27" s="82"/>
    </row>
    <row r="28" spans="1:13">
      <c r="A28" s="60" t="s">
        <v>15</v>
      </c>
      <c r="B28" s="85"/>
      <c r="C28" s="85"/>
      <c r="D28" s="71">
        <v>0.2</v>
      </c>
      <c r="E28" s="86">
        <f t="shared" ref="E28" si="17">ROUND(B28*D28,0)</f>
        <v>0</v>
      </c>
      <c r="F28" s="86">
        <f t="shared" ref="F28" si="18">ROUND(C28*D28,0)</f>
        <v>0</v>
      </c>
      <c r="G28" s="86">
        <f t="shared" ref="G28" si="19">SUM(E28:F28)</f>
        <v>0</v>
      </c>
      <c r="H28" s="86">
        <f t="shared" si="3"/>
        <v>0</v>
      </c>
      <c r="I28" s="86">
        <f>ROUND(B28*$I$8,0)</f>
        <v>0</v>
      </c>
      <c r="J28" s="86">
        <f>ROUND(B28*$J$8,0)</f>
        <v>0</v>
      </c>
      <c r="K28" s="86">
        <f>ROUND((I28-(E28*6/12))*-0.35,0)</f>
        <v>0</v>
      </c>
      <c r="L28" s="86">
        <f>ROUND(((J28-E28)*-0.35)+K28,0)</f>
        <v>0</v>
      </c>
      <c r="M28" s="86">
        <f t="shared" si="4"/>
        <v>0</v>
      </c>
    </row>
    <row r="29" spans="1:13">
      <c r="B29" s="82"/>
      <c r="C29" s="82"/>
      <c r="E29" s="82"/>
      <c r="F29" s="82"/>
      <c r="G29" s="82"/>
      <c r="H29" s="72"/>
      <c r="I29" s="82"/>
      <c r="J29" s="82"/>
      <c r="K29" s="82"/>
      <c r="L29" s="82"/>
      <c r="M29" s="82"/>
    </row>
    <row r="30" spans="1:13" s="87" customFormat="1" ht="13.5" thickBot="1">
      <c r="A30" s="87" t="s">
        <v>16</v>
      </c>
      <c r="B30" s="88">
        <f>SUM(B15,B17,B22,B26,B28)</f>
        <v>5414.92</v>
      </c>
      <c r="C30" s="88">
        <f t="shared" ref="C30:M30" si="20">SUM(C15,C17,C22,C26,C28)</f>
        <v>4210</v>
      </c>
      <c r="D30" s="75"/>
      <c r="E30" s="88">
        <f t="shared" si="20"/>
        <v>109.381</v>
      </c>
      <c r="F30" s="88">
        <f t="shared" si="20"/>
        <v>85</v>
      </c>
      <c r="G30" s="88">
        <f t="shared" si="20"/>
        <v>194.381</v>
      </c>
      <c r="H30" s="88">
        <f t="shared" si="20"/>
        <v>139.69049999999999</v>
      </c>
      <c r="I30" s="88">
        <f t="shared" si="20"/>
        <v>203</v>
      </c>
      <c r="J30" s="88">
        <f t="shared" si="20"/>
        <v>391</v>
      </c>
      <c r="K30" s="88">
        <f t="shared" si="20"/>
        <v>-52</v>
      </c>
      <c r="L30" s="88">
        <f t="shared" si="20"/>
        <v>-151</v>
      </c>
      <c r="M30" s="88">
        <f t="shared" si="20"/>
        <v>-102</v>
      </c>
    </row>
    <row r="31" spans="1:13" s="87" customFormat="1">
      <c r="B31" s="89"/>
      <c r="C31" s="90"/>
      <c r="D31" s="91"/>
      <c r="E31" s="90"/>
      <c r="F31" s="90"/>
      <c r="G31" s="90"/>
      <c r="H31" s="72"/>
      <c r="I31" s="90"/>
      <c r="J31" s="90"/>
      <c r="K31" s="90"/>
      <c r="L31" s="90"/>
      <c r="M31" s="82"/>
    </row>
    <row r="32" spans="1:13">
      <c r="B32" s="82"/>
      <c r="C32" s="82"/>
      <c r="E32" s="82"/>
      <c r="F32" s="82"/>
      <c r="G32" s="82"/>
      <c r="H32" s="72"/>
      <c r="I32" s="82"/>
      <c r="J32" s="82"/>
      <c r="K32" s="82"/>
      <c r="L32" s="82"/>
      <c r="M32" s="82"/>
    </row>
    <row r="33" spans="1:13">
      <c r="A33" s="60" t="s">
        <v>17</v>
      </c>
      <c r="B33" s="85"/>
      <c r="C33" s="85"/>
      <c r="D33" s="71">
        <v>3.1099999999999999E-2</v>
      </c>
      <c r="E33" s="86">
        <f>ROUND(B33*D33,0)</f>
        <v>0</v>
      </c>
      <c r="F33" s="86">
        <f>ROUND(C33*D33,0)</f>
        <v>0</v>
      </c>
      <c r="G33" s="86">
        <f>SUM(E33:F33)</f>
        <v>0</v>
      </c>
      <c r="H33" s="86">
        <f t="shared" si="3"/>
        <v>0</v>
      </c>
      <c r="I33" s="86">
        <f>ROUND(B33*$I$6,0)</f>
        <v>0</v>
      </c>
      <c r="J33" s="86">
        <f>ROUND(B33*$J$6,0)</f>
        <v>0</v>
      </c>
      <c r="K33" s="86">
        <f>ROUND((I33-(E33*6/12))*-0.35,0)</f>
        <v>0</v>
      </c>
      <c r="L33" s="86">
        <f>ROUND(((J33-E33)*-0.35)+K33,0)</f>
        <v>0</v>
      </c>
      <c r="M33" s="86">
        <f t="shared" si="4"/>
        <v>0</v>
      </c>
    </row>
    <row r="34" spans="1:13">
      <c r="B34" s="82"/>
      <c r="C34" s="82"/>
      <c r="E34" s="82"/>
      <c r="F34" s="82"/>
      <c r="G34" s="82"/>
      <c r="H34" s="72"/>
      <c r="I34" s="82"/>
      <c r="J34" s="82"/>
      <c r="K34" s="82"/>
      <c r="L34" s="82"/>
      <c r="M34" s="82"/>
    </row>
    <row r="35" spans="1:13">
      <c r="A35" s="60" t="s">
        <v>3</v>
      </c>
      <c r="B35" s="82"/>
      <c r="C35" s="82"/>
      <c r="E35" s="82"/>
      <c r="F35" s="82"/>
      <c r="G35" s="82"/>
      <c r="H35" s="72"/>
      <c r="I35" s="82"/>
      <c r="J35" s="82"/>
      <c r="K35" s="82"/>
      <c r="L35" s="82"/>
      <c r="M35" s="82"/>
    </row>
    <row r="36" spans="1:13">
      <c r="A36" s="60" t="s">
        <v>12</v>
      </c>
      <c r="B36" s="81"/>
      <c r="C36" s="81"/>
      <c r="D36" s="71">
        <v>2.1899999999999999E-2</v>
      </c>
      <c r="E36" s="72">
        <f t="shared" ref="E36:E38" si="21">ROUND(B36*D36,0)</f>
        <v>0</v>
      </c>
      <c r="F36" s="72">
        <f t="shared" ref="F36:F38" si="22">ROUND(C36*D36,0)</f>
        <v>0</v>
      </c>
      <c r="G36" s="72">
        <f t="shared" ref="G36:G38" si="23">SUM(E36:F36)</f>
        <v>0</v>
      </c>
      <c r="H36" s="72">
        <f t="shared" si="3"/>
        <v>0</v>
      </c>
      <c r="I36" s="72">
        <f>ROUND(B36*$I$6,0)</f>
        <v>0</v>
      </c>
      <c r="J36" s="72">
        <f>ROUND(B36*$J$6,0)</f>
        <v>0</v>
      </c>
      <c r="K36" s="72">
        <f t="shared" ref="K36:K38" si="24">ROUND((I36-(E36*6/12))*-0.35,0)</f>
        <v>0</v>
      </c>
      <c r="L36" s="72">
        <f>ROUND(((J36-E36)*-0.35)+K36,0)</f>
        <v>0</v>
      </c>
      <c r="M36" s="82">
        <f t="shared" si="4"/>
        <v>0</v>
      </c>
    </row>
    <row r="37" spans="1:13">
      <c r="A37" s="60" t="s">
        <v>18</v>
      </c>
      <c r="B37" s="81"/>
      <c r="C37" s="81"/>
      <c r="D37" s="71">
        <v>2.1899999999999999E-2</v>
      </c>
      <c r="E37" s="72">
        <f t="shared" si="21"/>
        <v>0</v>
      </c>
      <c r="F37" s="72">
        <f t="shared" si="22"/>
        <v>0</v>
      </c>
      <c r="G37" s="72">
        <f t="shared" si="23"/>
        <v>0</v>
      </c>
      <c r="H37" s="72">
        <f t="shared" si="3"/>
        <v>0</v>
      </c>
      <c r="I37" s="72">
        <f>ROUND(B37*$I$6,0)</f>
        <v>0</v>
      </c>
      <c r="J37" s="72">
        <f>ROUND(B37*$J$6,0)</f>
        <v>0</v>
      </c>
      <c r="K37" s="72">
        <f t="shared" si="24"/>
        <v>0</v>
      </c>
      <c r="L37" s="72">
        <f>ROUND(((J37-E37)*-0.35)+K37,0)</f>
        <v>0</v>
      </c>
      <c r="M37" s="82">
        <f t="shared" si="4"/>
        <v>0</v>
      </c>
    </row>
    <row r="38" spans="1:13">
      <c r="A38" s="60" t="s">
        <v>13</v>
      </c>
      <c r="B38" s="81"/>
      <c r="C38" s="81"/>
      <c r="D38" s="71">
        <v>2.1899999999999999E-2</v>
      </c>
      <c r="E38" s="72">
        <f t="shared" si="21"/>
        <v>0</v>
      </c>
      <c r="F38" s="72">
        <f t="shared" si="22"/>
        <v>0</v>
      </c>
      <c r="G38" s="72">
        <f t="shared" si="23"/>
        <v>0</v>
      </c>
      <c r="H38" s="72">
        <f t="shared" si="3"/>
        <v>0</v>
      </c>
      <c r="I38" s="72">
        <f>ROUND(B38*$I$6,0)</f>
        <v>0</v>
      </c>
      <c r="J38" s="72">
        <f>ROUND(B38*$J$6,0)</f>
        <v>0</v>
      </c>
      <c r="K38" s="72">
        <f t="shared" si="24"/>
        <v>0</v>
      </c>
      <c r="L38" s="72">
        <f>ROUND(((J38-E38)*-0.35)+K38,0)</f>
        <v>0</v>
      </c>
      <c r="M38" s="82">
        <f t="shared" si="4"/>
        <v>0</v>
      </c>
    </row>
    <row r="39" spans="1:13">
      <c r="A39" s="60" t="s">
        <v>10</v>
      </c>
      <c r="B39" s="84">
        <f>SUM(B36:B38)</f>
        <v>0</v>
      </c>
      <c r="C39" s="84">
        <f t="shared" ref="C39:M39" si="25">SUM(C36:C38)</f>
        <v>0</v>
      </c>
      <c r="D39" s="70"/>
      <c r="E39" s="84">
        <f t="shared" si="25"/>
        <v>0</v>
      </c>
      <c r="F39" s="84">
        <f t="shared" si="25"/>
        <v>0</v>
      </c>
      <c r="G39" s="84">
        <f t="shared" si="25"/>
        <v>0</v>
      </c>
      <c r="H39" s="84">
        <f t="shared" si="25"/>
        <v>0</v>
      </c>
      <c r="I39" s="84">
        <f t="shared" si="25"/>
        <v>0</v>
      </c>
      <c r="J39" s="84">
        <f t="shared" si="25"/>
        <v>0</v>
      </c>
      <c r="K39" s="84">
        <f t="shared" si="25"/>
        <v>0</v>
      </c>
      <c r="L39" s="84">
        <f t="shared" si="25"/>
        <v>0</v>
      </c>
      <c r="M39" s="84">
        <f t="shared" si="25"/>
        <v>0</v>
      </c>
    </row>
    <row r="40" spans="1:13">
      <c r="B40" s="82"/>
      <c r="C40" s="82"/>
      <c r="E40" s="82"/>
      <c r="F40" s="82"/>
      <c r="G40" s="82"/>
      <c r="H40" s="72"/>
      <c r="I40" s="82"/>
      <c r="J40" s="82"/>
      <c r="K40" s="82"/>
      <c r="L40" s="82"/>
      <c r="M40" s="82"/>
    </row>
    <row r="41" spans="1:13">
      <c r="A41" s="60" t="s">
        <v>4</v>
      </c>
      <c r="B41" s="81"/>
      <c r="C41" s="81"/>
      <c r="D41" s="71">
        <v>6.0699999999999997E-2</v>
      </c>
      <c r="E41" s="72">
        <f t="shared" ref="E41:E42" si="26">ROUND(B41*D41,0)</f>
        <v>0</v>
      </c>
      <c r="F41" s="72">
        <f t="shared" ref="F41:F42" si="27">ROUND(C41*D41,0)</f>
        <v>0</v>
      </c>
      <c r="G41" s="72">
        <f t="shared" ref="G41:G42" si="28">SUM(E41:F41)</f>
        <v>0</v>
      </c>
      <c r="H41" s="72">
        <f t="shared" si="3"/>
        <v>0</v>
      </c>
      <c r="I41" s="72">
        <f>ROUND(B41*$I$7,0)</f>
        <v>0</v>
      </c>
      <c r="J41" s="72">
        <f>ROUND(B41*$J$7,0)</f>
        <v>0</v>
      </c>
      <c r="K41" s="72">
        <f t="shared" ref="K41:K42" si="29">ROUND((I41-(E41*6/12))*-0.35,0)</f>
        <v>0</v>
      </c>
      <c r="L41" s="72">
        <f>ROUND(((J41-E41)*-0.35)+K41,0)</f>
        <v>0</v>
      </c>
      <c r="M41" s="82">
        <f t="shared" si="4"/>
        <v>0</v>
      </c>
    </row>
    <row r="42" spans="1:13">
      <c r="A42" s="60" t="s">
        <v>14</v>
      </c>
      <c r="B42" s="81"/>
      <c r="C42" s="81"/>
      <c r="D42" s="71">
        <v>5.2600000000000001E-2</v>
      </c>
      <c r="E42" s="72">
        <f t="shared" si="26"/>
        <v>0</v>
      </c>
      <c r="F42" s="72">
        <f t="shared" si="27"/>
        <v>0</v>
      </c>
      <c r="G42" s="72">
        <f t="shared" si="28"/>
        <v>0</v>
      </c>
      <c r="H42" s="72">
        <f t="shared" si="3"/>
        <v>0</v>
      </c>
      <c r="I42" s="72">
        <f>ROUND(B42*$I$8,0)</f>
        <v>0</v>
      </c>
      <c r="J42" s="72">
        <f>ROUND(B42*$J$8,0)</f>
        <v>0</v>
      </c>
      <c r="K42" s="72">
        <f t="shared" si="29"/>
        <v>0</v>
      </c>
      <c r="L42" s="72">
        <f>ROUND(((J42-E42)*-0.35)+K42,0)</f>
        <v>0</v>
      </c>
      <c r="M42" s="82">
        <f t="shared" si="4"/>
        <v>0</v>
      </c>
    </row>
    <row r="43" spans="1:13">
      <c r="A43" s="60" t="s">
        <v>10</v>
      </c>
      <c r="B43" s="84">
        <f>SUM(B41:B42)</f>
        <v>0</v>
      </c>
      <c r="C43" s="84">
        <f t="shared" ref="C43:M43" si="30">SUM(C41:C42)</f>
        <v>0</v>
      </c>
      <c r="D43" s="72"/>
      <c r="E43" s="84">
        <f t="shared" si="30"/>
        <v>0</v>
      </c>
      <c r="F43" s="84">
        <f t="shared" si="30"/>
        <v>0</v>
      </c>
      <c r="G43" s="84">
        <f t="shared" si="30"/>
        <v>0</v>
      </c>
      <c r="H43" s="84">
        <f t="shared" si="30"/>
        <v>0</v>
      </c>
      <c r="I43" s="84">
        <f t="shared" si="30"/>
        <v>0</v>
      </c>
      <c r="J43" s="84">
        <f t="shared" si="30"/>
        <v>0</v>
      </c>
      <c r="K43" s="84">
        <f t="shared" si="30"/>
        <v>0</v>
      </c>
      <c r="L43" s="84">
        <f t="shared" si="30"/>
        <v>0</v>
      </c>
      <c r="M43" s="84">
        <f t="shared" si="30"/>
        <v>0</v>
      </c>
    </row>
    <row r="44" spans="1:13">
      <c r="B44" s="82"/>
      <c r="C44" s="82"/>
      <c r="D44" s="71"/>
      <c r="E44" s="82"/>
      <c r="F44" s="82"/>
      <c r="G44" s="82"/>
      <c r="H44" s="72"/>
      <c r="I44" s="82"/>
      <c r="J44" s="82"/>
      <c r="K44" s="82"/>
      <c r="L44" s="82"/>
      <c r="M44" s="82"/>
    </row>
    <row r="45" spans="1:13">
      <c r="A45" s="60" t="s">
        <v>15</v>
      </c>
      <c r="B45" s="85"/>
      <c r="C45" s="85"/>
      <c r="D45" s="71">
        <v>0.2</v>
      </c>
      <c r="E45" s="86">
        <f t="shared" ref="E45" si="31">ROUND(B45*D45,0)</f>
        <v>0</v>
      </c>
      <c r="F45" s="86">
        <f t="shared" ref="F45" si="32">ROUND(C45*D45,0)</f>
        <v>0</v>
      </c>
      <c r="G45" s="86">
        <f t="shared" ref="G45" si="33">SUM(E45:F45)</f>
        <v>0</v>
      </c>
      <c r="H45" s="86">
        <f t="shared" si="3"/>
        <v>0</v>
      </c>
      <c r="I45" s="86">
        <f>ROUND(B45*$I$8,0)</f>
        <v>0</v>
      </c>
      <c r="J45" s="86">
        <f>ROUND(B45*$J$8,0)</f>
        <v>0</v>
      </c>
      <c r="K45" s="86">
        <f>ROUND((I45-(E45*6/12))*-0.35,0)</f>
        <v>0</v>
      </c>
      <c r="L45" s="86">
        <f>ROUND(((J45-E45)*-0.35)+K45,0)</f>
        <v>0</v>
      </c>
      <c r="M45" s="86">
        <f t="shared" si="4"/>
        <v>0</v>
      </c>
    </row>
    <row r="46" spans="1:13">
      <c r="B46" s="82"/>
      <c r="C46" s="82"/>
      <c r="D46" s="71"/>
      <c r="E46" s="82"/>
      <c r="F46" s="82"/>
      <c r="G46" s="82"/>
      <c r="H46" s="72"/>
      <c r="I46" s="82"/>
      <c r="J46" s="82"/>
      <c r="K46" s="82"/>
      <c r="L46" s="82"/>
      <c r="M46" s="82"/>
    </row>
    <row r="47" spans="1:13" s="87" customFormat="1" ht="13.5" thickBot="1">
      <c r="A47" s="87" t="s">
        <v>19</v>
      </c>
      <c r="B47" s="88">
        <f>SUM(B33,B39,B43,B45)</f>
        <v>0</v>
      </c>
      <c r="C47" s="88">
        <f t="shared" ref="C47:M47" si="34">SUM(C33,C39,C43,C45)</f>
        <v>0</v>
      </c>
      <c r="D47" s="75"/>
      <c r="E47" s="88">
        <f t="shared" si="34"/>
        <v>0</v>
      </c>
      <c r="F47" s="88">
        <f t="shared" si="34"/>
        <v>0</v>
      </c>
      <c r="G47" s="88">
        <f t="shared" si="34"/>
        <v>0</v>
      </c>
      <c r="H47" s="88">
        <f t="shared" si="34"/>
        <v>0</v>
      </c>
      <c r="I47" s="88">
        <f t="shared" si="34"/>
        <v>0</v>
      </c>
      <c r="J47" s="88">
        <f t="shared" si="34"/>
        <v>0</v>
      </c>
      <c r="K47" s="88">
        <f t="shared" si="34"/>
        <v>0</v>
      </c>
      <c r="L47" s="88">
        <f t="shared" si="34"/>
        <v>0</v>
      </c>
      <c r="M47" s="88">
        <f t="shared" si="34"/>
        <v>0</v>
      </c>
    </row>
  </sheetData>
  <phoneticPr fontId="0" type="noConversion"/>
  <pageMargins left="0.25" right="0" top="0.75" bottom="0.5" header="0.5" footer="0.3"/>
  <pageSetup scale="69" orientation="landscape" r:id="rId1"/>
  <headerFooter alignWithMargins="0">
    <oddHeader>&amp;R&amp;"Times New Roman,Regular"&amp;12Exhibit No.___(KHB-7)
Page &amp;P</oddHeader>
    <oddFooter>&amp;L&amp;"Times New Roman,Regular"&amp;12&amp;F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7"/>
  <sheetViews>
    <sheetView zoomScaleNormal="100" workbookViewId="0">
      <pane xSplit="2" ySplit="11" topLeftCell="C12" activePane="bottomRight" state="frozen"/>
      <selection activeCell="C24" sqref="C24"/>
      <selection pane="topRight" activeCell="C24" sqref="C24"/>
      <selection pane="bottomLeft" activeCell="C24" sqref="C24"/>
      <selection pane="bottomRight" activeCell="C24" sqref="C24"/>
    </sheetView>
  </sheetViews>
  <sheetFormatPr defaultRowHeight="12.75"/>
  <cols>
    <col min="1" max="1" width="30.28515625" style="92" customWidth="1"/>
    <col min="2" max="2" width="11.7109375" style="92" customWidth="1"/>
    <col min="3" max="3" width="12.28515625" style="92" bestFit="1" customWidth="1"/>
    <col min="4" max="4" width="13.5703125" style="92" bestFit="1" customWidth="1"/>
    <col min="5" max="5" width="12.28515625" style="92" bestFit="1" customWidth="1"/>
    <col min="6" max="6" width="11.28515625" style="92" bestFit="1" customWidth="1"/>
    <col min="7" max="7" width="13.42578125" style="92" bestFit="1" customWidth="1"/>
    <col min="8" max="8" width="11.28515625" style="92" bestFit="1" customWidth="1"/>
    <col min="9" max="16384" width="9.140625" style="92"/>
  </cols>
  <sheetData>
    <row r="1" spans="1:14">
      <c r="A1" s="92" t="str">
        <f>+Calculation!A1</f>
        <v xml:space="preserve">AVISTA UTILITIES  </v>
      </c>
    </row>
    <row r="2" spans="1:14">
      <c r="A2" s="92" t="str">
        <f>+Calculation!A2</f>
        <v xml:space="preserve">WASHINGTON ELECTRIC RESULTS  </v>
      </c>
    </row>
    <row r="3" spans="1:14">
      <c r="A3" s="92" t="str">
        <f>+Calculation!A3</f>
        <v>TWELVE MONTHS ENDED DECEMBER 31, 2011</v>
      </c>
    </row>
    <row r="4" spans="1:14">
      <c r="A4" s="92" t="str">
        <f>+Calculation!A4</f>
        <v xml:space="preserve">(000'S OF DOLLARS)  </v>
      </c>
    </row>
    <row r="5" spans="1:14">
      <c r="A5" s="92" t="str">
        <f>+Calculation!A5</f>
        <v>Staff Adjustment 3.08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7" spans="1:14">
      <c r="A7" s="94" t="s">
        <v>37</v>
      </c>
      <c r="B7" s="95">
        <v>2012</v>
      </c>
      <c r="D7" s="96">
        <v>2012</v>
      </c>
      <c r="E7" s="96" t="s">
        <v>38</v>
      </c>
    </row>
    <row r="8" spans="1:14">
      <c r="A8" s="94" t="s">
        <v>39</v>
      </c>
      <c r="B8" s="93" t="s">
        <v>40</v>
      </c>
      <c r="D8" s="96" t="s">
        <v>41</v>
      </c>
      <c r="E8" s="96" t="s">
        <v>42</v>
      </c>
      <c r="F8" s="93"/>
      <c r="G8" s="93"/>
      <c r="I8" s="93"/>
    </row>
    <row r="9" spans="1:14">
      <c r="D9" s="96" t="s">
        <v>43</v>
      </c>
      <c r="E9" s="96" t="s">
        <v>27</v>
      </c>
      <c r="F9" s="93"/>
      <c r="G9" s="93"/>
      <c r="H9" s="93"/>
      <c r="I9" s="93"/>
    </row>
    <row r="10" spans="1:14">
      <c r="A10" s="97" t="s">
        <v>44</v>
      </c>
      <c r="C10" s="98" t="s">
        <v>45</v>
      </c>
      <c r="D10" s="96" t="s">
        <v>46</v>
      </c>
      <c r="E10" s="96" t="s">
        <v>46</v>
      </c>
      <c r="F10" s="93"/>
      <c r="G10" s="93"/>
      <c r="H10" s="93"/>
      <c r="I10" s="93"/>
    </row>
    <row r="11" spans="1:14">
      <c r="D11" s="98" t="s">
        <v>28</v>
      </c>
      <c r="E11" s="98" t="s">
        <v>28</v>
      </c>
      <c r="F11" s="99"/>
      <c r="G11" s="99"/>
      <c r="H11" s="100"/>
      <c r="I11" s="99"/>
    </row>
    <row r="12" spans="1:14" hidden="1"/>
    <row r="13" spans="1:14" ht="13.5" hidden="1">
      <c r="A13" s="101" t="s">
        <v>47</v>
      </c>
      <c r="D13" s="102">
        <v>0</v>
      </c>
      <c r="E13" s="102">
        <v>0</v>
      </c>
      <c r="F13" s="102"/>
      <c r="G13" s="103"/>
      <c r="H13" s="102"/>
      <c r="I13" s="102"/>
    </row>
    <row r="14" spans="1:14" hidden="1">
      <c r="A14" s="92" t="s">
        <v>48</v>
      </c>
      <c r="G14" s="103"/>
    </row>
    <row r="15" spans="1:14" hidden="1">
      <c r="A15" s="104" t="s">
        <v>49</v>
      </c>
      <c r="C15" s="105">
        <v>0.65239999999999998</v>
      </c>
      <c r="D15" s="102">
        <f>$C$15*D13</f>
        <v>0</v>
      </c>
      <c r="E15" s="102">
        <f>$C$15*E13</f>
        <v>0</v>
      </c>
      <c r="F15" s="102"/>
      <c r="G15" s="103"/>
      <c r="H15" s="102"/>
      <c r="I15" s="102"/>
    </row>
    <row r="16" spans="1:14" hidden="1">
      <c r="A16" s="104" t="s">
        <v>50</v>
      </c>
      <c r="C16" s="105">
        <v>0.34760000000000002</v>
      </c>
      <c r="D16" s="102">
        <f>$C$16*D13</f>
        <v>0</v>
      </c>
      <c r="E16" s="102">
        <f>$C$16*E13</f>
        <v>0</v>
      </c>
      <c r="F16" s="102"/>
      <c r="G16" s="82"/>
      <c r="H16" s="102"/>
      <c r="I16" s="102"/>
    </row>
    <row r="17" spans="1:9" hidden="1">
      <c r="G17" s="103"/>
    </row>
    <row r="18" spans="1:9" ht="25.5">
      <c r="A18" s="83" t="s">
        <v>171</v>
      </c>
      <c r="D18" s="102">
        <v>8300</v>
      </c>
      <c r="E18" s="102">
        <v>5187.5</v>
      </c>
      <c r="F18" s="102"/>
      <c r="G18" s="82"/>
      <c r="H18" s="102"/>
      <c r="I18" s="102"/>
    </row>
    <row r="19" spans="1:9">
      <c r="G19" s="103"/>
    </row>
    <row r="20" spans="1:9">
      <c r="A20" s="104" t="s">
        <v>49</v>
      </c>
      <c r="C20" s="105">
        <v>0.65239999999999998</v>
      </c>
      <c r="D20" s="102">
        <f>$C$20*D18</f>
        <v>5414.92</v>
      </c>
      <c r="E20" s="102">
        <f>$C$20*E18</f>
        <v>3384.3249999999998</v>
      </c>
      <c r="F20" s="102"/>
      <c r="G20" s="103"/>
      <c r="H20" s="102"/>
      <c r="I20" s="102"/>
    </row>
    <row r="21" spans="1:9">
      <c r="A21" s="104" t="s">
        <v>50</v>
      </c>
      <c r="C21" s="105">
        <v>0.34760000000000002</v>
      </c>
      <c r="D21" s="102">
        <f>$C$21*D18</f>
        <v>2885.0800000000004</v>
      </c>
      <c r="E21" s="102">
        <f>$C$21*E18</f>
        <v>1803.1750000000002</v>
      </c>
      <c r="F21" s="102"/>
      <c r="G21" s="103"/>
      <c r="H21" s="102"/>
      <c r="I21" s="102"/>
    </row>
    <row r="22" spans="1:9">
      <c r="G22" s="103"/>
    </row>
    <row r="23" spans="1:9" ht="13.5" hidden="1">
      <c r="A23" s="101" t="s">
        <v>51</v>
      </c>
      <c r="D23" s="102">
        <v>0</v>
      </c>
      <c r="E23" s="102">
        <v>0</v>
      </c>
      <c r="F23" s="102"/>
      <c r="G23" s="103"/>
      <c r="H23" s="102"/>
      <c r="I23" s="102"/>
    </row>
    <row r="24" spans="1:9" hidden="1">
      <c r="G24" s="103"/>
    </row>
    <row r="25" spans="1:9" hidden="1">
      <c r="A25" s="104" t="s">
        <v>49</v>
      </c>
      <c r="C25" s="105">
        <v>0.65239999999999998</v>
      </c>
      <c r="D25" s="102">
        <f>$C$25*D23</f>
        <v>0</v>
      </c>
      <c r="E25" s="102">
        <f>$C$25*E23</f>
        <v>0</v>
      </c>
      <c r="F25" s="102"/>
      <c r="G25" s="103"/>
      <c r="H25" s="102"/>
      <c r="I25" s="102"/>
    </row>
    <row r="26" spans="1:9" hidden="1">
      <c r="A26" s="104" t="s">
        <v>50</v>
      </c>
      <c r="C26" s="105">
        <v>0.34760000000000002</v>
      </c>
      <c r="D26" s="102">
        <f>$C$26*D23</f>
        <v>0</v>
      </c>
      <c r="E26" s="102">
        <f>$C$26*E23</f>
        <v>0</v>
      </c>
      <c r="F26" s="102"/>
      <c r="G26" s="103"/>
      <c r="H26" s="102"/>
      <c r="I26" s="102"/>
    </row>
    <row r="27" spans="1:9" hidden="1">
      <c r="G27" s="103"/>
    </row>
    <row r="28" spans="1:9" ht="13.5" hidden="1">
      <c r="A28" s="106" t="s">
        <v>52</v>
      </c>
      <c r="B28" s="93"/>
      <c r="C28" s="93"/>
      <c r="D28" s="102">
        <v>0</v>
      </c>
      <c r="E28" s="102">
        <v>0</v>
      </c>
      <c r="F28" s="102"/>
      <c r="G28" s="103"/>
      <c r="H28" s="102"/>
      <c r="I28" s="102"/>
    </row>
    <row r="29" spans="1:9" ht="13.5" hidden="1">
      <c r="A29" s="101"/>
      <c r="G29" s="103"/>
    </row>
    <row r="30" spans="1:9" hidden="1">
      <c r="A30" s="104" t="s">
        <v>49</v>
      </c>
      <c r="C30" s="105">
        <v>0.65239999999999998</v>
      </c>
      <c r="D30" s="102">
        <f>$C$30*D28</f>
        <v>0</v>
      </c>
      <c r="E30" s="102">
        <f>$C$30*E28</f>
        <v>0</v>
      </c>
      <c r="F30" s="102"/>
      <c r="G30" s="103"/>
      <c r="H30" s="102"/>
      <c r="I30" s="102"/>
    </row>
    <row r="31" spans="1:9" hidden="1">
      <c r="A31" s="104" t="s">
        <v>50</v>
      </c>
      <c r="C31" s="105">
        <v>0.34760000000000002</v>
      </c>
      <c r="D31" s="102">
        <f>$C$31*D28</f>
        <v>0</v>
      </c>
      <c r="E31" s="102">
        <f>$C$31*E28</f>
        <v>0</v>
      </c>
      <c r="F31" s="102"/>
      <c r="G31" s="103"/>
      <c r="H31" s="102"/>
      <c r="I31" s="102"/>
    </row>
    <row r="32" spans="1:9" hidden="1">
      <c r="G32" s="103"/>
    </row>
    <row r="33" spans="1:9" ht="13.5" hidden="1">
      <c r="A33" s="101" t="s">
        <v>53</v>
      </c>
      <c r="D33" s="102">
        <v>0</v>
      </c>
      <c r="E33" s="102">
        <v>0</v>
      </c>
      <c r="F33" s="102"/>
      <c r="G33" s="103"/>
      <c r="H33" s="102"/>
      <c r="I33" s="102"/>
    </row>
    <row r="34" spans="1:9" hidden="1">
      <c r="G34" s="103"/>
    </row>
    <row r="35" spans="1:9" ht="13.5" hidden="1">
      <c r="A35" s="101" t="s">
        <v>54</v>
      </c>
      <c r="D35" s="102">
        <v>0</v>
      </c>
      <c r="E35" s="102">
        <v>0</v>
      </c>
      <c r="F35" s="102"/>
      <c r="G35" s="103"/>
      <c r="H35" s="102"/>
      <c r="I35" s="102"/>
    </row>
    <row r="36" spans="1:9" hidden="1">
      <c r="G36" s="103"/>
    </row>
    <row r="37" spans="1:9" ht="13.5" hidden="1">
      <c r="A37" s="101"/>
      <c r="G37" s="103"/>
    </row>
    <row r="38" spans="1:9" ht="12" hidden="1" customHeight="1">
      <c r="A38" s="101" t="s">
        <v>55</v>
      </c>
      <c r="D38" s="102">
        <v>0</v>
      </c>
      <c r="E38" s="102">
        <v>0</v>
      </c>
      <c r="F38" s="102"/>
      <c r="G38" s="107"/>
      <c r="H38" s="102"/>
      <c r="I38" s="102"/>
    </row>
    <row r="39" spans="1:9" hidden="1">
      <c r="A39" s="94" t="s">
        <v>56</v>
      </c>
      <c r="G39" s="103"/>
    </row>
    <row r="40" spans="1:9" hidden="1">
      <c r="A40" s="94" t="s">
        <v>57</v>
      </c>
      <c r="D40" s="102">
        <f>D69</f>
        <v>0</v>
      </c>
      <c r="E40" s="102">
        <f>E69</f>
        <v>0</v>
      </c>
      <c r="G40" s="103"/>
    </row>
    <row r="41" spans="1:9" hidden="1">
      <c r="A41" s="94" t="s">
        <v>58</v>
      </c>
      <c r="D41" s="108">
        <f>D87</f>
        <v>0</v>
      </c>
      <c r="E41" s="108">
        <f>E87</f>
        <v>0</v>
      </c>
      <c r="G41" s="103"/>
    </row>
    <row r="42" spans="1:9" hidden="1">
      <c r="A42" s="94"/>
      <c r="D42" s="102">
        <f>SUM(D38:D41)</f>
        <v>0</v>
      </c>
      <c r="E42" s="102">
        <f>SUM(E38:E41)</f>
        <v>0</v>
      </c>
      <c r="G42" s="103"/>
    </row>
    <row r="43" spans="1:9" hidden="1">
      <c r="A43" s="104" t="s">
        <v>49</v>
      </c>
      <c r="C43" s="109">
        <v>0.63012000000000001</v>
      </c>
      <c r="D43" s="102">
        <f>$C$43*D42</f>
        <v>0</v>
      </c>
      <c r="E43" s="102">
        <f>$C$43*E42</f>
        <v>0</v>
      </c>
      <c r="F43" s="102"/>
      <c r="G43" s="103"/>
      <c r="H43" s="102"/>
      <c r="I43" s="102"/>
    </row>
    <row r="44" spans="1:9" hidden="1">
      <c r="A44" s="104" t="s">
        <v>50</v>
      </c>
      <c r="C44" s="109">
        <v>0.36987999999999999</v>
      </c>
      <c r="D44" s="102">
        <f>$C$44*D42</f>
        <v>0</v>
      </c>
      <c r="E44" s="102">
        <f>$C$44*E42</f>
        <v>0</v>
      </c>
      <c r="F44" s="102"/>
      <c r="G44" s="103"/>
      <c r="H44" s="102"/>
      <c r="I44" s="102"/>
    </row>
    <row r="45" spans="1:9" hidden="1">
      <c r="A45" s="104"/>
      <c r="C45" s="109">
        <f>SUM(C43:C44)</f>
        <v>1</v>
      </c>
      <c r="D45" s="102"/>
      <c r="E45" s="102"/>
      <c r="F45" s="102"/>
      <c r="G45" s="103"/>
      <c r="H45" s="102"/>
      <c r="I45" s="102"/>
    </row>
    <row r="46" spans="1:9" hidden="1">
      <c r="A46" s="104"/>
      <c r="C46" s="109"/>
      <c r="D46" s="102"/>
      <c r="E46" s="102"/>
      <c r="F46" s="102"/>
      <c r="G46" s="103"/>
      <c r="H46" s="102"/>
      <c r="I46" s="102"/>
    </row>
    <row r="47" spans="1:9" ht="13.5" hidden="1">
      <c r="A47" s="101" t="s">
        <v>59</v>
      </c>
      <c r="C47" s="110"/>
      <c r="D47" s="102">
        <v>0</v>
      </c>
      <c r="E47" s="102">
        <v>0</v>
      </c>
      <c r="F47" s="102"/>
      <c r="G47" s="103"/>
      <c r="H47" s="102"/>
      <c r="I47" s="102"/>
    </row>
    <row r="48" spans="1:9" hidden="1">
      <c r="A48" s="94"/>
      <c r="C48" s="110"/>
      <c r="F48" s="102"/>
      <c r="G48" s="103"/>
      <c r="H48" s="102"/>
      <c r="I48" s="102"/>
    </row>
    <row r="49" spans="1:9" hidden="1">
      <c r="A49" s="104" t="s">
        <v>49</v>
      </c>
      <c r="C49" s="109">
        <v>0.85899999999999999</v>
      </c>
      <c r="D49" s="102">
        <f>$C$49*D47</f>
        <v>0</v>
      </c>
      <c r="E49" s="102">
        <f>$C$49*E47</f>
        <v>0</v>
      </c>
      <c r="F49" s="102"/>
      <c r="G49" s="103"/>
      <c r="H49" s="102"/>
      <c r="I49" s="102"/>
    </row>
    <row r="50" spans="1:9" hidden="1">
      <c r="A50" s="104" t="s">
        <v>50</v>
      </c>
      <c r="C50" s="109">
        <v>0.14099999999999999</v>
      </c>
      <c r="D50" s="102">
        <f>$C$50*D47</f>
        <v>0</v>
      </c>
      <c r="E50" s="102">
        <f>$C$50*E47</f>
        <v>0</v>
      </c>
      <c r="F50" s="102"/>
      <c r="G50" s="103"/>
      <c r="H50" s="102"/>
      <c r="I50" s="102"/>
    </row>
    <row r="51" spans="1:9" hidden="1">
      <c r="A51" s="104"/>
      <c r="C51" s="109">
        <f>SUM(C49:C50)</f>
        <v>1</v>
      </c>
      <c r="D51" s="102"/>
      <c r="E51" s="102"/>
      <c r="F51" s="102"/>
      <c r="G51" s="103"/>
      <c r="H51" s="102"/>
      <c r="I51" s="102"/>
    </row>
    <row r="52" spans="1:9" hidden="1">
      <c r="A52" s="104"/>
      <c r="C52" s="109"/>
      <c r="D52" s="102"/>
      <c r="E52" s="102"/>
      <c r="F52" s="102"/>
      <c r="G52" s="103"/>
      <c r="H52" s="102"/>
      <c r="I52" s="102"/>
    </row>
    <row r="53" spans="1:9" ht="13.5" hidden="1">
      <c r="A53" s="101" t="s">
        <v>60</v>
      </c>
      <c r="C53" s="110"/>
      <c r="D53" s="102">
        <v>0</v>
      </c>
      <c r="E53" s="102">
        <v>0</v>
      </c>
      <c r="F53" s="102"/>
      <c r="G53" s="103"/>
      <c r="H53" s="102"/>
      <c r="I53" s="102"/>
    </row>
    <row r="54" spans="1:9" hidden="1">
      <c r="A54" s="94"/>
      <c r="C54" s="110"/>
      <c r="F54" s="102"/>
      <c r="G54" s="103"/>
      <c r="H54" s="102"/>
      <c r="I54" s="102"/>
    </row>
    <row r="55" spans="1:9" hidden="1">
      <c r="A55" s="104" t="s">
        <v>49</v>
      </c>
      <c r="C55" s="109">
        <v>0.75380000000000003</v>
      </c>
      <c r="D55" s="102">
        <f>$C$55*D53</f>
        <v>0</v>
      </c>
      <c r="E55" s="102">
        <f>$C$55*E53</f>
        <v>0</v>
      </c>
      <c r="F55" s="102"/>
      <c r="G55" s="103"/>
      <c r="H55" s="102"/>
      <c r="I55" s="102"/>
    </row>
    <row r="56" spans="1:9" hidden="1">
      <c r="A56" s="104" t="s">
        <v>50</v>
      </c>
      <c r="C56" s="109">
        <v>0.2462</v>
      </c>
      <c r="D56" s="102">
        <f>$C$56*D53</f>
        <v>0</v>
      </c>
      <c r="E56" s="102">
        <f>$C$56*E53</f>
        <v>0</v>
      </c>
      <c r="F56" s="102"/>
      <c r="G56" s="103"/>
      <c r="H56" s="102"/>
      <c r="I56" s="102"/>
    </row>
    <row r="57" spans="1:9" hidden="1">
      <c r="A57" s="104"/>
      <c r="C57" s="109">
        <f>SUM(C55:C56)</f>
        <v>1</v>
      </c>
      <c r="D57" s="102"/>
      <c r="E57" s="102"/>
      <c r="F57" s="102"/>
      <c r="G57" s="103"/>
      <c r="H57" s="102"/>
      <c r="I57" s="102"/>
    </row>
    <row r="58" spans="1:9" hidden="1">
      <c r="A58" s="104"/>
      <c r="C58" s="109"/>
      <c r="D58" s="102"/>
      <c r="E58" s="102"/>
      <c r="F58" s="102"/>
      <c r="G58" s="103"/>
      <c r="H58" s="102"/>
      <c r="I58" s="102"/>
    </row>
    <row r="59" spans="1:9" ht="13.5" hidden="1">
      <c r="A59" s="101" t="s">
        <v>61</v>
      </c>
      <c r="C59" s="110"/>
      <c r="D59" s="102">
        <v>0</v>
      </c>
      <c r="E59" s="102">
        <v>0</v>
      </c>
      <c r="F59" s="102"/>
      <c r="G59" s="103"/>
      <c r="H59" s="102"/>
      <c r="I59" s="102"/>
    </row>
    <row r="60" spans="1:9" hidden="1">
      <c r="A60" s="94"/>
      <c r="C60" s="110"/>
      <c r="F60" s="102"/>
      <c r="G60" s="103"/>
      <c r="H60" s="102"/>
      <c r="I60" s="102"/>
    </row>
    <row r="61" spans="1:9" hidden="1">
      <c r="A61" s="104" t="s">
        <v>49</v>
      </c>
      <c r="C61" s="109">
        <v>0.61029999999999995</v>
      </c>
      <c r="D61" s="102">
        <f>$C$61*D59</f>
        <v>0</v>
      </c>
      <c r="E61" s="102">
        <f>$C$61*E59</f>
        <v>0</v>
      </c>
      <c r="F61" s="102"/>
      <c r="G61" s="103"/>
      <c r="H61" s="102"/>
      <c r="I61" s="102"/>
    </row>
    <row r="62" spans="1:9" hidden="1">
      <c r="A62" s="104" t="s">
        <v>50</v>
      </c>
      <c r="C62" s="109">
        <v>0.38969999999999999</v>
      </c>
      <c r="D62" s="102">
        <f>$C$62*D59</f>
        <v>0</v>
      </c>
      <c r="E62" s="102">
        <f>$C$62*E59</f>
        <v>0</v>
      </c>
      <c r="F62" s="102"/>
      <c r="G62" s="103"/>
      <c r="H62" s="102"/>
      <c r="I62" s="102"/>
    </row>
    <row r="63" spans="1:9" hidden="1">
      <c r="A63" s="104"/>
      <c r="C63" s="109">
        <f>SUM(C61:C62)</f>
        <v>1</v>
      </c>
      <c r="D63" s="102"/>
      <c r="E63" s="102"/>
      <c r="F63" s="102"/>
      <c r="G63" s="103"/>
      <c r="H63" s="102"/>
      <c r="I63" s="102"/>
    </row>
    <row r="64" spans="1:9" hidden="1">
      <c r="A64" s="104"/>
      <c r="C64" s="109"/>
      <c r="D64" s="102"/>
      <c r="E64" s="102"/>
      <c r="F64" s="102"/>
      <c r="G64" s="103"/>
      <c r="H64" s="102"/>
      <c r="I64" s="102"/>
    </row>
    <row r="65" spans="1:9" ht="13.5" hidden="1">
      <c r="A65" s="101" t="s">
        <v>62</v>
      </c>
      <c r="C65" s="110"/>
      <c r="D65" s="102">
        <v>0</v>
      </c>
      <c r="E65" s="102">
        <v>0</v>
      </c>
      <c r="F65" s="102"/>
      <c r="G65" s="103"/>
      <c r="H65" s="102"/>
      <c r="I65" s="102"/>
    </row>
    <row r="66" spans="1:9" hidden="1">
      <c r="A66" s="94"/>
      <c r="C66" s="110"/>
      <c r="F66" s="102"/>
      <c r="G66" s="103"/>
      <c r="H66" s="102"/>
      <c r="I66" s="102"/>
    </row>
    <row r="67" spans="1:9" hidden="1">
      <c r="A67" s="104" t="s">
        <v>49</v>
      </c>
      <c r="C67" s="109">
        <v>0.60060000000000002</v>
      </c>
      <c r="D67" s="102">
        <f>$C$67*D65</f>
        <v>0</v>
      </c>
      <c r="E67" s="102">
        <f>$C$67*E65</f>
        <v>0</v>
      </c>
      <c r="F67" s="102"/>
      <c r="G67" s="103"/>
      <c r="H67" s="102"/>
      <c r="I67" s="102"/>
    </row>
    <row r="68" spans="1:9" hidden="1">
      <c r="A68" s="104" t="s">
        <v>50</v>
      </c>
      <c r="C68" s="109">
        <v>0.34339999999999998</v>
      </c>
      <c r="D68" s="102">
        <f>$C$68*D65</f>
        <v>0</v>
      </c>
      <c r="E68" s="102">
        <f>$C$68*E65</f>
        <v>0</v>
      </c>
      <c r="F68" s="102"/>
      <c r="G68" s="103"/>
      <c r="H68" s="102"/>
      <c r="I68" s="102"/>
    </row>
    <row r="69" spans="1:9" hidden="1">
      <c r="A69" s="104" t="s">
        <v>13</v>
      </c>
      <c r="C69" s="109">
        <v>5.6000000000000001E-2</v>
      </c>
      <c r="D69" s="102">
        <f>D65*C69</f>
        <v>0</v>
      </c>
      <c r="E69" s="102">
        <f>C69*E65</f>
        <v>0</v>
      </c>
      <c r="F69" s="102"/>
      <c r="G69" s="103"/>
      <c r="H69" s="102"/>
      <c r="I69" s="102"/>
    </row>
    <row r="70" spans="1:9" hidden="1">
      <c r="A70" s="104"/>
      <c r="C70" s="109">
        <f>SUM(C67:C69)</f>
        <v>1</v>
      </c>
      <c r="D70" s="102"/>
      <c r="E70" s="102"/>
      <c r="F70" s="102"/>
      <c r="G70" s="103"/>
      <c r="H70" s="102"/>
      <c r="I70" s="102"/>
    </row>
    <row r="71" spans="1:9" ht="13.5" hidden="1">
      <c r="A71" s="101" t="s">
        <v>63</v>
      </c>
      <c r="C71" s="110"/>
      <c r="D71" s="102">
        <v>0</v>
      </c>
      <c r="E71" s="102">
        <v>0</v>
      </c>
      <c r="F71" s="102"/>
      <c r="G71" s="103"/>
      <c r="H71" s="102"/>
      <c r="I71" s="102"/>
    </row>
    <row r="72" spans="1:9" hidden="1">
      <c r="A72" s="94"/>
      <c r="C72" s="110"/>
      <c r="F72" s="102"/>
      <c r="G72" s="103"/>
      <c r="H72" s="102"/>
      <c r="I72" s="102"/>
    </row>
    <row r="73" spans="1:9" hidden="1">
      <c r="A73" s="104" t="s">
        <v>49</v>
      </c>
      <c r="C73" s="109">
        <v>0.53910000000000002</v>
      </c>
      <c r="D73" s="102">
        <f>$C$73*D71</f>
        <v>0</v>
      </c>
      <c r="E73" s="102">
        <f>$C$73*E71</f>
        <v>0</v>
      </c>
      <c r="F73" s="102"/>
      <c r="G73" s="103"/>
      <c r="H73" s="102"/>
      <c r="I73" s="102"/>
    </row>
    <row r="74" spans="1:9" hidden="1">
      <c r="A74" s="104" t="s">
        <v>50</v>
      </c>
      <c r="C74" s="109">
        <v>0.46089999999999998</v>
      </c>
      <c r="D74" s="102">
        <f>$C$74*D71</f>
        <v>0</v>
      </c>
      <c r="E74" s="102">
        <f>$C$74*E71</f>
        <v>0</v>
      </c>
      <c r="F74" s="102"/>
      <c r="G74" s="103"/>
      <c r="H74" s="102"/>
      <c r="I74" s="102"/>
    </row>
    <row r="75" spans="1:9" hidden="1">
      <c r="A75" s="104"/>
      <c r="C75" s="109">
        <f>SUM(C73:C74)</f>
        <v>1</v>
      </c>
      <c r="D75" s="102"/>
      <c r="E75" s="102"/>
      <c r="F75" s="102"/>
      <c r="G75" s="103"/>
      <c r="H75" s="102"/>
      <c r="I75" s="102"/>
    </row>
    <row r="76" spans="1:9" hidden="1">
      <c r="A76" s="104"/>
      <c r="C76" s="109"/>
      <c r="D76" s="102"/>
      <c r="E76" s="102"/>
      <c r="F76" s="102"/>
      <c r="G76" s="103"/>
      <c r="H76" s="102"/>
      <c r="I76" s="102"/>
    </row>
    <row r="77" spans="1:9" ht="13.5" hidden="1">
      <c r="A77" s="101" t="s">
        <v>64</v>
      </c>
      <c r="C77" s="110"/>
      <c r="D77" s="102">
        <v>0</v>
      </c>
      <c r="E77" s="102">
        <v>0</v>
      </c>
      <c r="F77" s="102"/>
      <c r="G77" s="103"/>
      <c r="H77" s="102"/>
      <c r="I77" s="102"/>
    </row>
    <row r="78" spans="1:9" hidden="1">
      <c r="A78" s="94"/>
      <c r="C78" s="110"/>
      <c r="F78" s="102"/>
      <c r="G78" s="103"/>
      <c r="H78" s="102"/>
      <c r="I78" s="102"/>
    </row>
    <row r="79" spans="1:9" hidden="1">
      <c r="A79" s="104" t="s">
        <v>49</v>
      </c>
      <c r="C79" s="109">
        <v>0.72545000000000004</v>
      </c>
      <c r="D79" s="102">
        <f>$C$79*D77</f>
        <v>0</v>
      </c>
      <c r="E79" s="102">
        <f>$C$79*E77</f>
        <v>0</v>
      </c>
      <c r="F79" s="102"/>
      <c r="G79" s="103"/>
      <c r="H79" s="102"/>
      <c r="I79" s="102"/>
    </row>
    <row r="80" spans="1:9" hidden="1">
      <c r="A80" s="104" t="s">
        <v>50</v>
      </c>
      <c r="C80" s="109">
        <f>1-C79</f>
        <v>0.27454999999999996</v>
      </c>
      <c r="D80" s="102">
        <f>$C$80*D77</f>
        <v>0</v>
      </c>
      <c r="E80" s="102">
        <f>$C$80*E77</f>
        <v>0</v>
      </c>
      <c r="F80" s="102"/>
      <c r="G80" s="103"/>
      <c r="H80" s="102"/>
      <c r="I80" s="102"/>
    </row>
    <row r="81" spans="1:9" hidden="1">
      <c r="A81" s="104"/>
      <c r="C81" s="109">
        <f>SUM(C79:C80)</f>
        <v>1</v>
      </c>
      <c r="D81" s="102"/>
      <c r="E81" s="102"/>
      <c r="F81" s="102"/>
      <c r="G81" s="103"/>
      <c r="H81" s="102"/>
      <c r="I81" s="102"/>
    </row>
    <row r="82" spans="1:9" hidden="1">
      <c r="A82" s="104"/>
      <c r="C82" s="109"/>
      <c r="D82" s="102"/>
      <c r="E82" s="102"/>
      <c r="F82" s="102"/>
      <c r="G82" s="103"/>
      <c r="H82" s="102"/>
      <c r="I82" s="102"/>
    </row>
    <row r="83" spans="1:9" ht="13.5" hidden="1">
      <c r="A83" s="101" t="s">
        <v>65</v>
      </c>
      <c r="C83" s="110"/>
      <c r="D83" s="102">
        <v>0</v>
      </c>
      <c r="E83" s="102">
        <v>0</v>
      </c>
      <c r="F83" s="102"/>
      <c r="G83" s="103"/>
      <c r="H83" s="102"/>
      <c r="I83" s="102"/>
    </row>
    <row r="84" spans="1:9" hidden="1">
      <c r="A84" s="94"/>
      <c r="C84" s="110"/>
      <c r="F84" s="102"/>
      <c r="G84" s="103"/>
      <c r="H84" s="102"/>
      <c r="I84" s="102"/>
    </row>
    <row r="85" spans="1:9" hidden="1">
      <c r="A85" s="104" t="s">
        <v>49</v>
      </c>
      <c r="C85" s="109">
        <v>0.1321</v>
      </c>
      <c r="D85" s="102">
        <f>$C$85*D83</f>
        <v>0</v>
      </c>
      <c r="E85" s="102">
        <f>$C$85*E83</f>
        <v>0</v>
      </c>
      <c r="F85" s="102"/>
      <c r="G85" s="103"/>
      <c r="H85" s="102"/>
      <c r="I85" s="102"/>
    </row>
    <row r="86" spans="1:9" hidden="1">
      <c r="A86" s="104" t="s">
        <v>50</v>
      </c>
      <c r="C86" s="109">
        <v>0.52229999999999999</v>
      </c>
      <c r="D86" s="102">
        <f>$C$86*D83</f>
        <v>0</v>
      </c>
      <c r="E86" s="102">
        <f>$C$86*E83</f>
        <v>0</v>
      </c>
      <c r="F86" s="102"/>
      <c r="G86" s="103"/>
      <c r="H86" s="102"/>
      <c r="I86" s="102"/>
    </row>
    <row r="87" spans="1:9" hidden="1">
      <c r="A87" s="104" t="s">
        <v>13</v>
      </c>
      <c r="C87" s="109">
        <v>0.34560000000000002</v>
      </c>
      <c r="D87" s="102">
        <f>C87*D83</f>
        <v>0</v>
      </c>
      <c r="E87" s="102">
        <f>C87*E83</f>
        <v>0</v>
      </c>
      <c r="F87" s="102"/>
      <c r="G87" s="103"/>
      <c r="H87" s="102"/>
      <c r="I87" s="102"/>
    </row>
    <row r="88" spans="1:9" hidden="1">
      <c r="C88" s="111">
        <f>SUM(C85:C87)</f>
        <v>1</v>
      </c>
      <c r="G88" s="103"/>
    </row>
    <row r="89" spans="1:9" hidden="1">
      <c r="C89" s="111"/>
      <c r="G89" s="103"/>
    </row>
    <row r="90" spans="1:9" ht="13.5" hidden="1">
      <c r="A90" s="101" t="s">
        <v>66</v>
      </c>
      <c r="C90" s="110"/>
      <c r="D90" s="102">
        <v>0</v>
      </c>
      <c r="E90" s="102">
        <v>0</v>
      </c>
      <c r="G90" s="103"/>
    </row>
    <row r="91" spans="1:9" hidden="1">
      <c r="A91" s="94"/>
      <c r="C91" s="110"/>
      <c r="G91" s="103"/>
    </row>
    <row r="92" spans="1:9" hidden="1">
      <c r="A92" s="104" t="s">
        <v>49</v>
      </c>
      <c r="C92" s="109">
        <v>0.42249999999999999</v>
      </c>
      <c r="D92" s="102">
        <f>$C$92*D90</f>
        <v>0</v>
      </c>
      <c r="E92" s="102">
        <f>$C$92*E90</f>
        <v>0</v>
      </c>
      <c r="G92" s="103"/>
    </row>
    <row r="93" spans="1:9" hidden="1">
      <c r="A93" s="104" t="s">
        <v>50</v>
      </c>
      <c r="C93" s="109">
        <f>1-C92</f>
        <v>0.57750000000000001</v>
      </c>
      <c r="D93" s="102">
        <f>$C$93*D90</f>
        <v>0</v>
      </c>
      <c r="E93" s="102">
        <f>$C$93*E90</f>
        <v>0</v>
      </c>
      <c r="G93" s="103"/>
    </row>
    <row r="94" spans="1:9" hidden="1">
      <c r="A94" s="104" t="s">
        <v>13</v>
      </c>
      <c r="C94" s="109">
        <v>0</v>
      </c>
      <c r="D94" s="102">
        <f>C94*D90</f>
        <v>0</v>
      </c>
      <c r="E94" s="102">
        <f>D94*E90</f>
        <v>0</v>
      </c>
      <c r="G94" s="103"/>
    </row>
    <row r="95" spans="1:9" hidden="1">
      <c r="C95" s="111">
        <f>SUM(C92:C94)</f>
        <v>1</v>
      </c>
      <c r="G95" s="103"/>
    </row>
    <row r="96" spans="1:9" hidden="1">
      <c r="C96" s="111"/>
      <c r="G96" s="103"/>
    </row>
    <row r="97" spans="1:9" ht="13.5" hidden="1">
      <c r="A97" s="112" t="s">
        <v>67</v>
      </c>
      <c r="D97" s="102">
        <v>0</v>
      </c>
      <c r="E97" s="102">
        <v>0</v>
      </c>
      <c r="F97" s="102"/>
      <c r="G97" s="103"/>
      <c r="H97" s="102"/>
      <c r="I97" s="102"/>
    </row>
    <row r="98" spans="1:9" ht="13.5" hidden="1">
      <c r="A98" s="101"/>
      <c r="G98" s="103"/>
    </row>
    <row r="99" spans="1:9" hidden="1">
      <c r="A99" s="104" t="s">
        <v>68</v>
      </c>
      <c r="C99" s="113">
        <v>0.72382999999999997</v>
      </c>
      <c r="D99" s="102">
        <f>$C$99*D97</f>
        <v>0</v>
      </c>
      <c r="E99" s="102">
        <f>$C$99*E97</f>
        <v>0</v>
      </c>
      <c r="F99" s="102"/>
      <c r="G99" s="103"/>
      <c r="H99" s="102"/>
      <c r="I99" s="102"/>
    </row>
    <row r="100" spans="1:9" hidden="1">
      <c r="A100" s="104" t="s">
        <v>69</v>
      </c>
      <c r="C100" s="113">
        <v>0.19477</v>
      </c>
      <c r="D100" s="102">
        <f>$C$100*D97</f>
        <v>0</v>
      </c>
      <c r="E100" s="102">
        <f>$C$100*E97</f>
        <v>0</v>
      </c>
      <c r="F100" s="102"/>
      <c r="G100" s="103"/>
      <c r="H100" s="102"/>
      <c r="I100" s="102"/>
    </row>
    <row r="101" spans="1:9" hidden="1">
      <c r="A101" s="104" t="s">
        <v>70</v>
      </c>
      <c r="C101" s="113">
        <v>8.14E-2</v>
      </c>
      <c r="D101" s="102">
        <f>$C$101*D97</f>
        <v>0</v>
      </c>
      <c r="E101" s="102">
        <f>$C$101*E97</f>
        <v>0</v>
      </c>
      <c r="F101" s="102"/>
      <c r="G101" s="103"/>
      <c r="H101" s="102"/>
      <c r="I101" s="102"/>
    </row>
    <row r="102" spans="1:9" hidden="1">
      <c r="A102" s="104"/>
      <c r="C102" s="114"/>
      <c r="G102" s="103"/>
    </row>
    <row r="103" spans="1:9" hidden="1">
      <c r="A103" s="104" t="s">
        <v>49</v>
      </c>
      <c r="C103" s="113">
        <v>0.67029000000000005</v>
      </c>
      <c r="D103" s="102">
        <f>$C$103*D99</f>
        <v>0</v>
      </c>
      <c r="E103" s="102">
        <f>$C$103*E99</f>
        <v>0</v>
      </c>
      <c r="F103" s="102"/>
      <c r="G103" s="103"/>
      <c r="H103" s="102"/>
      <c r="I103" s="102"/>
    </row>
    <row r="104" spans="1:9" hidden="1">
      <c r="A104" s="104" t="s">
        <v>50</v>
      </c>
      <c r="C104" s="113">
        <v>0.32971</v>
      </c>
      <c r="D104" s="102">
        <f>$C$104*D99</f>
        <v>0</v>
      </c>
      <c r="E104" s="102">
        <f>$C$104*E99</f>
        <v>0</v>
      </c>
      <c r="F104" s="102"/>
      <c r="G104" s="103"/>
      <c r="H104" s="102"/>
      <c r="I104" s="102"/>
    </row>
    <row r="105" spans="1:9" hidden="1">
      <c r="C105" s="114"/>
      <c r="G105" s="103"/>
    </row>
    <row r="106" spans="1:9" hidden="1">
      <c r="A106" s="104" t="s">
        <v>71</v>
      </c>
      <c r="C106" s="113">
        <v>0.67586999999999997</v>
      </c>
      <c r="D106" s="102">
        <f>$C$106*D100</f>
        <v>0</v>
      </c>
      <c r="E106" s="102">
        <f>$C$106*E100</f>
        <v>0</v>
      </c>
      <c r="F106" s="102"/>
      <c r="G106" s="103"/>
      <c r="H106" s="102"/>
      <c r="I106" s="102"/>
    </row>
    <row r="107" spans="1:9" hidden="1">
      <c r="A107" s="104" t="s">
        <v>72</v>
      </c>
      <c r="C107" s="113">
        <v>0.32412999999999997</v>
      </c>
      <c r="D107" s="102">
        <f>$C$107*D100</f>
        <v>0</v>
      </c>
      <c r="E107" s="102">
        <f>$C$107*E100</f>
        <v>0</v>
      </c>
      <c r="F107" s="102"/>
      <c r="G107" s="103"/>
      <c r="H107" s="102"/>
      <c r="I107" s="102"/>
    </row>
    <row r="108" spans="1:9" hidden="1">
      <c r="A108" s="104" t="s">
        <v>73</v>
      </c>
      <c r="C108" s="92" t="s">
        <v>70</v>
      </c>
      <c r="D108" s="102">
        <f>D101</f>
        <v>0</v>
      </c>
      <c r="E108" s="102">
        <f>E101</f>
        <v>0</v>
      </c>
      <c r="F108" s="102"/>
      <c r="G108" s="103"/>
      <c r="H108" s="102"/>
      <c r="I108" s="102"/>
    </row>
    <row r="109" spans="1:9" hidden="1">
      <c r="G109" s="103"/>
    </row>
    <row r="110" spans="1:9" hidden="1">
      <c r="G110" s="103"/>
    </row>
    <row r="111" spans="1:9" ht="13.5" hidden="1">
      <c r="A111" s="115" t="s">
        <v>74</v>
      </c>
      <c r="D111" s="102">
        <v>0</v>
      </c>
      <c r="E111" s="102">
        <v>0</v>
      </c>
      <c r="F111" s="102"/>
      <c r="G111" s="103"/>
      <c r="H111" s="102"/>
      <c r="I111" s="102"/>
    </row>
    <row r="112" spans="1:9" hidden="1">
      <c r="G112" s="103"/>
    </row>
    <row r="113" spans="1:9" hidden="1">
      <c r="A113" s="104" t="s">
        <v>68</v>
      </c>
      <c r="C113" s="113">
        <v>0.72382999999999997</v>
      </c>
      <c r="D113" s="102">
        <f>$C$113*D111</f>
        <v>0</v>
      </c>
      <c r="E113" s="102">
        <f>$C$113*E111</f>
        <v>0</v>
      </c>
      <c r="F113" s="102"/>
      <c r="G113" s="103"/>
      <c r="H113" s="102"/>
      <c r="I113" s="102"/>
    </row>
    <row r="114" spans="1:9" hidden="1">
      <c r="A114" s="104" t="s">
        <v>69</v>
      </c>
      <c r="C114" s="113">
        <v>0.19477</v>
      </c>
      <c r="D114" s="102">
        <f>$C$114*D111</f>
        <v>0</v>
      </c>
      <c r="E114" s="102">
        <f>$C$114*E111</f>
        <v>0</v>
      </c>
      <c r="F114" s="102"/>
      <c r="G114" s="103"/>
      <c r="H114" s="102"/>
      <c r="I114" s="102"/>
    </row>
    <row r="115" spans="1:9" hidden="1">
      <c r="A115" s="104" t="s">
        <v>70</v>
      </c>
      <c r="C115" s="113">
        <v>8.14E-2</v>
      </c>
      <c r="D115" s="102">
        <f>$C$115*D111</f>
        <v>0</v>
      </c>
      <c r="E115" s="102">
        <f>$C$115*E111</f>
        <v>0</v>
      </c>
      <c r="F115" s="102"/>
      <c r="G115" s="103"/>
      <c r="H115" s="102"/>
      <c r="I115" s="102"/>
    </row>
    <row r="116" spans="1:9" hidden="1">
      <c r="A116" s="104"/>
      <c r="C116" s="114"/>
      <c r="G116" s="103"/>
    </row>
    <row r="117" spans="1:9" hidden="1">
      <c r="A117" s="104" t="s">
        <v>49</v>
      </c>
      <c r="C117" s="113">
        <v>0.67029000000000005</v>
      </c>
      <c r="D117" s="102">
        <f>$C$117*D113</f>
        <v>0</v>
      </c>
      <c r="E117" s="102">
        <f>$C$117*E113</f>
        <v>0</v>
      </c>
      <c r="F117" s="102"/>
      <c r="G117" s="103"/>
      <c r="H117" s="102"/>
      <c r="I117" s="102"/>
    </row>
    <row r="118" spans="1:9" hidden="1">
      <c r="A118" s="104" t="s">
        <v>50</v>
      </c>
      <c r="C118" s="113">
        <v>0.32971</v>
      </c>
      <c r="D118" s="102">
        <f>$C$118*D113</f>
        <v>0</v>
      </c>
      <c r="E118" s="102">
        <f>$C$118*E113</f>
        <v>0</v>
      </c>
      <c r="F118" s="102"/>
      <c r="G118" s="103"/>
      <c r="H118" s="102"/>
      <c r="I118" s="102"/>
    </row>
    <row r="119" spans="1:9" hidden="1">
      <c r="C119" s="114"/>
      <c r="G119" s="103"/>
    </row>
    <row r="120" spans="1:9" hidden="1">
      <c r="A120" s="104" t="s">
        <v>71</v>
      </c>
      <c r="C120" s="113">
        <v>0.67586999999999997</v>
      </c>
      <c r="D120" s="102">
        <f>$C$120*D114</f>
        <v>0</v>
      </c>
      <c r="E120" s="102">
        <f>$C$120*E114</f>
        <v>0</v>
      </c>
      <c r="F120" s="102"/>
      <c r="G120" s="103"/>
      <c r="H120" s="102"/>
      <c r="I120" s="102"/>
    </row>
    <row r="121" spans="1:9" hidden="1">
      <c r="A121" s="104" t="s">
        <v>72</v>
      </c>
      <c r="C121" s="113">
        <v>0.32412999999999997</v>
      </c>
      <c r="D121" s="102">
        <f>$C$121*D114</f>
        <v>0</v>
      </c>
      <c r="E121" s="102">
        <f>$C$121*E114</f>
        <v>0</v>
      </c>
      <c r="F121" s="102"/>
      <c r="G121" s="103"/>
      <c r="H121" s="102"/>
      <c r="I121" s="102"/>
    </row>
    <row r="122" spans="1:9" hidden="1">
      <c r="A122" s="104" t="s">
        <v>73</v>
      </c>
      <c r="C122" s="92" t="str">
        <f>A115</f>
        <v>Gas South</v>
      </c>
      <c r="D122" s="102">
        <f>D115</f>
        <v>0</v>
      </c>
      <c r="E122" s="102">
        <f>E115</f>
        <v>0</v>
      </c>
      <c r="F122" s="102"/>
      <c r="G122" s="103"/>
      <c r="H122" s="102"/>
      <c r="I122" s="102"/>
    </row>
    <row r="123" spans="1:9" ht="13.5" hidden="1">
      <c r="A123" s="116"/>
      <c r="G123" s="103"/>
    </row>
    <row r="124" spans="1:9" ht="13.5" hidden="1">
      <c r="A124" s="101"/>
      <c r="G124" s="103"/>
    </row>
    <row r="125" spans="1:9" ht="13.5" hidden="1">
      <c r="A125" s="117" t="s">
        <v>75</v>
      </c>
      <c r="D125" s="102">
        <v>0</v>
      </c>
      <c r="E125" s="102">
        <v>0</v>
      </c>
      <c r="F125" s="102"/>
      <c r="G125" s="103"/>
      <c r="H125" s="102"/>
      <c r="I125" s="102"/>
    </row>
    <row r="126" spans="1:9" hidden="1">
      <c r="G126" s="103"/>
    </row>
    <row r="127" spans="1:9" hidden="1">
      <c r="A127" s="104" t="s">
        <v>68</v>
      </c>
      <c r="C127" s="113">
        <v>0.72382999999999997</v>
      </c>
      <c r="D127" s="102">
        <f>$C$127*D125</f>
        <v>0</v>
      </c>
      <c r="E127" s="102">
        <f>$C$127*E125</f>
        <v>0</v>
      </c>
      <c r="F127" s="102"/>
      <c r="G127" s="103"/>
      <c r="H127" s="102"/>
      <c r="I127" s="102"/>
    </row>
    <row r="128" spans="1:9" hidden="1">
      <c r="A128" s="104" t="s">
        <v>69</v>
      </c>
      <c r="C128" s="113">
        <v>0.19477</v>
      </c>
      <c r="D128" s="102">
        <f>$C$128*D125</f>
        <v>0</v>
      </c>
      <c r="E128" s="102">
        <f>$C$128*E125</f>
        <v>0</v>
      </c>
      <c r="F128" s="102"/>
      <c r="G128" s="103"/>
      <c r="H128" s="102"/>
      <c r="I128" s="102"/>
    </row>
    <row r="129" spans="1:9" hidden="1">
      <c r="A129" s="104" t="s">
        <v>70</v>
      </c>
      <c r="C129" s="113">
        <v>8.14E-2</v>
      </c>
      <c r="D129" s="102">
        <f>$C$129*D125</f>
        <v>0</v>
      </c>
      <c r="E129" s="102">
        <f>$C$129*E125</f>
        <v>0</v>
      </c>
      <c r="F129" s="102"/>
      <c r="G129" s="103"/>
      <c r="H129" s="102"/>
      <c r="I129" s="102"/>
    </row>
    <row r="130" spans="1:9" hidden="1">
      <c r="A130" s="104"/>
      <c r="C130" s="114"/>
      <c r="G130" s="103"/>
    </row>
    <row r="131" spans="1:9" hidden="1">
      <c r="A131" s="104" t="s">
        <v>49</v>
      </c>
      <c r="C131" s="113">
        <v>0.67029000000000005</v>
      </c>
      <c r="D131" s="102">
        <f>$C$131*D127</f>
        <v>0</v>
      </c>
      <c r="E131" s="102">
        <f>$C$131*E127</f>
        <v>0</v>
      </c>
      <c r="F131" s="102"/>
      <c r="G131" s="103"/>
      <c r="H131" s="102"/>
      <c r="I131" s="102"/>
    </row>
    <row r="132" spans="1:9" hidden="1">
      <c r="A132" s="104" t="s">
        <v>50</v>
      </c>
      <c r="C132" s="113">
        <v>0.32971</v>
      </c>
      <c r="D132" s="102">
        <f>$C$132*D127</f>
        <v>0</v>
      </c>
      <c r="E132" s="102">
        <f>$C$132*E127</f>
        <v>0</v>
      </c>
      <c r="F132" s="102"/>
      <c r="G132" s="103"/>
      <c r="H132" s="102"/>
      <c r="I132" s="102"/>
    </row>
    <row r="133" spans="1:9" hidden="1">
      <c r="C133" s="114"/>
      <c r="G133" s="103"/>
    </row>
    <row r="134" spans="1:9" hidden="1">
      <c r="A134" s="104" t="s">
        <v>71</v>
      </c>
      <c r="C134" s="113">
        <v>0.67586999999999997</v>
      </c>
      <c r="D134" s="102">
        <f>$C$134*D128</f>
        <v>0</v>
      </c>
      <c r="E134" s="102">
        <f>$C$134*E128</f>
        <v>0</v>
      </c>
      <c r="F134" s="102"/>
      <c r="G134" s="103"/>
      <c r="H134" s="102"/>
      <c r="I134" s="102"/>
    </row>
    <row r="135" spans="1:9" hidden="1">
      <c r="A135" s="104" t="s">
        <v>72</v>
      </c>
      <c r="C135" s="113">
        <v>0.32412999999999997</v>
      </c>
      <c r="D135" s="102">
        <f>$C$135*D128</f>
        <v>0</v>
      </c>
      <c r="E135" s="102">
        <f>$C$135*E128</f>
        <v>0</v>
      </c>
      <c r="F135" s="102"/>
      <c r="G135" s="103"/>
      <c r="H135" s="102"/>
      <c r="I135" s="102"/>
    </row>
    <row r="136" spans="1:9" hidden="1">
      <c r="A136" s="104" t="s">
        <v>73</v>
      </c>
      <c r="C136" s="92" t="s">
        <v>70</v>
      </c>
      <c r="D136" s="102">
        <f>D129</f>
        <v>0</v>
      </c>
      <c r="E136" s="102">
        <f>E129</f>
        <v>0</v>
      </c>
      <c r="F136" s="102"/>
      <c r="G136" s="118"/>
      <c r="H136" s="118"/>
      <c r="I136" s="102"/>
    </row>
    <row r="137" spans="1:9" hidden="1">
      <c r="A137" s="104"/>
      <c r="D137" s="102"/>
      <c r="E137" s="102"/>
      <c r="F137" s="102"/>
      <c r="G137" s="118"/>
      <c r="H137" s="118"/>
      <c r="I137" s="102"/>
    </row>
    <row r="138" spans="1:9" hidden="1">
      <c r="A138" s="104"/>
      <c r="D138" s="102"/>
      <c r="E138" s="102"/>
      <c r="F138" s="102"/>
      <c r="G138" s="118"/>
      <c r="H138" s="118"/>
      <c r="I138" s="102"/>
    </row>
    <row r="139" spans="1:9" ht="13.5" hidden="1">
      <c r="A139" s="117" t="s">
        <v>76</v>
      </c>
      <c r="D139" s="102">
        <v>0</v>
      </c>
      <c r="E139" s="102">
        <v>0</v>
      </c>
      <c r="F139" s="102"/>
      <c r="G139" s="118"/>
      <c r="H139" s="118"/>
      <c r="I139" s="102"/>
    </row>
    <row r="140" spans="1:9" hidden="1">
      <c r="F140" s="102"/>
      <c r="G140" s="118"/>
      <c r="H140" s="118"/>
      <c r="I140" s="102"/>
    </row>
    <row r="141" spans="1:9" hidden="1">
      <c r="A141" s="104" t="s">
        <v>68</v>
      </c>
      <c r="C141" s="113">
        <v>0.79074999999999995</v>
      </c>
      <c r="D141" s="102">
        <f>$C$127*D139</f>
        <v>0</v>
      </c>
      <c r="E141" s="102">
        <f>$C$127*E139</f>
        <v>0</v>
      </c>
      <c r="F141" s="102"/>
      <c r="G141" s="118"/>
      <c r="H141" s="118"/>
      <c r="I141" s="102"/>
    </row>
    <row r="142" spans="1:9" hidden="1">
      <c r="A142" s="104" t="s">
        <v>69</v>
      </c>
      <c r="C142" s="113">
        <v>0.20924999999999999</v>
      </c>
      <c r="D142" s="102">
        <f>$C$128*D139</f>
        <v>0</v>
      </c>
      <c r="E142" s="102">
        <f>$C$128*E139</f>
        <v>0</v>
      </c>
      <c r="F142" s="102"/>
      <c r="G142" s="118"/>
      <c r="H142" s="118"/>
      <c r="I142" s="102"/>
    </row>
    <row r="143" spans="1:9" hidden="1">
      <c r="A143" s="104" t="s">
        <v>70</v>
      </c>
      <c r="C143" s="113">
        <v>0</v>
      </c>
      <c r="D143" s="102">
        <f>$C$129*D139</f>
        <v>0</v>
      </c>
      <c r="E143" s="102">
        <f>$C$129*E139</f>
        <v>0</v>
      </c>
      <c r="F143" s="102"/>
      <c r="G143" s="118"/>
      <c r="H143" s="118"/>
      <c r="I143" s="102"/>
    </row>
    <row r="144" spans="1:9" hidden="1">
      <c r="A144" s="104"/>
      <c r="C144" s="114"/>
      <c r="F144" s="102"/>
      <c r="G144" s="118"/>
      <c r="H144" s="118"/>
      <c r="I144" s="102"/>
    </row>
    <row r="145" spans="1:9" hidden="1">
      <c r="A145" s="104" t="s">
        <v>49</v>
      </c>
      <c r="C145" s="113">
        <v>0.67029000000000005</v>
      </c>
      <c r="D145" s="102">
        <f>$C$131*D141</f>
        <v>0</v>
      </c>
      <c r="E145" s="102">
        <f>$C$131*E141</f>
        <v>0</v>
      </c>
      <c r="F145" s="102"/>
      <c r="G145" s="118"/>
      <c r="H145" s="118"/>
      <c r="I145" s="102"/>
    </row>
    <row r="146" spans="1:9" hidden="1">
      <c r="A146" s="104" t="s">
        <v>50</v>
      </c>
      <c r="C146" s="113">
        <v>0.32971</v>
      </c>
      <c r="D146" s="102">
        <f>$C$132*D141</f>
        <v>0</v>
      </c>
      <c r="E146" s="102">
        <f>$C$132*E141</f>
        <v>0</v>
      </c>
      <c r="F146" s="102"/>
      <c r="G146" s="118"/>
      <c r="H146" s="118"/>
      <c r="I146" s="102"/>
    </row>
    <row r="147" spans="1:9" hidden="1">
      <c r="C147" s="114"/>
      <c r="F147" s="102"/>
      <c r="G147" s="118"/>
      <c r="H147" s="118"/>
      <c r="I147" s="102"/>
    </row>
    <row r="148" spans="1:9" hidden="1">
      <c r="A148" s="104" t="s">
        <v>71</v>
      </c>
      <c r="C148" s="113">
        <v>0.67586999999999997</v>
      </c>
      <c r="D148" s="102">
        <f>$C$134*D142</f>
        <v>0</v>
      </c>
      <c r="E148" s="102">
        <f>$C$134*E142</f>
        <v>0</v>
      </c>
      <c r="F148" s="102"/>
      <c r="G148" s="118"/>
      <c r="H148" s="118"/>
      <c r="I148" s="102"/>
    </row>
    <row r="149" spans="1:9" hidden="1">
      <c r="A149" s="104" t="s">
        <v>72</v>
      </c>
      <c r="C149" s="113">
        <v>0.32412999999999997</v>
      </c>
      <c r="D149" s="102">
        <f>$C$135*D142</f>
        <v>0</v>
      </c>
      <c r="E149" s="102">
        <f>$C$135*E142</f>
        <v>0</v>
      </c>
      <c r="F149" s="102"/>
      <c r="G149" s="118"/>
      <c r="H149" s="118"/>
      <c r="I149" s="102"/>
    </row>
    <row r="150" spans="1:9" hidden="1">
      <c r="A150" s="104" t="s">
        <v>73</v>
      </c>
      <c r="C150" s="92" t="s">
        <v>70</v>
      </c>
      <c r="D150" s="102">
        <f>D143</f>
        <v>0</v>
      </c>
      <c r="E150" s="102">
        <f>E143</f>
        <v>0</v>
      </c>
      <c r="F150" s="102"/>
      <c r="G150" s="118"/>
      <c r="H150" s="118"/>
      <c r="I150" s="102"/>
    </row>
    <row r="151" spans="1:9" hidden="1">
      <c r="A151" s="104"/>
      <c r="D151" s="102"/>
      <c r="E151" s="102"/>
      <c r="F151" s="102"/>
      <c r="G151" s="118"/>
      <c r="H151" s="118"/>
      <c r="I151" s="102"/>
    </row>
    <row r="152" spans="1:9" hidden="1">
      <c r="D152" s="102"/>
      <c r="G152" s="103"/>
    </row>
    <row r="153" spans="1:9" hidden="1">
      <c r="G153" s="103"/>
    </row>
    <row r="154" spans="1:9" ht="13.5" hidden="1">
      <c r="A154" s="117" t="s">
        <v>77</v>
      </c>
      <c r="D154" s="102">
        <v>0</v>
      </c>
      <c r="E154" s="102">
        <v>0</v>
      </c>
      <c r="F154" s="102"/>
      <c r="G154" s="103"/>
      <c r="H154" s="102"/>
      <c r="I154" s="102"/>
    </row>
    <row r="155" spans="1:9" hidden="1">
      <c r="G155" s="103"/>
    </row>
    <row r="156" spans="1:9" hidden="1">
      <c r="A156" s="104" t="s">
        <v>71</v>
      </c>
      <c r="C156" s="119">
        <v>0.5</v>
      </c>
      <c r="D156" s="102">
        <f>$C$156*D154</f>
        <v>0</v>
      </c>
      <c r="E156" s="102">
        <f>$C$156*E154</f>
        <v>0</v>
      </c>
      <c r="F156" s="102"/>
      <c r="G156" s="103"/>
      <c r="H156" s="102"/>
      <c r="I156" s="102"/>
    </row>
    <row r="157" spans="1:9" hidden="1">
      <c r="A157" s="104" t="s">
        <v>72</v>
      </c>
      <c r="C157" s="119">
        <v>0.25</v>
      </c>
      <c r="D157" s="102">
        <f>$C$157*D154</f>
        <v>0</v>
      </c>
      <c r="E157" s="102">
        <f>$C$157*E154</f>
        <v>0</v>
      </c>
      <c r="F157" s="102"/>
      <c r="G157" s="103"/>
      <c r="H157" s="102"/>
      <c r="I157" s="102"/>
    </row>
    <row r="158" spans="1:9" hidden="1">
      <c r="A158" s="104" t="s">
        <v>73</v>
      </c>
      <c r="C158" s="119">
        <v>0.25</v>
      </c>
      <c r="D158" s="102">
        <f>$C$158*D154</f>
        <v>0</v>
      </c>
      <c r="E158" s="102">
        <f>$C$158*E154</f>
        <v>0</v>
      </c>
      <c r="F158" s="102"/>
      <c r="G158" s="103"/>
      <c r="H158" s="120"/>
      <c r="I158" s="102"/>
    </row>
    <row r="159" spans="1:9" hidden="1">
      <c r="C159" s="121">
        <f>SUM(C156:C158)</f>
        <v>1</v>
      </c>
      <c r="G159" s="103"/>
      <c r="H159" s="120"/>
    </row>
    <row r="160" spans="1:9" hidden="1">
      <c r="G160" s="103"/>
      <c r="H160" s="120"/>
    </row>
    <row r="161" spans="1:9" ht="13.5" hidden="1">
      <c r="A161" s="122" t="s">
        <v>78</v>
      </c>
      <c r="D161" s="102">
        <v>0</v>
      </c>
      <c r="E161" s="102">
        <v>0</v>
      </c>
      <c r="F161" s="102"/>
      <c r="G161" s="103"/>
      <c r="H161" s="120"/>
      <c r="I161" s="102"/>
    </row>
    <row r="162" spans="1:9" hidden="1">
      <c r="G162" s="103"/>
      <c r="H162" s="102"/>
    </row>
    <row r="163" spans="1:9" hidden="1">
      <c r="G163" s="103"/>
      <c r="H163" s="120"/>
    </row>
    <row r="164" spans="1:9" ht="13.5" hidden="1">
      <c r="A164" s="122" t="s">
        <v>79</v>
      </c>
      <c r="D164" s="102">
        <v>0</v>
      </c>
      <c r="E164" s="102">
        <v>0</v>
      </c>
      <c r="F164" s="102"/>
      <c r="G164" s="103"/>
      <c r="H164" s="120"/>
      <c r="I164" s="102"/>
    </row>
    <row r="165" spans="1:9" ht="13.5" hidden="1">
      <c r="A165" s="117"/>
      <c r="D165" s="102"/>
      <c r="E165" s="102"/>
      <c r="F165" s="102"/>
      <c r="G165" s="102"/>
      <c r="H165" s="102"/>
      <c r="I165" s="102"/>
    </row>
    <row r="166" spans="1:9" ht="13.5" hidden="1">
      <c r="A166" s="117"/>
      <c r="D166" s="102"/>
      <c r="E166" s="102"/>
      <c r="F166" s="102"/>
      <c r="G166" s="102"/>
      <c r="H166" s="102"/>
      <c r="I166" s="102"/>
    </row>
    <row r="167" spans="1:9" ht="13.5" hidden="1">
      <c r="A167" s="122" t="s">
        <v>80</v>
      </c>
      <c r="D167" s="102">
        <v>0</v>
      </c>
      <c r="E167" s="102">
        <v>0</v>
      </c>
      <c r="F167" s="102"/>
      <c r="G167" s="103"/>
      <c r="H167" s="102"/>
      <c r="I167" s="102"/>
    </row>
    <row r="168" spans="1:9" ht="13.5" hidden="1">
      <c r="A168" s="101"/>
    </row>
    <row r="169" spans="1:9" hidden="1"/>
    <row r="170" spans="1:9" ht="13.5" hidden="1">
      <c r="A170" s="122" t="s">
        <v>81</v>
      </c>
      <c r="D170" s="120">
        <v>0</v>
      </c>
      <c r="E170" s="120">
        <v>0</v>
      </c>
      <c r="F170" s="102"/>
      <c r="G170" s="107"/>
      <c r="H170" s="102"/>
      <c r="I170" s="102"/>
    </row>
    <row r="171" spans="1:9" hidden="1">
      <c r="G171" s="103"/>
    </row>
    <row r="172" spans="1:9" hidden="1">
      <c r="A172" s="104" t="s">
        <v>71</v>
      </c>
      <c r="C172" s="123">
        <v>0.18740000000000001</v>
      </c>
      <c r="D172" s="102">
        <f>$C$172*D170</f>
        <v>0</v>
      </c>
      <c r="E172" s="102">
        <f>$C$172*E170</f>
        <v>0</v>
      </c>
      <c r="F172" s="102"/>
      <c r="G172" s="103"/>
      <c r="H172" s="102"/>
      <c r="I172" s="102"/>
    </row>
    <row r="173" spans="1:9" hidden="1">
      <c r="A173" s="104" t="s">
        <v>72</v>
      </c>
      <c r="C173" s="123">
        <v>0.1187</v>
      </c>
      <c r="D173" s="102">
        <f>$C$173*D170</f>
        <v>0</v>
      </c>
      <c r="E173" s="102">
        <f>$C$173*E170</f>
        <v>0</v>
      </c>
      <c r="F173" s="102"/>
      <c r="G173" s="103"/>
      <c r="H173" s="102"/>
      <c r="I173" s="102"/>
    </row>
    <row r="174" spans="1:9" hidden="1">
      <c r="A174" s="104" t="s">
        <v>73</v>
      </c>
      <c r="C174" s="123">
        <f>1-(C172+C173)</f>
        <v>0.69389999999999996</v>
      </c>
      <c r="D174" s="102">
        <f>$C$174*D170</f>
        <v>0</v>
      </c>
      <c r="E174" s="102">
        <f>$C$174*E170</f>
        <v>0</v>
      </c>
      <c r="F174" s="102"/>
      <c r="G174" s="103"/>
      <c r="H174" s="102"/>
      <c r="I174" s="102"/>
    </row>
    <row r="175" spans="1:9" hidden="1">
      <c r="A175" s="104"/>
      <c r="C175" s="123">
        <f>SUM(C172:C174)</f>
        <v>1</v>
      </c>
      <c r="D175" s="102"/>
      <c r="E175" s="102"/>
      <c r="F175" s="102"/>
      <c r="G175" s="103"/>
      <c r="H175" s="102"/>
      <c r="I175" s="102"/>
    </row>
    <row r="176" spans="1:9" hidden="1">
      <c r="A176" s="124" t="s">
        <v>173</v>
      </c>
      <c r="C176" s="123"/>
      <c r="D176" s="120">
        <v>0</v>
      </c>
      <c r="E176" s="120">
        <v>0</v>
      </c>
      <c r="F176" s="102"/>
      <c r="G176" s="103"/>
      <c r="H176" s="102"/>
      <c r="I176" s="102"/>
    </row>
    <row r="177" spans="1:9" hidden="1">
      <c r="A177" s="104"/>
      <c r="C177" s="123"/>
      <c r="D177" s="102"/>
      <c r="E177" s="102"/>
      <c r="F177" s="102"/>
      <c r="G177" s="103"/>
      <c r="H177" s="102"/>
      <c r="I177" s="102"/>
    </row>
    <row r="178" spans="1:9" hidden="1">
      <c r="A178" s="104" t="s">
        <v>71</v>
      </c>
      <c r="C178" s="123">
        <v>0.14180000000000001</v>
      </c>
      <c r="D178" s="102">
        <f>$C$178*D176</f>
        <v>0</v>
      </c>
      <c r="E178" s="102">
        <f>$C$178*E176</f>
        <v>0</v>
      </c>
      <c r="F178" s="102"/>
      <c r="G178" s="103"/>
      <c r="H178" s="102"/>
      <c r="I178" s="102"/>
    </row>
    <row r="179" spans="1:9" hidden="1">
      <c r="A179" s="104" t="s">
        <v>72</v>
      </c>
      <c r="C179" s="123">
        <v>1.9599999999999999E-2</v>
      </c>
      <c r="D179" s="102">
        <f>$C$179*D176</f>
        <v>0</v>
      </c>
      <c r="E179" s="102">
        <f>$C$179*E176</f>
        <v>0</v>
      </c>
      <c r="F179" s="102"/>
      <c r="G179" s="103"/>
      <c r="H179" s="102"/>
      <c r="I179" s="102"/>
    </row>
    <row r="180" spans="1:9" hidden="1">
      <c r="A180" s="104" t="s">
        <v>73</v>
      </c>
      <c r="C180" s="123">
        <f>1-(C178+C179)</f>
        <v>0.83860000000000001</v>
      </c>
      <c r="D180" s="102">
        <f>$C$180*D176</f>
        <v>0</v>
      </c>
      <c r="E180" s="102">
        <f>$C$180*E176</f>
        <v>0</v>
      </c>
      <c r="F180" s="102"/>
      <c r="G180" s="103"/>
      <c r="H180" s="102"/>
      <c r="I180" s="102"/>
    </row>
    <row r="181" spans="1:9" hidden="1">
      <c r="A181" s="104"/>
      <c r="C181" s="123">
        <f>SUM(C178:C180)</f>
        <v>1</v>
      </c>
      <c r="D181" s="102"/>
      <c r="E181" s="102"/>
      <c r="F181" s="102"/>
      <c r="G181" s="103"/>
      <c r="H181" s="102"/>
      <c r="I181" s="102"/>
    </row>
    <row r="182" spans="1:9" hidden="1">
      <c r="A182" s="124" t="s">
        <v>174</v>
      </c>
      <c r="C182" s="123"/>
      <c r="D182" s="120">
        <v>0</v>
      </c>
      <c r="E182" s="120">
        <v>0</v>
      </c>
      <c r="F182" s="102"/>
      <c r="G182" s="103"/>
      <c r="H182" s="102"/>
      <c r="I182" s="102"/>
    </row>
    <row r="183" spans="1:9" hidden="1">
      <c r="A183" s="104"/>
      <c r="C183" s="123"/>
      <c r="D183" s="102"/>
      <c r="E183" s="102"/>
      <c r="F183" s="102"/>
      <c r="G183" s="103"/>
      <c r="H183" s="102"/>
      <c r="I183" s="102"/>
    </row>
    <row r="184" spans="1:9" hidden="1">
      <c r="A184" s="104" t="s">
        <v>71</v>
      </c>
      <c r="C184" s="123">
        <v>0.38169999999999998</v>
      </c>
      <c r="D184" s="102">
        <f>$C$184*D182</f>
        <v>0</v>
      </c>
      <c r="E184" s="102">
        <f>$C$184*E182</f>
        <v>0</v>
      </c>
      <c r="F184" s="102"/>
      <c r="G184" s="103"/>
      <c r="H184" s="102"/>
      <c r="I184" s="102"/>
    </row>
    <row r="185" spans="1:9" hidden="1">
      <c r="A185" s="104" t="s">
        <v>72</v>
      </c>
      <c r="C185" s="123">
        <v>0.1903</v>
      </c>
      <c r="D185" s="102">
        <f>$C$185*D182</f>
        <v>0</v>
      </c>
      <c r="E185" s="102">
        <f>$C$185*E182</f>
        <v>0</v>
      </c>
      <c r="F185" s="102"/>
      <c r="G185" s="103"/>
      <c r="H185" s="102"/>
      <c r="I185" s="102"/>
    </row>
    <row r="186" spans="1:9" hidden="1">
      <c r="A186" s="104" t="s">
        <v>73</v>
      </c>
      <c r="C186" s="123">
        <f>1-(C184+C185)</f>
        <v>0.42800000000000005</v>
      </c>
      <c r="D186" s="102">
        <f>$C$186*D182</f>
        <v>0</v>
      </c>
      <c r="E186" s="102">
        <f>$C$186*E182</f>
        <v>0</v>
      </c>
      <c r="F186" s="102"/>
      <c r="G186" s="103"/>
      <c r="H186" s="102"/>
      <c r="I186" s="102"/>
    </row>
    <row r="187" spans="1:9" hidden="1">
      <c r="A187" s="104"/>
      <c r="C187" s="123">
        <f>SUM(C184:C186)</f>
        <v>1</v>
      </c>
      <c r="D187" s="102"/>
      <c r="E187" s="102"/>
      <c r="F187" s="102"/>
      <c r="G187" s="103"/>
      <c r="H187" s="102"/>
      <c r="I187" s="102"/>
    </row>
    <row r="188" spans="1:9" hidden="1">
      <c r="A188" s="124" t="s">
        <v>175</v>
      </c>
      <c r="C188" s="123"/>
      <c r="D188" s="120">
        <v>0</v>
      </c>
      <c r="E188" s="120">
        <v>0</v>
      </c>
      <c r="F188" s="102"/>
      <c r="G188" s="103"/>
      <c r="H188" s="102"/>
      <c r="I188" s="102"/>
    </row>
    <row r="189" spans="1:9" hidden="1">
      <c r="A189" s="104"/>
      <c r="C189" s="123"/>
      <c r="D189" s="102"/>
      <c r="E189" s="102"/>
      <c r="F189" s="102"/>
      <c r="G189" s="103"/>
      <c r="H189" s="102"/>
      <c r="I189" s="102"/>
    </row>
    <row r="190" spans="1:9" hidden="1">
      <c r="A190" s="104" t="s">
        <v>71</v>
      </c>
      <c r="C190" s="123">
        <v>0.27050000000000002</v>
      </c>
      <c r="D190" s="102">
        <f>$C$190*D188</f>
        <v>0</v>
      </c>
      <c r="E190" s="102">
        <f>$C$190*E188</f>
        <v>0</v>
      </c>
      <c r="F190" s="102"/>
      <c r="G190" s="103"/>
      <c r="H190" s="102"/>
      <c r="I190" s="102"/>
    </row>
    <row r="191" spans="1:9" hidden="1">
      <c r="A191" s="104" t="s">
        <v>72</v>
      </c>
      <c r="C191" s="123">
        <v>0.19620000000000001</v>
      </c>
      <c r="D191" s="102">
        <f>$C$191*D188</f>
        <v>0</v>
      </c>
      <c r="E191" s="102">
        <f>$C$191*E188</f>
        <v>0</v>
      </c>
      <c r="F191" s="102"/>
      <c r="G191" s="103"/>
      <c r="H191" s="102"/>
      <c r="I191" s="102"/>
    </row>
    <row r="192" spans="1:9" hidden="1">
      <c r="A192" s="104" t="s">
        <v>73</v>
      </c>
      <c r="C192" s="123">
        <f>1-(C190+C191)</f>
        <v>0.5333</v>
      </c>
      <c r="D192" s="102">
        <f>$C$192*D188</f>
        <v>0</v>
      </c>
      <c r="E192" s="102">
        <f>$C$192*E188</f>
        <v>0</v>
      </c>
      <c r="F192" s="102"/>
      <c r="G192" s="103"/>
      <c r="H192" s="102"/>
      <c r="I192" s="102"/>
    </row>
    <row r="193" spans="1:9" hidden="1">
      <c r="A193" s="104"/>
      <c r="C193" s="123">
        <f>SUM(C190:C192)</f>
        <v>1</v>
      </c>
      <c r="D193" s="102"/>
      <c r="E193" s="102"/>
      <c r="F193" s="102"/>
      <c r="G193" s="103"/>
      <c r="H193" s="102"/>
      <c r="I193" s="102"/>
    </row>
    <row r="194" spans="1:9" hidden="1">
      <c r="A194" s="124" t="s">
        <v>176</v>
      </c>
      <c r="C194" s="123"/>
      <c r="D194" s="120">
        <v>0</v>
      </c>
      <c r="E194" s="120">
        <v>0</v>
      </c>
      <c r="F194" s="102"/>
      <c r="G194" s="103"/>
      <c r="H194" s="102"/>
      <c r="I194" s="102"/>
    </row>
    <row r="195" spans="1:9" hidden="1">
      <c r="A195" s="104"/>
      <c r="C195" s="123"/>
      <c r="D195" s="102"/>
      <c r="E195" s="102"/>
      <c r="F195" s="102"/>
      <c r="G195" s="103"/>
      <c r="H195" s="102"/>
      <c r="I195" s="102"/>
    </row>
    <row r="196" spans="1:9" hidden="1">
      <c r="A196" s="104" t="s">
        <v>71</v>
      </c>
      <c r="C196" s="123">
        <v>0.63170000000000004</v>
      </c>
      <c r="D196" s="102">
        <f>$C$196*D194</f>
        <v>0</v>
      </c>
      <c r="E196" s="102">
        <f>$C$196*E194</f>
        <v>0</v>
      </c>
      <c r="F196" s="102"/>
      <c r="G196" s="103"/>
      <c r="H196" s="102"/>
      <c r="I196" s="102"/>
    </row>
    <row r="197" spans="1:9" hidden="1">
      <c r="A197" s="104" t="s">
        <v>72</v>
      </c>
      <c r="C197" s="123">
        <v>0.1787</v>
      </c>
      <c r="D197" s="102">
        <f>$C$197*D194</f>
        <v>0</v>
      </c>
      <c r="E197" s="102">
        <f>$C$197*E194</f>
        <v>0</v>
      </c>
      <c r="F197" s="102"/>
      <c r="G197" s="103"/>
      <c r="H197" s="102"/>
      <c r="I197" s="102"/>
    </row>
    <row r="198" spans="1:9" hidden="1">
      <c r="A198" s="104" t="s">
        <v>73</v>
      </c>
      <c r="C198" s="123">
        <f>1-(C196+C197)</f>
        <v>0.18959999999999999</v>
      </c>
      <c r="D198" s="102">
        <f>$C$198*D194</f>
        <v>0</v>
      </c>
      <c r="E198" s="102">
        <f>$C$198*E194</f>
        <v>0</v>
      </c>
      <c r="F198" s="102"/>
      <c r="G198" s="103"/>
      <c r="H198" s="102"/>
      <c r="I198" s="102"/>
    </row>
    <row r="199" spans="1:9" hidden="1">
      <c r="A199" s="104"/>
      <c r="C199" s="123">
        <f>SUM(C196:C198)</f>
        <v>1</v>
      </c>
      <c r="D199" s="102"/>
      <c r="E199" s="102"/>
      <c r="F199" s="102"/>
      <c r="G199" s="103"/>
      <c r="H199" s="102"/>
      <c r="I199" s="102"/>
    </row>
    <row r="200" spans="1:9" hidden="1">
      <c r="A200" s="124" t="s">
        <v>177</v>
      </c>
      <c r="C200" s="123"/>
      <c r="D200" s="120">
        <v>0</v>
      </c>
      <c r="E200" s="120">
        <v>0</v>
      </c>
      <c r="F200" s="102"/>
      <c r="G200" s="103"/>
      <c r="H200" s="102"/>
      <c r="I200" s="102"/>
    </row>
    <row r="201" spans="1:9" hidden="1">
      <c r="A201" s="104"/>
      <c r="C201" s="123"/>
      <c r="D201" s="102"/>
      <c r="E201" s="102"/>
      <c r="F201" s="102"/>
      <c r="G201" s="103"/>
      <c r="H201" s="102"/>
      <c r="I201" s="102"/>
    </row>
    <row r="202" spans="1:9" hidden="1">
      <c r="A202" s="104" t="s">
        <v>71</v>
      </c>
      <c r="C202" s="123">
        <v>0.36599999999999999</v>
      </c>
      <c r="D202" s="102">
        <f>$C$202*D200</f>
        <v>0</v>
      </c>
      <c r="E202" s="102">
        <f>$C$202*E200</f>
        <v>0</v>
      </c>
      <c r="F202" s="102"/>
      <c r="G202" s="103"/>
      <c r="H202" s="102"/>
      <c r="I202" s="102"/>
    </row>
    <row r="203" spans="1:9" hidden="1">
      <c r="A203" s="104" t="s">
        <v>72</v>
      </c>
      <c r="C203" s="123">
        <v>0.26379999999999998</v>
      </c>
      <c r="D203" s="102">
        <f>$C$203*D200</f>
        <v>0</v>
      </c>
      <c r="E203" s="102">
        <f>$C$203*E200</f>
        <v>0</v>
      </c>
      <c r="F203" s="102"/>
      <c r="G203" s="103"/>
      <c r="H203" s="102"/>
      <c r="I203" s="102"/>
    </row>
    <row r="204" spans="1:9" hidden="1">
      <c r="A204" s="104" t="s">
        <v>73</v>
      </c>
      <c r="C204" s="123">
        <f>1-(C202+C203)</f>
        <v>0.37020000000000008</v>
      </c>
      <c r="D204" s="102">
        <f>$C$204*D200</f>
        <v>0</v>
      </c>
      <c r="E204" s="102">
        <f>$C$204*E200</f>
        <v>0</v>
      </c>
      <c r="F204" s="102"/>
      <c r="G204" s="103"/>
      <c r="H204" s="102"/>
      <c r="I204" s="102"/>
    </row>
    <row r="205" spans="1:9" hidden="1">
      <c r="A205" s="104"/>
      <c r="C205" s="123">
        <f>SUM(C202:C204)</f>
        <v>1</v>
      </c>
      <c r="D205" s="102"/>
      <c r="E205" s="102"/>
      <c r="F205" s="102"/>
      <c r="G205" s="103"/>
      <c r="H205" s="102"/>
      <c r="I205" s="102"/>
    </row>
    <row r="206" spans="1:9" hidden="1">
      <c r="A206" s="124" t="s">
        <v>178</v>
      </c>
      <c r="C206" s="123"/>
      <c r="D206" s="120">
        <v>0</v>
      </c>
      <c r="E206" s="120">
        <v>0</v>
      </c>
      <c r="F206" s="102"/>
      <c r="G206" s="103"/>
      <c r="H206" s="102"/>
      <c r="I206" s="102"/>
    </row>
    <row r="207" spans="1:9" hidden="1">
      <c r="A207" s="104"/>
      <c r="C207" s="123"/>
      <c r="D207" s="102"/>
      <c r="E207" s="102"/>
      <c r="F207" s="102"/>
      <c r="G207" s="103"/>
      <c r="H207" s="102"/>
      <c r="I207" s="102"/>
    </row>
    <row r="208" spans="1:9" hidden="1">
      <c r="A208" s="104" t="s">
        <v>71</v>
      </c>
      <c r="C208" s="123">
        <v>0.22120000000000001</v>
      </c>
      <c r="D208" s="102">
        <f>$C$208*D206</f>
        <v>0</v>
      </c>
      <c r="E208" s="102">
        <f>$C$208*E206</f>
        <v>0</v>
      </c>
      <c r="F208" s="102"/>
      <c r="G208" s="103"/>
      <c r="H208" s="102"/>
      <c r="I208" s="102"/>
    </row>
    <row r="209" spans="1:9" hidden="1">
      <c r="A209" s="104" t="s">
        <v>72</v>
      </c>
      <c r="C209" s="123">
        <v>8.0000000000000002E-3</v>
      </c>
      <c r="D209" s="102">
        <f>$C$209*D206</f>
        <v>0</v>
      </c>
      <c r="E209" s="102">
        <f>$C$209*E206</f>
        <v>0</v>
      </c>
      <c r="F209" s="102"/>
      <c r="G209" s="103"/>
      <c r="H209" s="102"/>
      <c r="I209" s="102"/>
    </row>
    <row r="210" spans="1:9" hidden="1">
      <c r="A210" s="104" t="s">
        <v>73</v>
      </c>
      <c r="C210" s="123">
        <f>1-(C208+C209)</f>
        <v>0.77079999999999993</v>
      </c>
      <c r="D210" s="102">
        <f>$C$210*D206</f>
        <v>0</v>
      </c>
      <c r="E210" s="102">
        <f>$C$210*E206</f>
        <v>0</v>
      </c>
      <c r="F210" s="102"/>
      <c r="G210" s="103"/>
      <c r="H210" s="102"/>
      <c r="I210" s="102"/>
    </row>
    <row r="211" spans="1:9" hidden="1">
      <c r="A211" s="104"/>
      <c r="C211" s="123">
        <f>SUM(C208:C210)</f>
        <v>1</v>
      </c>
      <c r="D211" s="102"/>
      <c r="E211" s="102"/>
      <c r="F211" s="102"/>
      <c r="G211" s="103"/>
      <c r="H211" s="102"/>
      <c r="I211" s="102"/>
    </row>
    <row r="212" spans="1:9" hidden="1">
      <c r="A212" s="104"/>
      <c r="C212" s="123"/>
      <c r="D212" s="102"/>
      <c r="E212" s="102"/>
      <c r="F212" s="102"/>
      <c r="G212" s="103"/>
      <c r="H212" s="102"/>
      <c r="I212" s="102"/>
    </row>
    <row r="213" spans="1:9" hidden="1">
      <c r="A213" s="124" t="s">
        <v>179</v>
      </c>
      <c r="C213" s="123"/>
      <c r="D213" s="120">
        <v>0</v>
      </c>
      <c r="E213" s="120">
        <v>0</v>
      </c>
      <c r="F213" s="102"/>
      <c r="G213" s="103"/>
      <c r="H213" s="102"/>
      <c r="I213" s="102"/>
    </row>
    <row r="214" spans="1:9" hidden="1">
      <c r="A214" s="104"/>
      <c r="C214" s="123"/>
      <c r="D214" s="102"/>
      <c r="E214" s="102"/>
      <c r="F214" s="102"/>
      <c r="G214" s="103"/>
      <c r="H214" s="102"/>
      <c r="I214" s="102"/>
    </row>
    <row r="215" spans="1:9" hidden="1">
      <c r="A215" s="104" t="s">
        <v>71</v>
      </c>
      <c r="C215" s="123" t="e">
        <f>D215/D213</f>
        <v>#DIV/0!</v>
      </c>
      <c r="D215" s="102">
        <v>1200</v>
      </c>
      <c r="E215" s="102" t="e">
        <f>$C215*$E$213</f>
        <v>#DIV/0!</v>
      </c>
      <c r="F215" s="102" t="s">
        <v>82</v>
      </c>
      <c r="G215" s="103"/>
      <c r="H215" s="102"/>
      <c r="I215" s="102"/>
    </row>
    <row r="216" spans="1:9" hidden="1">
      <c r="A216" s="104" t="s">
        <v>72</v>
      </c>
      <c r="C216" s="123" t="e">
        <f>D216/D213</f>
        <v>#DIV/0!</v>
      </c>
      <c r="D216" s="102">
        <v>250</v>
      </c>
      <c r="E216" s="102" t="e">
        <f t="shared" ref="E216:E217" si="0">$C216*$E$213</f>
        <v>#DIV/0!</v>
      </c>
      <c r="F216" s="102" t="s">
        <v>82</v>
      </c>
      <c r="G216" s="103"/>
      <c r="H216" s="102"/>
      <c r="I216" s="102"/>
    </row>
    <row r="217" spans="1:9" hidden="1">
      <c r="A217" s="104" t="s">
        <v>73</v>
      </c>
      <c r="C217" s="123" t="e">
        <f>1-(C215+C216)</f>
        <v>#DIV/0!</v>
      </c>
      <c r="D217" s="102">
        <v>250</v>
      </c>
      <c r="E217" s="102" t="e">
        <f t="shared" si="0"/>
        <v>#DIV/0!</v>
      </c>
      <c r="F217" s="102" t="s">
        <v>82</v>
      </c>
      <c r="G217" s="103"/>
      <c r="H217" s="102"/>
      <c r="I217" s="102"/>
    </row>
    <row r="218" spans="1:9" hidden="1">
      <c r="A218" s="104"/>
      <c r="C218" s="123" t="e">
        <f>SUM(C215:C217)</f>
        <v>#DIV/0!</v>
      </c>
      <c r="D218" s="102"/>
      <c r="E218" s="102"/>
      <c r="F218" s="102"/>
      <c r="G218" s="103"/>
      <c r="H218" s="102"/>
      <c r="I218" s="102"/>
    </row>
    <row r="219" spans="1:9" hidden="1">
      <c r="A219" s="104"/>
      <c r="C219" s="123"/>
      <c r="D219" s="102"/>
      <c r="E219" s="102"/>
      <c r="F219" s="102"/>
      <c r="G219" s="103"/>
      <c r="H219" s="102"/>
      <c r="I219" s="102"/>
    </row>
    <row r="220" spans="1:9" hidden="1">
      <c r="A220" s="124" t="s">
        <v>180</v>
      </c>
      <c r="C220" s="123"/>
      <c r="D220" s="120">
        <v>0</v>
      </c>
      <c r="E220" s="120">
        <v>0</v>
      </c>
      <c r="F220" s="102"/>
      <c r="G220" s="103"/>
      <c r="H220" s="102"/>
      <c r="I220" s="102"/>
    </row>
    <row r="221" spans="1:9" hidden="1">
      <c r="A221" s="104"/>
      <c r="C221" s="123"/>
      <c r="D221" s="102"/>
      <c r="E221" s="102"/>
      <c r="F221" s="102"/>
      <c r="G221" s="103"/>
      <c r="H221" s="102"/>
      <c r="I221" s="102"/>
    </row>
    <row r="222" spans="1:9" hidden="1">
      <c r="A222" s="104" t="s">
        <v>71</v>
      </c>
      <c r="C222" s="123" t="e">
        <f>D222/D220</f>
        <v>#DIV/0!</v>
      </c>
      <c r="D222" s="102">
        <v>3500</v>
      </c>
      <c r="E222" s="102" t="e">
        <f>C222*$E$220</f>
        <v>#DIV/0!</v>
      </c>
      <c r="F222" s="102" t="s">
        <v>82</v>
      </c>
      <c r="G222" s="103"/>
      <c r="H222" s="102"/>
      <c r="I222" s="102"/>
    </row>
    <row r="223" spans="1:9" hidden="1">
      <c r="A223" s="104" t="s">
        <v>72</v>
      </c>
      <c r="C223" s="123">
        <v>0</v>
      </c>
      <c r="D223" s="102">
        <f>C223*D220</f>
        <v>0</v>
      </c>
      <c r="E223" s="102">
        <f t="shared" ref="E223:E224" si="1">C223*$E$220</f>
        <v>0</v>
      </c>
      <c r="F223" s="102" t="s">
        <v>82</v>
      </c>
      <c r="G223" s="103"/>
      <c r="H223" s="102"/>
      <c r="I223" s="102"/>
    </row>
    <row r="224" spans="1:9" hidden="1">
      <c r="A224" s="104" t="s">
        <v>73</v>
      </c>
      <c r="C224" s="123" t="e">
        <f>1-(C222+C223)</f>
        <v>#DIV/0!</v>
      </c>
      <c r="D224" s="102" t="e">
        <f>C224*D220</f>
        <v>#DIV/0!</v>
      </c>
      <c r="E224" s="102" t="e">
        <f t="shared" si="1"/>
        <v>#DIV/0!</v>
      </c>
      <c r="F224" s="102" t="s">
        <v>82</v>
      </c>
      <c r="G224" s="103"/>
      <c r="H224" s="102"/>
      <c r="I224" s="102"/>
    </row>
    <row r="225" spans="1:9" hidden="1">
      <c r="A225" s="104"/>
      <c r="C225" s="123" t="e">
        <f>SUM(C222:C224)</f>
        <v>#DIV/0!</v>
      </c>
      <c r="D225" s="102"/>
      <c r="E225" s="102"/>
      <c r="G225" s="103"/>
    </row>
    <row r="226" spans="1:9" ht="13.5" hidden="1">
      <c r="A226" s="101"/>
      <c r="C226" s="110"/>
      <c r="G226" s="103"/>
    </row>
    <row r="227" spans="1:9" ht="13.5" hidden="1">
      <c r="A227" s="122" t="s">
        <v>83</v>
      </c>
      <c r="C227" s="110"/>
      <c r="D227" s="102">
        <v>0</v>
      </c>
      <c r="E227" s="102">
        <v>0</v>
      </c>
      <c r="F227" s="125"/>
      <c r="G227" s="118"/>
      <c r="H227" s="118"/>
      <c r="I227" s="125"/>
    </row>
    <row r="228" spans="1:9" hidden="1">
      <c r="C228" s="110"/>
      <c r="G228" s="103"/>
    </row>
    <row r="229" spans="1:9" hidden="1">
      <c r="A229" s="104" t="s">
        <v>71</v>
      </c>
      <c r="C229" s="123">
        <v>0.63012000000000001</v>
      </c>
      <c r="D229" s="102">
        <f>$C$229*D227</f>
        <v>0</v>
      </c>
      <c r="E229" s="102">
        <f>$C$229*E227</f>
        <v>0</v>
      </c>
      <c r="F229" s="102"/>
      <c r="G229" s="103"/>
      <c r="H229" s="102"/>
      <c r="I229" s="102"/>
    </row>
    <row r="230" spans="1:9" hidden="1">
      <c r="A230" s="104" t="s">
        <v>72</v>
      </c>
      <c r="C230" s="123">
        <v>0.36987999999999999</v>
      </c>
      <c r="D230" s="102">
        <f>$C$230*D227</f>
        <v>0</v>
      </c>
      <c r="E230" s="102">
        <f>$C$230*E227</f>
        <v>0</v>
      </c>
      <c r="F230" s="102"/>
      <c r="G230" s="103"/>
      <c r="H230" s="102"/>
      <c r="I230" s="102"/>
    </row>
    <row r="231" spans="1:9" hidden="1">
      <c r="C231" s="123">
        <f>SUM(C229:C230)</f>
        <v>1</v>
      </c>
    </row>
    <row r="232" spans="1:9" ht="13.5" hidden="1" thickBot="1"/>
    <row r="233" spans="1:9" hidden="1">
      <c r="A233" s="126"/>
      <c r="B233" s="127"/>
      <c r="C233" s="127"/>
      <c r="D233" s="127"/>
      <c r="E233" s="128"/>
      <c r="F233" s="127"/>
      <c r="G233" s="127"/>
      <c r="H233" s="129"/>
    </row>
    <row r="234" spans="1:9" ht="13.5" hidden="1">
      <c r="A234" s="130" t="s">
        <v>84</v>
      </c>
      <c r="B234" s="129"/>
      <c r="C234" s="129"/>
      <c r="D234" s="129"/>
      <c r="E234" s="131"/>
      <c r="F234" s="129"/>
      <c r="G234" s="129"/>
      <c r="H234" s="129"/>
    </row>
    <row r="235" spans="1:9" hidden="1">
      <c r="A235" s="132"/>
      <c r="B235" s="129"/>
      <c r="C235" s="129"/>
      <c r="D235" s="129"/>
      <c r="E235" s="131"/>
      <c r="F235" s="129"/>
      <c r="G235" s="129"/>
      <c r="H235" s="129"/>
    </row>
    <row r="236" spans="1:9" ht="13.5" hidden="1">
      <c r="A236" s="133" t="s">
        <v>85</v>
      </c>
      <c r="B236" s="129"/>
      <c r="C236" s="129"/>
      <c r="D236" s="134">
        <f>D15+D20+D25+D30+D33+D43+D49+D55+D61+D67+D73+D79+D85+D92+D103+D117+D131+D145</f>
        <v>5414.92</v>
      </c>
      <c r="E236" s="135">
        <f>E15+E20+E25+E30+E33+E43+E49+E55+E61+E67+E73+E79+E85+E92+E103+E117+E131+E145</f>
        <v>3384.3249999999998</v>
      </c>
      <c r="F236" s="134"/>
      <c r="G236" s="134"/>
      <c r="H236" s="134"/>
      <c r="I236" s="134"/>
    </row>
    <row r="237" spans="1:9" ht="13.5" hidden="1">
      <c r="A237" s="133"/>
      <c r="B237" s="129"/>
      <c r="C237" s="129"/>
      <c r="D237" s="134"/>
      <c r="E237" s="135"/>
      <c r="F237" s="134"/>
      <c r="G237" s="134"/>
      <c r="H237" s="134"/>
      <c r="I237" s="134"/>
    </row>
    <row r="238" spans="1:9" hidden="1">
      <c r="A238" s="132" t="s">
        <v>86</v>
      </c>
      <c r="B238" s="129"/>
      <c r="C238" s="129"/>
      <c r="D238" s="134">
        <f>D131+D145</f>
        <v>0</v>
      </c>
      <c r="E238" s="134">
        <f>E131+E145</f>
        <v>0</v>
      </c>
    </row>
    <row r="239" spans="1:9" hidden="1">
      <c r="A239" s="132" t="s">
        <v>87</v>
      </c>
      <c r="B239" s="129"/>
      <c r="C239" s="129"/>
      <c r="D239" s="134">
        <f>D15+D20+D25</f>
        <v>5414.92</v>
      </c>
      <c r="E239" s="134">
        <f>E15+E20+E25</f>
        <v>3384.3249999999998</v>
      </c>
    </row>
    <row r="240" spans="1:9" hidden="1">
      <c r="A240" s="132" t="s">
        <v>88</v>
      </c>
      <c r="B240" s="129"/>
      <c r="C240" s="129"/>
      <c r="D240" s="134">
        <f>D30</f>
        <v>0</v>
      </c>
      <c r="E240" s="134">
        <f>E30</f>
        <v>0</v>
      </c>
    </row>
    <row r="241" spans="1:9" hidden="1">
      <c r="A241" s="132" t="s">
        <v>89</v>
      </c>
      <c r="B241" s="129"/>
      <c r="C241" s="129"/>
      <c r="D241" s="134">
        <f>D43+D33+D49+D55+D61+D67+D73+D79+D85+D92</f>
        <v>0</v>
      </c>
      <c r="E241" s="134">
        <f>E43+E33+E49+E55+E61+E67+E73+E79+E85+E92</f>
        <v>0</v>
      </c>
    </row>
    <row r="242" spans="1:9" hidden="1">
      <c r="A242" s="132" t="s">
        <v>4</v>
      </c>
      <c r="B242" s="129"/>
      <c r="C242" s="129"/>
      <c r="D242" s="134">
        <f>D117+D103</f>
        <v>0</v>
      </c>
      <c r="E242" s="134">
        <f>E117+E103</f>
        <v>0</v>
      </c>
    </row>
    <row r="243" spans="1:9" ht="13.5" hidden="1" thickBot="1">
      <c r="A243" s="136" t="s">
        <v>90</v>
      </c>
      <c r="B243" s="129"/>
      <c r="C243" s="129"/>
      <c r="D243" s="137">
        <f>SUM(D238:D242)</f>
        <v>5414.92</v>
      </c>
      <c r="E243" s="138">
        <f>SUM(E238:E242)</f>
        <v>3384.3249999999998</v>
      </c>
    </row>
    <row r="244" spans="1:9" ht="13.5" hidden="1" thickTop="1">
      <c r="A244" s="136"/>
      <c r="B244" s="129"/>
      <c r="C244" s="129"/>
      <c r="D244" s="139"/>
      <c r="E244" s="140"/>
    </row>
    <row r="245" spans="1:9" s="110" customFormat="1" ht="13.5" hidden="1">
      <c r="A245" s="141" t="s">
        <v>91</v>
      </c>
      <c r="B245" s="142"/>
      <c r="C245" s="142"/>
      <c r="D245" s="143">
        <f>D16+D21+D26+D31+D35+D44+D50+D56+D62+D68+D74+D80+D86+D93+D104+D118+D132+D146</f>
        <v>2885.0800000000004</v>
      </c>
      <c r="E245" s="144">
        <f>E16+E21+E26+E31+E35+E44+E50+E56+E62+E68+E74+E80+E86+E93+E104+E118+E132+E146</f>
        <v>1803.1750000000002</v>
      </c>
    </row>
    <row r="246" spans="1:9" s="110" customFormat="1" ht="13.5" hidden="1">
      <c r="A246" s="141"/>
      <c r="B246" s="142"/>
      <c r="C246" s="142"/>
      <c r="D246" s="143"/>
      <c r="E246" s="144"/>
      <c r="F246" s="143"/>
      <c r="G246" s="143"/>
      <c r="H246" s="143"/>
      <c r="I246" s="143"/>
    </row>
    <row r="247" spans="1:9" s="110" customFormat="1" hidden="1">
      <c r="A247" s="145" t="s">
        <v>86</v>
      </c>
      <c r="B247" s="142"/>
      <c r="C247" s="142"/>
      <c r="D247" s="143">
        <f>D132+D146</f>
        <v>0</v>
      </c>
      <c r="E247" s="144">
        <f>E132+E146</f>
        <v>0</v>
      </c>
    </row>
    <row r="248" spans="1:9" s="110" customFormat="1" hidden="1">
      <c r="A248" s="145" t="s">
        <v>87</v>
      </c>
      <c r="B248" s="142"/>
      <c r="C248" s="142"/>
      <c r="D248" s="143">
        <f>D16+D21+D26</f>
        <v>2885.0800000000004</v>
      </c>
      <c r="E248" s="144">
        <f>E16+E21+E26</f>
        <v>1803.1750000000002</v>
      </c>
    </row>
    <row r="249" spans="1:9" s="110" customFormat="1" hidden="1">
      <c r="A249" s="145" t="s">
        <v>88</v>
      </c>
      <c r="B249" s="142"/>
      <c r="C249" s="142"/>
      <c r="D249" s="143">
        <f>D31</f>
        <v>0</v>
      </c>
      <c r="E249" s="144">
        <f>E31</f>
        <v>0</v>
      </c>
    </row>
    <row r="250" spans="1:9" s="110" customFormat="1" hidden="1">
      <c r="A250" s="145" t="s">
        <v>89</v>
      </c>
      <c r="B250" s="142"/>
      <c r="C250" s="142"/>
      <c r="D250" s="143">
        <f>D44+D35+D50+D56+D62+D68+D74+D80+D86+D93</f>
        <v>0</v>
      </c>
      <c r="E250" s="144">
        <f>E44+E35+E50+E56+E62+E68+E74+E80+E86+E93</f>
        <v>0</v>
      </c>
    </row>
    <row r="251" spans="1:9" s="110" customFormat="1" hidden="1">
      <c r="A251" s="145" t="s">
        <v>4</v>
      </c>
      <c r="B251" s="142"/>
      <c r="C251" s="142"/>
      <c r="D251" s="143">
        <f>D118+D104</f>
        <v>0</v>
      </c>
      <c r="E251" s="144">
        <f>E118+E104</f>
        <v>0</v>
      </c>
    </row>
    <row r="252" spans="1:9" s="110" customFormat="1" ht="13.5" hidden="1" thickBot="1">
      <c r="A252" s="146" t="s">
        <v>90</v>
      </c>
      <c r="B252" s="142"/>
      <c r="C252" s="142"/>
      <c r="D252" s="147">
        <f>SUM(D247:D251)</f>
        <v>2885.0800000000004</v>
      </c>
      <c r="E252" s="148">
        <f>SUM(E247:E251)</f>
        <v>1803.1750000000002</v>
      </c>
    </row>
    <row r="253" spans="1:9" ht="13.5" hidden="1" thickTop="1">
      <c r="A253" s="132"/>
      <c r="B253" s="129"/>
      <c r="C253" s="129"/>
      <c r="D253" s="129"/>
      <c r="E253" s="131"/>
      <c r="F253" s="129"/>
      <c r="G253" s="129"/>
      <c r="H253" s="129"/>
      <c r="I253" s="129"/>
    </row>
    <row r="254" spans="1:9" ht="13.5" hidden="1">
      <c r="A254" s="133" t="s">
        <v>92</v>
      </c>
      <c r="B254" s="129"/>
      <c r="C254" s="129"/>
      <c r="D254" s="134">
        <f>D106+D120+D148+D134+D156+D161+D172+D178+D184+D190+D196+D202+D208+D215+D222+D229</f>
        <v>4700</v>
      </c>
      <c r="E254" s="135" t="e">
        <f>E106+E120+E148+E134+E156+E161+E172+E178+E184+E190+E196+E202+E208+E215+E222+E229</f>
        <v>#DIV/0!</v>
      </c>
      <c r="F254" s="134"/>
      <c r="G254" s="134"/>
      <c r="H254" s="134"/>
      <c r="I254" s="134"/>
    </row>
    <row r="255" spans="1:9" ht="13.5" hidden="1">
      <c r="A255" s="133"/>
      <c r="B255" s="129"/>
      <c r="C255" s="129"/>
      <c r="D255" s="134"/>
      <c r="E255" s="135"/>
      <c r="F255" s="134"/>
      <c r="G255" s="134"/>
      <c r="H255" s="134"/>
      <c r="I255" s="134"/>
    </row>
    <row r="256" spans="1:9" hidden="1">
      <c r="A256" s="132" t="s">
        <v>86</v>
      </c>
      <c r="B256" s="129"/>
      <c r="C256" s="129"/>
      <c r="D256" s="134">
        <f>D134+D148</f>
        <v>0</v>
      </c>
      <c r="E256" s="134">
        <f>E134+E148</f>
        <v>0</v>
      </c>
    </row>
    <row r="257" spans="1:9" hidden="1">
      <c r="A257" s="132" t="s">
        <v>93</v>
      </c>
      <c r="B257" s="129"/>
      <c r="C257" s="129"/>
      <c r="D257" s="134">
        <f>D156</f>
        <v>0</v>
      </c>
      <c r="E257" s="134">
        <f>E156</f>
        <v>0</v>
      </c>
    </row>
    <row r="258" spans="1:9" hidden="1">
      <c r="A258" s="132" t="s">
        <v>89</v>
      </c>
      <c r="B258" s="129"/>
      <c r="C258" s="129"/>
      <c r="D258" s="134">
        <f>D229+D178+D184+D190+D196+D202+D208+D215+D222+D172+D161</f>
        <v>4700</v>
      </c>
      <c r="E258" s="134" t="e">
        <f>E229+E178+E184+E190+E196+E202+E208+E215+E222+E172+E161</f>
        <v>#DIV/0!</v>
      </c>
    </row>
    <row r="259" spans="1:9" hidden="1">
      <c r="A259" s="132" t="s">
        <v>4</v>
      </c>
      <c r="B259" s="129"/>
      <c r="C259" s="129"/>
      <c r="D259" s="134">
        <f>D120+D106</f>
        <v>0</v>
      </c>
      <c r="E259" s="134">
        <f>E120+E106</f>
        <v>0</v>
      </c>
    </row>
    <row r="260" spans="1:9" ht="13.5" hidden="1" thickBot="1">
      <c r="A260" s="136" t="s">
        <v>90</v>
      </c>
      <c r="B260" s="129"/>
      <c r="C260" s="129"/>
      <c r="D260" s="137">
        <f>SUM(D255:D259)</f>
        <v>4700</v>
      </c>
      <c r="E260" s="138" t="e">
        <f>SUM(E255:E259)</f>
        <v>#DIV/0!</v>
      </c>
    </row>
    <row r="261" spans="1:9" ht="14.25" hidden="1" thickTop="1">
      <c r="A261" s="133"/>
      <c r="B261" s="129"/>
      <c r="C261" s="129"/>
      <c r="D261" s="129"/>
      <c r="E261" s="131"/>
    </row>
    <row r="262" spans="1:9" s="110" customFormat="1" ht="13.5" hidden="1">
      <c r="A262" s="141" t="s">
        <v>94</v>
      </c>
      <c r="B262" s="142"/>
      <c r="C262" s="142"/>
      <c r="D262" s="143">
        <f>D107+D121+D135+D149+D157+D164+D173+D179+D185+D191+D197+D203+D209+D216+D223+D230</f>
        <v>250</v>
      </c>
      <c r="E262" s="144" t="e">
        <f>E107+E121+E135+E149+E157+E164+E173+E179+E185+E191+E197+E203+E209+E216+E223+E230</f>
        <v>#DIV/0!</v>
      </c>
      <c r="F262" s="143"/>
      <c r="G262" s="143"/>
      <c r="H262" s="143"/>
      <c r="I262" s="143"/>
    </row>
    <row r="263" spans="1:9" s="110" customFormat="1" ht="13.5" hidden="1">
      <c r="A263" s="141"/>
      <c r="B263" s="142"/>
      <c r="C263" s="142"/>
      <c r="D263" s="143"/>
      <c r="E263" s="144"/>
      <c r="F263" s="143"/>
      <c r="G263" s="143"/>
      <c r="H263" s="143"/>
      <c r="I263" s="143"/>
    </row>
    <row r="264" spans="1:9" s="110" customFormat="1" hidden="1">
      <c r="A264" s="145" t="s">
        <v>86</v>
      </c>
      <c r="B264" s="142"/>
      <c r="C264" s="142"/>
      <c r="D264" s="143">
        <f>D135+D149</f>
        <v>0</v>
      </c>
      <c r="E264" s="144">
        <f>E135+E149</f>
        <v>0</v>
      </c>
    </row>
    <row r="265" spans="1:9" s="110" customFormat="1" hidden="1">
      <c r="A265" s="145" t="s">
        <v>93</v>
      </c>
      <c r="B265" s="142"/>
      <c r="C265" s="142"/>
      <c r="D265" s="143">
        <f>D157</f>
        <v>0</v>
      </c>
      <c r="E265" s="144">
        <f>E157</f>
        <v>0</v>
      </c>
    </row>
    <row r="266" spans="1:9" s="110" customFormat="1" hidden="1">
      <c r="A266" s="145" t="s">
        <v>89</v>
      </c>
      <c r="B266" s="142"/>
      <c r="C266" s="142"/>
      <c r="D266" s="143">
        <f>D230+D179+D185+D191+D197+D203+D209+D216+D223+D173+D164</f>
        <v>250</v>
      </c>
      <c r="E266" s="144" t="e">
        <f>E230+E179+E185+E191+E197+E203+E209+E216+E223+E173+E164</f>
        <v>#DIV/0!</v>
      </c>
    </row>
    <row r="267" spans="1:9" s="110" customFormat="1" hidden="1">
      <c r="A267" s="145" t="s">
        <v>4</v>
      </c>
      <c r="B267" s="142"/>
      <c r="C267" s="142"/>
      <c r="D267" s="143">
        <f>D121+D107</f>
        <v>0</v>
      </c>
      <c r="E267" s="144">
        <f>E121+E107</f>
        <v>0</v>
      </c>
    </row>
    <row r="268" spans="1:9" s="110" customFormat="1" ht="13.5" hidden="1" thickBot="1">
      <c r="A268" s="146" t="s">
        <v>90</v>
      </c>
      <c r="B268" s="142"/>
      <c r="C268" s="142"/>
      <c r="D268" s="147">
        <f>SUM(D263:D267)</f>
        <v>250</v>
      </c>
      <c r="E268" s="148" t="e">
        <f>SUM(E263:E267)</f>
        <v>#DIV/0!</v>
      </c>
    </row>
    <row r="269" spans="1:9" s="110" customFormat="1" ht="14.25" hidden="1" thickTop="1">
      <c r="A269" s="141"/>
      <c r="B269" s="142"/>
      <c r="C269" s="142"/>
      <c r="D269" s="142"/>
      <c r="E269" s="149"/>
    </row>
    <row r="270" spans="1:9" s="110" customFormat="1" ht="13.5" hidden="1">
      <c r="A270" s="141" t="s">
        <v>95</v>
      </c>
      <c r="B270" s="142"/>
      <c r="C270" s="142"/>
      <c r="D270" s="143" t="e">
        <f>D108+D122+D136+D150+D158+D167+D174+D180+D186+D192+D198+D204+D210+D217+D224</f>
        <v>#DIV/0!</v>
      </c>
      <c r="E270" s="144" t="e">
        <f>E108+E122+E136+E150+E158+E167+E174+E180+E186+E192+E198+E204+E210+E217+E224</f>
        <v>#DIV/0!</v>
      </c>
      <c r="F270" s="143"/>
      <c r="G270" s="143"/>
      <c r="H270" s="143"/>
      <c r="I270" s="143"/>
    </row>
    <row r="271" spans="1:9" s="110" customFormat="1" ht="13.5" hidden="1">
      <c r="A271" s="141"/>
      <c r="B271" s="142"/>
      <c r="C271" s="142"/>
      <c r="D271" s="143"/>
      <c r="E271" s="144"/>
      <c r="F271" s="143"/>
      <c r="G271" s="143"/>
      <c r="H271" s="143"/>
      <c r="I271" s="143"/>
    </row>
    <row r="272" spans="1:9" s="110" customFormat="1" hidden="1">
      <c r="A272" s="145" t="s">
        <v>86</v>
      </c>
      <c r="B272" s="142"/>
      <c r="C272" s="142"/>
      <c r="D272" s="143">
        <f>D136+D150</f>
        <v>0</v>
      </c>
      <c r="E272" s="144">
        <f>E136+E150</f>
        <v>0</v>
      </c>
    </row>
    <row r="273" spans="1:8" s="110" customFormat="1" hidden="1">
      <c r="A273" s="145" t="s">
        <v>93</v>
      </c>
      <c r="B273" s="142"/>
      <c r="C273" s="142"/>
      <c r="D273" s="143">
        <f>D158</f>
        <v>0</v>
      </c>
      <c r="E273" s="144">
        <f>E158</f>
        <v>0</v>
      </c>
    </row>
    <row r="274" spans="1:8" s="110" customFormat="1" hidden="1">
      <c r="A274" s="145" t="s">
        <v>89</v>
      </c>
      <c r="B274" s="142"/>
      <c r="C274" s="142"/>
      <c r="D274" s="143" t="e">
        <f>+D180+D186+D192+D198+D204+D210+D217+D224+D174+D167</f>
        <v>#DIV/0!</v>
      </c>
      <c r="E274" s="144" t="e">
        <f>+E180+E186+E192+E198+E204+E210+E217+E224+E174+E167</f>
        <v>#DIV/0!</v>
      </c>
    </row>
    <row r="275" spans="1:8" s="110" customFormat="1" hidden="1">
      <c r="A275" s="145" t="s">
        <v>4</v>
      </c>
      <c r="B275" s="142"/>
      <c r="C275" s="142"/>
      <c r="D275" s="143">
        <f>D122+D108</f>
        <v>0</v>
      </c>
      <c r="E275" s="144">
        <f>E122+E108</f>
        <v>0</v>
      </c>
    </row>
    <row r="276" spans="1:8" s="110" customFormat="1" ht="13.5" hidden="1" thickBot="1">
      <c r="A276" s="146" t="s">
        <v>90</v>
      </c>
      <c r="B276" s="142"/>
      <c r="C276" s="142"/>
      <c r="D276" s="147" t="e">
        <f>SUM(D271:D275)</f>
        <v>#DIV/0!</v>
      </c>
      <c r="E276" s="148" t="e">
        <f>SUM(E271:E275)</f>
        <v>#DIV/0!</v>
      </c>
    </row>
    <row r="277" spans="1:8" ht="13.5" hidden="1" thickTop="1">
      <c r="A277" s="132"/>
      <c r="B277" s="129"/>
      <c r="C277" s="129"/>
      <c r="D277" s="129"/>
      <c r="E277" s="150"/>
    </row>
    <row r="278" spans="1:8" ht="14.25" hidden="1" thickBot="1">
      <c r="A278" s="132"/>
      <c r="B278" s="151" t="s">
        <v>96</v>
      </c>
      <c r="C278" s="129"/>
      <c r="D278" s="152" t="e">
        <f>D236+D245+D254+D262+D270</f>
        <v>#DIV/0!</v>
      </c>
      <c r="E278" s="153" t="e">
        <f>E236+E245+E254+E262+E270</f>
        <v>#DIV/0!</v>
      </c>
      <c r="F278" s="102"/>
    </row>
    <row r="279" spans="1:8" ht="13.5" hidden="1" thickTop="1">
      <c r="A279" s="132"/>
      <c r="B279" s="129"/>
      <c r="C279" s="129"/>
      <c r="D279" s="129"/>
      <c r="E279" s="154"/>
    </row>
    <row r="280" spans="1:8" ht="13.5" hidden="1" thickBot="1">
      <c r="A280" s="155"/>
      <c r="B280" s="156"/>
      <c r="C280" s="156"/>
      <c r="D280" s="156"/>
      <c r="E280" s="157"/>
      <c r="F280" s="156"/>
      <c r="G280" s="156"/>
      <c r="H280" s="129"/>
    </row>
    <row r="281" spans="1:8" hidden="1"/>
    <row r="282" spans="1:8" hidden="1"/>
    <row r="283" spans="1:8" hidden="1">
      <c r="A283" s="158"/>
      <c r="B283" s="159"/>
      <c r="C283" s="159"/>
      <c r="D283" s="159"/>
      <c r="E283" s="160"/>
    </row>
    <row r="284" spans="1:8" hidden="1">
      <c r="A284" s="161" t="s">
        <v>40</v>
      </c>
      <c r="B284" s="162"/>
      <c r="C284" s="162"/>
      <c r="D284" s="162"/>
      <c r="E284" s="163"/>
    </row>
    <row r="285" spans="1:8" hidden="1">
      <c r="A285" s="164" t="s">
        <v>97</v>
      </c>
      <c r="B285" s="165" t="s">
        <v>98</v>
      </c>
      <c r="C285" s="165" t="s">
        <v>99</v>
      </c>
      <c r="D285" s="165" t="s">
        <v>100</v>
      </c>
      <c r="E285" s="163"/>
    </row>
    <row r="286" spans="1:8" hidden="1">
      <c r="A286" s="161" t="s">
        <v>101</v>
      </c>
      <c r="B286" s="166">
        <v>338493</v>
      </c>
      <c r="C286" s="166">
        <v>220439</v>
      </c>
      <c r="D286" s="166">
        <v>118054</v>
      </c>
      <c r="E286" s="163"/>
    </row>
    <row r="287" spans="1:8" hidden="1">
      <c r="A287" s="161" t="s">
        <v>102</v>
      </c>
      <c r="B287" s="167">
        <f>SUM(C287:D287)</f>
        <v>1</v>
      </c>
      <c r="C287" s="167">
        <f>C286/B286</f>
        <v>0.65123651006076932</v>
      </c>
      <c r="D287" s="167">
        <f>D286/B286</f>
        <v>0.34876348993923068</v>
      </c>
      <c r="E287" s="163"/>
    </row>
    <row r="288" spans="1:8" hidden="1">
      <c r="A288" s="161"/>
      <c r="B288" s="162"/>
      <c r="C288" s="162"/>
      <c r="D288" s="162"/>
      <c r="E288" s="163"/>
    </row>
    <row r="289" spans="1:5" hidden="1">
      <c r="A289" s="161" t="s">
        <v>40</v>
      </c>
      <c r="B289" s="162"/>
      <c r="C289" s="162"/>
      <c r="D289" s="162"/>
      <c r="E289" s="163"/>
    </row>
    <row r="290" spans="1:5" hidden="1">
      <c r="A290" s="164" t="s">
        <v>103</v>
      </c>
      <c r="B290" s="165" t="s">
        <v>98</v>
      </c>
      <c r="C290" s="165" t="s">
        <v>99</v>
      </c>
      <c r="D290" s="165" t="s">
        <v>100</v>
      </c>
      <c r="E290" s="168" t="s">
        <v>104</v>
      </c>
    </row>
    <row r="291" spans="1:5" hidden="1">
      <c r="A291" s="161" t="s">
        <v>105</v>
      </c>
      <c r="B291" s="166">
        <f>SUM(C291:E291)</f>
        <v>547114</v>
      </c>
      <c r="C291" s="166">
        <v>235358</v>
      </c>
      <c r="D291" s="166">
        <v>119444</v>
      </c>
      <c r="E291" s="169">
        <v>192312</v>
      </c>
    </row>
    <row r="292" spans="1:5" hidden="1">
      <c r="A292" s="161" t="s">
        <v>106</v>
      </c>
      <c r="B292" s="167">
        <f>SUM(C292:E292)</f>
        <v>1</v>
      </c>
      <c r="C292" s="167">
        <f>C291/B291</f>
        <v>0.43018091293587807</v>
      </c>
      <c r="D292" s="167">
        <f>D291/B291</f>
        <v>0.21831647517701977</v>
      </c>
      <c r="E292" s="170">
        <f>E291/B291</f>
        <v>0.35150261188710213</v>
      </c>
    </row>
    <row r="293" spans="1:5" hidden="1">
      <c r="A293" s="161"/>
      <c r="B293" s="162"/>
      <c r="C293" s="162"/>
      <c r="D293" s="162"/>
      <c r="E293" s="163"/>
    </row>
    <row r="294" spans="1:5" hidden="1">
      <c r="A294" s="161" t="s">
        <v>40</v>
      </c>
      <c r="B294" s="162"/>
      <c r="C294" s="162"/>
      <c r="D294" s="162"/>
      <c r="E294" s="163"/>
    </row>
    <row r="295" spans="1:5" ht="13.5" hidden="1">
      <c r="A295" s="171" t="s">
        <v>107</v>
      </c>
      <c r="B295" s="165" t="s">
        <v>98</v>
      </c>
      <c r="C295" s="165" t="s">
        <v>99</v>
      </c>
      <c r="D295" s="165" t="s">
        <v>100</v>
      </c>
      <c r="E295" s="163"/>
    </row>
    <row r="296" spans="1:5" hidden="1">
      <c r="A296" s="161" t="s">
        <v>108</v>
      </c>
      <c r="B296" s="166">
        <v>754679</v>
      </c>
      <c r="C296" s="166">
        <v>464805</v>
      </c>
      <c r="D296" s="166">
        <v>289874</v>
      </c>
      <c r="E296" s="163"/>
    </row>
    <row r="297" spans="1:5" hidden="1">
      <c r="A297" s="161" t="s">
        <v>109</v>
      </c>
      <c r="B297" s="167">
        <f>SUM(C297:D297)</f>
        <v>1</v>
      </c>
      <c r="C297" s="167">
        <f>C296/B296</f>
        <v>0.61589762004772886</v>
      </c>
      <c r="D297" s="167">
        <f>D296/B296</f>
        <v>0.38410237995227109</v>
      </c>
      <c r="E297" s="163"/>
    </row>
    <row r="298" spans="1:5" ht="13.5" hidden="1">
      <c r="A298" s="171"/>
      <c r="B298" s="162"/>
      <c r="C298" s="162"/>
      <c r="D298" s="162"/>
      <c r="E298" s="163"/>
    </row>
    <row r="299" spans="1:5" hidden="1">
      <c r="A299" s="161"/>
      <c r="B299" s="162"/>
      <c r="C299" s="162"/>
      <c r="D299" s="162"/>
      <c r="E299" s="163"/>
    </row>
    <row r="300" spans="1:5" ht="13.5" hidden="1">
      <c r="A300" s="171" t="s">
        <v>110</v>
      </c>
      <c r="B300" s="165" t="s">
        <v>98</v>
      </c>
      <c r="C300" s="165" t="s">
        <v>99</v>
      </c>
      <c r="D300" s="165" t="s">
        <v>100</v>
      </c>
      <c r="E300" s="163"/>
    </row>
    <row r="301" spans="1:5" hidden="1">
      <c r="A301" s="161" t="s">
        <v>106</v>
      </c>
      <c r="B301" s="172">
        <f>SUM(C301:D301)</f>
        <v>1</v>
      </c>
      <c r="C301" s="172">
        <v>0.65159999999999996</v>
      </c>
      <c r="D301" s="172">
        <v>0.34839999999999999</v>
      </c>
      <c r="E301" s="163"/>
    </row>
    <row r="302" spans="1:5" hidden="1">
      <c r="A302" s="161"/>
      <c r="B302" s="162"/>
      <c r="C302" s="162"/>
      <c r="D302" s="162"/>
      <c r="E302" s="163"/>
    </row>
    <row r="303" spans="1:5" hidden="1">
      <c r="A303" s="161"/>
      <c r="B303" s="162"/>
      <c r="C303" s="162"/>
      <c r="D303" s="162"/>
      <c r="E303" s="163"/>
    </row>
    <row r="304" spans="1:5" hidden="1">
      <c r="A304" s="161"/>
      <c r="B304" s="162"/>
      <c r="C304" s="162"/>
      <c r="D304" s="162"/>
      <c r="E304" s="163"/>
    </row>
    <row r="305" spans="1:5" hidden="1">
      <c r="A305" s="164" t="s">
        <v>111</v>
      </c>
      <c r="B305" s="165" t="s">
        <v>112</v>
      </c>
      <c r="C305" s="165" t="s">
        <v>68</v>
      </c>
      <c r="D305" s="165" t="s">
        <v>69</v>
      </c>
      <c r="E305" s="168" t="s">
        <v>113</v>
      </c>
    </row>
    <row r="306" spans="1:5" hidden="1">
      <c r="A306" s="161" t="s">
        <v>114</v>
      </c>
      <c r="B306" s="173">
        <f>SUM(C306:E306)</f>
        <v>0.99999999999999989</v>
      </c>
      <c r="C306" s="172">
        <v>0.72192999999999996</v>
      </c>
      <c r="D306" s="172">
        <v>0.19436999999999999</v>
      </c>
      <c r="E306" s="174">
        <v>8.3699999999999997E-2</v>
      </c>
    </row>
    <row r="307" spans="1:5" hidden="1">
      <c r="A307" s="161"/>
      <c r="B307" s="162"/>
      <c r="C307" s="162"/>
      <c r="D307" s="162"/>
      <c r="E307" s="163"/>
    </row>
    <row r="308" spans="1:5" hidden="1">
      <c r="A308" s="161"/>
      <c r="B308" s="162"/>
      <c r="C308" s="162"/>
      <c r="D308" s="162"/>
      <c r="E308" s="163"/>
    </row>
    <row r="309" spans="1:5" hidden="1">
      <c r="A309" s="161"/>
      <c r="B309" s="165" t="s">
        <v>98</v>
      </c>
      <c r="C309" s="165" t="s">
        <v>99</v>
      </c>
      <c r="D309" s="165" t="s">
        <v>100</v>
      </c>
      <c r="E309" s="163"/>
    </row>
    <row r="310" spans="1:5" hidden="1">
      <c r="A310" s="161" t="s">
        <v>115</v>
      </c>
      <c r="B310" s="173">
        <f>SUM(B306:B309)</f>
        <v>0.99999999999999989</v>
      </c>
      <c r="C310" s="172">
        <v>0.65097000000000005</v>
      </c>
      <c r="D310" s="172">
        <v>0.34903000000000001</v>
      </c>
      <c r="E310" s="163"/>
    </row>
    <row r="311" spans="1:5" hidden="1">
      <c r="A311" s="161"/>
      <c r="B311" s="173"/>
      <c r="C311" s="172"/>
      <c r="D311" s="172"/>
      <c r="E311" s="163"/>
    </row>
    <row r="312" spans="1:5" hidden="1">
      <c r="A312" s="161"/>
      <c r="B312" s="173"/>
      <c r="C312" s="172"/>
      <c r="D312" s="172"/>
      <c r="E312" s="163"/>
    </row>
    <row r="313" spans="1:5" hidden="1">
      <c r="A313" s="161"/>
      <c r="B313" s="165" t="s">
        <v>98</v>
      </c>
      <c r="C313" s="165" t="s">
        <v>99</v>
      </c>
      <c r="D313" s="165" t="s">
        <v>100</v>
      </c>
      <c r="E313" s="163"/>
    </row>
    <row r="314" spans="1:5" hidden="1">
      <c r="A314" s="161" t="s">
        <v>116</v>
      </c>
      <c r="B314" s="172">
        <f>SUM(C314:D314)</f>
        <v>1</v>
      </c>
      <c r="C314" s="172">
        <v>0.67505000000000004</v>
      </c>
      <c r="D314" s="172">
        <v>0.32495000000000002</v>
      </c>
      <c r="E314" s="163"/>
    </row>
    <row r="315" spans="1:5" hidden="1">
      <c r="A315" s="175"/>
      <c r="B315" s="176"/>
      <c r="C315" s="176"/>
      <c r="D315" s="176"/>
      <c r="E315" s="177"/>
    </row>
    <row r="316" spans="1:5" hidden="1">
      <c r="A316" s="178"/>
      <c r="B316" s="178"/>
      <c r="C316" s="178"/>
      <c r="D316" s="178"/>
      <c r="E316" s="178"/>
    </row>
    <row r="317" spans="1:5" hidden="1"/>
  </sheetData>
  <pageMargins left="0.75" right="0.25" top="0.75" bottom="1" header="0.5" footer="0.5"/>
  <pageSetup scale="91" fitToHeight="8" orientation="landscape" r:id="rId1"/>
  <headerFooter alignWithMargins="0">
    <oddHeader>&amp;R&amp;"Times New Roman,Regular"&amp;12Exhibit No.___(KHB-7)
Page &amp;P</oddHeader>
    <oddFooter>&amp;L&amp;"Times New Roman,Regular"&amp;12&amp;F &amp;A</oddFooter>
  </headerFooter>
  <rowBreaks count="9" manualBreakCount="9">
    <brk id="36" max="4" man="1"/>
    <brk id="70" max="4" man="1"/>
    <brk id="96" max="4" man="1"/>
    <brk id="124" max="4" man="1"/>
    <brk id="160" max="4" man="1"/>
    <brk id="193" max="4" man="1"/>
    <brk id="226" max="4" man="1"/>
    <brk id="261" max="4" man="1"/>
    <brk id="28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431C1-D72B-47C2-86F8-043DD611BBAF}"/>
</file>

<file path=customXml/itemProps2.xml><?xml version="1.0" encoding="utf-8"?>
<ds:datastoreItem xmlns:ds="http://schemas.openxmlformats.org/officeDocument/2006/customXml" ds:itemID="{3E8667EC-0BB0-4836-B824-BF0D12CEC244}"/>
</file>

<file path=customXml/itemProps3.xml><?xml version="1.0" encoding="utf-8"?>
<ds:datastoreItem xmlns:ds="http://schemas.openxmlformats.org/officeDocument/2006/customXml" ds:itemID="{27DAA980-250F-4576-AA2E-FE7AA540088F}"/>
</file>

<file path=customXml/itemProps4.xml><?xml version="1.0" encoding="utf-8"?>
<ds:datastoreItem xmlns:ds="http://schemas.openxmlformats.org/officeDocument/2006/customXml" ds:itemID="{0CE0828C-0C51-4A55-9B6B-A8261E63C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ADJ 3.08</vt:lpstr>
      <vt:lpstr>Calculation</vt:lpstr>
      <vt:lpstr>2012 Allocations-All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Breda, Kathryn (UTC)</cp:lastModifiedBy>
  <cp:lastPrinted>2012-09-18T16:47:36Z</cp:lastPrinted>
  <dcterms:created xsi:type="dcterms:W3CDTF">2009-02-25T21:21:21Z</dcterms:created>
  <dcterms:modified xsi:type="dcterms:W3CDTF">2012-09-18T16:53:45Z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