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8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210" windowWidth="20100" windowHeight="9090" tabRatio="912"/>
  </bookViews>
  <sheets>
    <sheet name="Rate Impacts_RY#1" sheetId="72" r:id="rId1"/>
    <sheet name="Rate Impacts_RY#2" sheetId="77" r:id="rId2"/>
    <sheet name="Rate Impacts_RY#3" sheetId="78" r:id="rId3"/>
    <sheet name="Res Bill Summary" sheetId="82" r:id="rId4"/>
    <sheet name="Res Bill RY#1" sheetId="36" r:id="rId5"/>
    <sheet name="Res Bill RY#2" sheetId="80" r:id="rId6"/>
    <sheet name="Res Bill RY#3" sheetId="81" r:id="rId7"/>
    <sheet name="Typical Res Bill RY#1" sheetId="84" r:id="rId8"/>
    <sheet name="Typical Res Bill RY#2" sheetId="85" r:id="rId9"/>
    <sheet name="Typical Res Bill RY#3" sheetId="86" r:id="rId10"/>
    <sheet name="Schedule 24 Impacts" sheetId="37" r:id="rId11"/>
    <sheet name="Schedule 25 Impacts" sheetId="38" r:id="rId12"/>
    <sheet name="Schedule 26 Impacts" sheetId="39" r:id="rId13"/>
    <sheet name="Schedule 29 Impacts" sheetId="40" r:id="rId14"/>
    <sheet name="Schedule 31 Impacts" sheetId="41" r:id="rId15"/>
    <sheet name="Schedule 46 Impacts" sheetId="42" r:id="rId16"/>
    <sheet name="Schedule 49 Impacts" sheetId="43" r:id="rId17"/>
  </sheets>
  <definedNames>
    <definedName name="_xlnm.Print_Area" localSheetId="0">'Rate Impacts_RY#1'!$A$1:$AQ$32</definedName>
    <definedName name="_xlnm.Print_Area" localSheetId="1">'Rate Impacts_RY#2'!$A$1:$R$28</definedName>
    <definedName name="_xlnm.Print_Area" localSheetId="2">'Rate Impacts_RY#3'!$A$1:$R$28</definedName>
    <definedName name="_xlnm.Print_Area" localSheetId="4">'Res Bill RY#1'!$A$1:$U$44</definedName>
    <definedName name="_xlnm.Print_Area" localSheetId="5">'Res Bill RY#2'!$A$1:$U$44</definedName>
    <definedName name="_xlnm.Print_Area" localSheetId="6">'Res Bill RY#3'!$A$1:$U$44</definedName>
    <definedName name="_xlnm.Print_Area" localSheetId="3">'Res Bill Summary'!$A$1:$S$37</definedName>
    <definedName name="_xlnm.Print_Area" localSheetId="10">'Schedule 24 Impacts'!$A$1:$AB$46</definedName>
    <definedName name="_xlnm.Print_Area" localSheetId="11">'Schedule 25 Impacts'!$A$1:$S$63</definedName>
    <definedName name="_xlnm.Print_Area" localSheetId="12">'Schedule 26 Impacts'!$A$1:$S$49</definedName>
    <definedName name="_xlnm.Print_Area" localSheetId="13">'Schedule 29 Impacts'!$B$1:$S$63</definedName>
    <definedName name="_xlnm.Print_Area" localSheetId="14">'Schedule 31 Impacts'!$A$1:$S$49</definedName>
    <definedName name="_xlnm.Print_Area" localSheetId="15">'Schedule 46 Impacts'!$A$1:$R$41</definedName>
    <definedName name="_xlnm.Print_Area" localSheetId="16">'Schedule 49 Impacts'!$A$1:$R$41</definedName>
    <definedName name="_xlnm.Print_Area" localSheetId="7">'Typical Res Bill RY#1'!$A$1:$AF$42</definedName>
    <definedName name="_xlnm.Print_Area" localSheetId="8">'Typical Res Bill RY#2'!$A$1:$Q$42</definedName>
    <definedName name="_xlnm.Print_Area" localSheetId="9">'Typical Res Bill RY#3'!$A$1:$Q$42</definedName>
    <definedName name="_xlnm.Print_Titles" localSheetId="0">'Rate Impacts_RY#1'!$A:$B</definedName>
    <definedName name="_xlnm.Print_Titles" localSheetId="1">'Rate Impacts_RY#2'!$A:$B</definedName>
    <definedName name="_xlnm.Print_Titles" localSheetId="2">'Rate Impacts_RY#3'!$A:$B</definedName>
  </definedNames>
  <calcPr calcId="162913" calcOnSave="0"/>
</workbook>
</file>

<file path=xl/calcChain.xml><?xml version="1.0" encoding="utf-8"?>
<calcChain xmlns="http://schemas.openxmlformats.org/spreadsheetml/2006/main">
  <c r="B39" i="37" l="1"/>
  <c r="S30" i="40" l="1"/>
  <c r="AA17" i="37"/>
  <c r="AB17" i="37" l="1"/>
  <c r="S31" i="40"/>
  <c r="F31" i="86" l="1"/>
  <c r="F28" i="86"/>
  <c r="F19" i="86"/>
  <c r="F18" i="86"/>
  <c r="F31" i="85"/>
  <c r="F28" i="85"/>
  <c r="F19" i="85"/>
  <c r="F18" i="85"/>
  <c r="C19" i="86" l="1"/>
  <c r="I19" i="86" s="1"/>
  <c r="C18" i="86"/>
  <c r="I18" i="86" s="1"/>
  <c r="A9" i="86"/>
  <c r="A10" i="86" s="1"/>
  <c r="A11" i="86" s="1"/>
  <c r="A12" i="86" s="1"/>
  <c r="A13" i="86" s="1"/>
  <c r="A14" i="86" s="1"/>
  <c r="A15" i="86" s="1"/>
  <c r="A16" i="86" s="1"/>
  <c r="A17" i="86" s="1"/>
  <c r="A18" i="86" s="1"/>
  <c r="A19" i="86" s="1"/>
  <c r="A20" i="86" s="1"/>
  <c r="A21" i="86" s="1"/>
  <c r="A22" i="86" s="1"/>
  <c r="A23" i="86" s="1"/>
  <c r="A24" i="86" s="1"/>
  <c r="A25" i="86" s="1"/>
  <c r="A26" i="86" s="1"/>
  <c r="A27" i="86" s="1"/>
  <c r="A28" i="86" s="1"/>
  <c r="A29" i="86" s="1"/>
  <c r="A30" i="86" s="1"/>
  <c r="A31" i="86" s="1"/>
  <c r="A32" i="86" s="1"/>
  <c r="A33" i="86" s="1"/>
  <c r="A34" i="86" s="1"/>
  <c r="A35" i="86" s="1"/>
  <c r="A36" i="86" s="1"/>
  <c r="A37" i="86" s="1"/>
  <c r="A38" i="86" s="1"/>
  <c r="A39" i="86" s="1"/>
  <c r="A40" i="86" s="1"/>
  <c r="A9" i="85"/>
  <c r="A10" i="85" s="1"/>
  <c r="A11" i="85" s="1"/>
  <c r="A12" i="85" s="1"/>
  <c r="A13" i="85" s="1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A32" i="85" s="1"/>
  <c r="A33" i="85" s="1"/>
  <c r="A34" i="85" s="1"/>
  <c r="A35" i="85" s="1"/>
  <c r="A36" i="85" s="1"/>
  <c r="A37" i="85" s="1"/>
  <c r="A38" i="85" s="1"/>
  <c r="A39" i="85" s="1"/>
  <c r="A40" i="85" s="1"/>
  <c r="A10" i="84"/>
  <c r="A11" i="84"/>
  <c r="A12" i="84"/>
  <c r="A13" i="84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A32" i="84" s="1"/>
  <c r="A33" i="84" s="1"/>
  <c r="A34" i="84" s="1"/>
  <c r="A35" i="84" s="1"/>
  <c r="A36" i="84" s="1"/>
  <c r="A37" i="84" s="1"/>
  <c r="A38" i="84" s="1"/>
  <c r="A39" i="84" s="1"/>
  <c r="A40" i="84" s="1"/>
  <c r="A9" i="84"/>
  <c r="C31" i="85"/>
  <c r="O31" i="85" s="1"/>
  <c r="C31" i="86" s="1"/>
  <c r="I31" i="86" s="1"/>
  <c r="C28" i="85"/>
  <c r="O28" i="85" s="1"/>
  <c r="C28" i="86" s="1"/>
  <c r="I28" i="86" s="1"/>
  <c r="C19" i="85"/>
  <c r="O19" i="85" s="1"/>
  <c r="C18" i="85"/>
  <c r="O18" i="85" s="1"/>
  <c r="C8" i="85"/>
  <c r="AD31" i="84"/>
  <c r="AD28" i="84"/>
  <c r="AD19" i="84"/>
  <c r="AD18" i="84"/>
  <c r="AA27" i="84"/>
  <c r="AA26" i="84"/>
  <c r="AA25" i="84"/>
  <c r="X27" i="84"/>
  <c r="X26" i="84"/>
  <c r="X25" i="84"/>
  <c r="U26" i="84"/>
  <c r="U25" i="84"/>
  <c r="R27" i="84"/>
  <c r="R25" i="84"/>
  <c r="O27" i="84"/>
  <c r="O26" i="84"/>
  <c r="L27" i="84"/>
  <c r="L26" i="84"/>
  <c r="L25" i="84"/>
  <c r="I25" i="84"/>
  <c r="I26" i="84"/>
  <c r="I27" i="84"/>
  <c r="AD8" i="84"/>
  <c r="AA8" i="84"/>
  <c r="O8" i="84"/>
  <c r="I8" i="84"/>
  <c r="L8" i="84"/>
  <c r="C25" i="84"/>
  <c r="F25" i="84" s="1"/>
  <c r="C26" i="84"/>
  <c r="F26" i="84" s="1"/>
  <c r="C27" i="84"/>
  <c r="F27" i="84" s="1"/>
  <c r="X8" i="84"/>
  <c r="U8" i="84"/>
  <c r="R8" i="84"/>
  <c r="F8" i="84"/>
  <c r="O8" i="85" l="1"/>
  <c r="F8" i="85"/>
  <c r="C8" i="86"/>
  <c r="I18" i="85"/>
  <c r="L31" i="85"/>
  <c r="I8" i="85"/>
  <c r="L8" i="85"/>
  <c r="I31" i="85"/>
  <c r="L28" i="85"/>
  <c r="O28" i="86"/>
  <c r="I28" i="85"/>
  <c r="O18" i="86"/>
  <c r="L28" i="86"/>
  <c r="L19" i="85"/>
  <c r="L19" i="86"/>
  <c r="L31" i="86"/>
  <c r="I19" i="85"/>
  <c r="L18" i="86"/>
  <c r="O19" i="86"/>
  <c r="O31" i="86"/>
  <c r="L18" i="85"/>
  <c r="O8" i="86" l="1"/>
  <c r="F8" i="86"/>
  <c r="I8" i="86"/>
  <c r="L8" i="86"/>
  <c r="N7" i="82"/>
  <c r="R7" i="82" s="1"/>
  <c r="O7" i="82"/>
  <c r="S7" i="82" s="1"/>
  <c r="M7" i="82"/>
  <c r="Q7" i="82" s="1"/>
  <c r="B31" i="82"/>
  <c r="B9" i="82"/>
  <c r="B10" i="82"/>
  <c r="B11" i="82"/>
  <c r="B12" i="82"/>
  <c r="B13" i="82"/>
  <c r="B14" i="82"/>
  <c r="B15" i="82"/>
  <c r="B16" i="82"/>
  <c r="B17" i="82"/>
  <c r="B18" i="82"/>
  <c r="B19" i="82"/>
  <c r="B20" i="82"/>
  <c r="B21" i="82"/>
  <c r="B22" i="82"/>
  <c r="B23" i="82"/>
  <c r="B24" i="82"/>
  <c r="B25" i="82"/>
  <c r="B26" i="82"/>
  <c r="B27" i="82"/>
  <c r="B28" i="82"/>
  <c r="B29" i="82"/>
  <c r="B30" i="82"/>
  <c r="B8" i="82"/>
  <c r="P19" i="81"/>
  <c r="P18" i="81"/>
  <c r="P17" i="81"/>
  <c r="Q24" i="80"/>
  <c r="S24" i="80" s="1"/>
  <c r="Q24" i="81" s="1"/>
  <c r="S24" i="81" s="1"/>
  <c r="Q33" i="80"/>
  <c r="S33" i="80" s="1"/>
  <c r="Q33" i="81" s="1"/>
  <c r="S33" i="81" s="1"/>
  <c r="Q36" i="80"/>
  <c r="S36" i="80" s="1"/>
  <c r="Q36" i="81" s="1"/>
  <c r="S36" i="81" s="1"/>
  <c r="Q23" i="80"/>
  <c r="S23" i="80" s="1"/>
  <c r="Q23" i="81" s="1"/>
  <c r="P19" i="80"/>
  <c r="P18" i="80"/>
  <c r="P17" i="80"/>
  <c r="A11" i="78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10" i="78"/>
  <c r="A10" i="77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S23" i="81" l="1"/>
  <c r="A10" i="72" l="1"/>
  <c r="A11" i="72" s="1"/>
  <c r="A12" i="72" l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M27" i="43" l="1"/>
  <c r="M28" i="43"/>
  <c r="M29" i="43"/>
  <c r="M27" i="42"/>
  <c r="M28" i="42"/>
  <c r="M29" i="42"/>
  <c r="N51" i="40"/>
  <c r="N52" i="40"/>
  <c r="N53" i="40"/>
  <c r="N35" i="39"/>
  <c r="N35" i="41" s="1"/>
  <c r="N36" i="39"/>
  <c r="N36" i="41" s="1"/>
  <c r="N37" i="39"/>
  <c r="N37" i="41" s="1"/>
  <c r="N46" i="38" l="1"/>
  <c r="N47" i="38"/>
  <c r="N48" i="38"/>
  <c r="T29" i="37"/>
  <c r="T30" i="37"/>
  <c r="T31" i="37"/>
  <c r="E8" i="82" l="1"/>
  <c r="F8" i="82"/>
  <c r="E9" i="82"/>
  <c r="F9" i="82"/>
  <c r="E10" i="82"/>
  <c r="F10" i="82"/>
  <c r="E11" i="82"/>
  <c r="F11" i="82"/>
  <c r="E12" i="82"/>
  <c r="F12" i="82"/>
  <c r="E13" i="82"/>
  <c r="F13" i="82"/>
  <c r="E14" i="82"/>
  <c r="F14" i="82"/>
  <c r="E15" i="82"/>
  <c r="F15" i="82"/>
  <c r="E16" i="82"/>
  <c r="F16" i="82"/>
  <c r="E17" i="82"/>
  <c r="F17" i="82"/>
  <c r="E18" i="82"/>
  <c r="F18" i="82"/>
  <c r="E19" i="82"/>
  <c r="F19" i="82"/>
  <c r="E20" i="82"/>
  <c r="F20" i="82"/>
  <c r="E21" i="82"/>
  <c r="F21" i="82"/>
  <c r="E22" i="82"/>
  <c r="F22" i="82"/>
  <c r="E23" i="82"/>
  <c r="F23" i="82"/>
  <c r="E24" i="82"/>
  <c r="F24" i="82"/>
  <c r="E25" i="82"/>
  <c r="F25" i="82"/>
  <c r="E26" i="82"/>
  <c r="F26" i="82"/>
  <c r="E27" i="82"/>
  <c r="F27" i="82"/>
  <c r="E28" i="82"/>
  <c r="F28" i="82"/>
  <c r="E29" i="82"/>
  <c r="F29" i="82"/>
  <c r="E30" i="82"/>
  <c r="F30" i="82"/>
  <c r="E31" i="82"/>
  <c r="F31" i="82"/>
  <c r="D30" i="82"/>
  <c r="D31" i="82"/>
  <c r="D26" i="82"/>
  <c r="D27" i="82"/>
  <c r="D28" i="82"/>
  <c r="D29" i="82"/>
  <c r="D11" i="82"/>
  <c r="D12" i="82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9" i="82"/>
  <c r="D10" i="82"/>
  <c r="D8" i="82"/>
  <c r="P26" i="43" l="1"/>
  <c r="P32" i="43"/>
  <c r="P24" i="43"/>
  <c r="P23" i="43"/>
  <c r="M21" i="43"/>
  <c r="M22" i="43"/>
  <c r="M23" i="43"/>
  <c r="M24" i="43"/>
  <c r="M25" i="43"/>
  <c r="M26" i="43"/>
  <c r="M30" i="43"/>
  <c r="M31" i="43"/>
  <c r="M32" i="43"/>
  <c r="M33" i="43"/>
  <c r="M20" i="43"/>
  <c r="N13" i="43"/>
  <c r="P26" i="42"/>
  <c r="P32" i="42"/>
  <c r="P24" i="42"/>
  <c r="P23" i="42"/>
  <c r="M31" i="42"/>
  <c r="M32" i="42"/>
  <c r="M33" i="42"/>
  <c r="M21" i="42"/>
  <c r="M22" i="42"/>
  <c r="M23" i="42"/>
  <c r="M24" i="42"/>
  <c r="M25" i="42"/>
  <c r="M26" i="42"/>
  <c r="M30" i="42"/>
  <c r="M20" i="42"/>
  <c r="N13" i="42"/>
  <c r="Q34" i="41"/>
  <c r="Q32" i="41"/>
  <c r="Q31" i="41"/>
  <c r="N40" i="41"/>
  <c r="N41" i="41"/>
  <c r="N42" i="41"/>
  <c r="N43" i="41"/>
  <c r="O18" i="41"/>
  <c r="O10" i="41"/>
  <c r="O23" i="40"/>
  <c r="O24" i="40"/>
  <c r="Q47" i="40"/>
  <c r="Q58" i="40"/>
  <c r="Q50" i="40"/>
  <c r="N58" i="40"/>
  <c r="N45" i="40"/>
  <c r="N46" i="40"/>
  <c r="N47" i="40"/>
  <c r="N48" i="40"/>
  <c r="N49" i="40"/>
  <c r="N50" i="40"/>
  <c r="N54" i="40"/>
  <c r="N55" i="40"/>
  <c r="N56" i="40"/>
  <c r="N57" i="40"/>
  <c r="N44" i="40"/>
  <c r="Q21" i="40"/>
  <c r="O27" i="40"/>
  <c r="O21" i="40"/>
  <c r="O11" i="40"/>
  <c r="O10" i="40"/>
  <c r="Q31" i="39"/>
  <c r="Q34" i="39"/>
  <c r="Q32" i="39"/>
  <c r="N29" i="39"/>
  <c r="N29" i="41" s="1"/>
  <c r="N30" i="39"/>
  <c r="N30" i="41" s="1"/>
  <c r="N31" i="39"/>
  <c r="N31" i="41" s="1"/>
  <c r="N32" i="39"/>
  <c r="N32" i="41" s="1"/>
  <c r="N33" i="39"/>
  <c r="N33" i="41" s="1"/>
  <c r="N34" i="39"/>
  <c r="N34" i="41" s="1"/>
  <c r="N38" i="39"/>
  <c r="N38" i="41" s="1"/>
  <c r="N39" i="39"/>
  <c r="N39" i="41" s="1"/>
  <c r="N28" i="39"/>
  <c r="N28" i="41" s="1"/>
  <c r="O18" i="39"/>
  <c r="O10" i="39"/>
  <c r="N51" i="38"/>
  <c r="N52" i="38"/>
  <c r="N40" i="38"/>
  <c r="N41" i="38"/>
  <c r="N42" i="38"/>
  <c r="N43" i="38"/>
  <c r="N44" i="38"/>
  <c r="N45" i="38"/>
  <c r="N49" i="38"/>
  <c r="N50" i="38"/>
  <c r="N39" i="38"/>
  <c r="O24" i="38"/>
  <c r="O21" i="38"/>
  <c r="O20" i="38"/>
  <c r="O10" i="38"/>
  <c r="Y28" i="37" l="1"/>
  <c r="Y26" i="37"/>
  <c r="Y25" i="37"/>
  <c r="T26" i="37"/>
  <c r="T27" i="37"/>
  <c r="T28" i="37"/>
  <c r="T32" i="37"/>
  <c r="T33" i="37"/>
  <c r="T34" i="37"/>
  <c r="T35" i="37"/>
  <c r="T23" i="37"/>
  <c r="T24" i="37"/>
  <c r="T25" i="37"/>
  <c r="T22" i="37"/>
  <c r="V10" i="37"/>
  <c r="U10" i="37"/>
  <c r="C32" i="84" l="1"/>
  <c r="F32" i="84" l="1"/>
  <c r="X32" i="84"/>
  <c r="R32" i="84"/>
  <c r="L32" i="84"/>
  <c r="AA32" i="84"/>
  <c r="AD32" i="84" s="1"/>
  <c r="C32" i="85" s="1"/>
  <c r="U32" i="84"/>
  <c r="O32" i="84"/>
  <c r="I32" i="84"/>
  <c r="S37" i="36"/>
  <c r="Q37" i="80" s="1"/>
  <c r="S37" i="80" s="1"/>
  <c r="Q37" i="81" s="1"/>
  <c r="S37" i="81" s="1"/>
  <c r="S34" i="36" l="1"/>
  <c r="Q34" i="80" s="1"/>
  <c r="S34" i="80" s="1"/>
  <c r="Q34" i="81" s="1"/>
  <c r="S34" i="81" s="1"/>
  <c r="C29" i="84"/>
  <c r="L32" i="85"/>
  <c r="F32" i="85"/>
  <c r="I32" i="85"/>
  <c r="O32" i="85"/>
  <c r="C32" i="86" s="1"/>
  <c r="C16" i="84"/>
  <c r="C15" i="84"/>
  <c r="F29" i="84" l="1"/>
  <c r="AA29" i="84"/>
  <c r="AD29" i="84" s="1"/>
  <c r="C29" i="85" s="1"/>
  <c r="U29" i="84"/>
  <c r="O29" i="84"/>
  <c r="R29" i="84"/>
  <c r="L29" i="84"/>
  <c r="X29" i="84"/>
  <c r="I29" i="84"/>
  <c r="F32" i="86"/>
  <c r="O32" i="86"/>
  <c r="I32" i="86"/>
  <c r="L32" i="86"/>
  <c r="U15" i="84"/>
  <c r="O15" i="84"/>
  <c r="L15" i="84"/>
  <c r="I15" i="84"/>
  <c r="AA15" i="84"/>
  <c r="R15" i="84"/>
  <c r="X15" i="84"/>
  <c r="Q9" i="36"/>
  <c r="C11" i="84"/>
  <c r="AA16" i="84"/>
  <c r="U16" i="84"/>
  <c r="O16" i="84"/>
  <c r="L16" i="84"/>
  <c r="R16" i="84"/>
  <c r="X16" i="84"/>
  <c r="I16" i="84"/>
  <c r="O29" i="85" l="1"/>
  <c r="C29" i="86" s="1"/>
  <c r="F29" i="85"/>
  <c r="L29" i="85"/>
  <c r="I29" i="85"/>
  <c r="X11" i="84"/>
  <c r="Y11" i="84" s="1"/>
  <c r="Y12" i="84" s="1"/>
  <c r="L11" i="84"/>
  <c r="M11" i="84" s="1"/>
  <c r="M12" i="84" s="1"/>
  <c r="AA11" i="84"/>
  <c r="AB11" i="84" s="1"/>
  <c r="AB12" i="84" s="1"/>
  <c r="U11" i="84"/>
  <c r="V11" i="84" s="1"/>
  <c r="V12" i="84" s="1"/>
  <c r="I11" i="84"/>
  <c r="J11" i="84"/>
  <c r="J12" i="84" s="1"/>
  <c r="R11" i="84"/>
  <c r="S11" i="84" s="1"/>
  <c r="S12" i="84" s="1"/>
  <c r="O11" i="84"/>
  <c r="P11" i="84" s="1"/>
  <c r="P12" i="84" s="1"/>
  <c r="D11" i="84"/>
  <c r="D12" i="84" s="1"/>
  <c r="O29" i="86" l="1"/>
  <c r="F29" i="86"/>
  <c r="L29" i="86"/>
  <c r="I29" i="86"/>
  <c r="P33" i="42" l="1"/>
  <c r="C31" i="84"/>
  <c r="C28" i="84"/>
  <c r="F28" i="84" l="1"/>
  <c r="R28" i="84"/>
  <c r="L28" i="84"/>
  <c r="AA28" i="84"/>
  <c r="U28" i="84"/>
  <c r="O28" i="84"/>
  <c r="I28" i="84"/>
  <c r="F31" i="84"/>
  <c r="X31" i="84"/>
  <c r="R31" i="84"/>
  <c r="L31" i="84"/>
  <c r="I31" i="84"/>
  <c r="O31" i="84"/>
  <c r="U31" i="84"/>
  <c r="M23" i="72"/>
  <c r="Q41" i="41"/>
  <c r="O14" i="41"/>
  <c r="O15" i="41"/>
  <c r="Q41" i="39"/>
  <c r="O15" i="39"/>
  <c r="O14" i="39"/>
  <c r="P33" i="43"/>
  <c r="Q40" i="39" l="1"/>
  <c r="Q51" i="38"/>
  <c r="Q40" i="41"/>
  <c r="Y34" i="37"/>
  <c r="Q56" i="40"/>
  <c r="C18" i="84"/>
  <c r="C19" i="84"/>
  <c r="F19" i="84" l="1"/>
  <c r="X19" i="84"/>
  <c r="R19" i="84"/>
  <c r="I19" i="84"/>
  <c r="AA19" i="84"/>
  <c r="U19" i="84"/>
  <c r="O19" i="84"/>
  <c r="F18" i="84"/>
  <c r="AA18" i="84"/>
  <c r="X18" i="84"/>
  <c r="R18" i="84"/>
  <c r="L18" i="84"/>
  <c r="U18" i="84"/>
  <c r="O18" i="84"/>
  <c r="M32" i="72"/>
  <c r="C20" i="84" l="1"/>
  <c r="F20" i="84" l="1"/>
  <c r="L20" i="84"/>
  <c r="AD20" i="84"/>
  <c r="C20" i="85" s="1"/>
  <c r="X20" i="84"/>
  <c r="R20" i="84"/>
  <c r="AA20" i="84"/>
  <c r="U20" i="84"/>
  <c r="O20" i="84"/>
  <c r="I20" i="84"/>
  <c r="Y24" i="37"/>
  <c r="S25" i="36"/>
  <c r="Q25" i="80" s="1"/>
  <c r="S25" i="80" s="1"/>
  <c r="Q25" i="81" s="1"/>
  <c r="S25" i="81" s="1"/>
  <c r="P22" i="42"/>
  <c r="Q46" i="40"/>
  <c r="S27" i="36" l="1"/>
  <c r="Q27" i="80" s="1"/>
  <c r="S27" i="80" s="1"/>
  <c r="Q27" i="81" s="1"/>
  <c r="S27" i="81" s="1"/>
  <c r="C22" i="84"/>
  <c r="S26" i="36"/>
  <c r="Q26" i="80" s="1"/>
  <c r="S26" i="80" s="1"/>
  <c r="Q26" i="81" s="1"/>
  <c r="S26" i="81" s="1"/>
  <c r="C21" i="84"/>
  <c r="I20" i="85"/>
  <c r="F20" i="85"/>
  <c r="L20" i="85"/>
  <c r="O20" i="85"/>
  <c r="C20" i="86" s="1"/>
  <c r="P22" i="43"/>
  <c r="S28" i="36" l="1"/>
  <c r="Q28" i="80" s="1"/>
  <c r="S28" i="80" s="1"/>
  <c r="Q28" i="81" s="1"/>
  <c r="S28" i="81" s="1"/>
  <c r="C23" i="84"/>
  <c r="I20" i="86"/>
  <c r="F20" i="86"/>
  <c r="O20" i="86"/>
  <c r="L20" i="86"/>
  <c r="F21" i="84"/>
  <c r="AA21" i="84"/>
  <c r="U21" i="84"/>
  <c r="O21" i="84"/>
  <c r="L21" i="84"/>
  <c r="X21" i="84"/>
  <c r="R21" i="84"/>
  <c r="AD21" i="84"/>
  <c r="C21" i="85" s="1"/>
  <c r="I21" i="84"/>
  <c r="F22" i="84"/>
  <c r="AD22" i="84"/>
  <c r="C22" i="85" s="1"/>
  <c r="I22" i="84"/>
  <c r="U22" i="84"/>
  <c r="O22" i="84"/>
  <c r="X22" i="84"/>
  <c r="R22" i="84"/>
  <c r="L22" i="84"/>
  <c r="AA22" i="84"/>
  <c r="Q49" i="40"/>
  <c r="P25" i="42"/>
  <c r="N14" i="42"/>
  <c r="P25" i="43"/>
  <c r="N14" i="43"/>
  <c r="C24" i="84"/>
  <c r="L22" i="85" l="1"/>
  <c r="F22" i="85"/>
  <c r="O22" i="85"/>
  <c r="C22" i="86" s="1"/>
  <c r="I22" i="85"/>
  <c r="O21" i="85"/>
  <c r="C21" i="86" s="1"/>
  <c r="F21" i="85"/>
  <c r="L21" i="85"/>
  <c r="I21" i="85"/>
  <c r="F23" i="84"/>
  <c r="X23" i="84"/>
  <c r="R23" i="84"/>
  <c r="AD23" i="84"/>
  <c r="C23" i="85" s="1"/>
  <c r="L23" i="84"/>
  <c r="I23" i="84"/>
  <c r="AA23" i="84"/>
  <c r="U23" i="84"/>
  <c r="O23" i="84"/>
  <c r="S35" i="36"/>
  <c r="Q35" i="80" s="1"/>
  <c r="S35" i="80" s="1"/>
  <c r="Q35" i="81" s="1"/>
  <c r="S35" i="81" s="1"/>
  <c r="C30" i="84"/>
  <c r="F24" i="84"/>
  <c r="L24" i="84"/>
  <c r="AA24" i="84"/>
  <c r="U24" i="84"/>
  <c r="O24" i="84"/>
  <c r="X24" i="84"/>
  <c r="AD24" i="84"/>
  <c r="C24" i="85" s="1"/>
  <c r="I24" i="84"/>
  <c r="R24" i="84"/>
  <c r="Q48" i="40"/>
  <c r="O13" i="40"/>
  <c r="O18" i="40"/>
  <c r="O17" i="40"/>
  <c r="O14" i="40"/>
  <c r="S29" i="36"/>
  <c r="Q29" i="80" s="1"/>
  <c r="S29" i="80" s="1"/>
  <c r="Q29" i="81" s="1"/>
  <c r="S29" i="81" s="1"/>
  <c r="Q11" i="36"/>
  <c r="Q12" i="36"/>
  <c r="F30" i="84" l="1"/>
  <c r="U30" i="84"/>
  <c r="O30" i="84"/>
  <c r="I30" i="84"/>
  <c r="I35" i="84" s="1"/>
  <c r="J35" i="84" s="1"/>
  <c r="AA30" i="84"/>
  <c r="X30" i="84"/>
  <c r="X35" i="84" s="1"/>
  <c r="Y35" i="84" s="1"/>
  <c r="R30" i="84"/>
  <c r="L30" i="84"/>
  <c r="L34" i="84" s="1"/>
  <c r="M34" i="84" s="1"/>
  <c r="C34" i="84"/>
  <c r="D34" i="84" s="1"/>
  <c r="I21" i="86"/>
  <c r="F21" i="86"/>
  <c r="O21" i="86"/>
  <c r="L21" i="86"/>
  <c r="O23" i="85"/>
  <c r="C23" i="86" s="1"/>
  <c r="F23" i="85"/>
  <c r="I23" i="85"/>
  <c r="L23" i="85"/>
  <c r="X34" i="84"/>
  <c r="Y34" i="84" s="1"/>
  <c r="I24" i="85"/>
  <c r="F24" i="85"/>
  <c r="L24" i="85"/>
  <c r="O24" i="85"/>
  <c r="C24" i="86" s="1"/>
  <c r="C35" i="84"/>
  <c r="D35" i="84" s="1"/>
  <c r="I22" i="86"/>
  <c r="F22" i="86"/>
  <c r="O22" i="86"/>
  <c r="L22" i="86"/>
  <c r="H9" i="36"/>
  <c r="H8" i="82" s="1"/>
  <c r="H18" i="36"/>
  <c r="H17" i="82" s="1"/>
  <c r="L35" i="84" l="1"/>
  <c r="M35" i="84" s="1"/>
  <c r="M36" i="84" s="1"/>
  <c r="M38" i="84" s="1"/>
  <c r="M39" i="84" s="1"/>
  <c r="M40" i="84" s="1"/>
  <c r="I24" i="86"/>
  <c r="F24" i="86"/>
  <c r="O24" i="86"/>
  <c r="L24" i="86"/>
  <c r="I34" i="84"/>
  <c r="J34" i="84" s="1"/>
  <c r="J36" i="84" s="1"/>
  <c r="J38" i="84" s="1"/>
  <c r="Y36" i="84"/>
  <c r="Y38" i="84" s="1"/>
  <c r="Y39" i="84" s="1"/>
  <c r="Y40" i="84" s="1"/>
  <c r="F23" i="86"/>
  <c r="I23" i="86"/>
  <c r="L23" i="86"/>
  <c r="O23" i="86"/>
  <c r="D36" i="84"/>
  <c r="D38" i="84" s="1"/>
  <c r="AD30" i="84"/>
  <c r="C30" i="85" s="1"/>
  <c r="AA34" i="84"/>
  <c r="AB34" i="84" s="1"/>
  <c r="AA35" i="84"/>
  <c r="AB35" i="84" s="1"/>
  <c r="AB36" i="84" s="1"/>
  <c r="AB38" i="84" s="1"/>
  <c r="AB39" i="84" s="1"/>
  <c r="AB40" i="84" s="1"/>
  <c r="M18" i="43"/>
  <c r="M17" i="43"/>
  <c r="M18" i="42"/>
  <c r="M17" i="42"/>
  <c r="N26" i="41"/>
  <c r="N25" i="41"/>
  <c r="N24" i="41"/>
  <c r="N23" i="41"/>
  <c r="N22" i="41"/>
  <c r="N21" i="41"/>
  <c r="I30" i="85" l="1"/>
  <c r="F30" i="85"/>
  <c r="O30" i="85"/>
  <c r="C30" i="86" s="1"/>
  <c r="L30" i="85"/>
  <c r="J39" i="84"/>
  <c r="J40" i="84" s="1"/>
  <c r="N42" i="40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I30" i="86" l="1"/>
  <c r="F30" i="86"/>
  <c r="O30" i="86"/>
  <c r="L30" i="86"/>
  <c r="T20" i="37"/>
  <c r="T19" i="37"/>
  <c r="T18" i="37"/>
  <c r="T17" i="37"/>
  <c r="P17" i="36"/>
  <c r="P19" i="36" l="1"/>
  <c r="P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B12" i="41" s="1"/>
  <c r="B14" i="41" s="1"/>
  <c r="E11" i="41"/>
  <c r="E12" i="41"/>
  <c r="P12" i="41"/>
  <c r="P14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B26" i="40" s="1"/>
  <c r="E25" i="40"/>
  <c r="P25" i="40"/>
  <c r="E26" i="40"/>
  <c r="P27" i="40"/>
  <c r="E28" i="40"/>
  <c r="B29" i="40"/>
  <c r="E29" i="40"/>
  <c r="B30" i="40"/>
  <c r="E30" i="40"/>
  <c r="E32" i="40"/>
  <c r="B33" i="40"/>
  <c r="B34" i="40" s="1"/>
  <c r="E33" i="40"/>
  <c r="E34" i="40"/>
  <c r="E36" i="40"/>
  <c r="B37" i="40"/>
  <c r="E37" i="40"/>
  <c r="B38" i="40"/>
  <c r="E38" i="40"/>
  <c r="E10" i="39"/>
  <c r="P10" i="39"/>
  <c r="B11" i="39"/>
  <c r="B12" i="39" s="1"/>
  <c r="B14" i="39" s="1"/>
  <c r="E11" i="39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E14" i="41" l="1"/>
  <c r="B15" i="41"/>
  <c r="B18" i="37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40" i="37" l="1"/>
  <c r="Q33" i="41" l="1"/>
  <c r="Q33" i="39" l="1"/>
  <c r="Q30" i="41"/>
  <c r="Q42" i="38"/>
  <c r="O12" i="41"/>
  <c r="Y27" i="37" l="1"/>
  <c r="U12" i="37"/>
  <c r="V12" i="37" s="1"/>
  <c r="U13" i="37"/>
  <c r="Q43" i="38"/>
  <c r="Q30" i="39"/>
  <c r="O12" i="39"/>
  <c r="O13" i="38"/>
  <c r="Q44" i="38"/>
  <c r="O16" i="38" l="1"/>
  <c r="Q41" i="38"/>
  <c r="O12" i="38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9" i="37"/>
  <c r="V13" i="37"/>
  <c r="H30" i="36" l="1"/>
  <c r="H29" i="82" s="1"/>
  <c r="H20" i="36"/>
  <c r="H19" i="82" s="1"/>
  <c r="H13" i="36"/>
  <c r="H12" i="82" s="1"/>
  <c r="H12" i="36"/>
  <c r="H11" i="82" s="1"/>
  <c r="H29" i="36"/>
  <c r="H28" i="82" s="1"/>
  <c r="H11" i="36"/>
  <c r="H10" i="82" s="1"/>
  <c r="H28" i="36"/>
  <c r="H27" i="82" s="1"/>
  <c r="H15" i="36"/>
  <c r="H14" i="82" s="1"/>
  <c r="H26" i="36"/>
  <c r="H25" i="82" s="1"/>
  <c r="H19" i="36"/>
  <c r="H18" i="82" s="1"/>
  <c r="H16" i="36"/>
  <c r="H15" i="82" s="1"/>
  <c r="H17" i="36"/>
  <c r="H16" i="82" s="1"/>
  <c r="H25" i="36"/>
  <c r="H24" i="82" s="1"/>
  <c r="H31" i="36"/>
  <c r="H30" i="82" s="1"/>
  <c r="H14" i="36"/>
  <c r="H13" i="82" s="1"/>
  <c r="H22" i="36"/>
  <c r="H21" i="82" s="1"/>
  <c r="H27" i="36"/>
  <c r="H26" i="82" s="1"/>
  <c r="H23" i="36"/>
  <c r="H22" i="82" s="1"/>
  <c r="H24" i="36"/>
  <c r="H23" i="82" s="1"/>
  <c r="H10" i="36"/>
  <c r="H9" i="82" s="1"/>
  <c r="H21" i="36"/>
  <c r="H20" i="82" s="1"/>
  <c r="Q10" i="40" l="1"/>
  <c r="Q11" i="40"/>
  <c r="S10" i="40" l="1"/>
  <c r="S11" i="40"/>
  <c r="Y10" i="37"/>
  <c r="X10" i="37"/>
  <c r="AB10" i="37" l="1"/>
  <c r="AA10" i="37"/>
  <c r="U17" i="36" l="1"/>
  <c r="F11" i="84" l="1"/>
  <c r="S9" i="36"/>
  <c r="U9" i="36" s="1"/>
  <c r="Q17" i="80"/>
  <c r="S17" i="80" l="1"/>
  <c r="U17" i="80" s="1"/>
  <c r="Q9" i="80"/>
  <c r="AD11" i="84"/>
  <c r="G11" i="84"/>
  <c r="G12" i="84" s="1"/>
  <c r="AD12" i="84" l="1"/>
  <c r="AE11" i="84"/>
  <c r="AE12" i="84" s="1"/>
  <c r="C11" i="85"/>
  <c r="S9" i="80"/>
  <c r="U9" i="80" s="1"/>
  <c r="Q17" i="81"/>
  <c r="F11" i="85" l="1"/>
  <c r="G11" i="85" s="1"/>
  <c r="G12" i="85" s="1"/>
  <c r="L11" i="85"/>
  <c r="M11" i="85" s="1"/>
  <c r="M12" i="85" s="1"/>
  <c r="D11" i="85"/>
  <c r="D12" i="85" s="1"/>
  <c r="I11" i="85"/>
  <c r="J11" i="85" s="1"/>
  <c r="J12" i="85" s="1"/>
  <c r="O11" i="85"/>
  <c r="S17" i="81"/>
  <c r="Q9" i="81"/>
  <c r="S9" i="81" l="1"/>
  <c r="U17" i="81"/>
  <c r="U9" i="81"/>
  <c r="C11" i="86"/>
  <c r="P11" i="85"/>
  <c r="P12" i="85" s="1"/>
  <c r="F11" i="86" l="1"/>
  <c r="G11" i="86" s="1"/>
  <c r="G12" i="86" s="1"/>
  <c r="L11" i="86"/>
  <c r="M11" i="86" s="1"/>
  <c r="M12" i="86" s="1"/>
  <c r="D11" i="86"/>
  <c r="D12" i="86" s="1"/>
  <c r="O11" i="86"/>
  <c r="P11" i="86" s="1"/>
  <c r="P12" i="86" s="1"/>
  <c r="I11" i="86"/>
  <c r="J11" i="86" s="1"/>
  <c r="J12" i="86" s="1"/>
  <c r="N18" i="72" l="1"/>
  <c r="Q18" i="72"/>
  <c r="AF18" i="72" l="1"/>
  <c r="K18" i="72"/>
  <c r="AC18" i="72"/>
  <c r="O16" i="41"/>
  <c r="AF17" i="72" l="1"/>
  <c r="G35" i="41"/>
  <c r="G23" i="41"/>
  <c r="G24" i="41"/>
  <c r="G15" i="41"/>
  <c r="G18" i="41"/>
  <c r="G28" i="41"/>
  <c r="G19" i="41"/>
  <c r="G30" i="41"/>
  <c r="G10" i="41"/>
  <c r="G22" i="41"/>
  <c r="G31" i="41"/>
  <c r="G20" i="41"/>
  <c r="G32" i="41"/>
  <c r="G12" i="41"/>
  <c r="G26" i="41"/>
  <c r="G27" i="41"/>
  <c r="G14" i="41"/>
  <c r="G36" i="41"/>
  <c r="G16" i="41"/>
  <c r="G34" i="41"/>
  <c r="G11" i="41"/>
  <c r="O16" i="39"/>
  <c r="O25" i="40"/>
  <c r="AC17" i="72" l="1"/>
  <c r="Q17" i="72"/>
  <c r="N17" i="72"/>
  <c r="K17" i="72"/>
  <c r="G32" i="39"/>
  <c r="G18" i="39"/>
  <c r="G14" i="39"/>
  <c r="G19" i="39"/>
  <c r="G23" i="39"/>
  <c r="G20" i="39"/>
  <c r="G22" i="39"/>
  <c r="G27" i="39"/>
  <c r="G35" i="39"/>
  <c r="G11" i="39"/>
  <c r="G10" i="39"/>
  <c r="G24" i="39"/>
  <c r="G34" i="39"/>
  <c r="G15" i="39"/>
  <c r="G26" i="39"/>
  <c r="G28" i="39"/>
  <c r="G31" i="39"/>
  <c r="G30" i="39"/>
  <c r="G36" i="39"/>
  <c r="G12" i="39"/>
  <c r="G16" i="39"/>
  <c r="O19" i="40"/>
  <c r="O15" i="40"/>
  <c r="G12" i="40" l="1"/>
  <c r="G26" i="40"/>
  <c r="G32" i="40"/>
  <c r="G30" i="40"/>
  <c r="G36" i="40"/>
  <c r="G29" i="40"/>
  <c r="G24" i="40"/>
  <c r="G28" i="40"/>
  <c r="G16" i="40"/>
  <c r="G34" i="40"/>
  <c r="G15" i="40"/>
  <c r="G37" i="40"/>
  <c r="G17" i="40"/>
  <c r="G21" i="40"/>
  <c r="G20" i="40"/>
  <c r="G13" i="40"/>
  <c r="G19" i="40"/>
  <c r="G38" i="40"/>
  <c r="G11" i="40"/>
  <c r="G33" i="40"/>
  <c r="G25" i="40"/>
  <c r="O14" i="38" l="1"/>
  <c r="G10" i="38" l="1"/>
  <c r="G11" i="38"/>
  <c r="G12" i="38"/>
  <c r="O22" i="38"/>
  <c r="G14" i="38" s="1"/>
  <c r="G24" i="38" l="1"/>
  <c r="G15" i="38"/>
  <c r="G26" i="38"/>
  <c r="G28" i="38"/>
  <c r="G18" i="38"/>
  <c r="G27" i="38"/>
  <c r="G23" i="38"/>
  <c r="G34" i="38"/>
  <c r="G20" i="38"/>
  <c r="G19" i="38"/>
  <c r="G16" i="38"/>
  <c r="G32" i="38"/>
  <c r="G30" i="38"/>
  <c r="G22" i="38"/>
  <c r="G35" i="38"/>
  <c r="G31" i="38"/>
  <c r="G36" i="38"/>
  <c r="U14" i="37" l="1"/>
  <c r="V20" i="37"/>
  <c r="D19" i="37" l="1"/>
  <c r="D26" i="37"/>
  <c r="D28" i="37"/>
  <c r="D23" i="37"/>
  <c r="D38" i="37"/>
  <c r="D14" i="37"/>
  <c r="D39" i="37"/>
  <c r="D30" i="37"/>
  <c r="D40" i="37"/>
  <c r="D22" i="37"/>
  <c r="D32" i="37"/>
  <c r="D18" i="37"/>
  <c r="D35" i="37"/>
  <c r="D10" i="37"/>
  <c r="D15" i="37"/>
  <c r="D12" i="37"/>
  <c r="D27" i="37"/>
  <c r="D20" i="37"/>
  <c r="V14" i="37"/>
  <c r="D34" i="37"/>
  <c r="D31" i="37"/>
  <c r="D11" i="37"/>
  <c r="D36" i="37"/>
  <c r="D16" i="37"/>
  <c r="D24" i="37"/>
  <c r="F18" i="37" l="1"/>
  <c r="F20" i="37"/>
  <c r="F10" i="37"/>
  <c r="F27" i="37"/>
  <c r="F19" i="37"/>
  <c r="F22" i="37"/>
  <c r="F40" i="37"/>
  <c r="F12" i="37"/>
  <c r="F28" i="37"/>
  <c r="F11" i="37"/>
  <c r="F23" i="37"/>
  <c r="F35" i="37"/>
  <c r="F14" i="37"/>
  <c r="F30" i="37"/>
  <c r="F26" i="37"/>
  <c r="F32" i="37"/>
  <c r="F39" i="37"/>
  <c r="F31" i="37"/>
  <c r="F36" i="37"/>
  <c r="F15" i="37"/>
  <c r="F24" i="37"/>
  <c r="F16" i="37"/>
  <c r="F38" i="37"/>
  <c r="F34" i="37"/>
  <c r="AI18" i="72" l="1"/>
  <c r="AI17" i="72" l="1"/>
  <c r="N19" i="72" l="1"/>
  <c r="Q19" i="72"/>
  <c r="AF19" i="72"/>
  <c r="AC19" i="72"/>
  <c r="K19" i="72"/>
  <c r="AI19" i="72"/>
  <c r="P13" i="43" l="1"/>
  <c r="R13" i="43" s="1"/>
  <c r="R17" i="43"/>
  <c r="Q10" i="38"/>
  <c r="S10" i="38" s="1"/>
  <c r="S27" i="38"/>
  <c r="P13" i="42"/>
  <c r="R13" i="42" s="1"/>
  <c r="R17" i="42"/>
  <c r="Q24" i="40" l="1"/>
  <c r="S24" i="40" s="1"/>
  <c r="S40" i="40"/>
  <c r="Q27" i="40"/>
  <c r="S27" i="40" s="1"/>
  <c r="S42" i="40"/>
  <c r="Q10" i="39"/>
  <c r="S10" i="39" s="1"/>
  <c r="S21" i="39"/>
  <c r="Q18" i="39"/>
  <c r="S18" i="39" s="1"/>
  <c r="S26" i="39"/>
  <c r="Q23" i="40"/>
  <c r="S23" i="40" s="1"/>
  <c r="S39" i="40"/>
  <c r="Q18" i="41" l="1"/>
  <c r="S18" i="41" s="1"/>
  <c r="S26" i="41"/>
  <c r="Q25" i="40"/>
  <c r="S25" i="40" s="1"/>
  <c r="S41" i="40"/>
  <c r="Q14" i="41"/>
  <c r="S14" i="41" s="1"/>
  <c r="S23" i="41"/>
  <c r="Q10" i="41"/>
  <c r="S10" i="41" s="1"/>
  <c r="S21" i="41"/>
  <c r="Q15" i="41"/>
  <c r="S15" i="41" s="1"/>
  <c r="S24" i="41"/>
  <c r="Q15" i="39" l="1"/>
  <c r="S15" i="39" s="1"/>
  <c r="S24" i="39"/>
  <c r="Q16" i="41"/>
  <c r="S16" i="41" s="1"/>
  <c r="S25" i="41"/>
  <c r="Q14" i="39"/>
  <c r="S14" i="39" s="1"/>
  <c r="S23" i="39"/>
  <c r="Q16" i="39" l="1"/>
  <c r="S25" i="39"/>
  <c r="S16" i="39"/>
  <c r="Q24" i="38" l="1"/>
  <c r="S24" i="38" s="1"/>
  <c r="S36" i="38"/>
  <c r="Q21" i="38"/>
  <c r="S21" i="38" s="1"/>
  <c r="S34" i="38"/>
  <c r="Q20" i="38"/>
  <c r="S20" i="38" s="1"/>
  <c r="S33" i="38"/>
  <c r="Q22" i="38" l="1"/>
  <c r="S22" i="38" s="1"/>
  <c r="S35" i="38"/>
  <c r="N22" i="72" l="1"/>
  <c r="Q22" i="72"/>
  <c r="AF22" i="72"/>
  <c r="AI22" i="72"/>
  <c r="AC22" i="72"/>
  <c r="K22" i="72"/>
  <c r="D23" i="72" l="1"/>
  <c r="D26" i="72" l="1"/>
  <c r="F25" i="85"/>
  <c r="O25" i="85" s="1"/>
  <c r="C25" i="86" s="1"/>
  <c r="F25" i="86"/>
  <c r="O25" i="86" s="1"/>
  <c r="D23" i="78"/>
  <c r="D26" i="78" s="1"/>
  <c r="D23" i="77"/>
  <c r="D26" i="77" s="1"/>
  <c r="O25" i="84" l="1"/>
  <c r="Q30" i="80"/>
  <c r="Q30" i="81" s="1"/>
  <c r="I25" i="86"/>
  <c r="L25" i="86"/>
  <c r="O35" i="84" l="1"/>
  <c r="P35" i="84" s="1"/>
  <c r="O34" i="84"/>
  <c r="P34" i="84" s="1"/>
  <c r="AD25" i="84"/>
  <c r="C25" i="85" s="1"/>
  <c r="P36" i="84" l="1"/>
  <c r="P38" i="84" s="1"/>
  <c r="P39" i="84" s="1"/>
  <c r="P40" i="84" s="1"/>
  <c r="I25" i="85"/>
  <c r="L25" i="85"/>
  <c r="AE23" i="72"/>
  <c r="P23" i="72"/>
  <c r="AH23" i="72"/>
  <c r="J23" i="72"/>
  <c r="AB23" i="72" l="1"/>
  <c r="N14" i="72" l="1"/>
  <c r="Q20" i="72"/>
  <c r="AF16" i="72"/>
  <c r="N15" i="72"/>
  <c r="Q15" i="72"/>
  <c r="K15" i="72"/>
  <c r="N11" i="72"/>
  <c r="AI11" i="72"/>
  <c r="AF11" i="72"/>
  <c r="Q11" i="72"/>
  <c r="K11" i="72"/>
  <c r="AC11" i="72"/>
  <c r="AF20" i="72"/>
  <c r="Q14" i="72" l="1"/>
  <c r="AI20" i="72"/>
  <c r="AC16" i="72"/>
  <c r="K16" i="72"/>
  <c r="N16" i="72"/>
  <c r="AI16" i="72"/>
  <c r="Q16" i="72"/>
  <c r="AI14" i="72"/>
  <c r="AF14" i="72"/>
  <c r="AC20" i="72"/>
  <c r="N20" i="72"/>
  <c r="AI15" i="72"/>
  <c r="AF15" i="72"/>
  <c r="AC14" i="72"/>
  <c r="K20" i="72"/>
  <c r="N12" i="72"/>
  <c r="K14" i="72"/>
  <c r="AC15" i="72"/>
  <c r="Q12" i="72"/>
  <c r="N21" i="72"/>
  <c r="Q21" i="72"/>
  <c r="AF21" i="72"/>
  <c r="K21" i="72"/>
  <c r="AC21" i="72"/>
  <c r="AI21" i="72"/>
  <c r="AF12" i="72" l="1"/>
  <c r="AI12" i="72"/>
  <c r="AC12" i="72"/>
  <c r="K12" i="72"/>
  <c r="H15" i="72"/>
  <c r="N9" i="72" l="1"/>
  <c r="K9" i="72"/>
  <c r="Q9" i="72"/>
  <c r="AF9" i="72"/>
  <c r="AI9" i="72"/>
  <c r="AC9" i="72"/>
  <c r="AI13" i="72" l="1"/>
  <c r="AF13" i="72"/>
  <c r="K13" i="72"/>
  <c r="AC13" i="72" l="1"/>
  <c r="N13" i="72"/>
  <c r="Q13" i="72"/>
  <c r="N10" i="72" l="1"/>
  <c r="AC10" i="72"/>
  <c r="Q10" i="72"/>
  <c r="AF10" i="72"/>
  <c r="K10" i="72"/>
  <c r="AI10" i="72"/>
  <c r="E23" i="72"/>
  <c r="E26" i="72" l="1"/>
  <c r="N23" i="72"/>
  <c r="AI23" i="72"/>
  <c r="K23" i="72"/>
  <c r="AF23" i="72"/>
  <c r="Q23" i="72"/>
  <c r="AC23" i="72"/>
  <c r="G23" i="77" l="1"/>
  <c r="G23" i="78" l="1"/>
  <c r="H21" i="72" l="1"/>
  <c r="H20" i="72"/>
  <c r="W22" i="72" l="1"/>
  <c r="L27" i="86"/>
  <c r="O27" i="86" s="1"/>
  <c r="W16" i="72" l="1"/>
  <c r="W19" i="72"/>
  <c r="W12" i="72"/>
  <c r="W15" i="72"/>
  <c r="L27" i="85"/>
  <c r="O27" i="85" s="1"/>
  <c r="C27" i="86" s="1"/>
  <c r="Q32" i="81"/>
  <c r="S22" i="39"/>
  <c r="U27" i="84" l="1"/>
  <c r="Q32" i="80"/>
  <c r="W11" i="72"/>
  <c r="I27" i="86"/>
  <c r="F27" i="86"/>
  <c r="R18" i="43"/>
  <c r="W13" i="72"/>
  <c r="W18" i="72"/>
  <c r="W21" i="72"/>
  <c r="U18" i="36"/>
  <c r="U19" i="36"/>
  <c r="S31" i="38" l="1"/>
  <c r="S32" i="40"/>
  <c r="W14" i="72"/>
  <c r="W17" i="72"/>
  <c r="S35" i="40"/>
  <c r="S22" i="41"/>
  <c r="U34" i="84"/>
  <c r="V34" i="84" s="1"/>
  <c r="U35" i="84"/>
  <c r="V35" i="84" s="1"/>
  <c r="AD27" i="84"/>
  <c r="C27" i="85" s="1"/>
  <c r="S33" i="40"/>
  <c r="R18" i="42"/>
  <c r="AA19" i="37"/>
  <c r="S29" i="38"/>
  <c r="S36" i="40"/>
  <c r="S28" i="38"/>
  <c r="F15" i="84"/>
  <c r="Q18" i="80"/>
  <c r="H22" i="72"/>
  <c r="W20" i="72"/>
  <c r="AA18" i="37"/>
  <c r="F16" i="84"/>
  <c r="Q19" i="80"/>
  <c r="W10" i="72"/>
  <c r="S37" i="40"/>
  <c r="S34" i="40"/>
  <c r="S30" i="38"/>
  <c r="V36" i="84" l="1"/>
  <c r="V38" i="84" s="1"/>
  <c r="V39" i="84" s="1"/>
  <c r="V40" i="84" s="1"/>
  <c r="Y18" i="37"/>
  <c r="AB18" i="37" s="1"/>
  <c r="S18" i="80"/>
  <c r="U18" i="80" s="1"/>
  <c r="Y19" i="37"/>
  <c r="AB19" i="37" s="1"/>
  <c r="AD15" i="84"/>
  <c r="F34" i="84"/>
  <c r="G34" i="84" s="1"/>
  <c r="S19" i="80"/>
  <c r="U19" i="80" s="1"/>
  <c r="I27" i="85"/>
  <c r="F27" i="85"/>
  <c r="M23" i="78"/>
  <c r="W9" i="72"/>
  <c r="V23" i="72"/>
  <c r="W23" i="72" s="1"/>
  <c r="AD16" i="84"/>
  <c r="F35" i="84"/>
  <c r="G35" i="84" s="1"/>
  <c r="AA20" i="37"/>
  <c r="H19" i="72" l="1"/>
  <c r="Q19" i="81"/>
  <c r="H18" i="72"/>
  <c r="N36" i="43" s="1"/>
  <c r="Y20" i="37"/>
  <c r="AB20" i="37" s="1"/>
  <c r="C16" i="85"/>
  <c r="H16" i="72"/>
  <c r="G36" i="84"/>
  <c r="G38" i="84" s="1"/>
  <c r="G39" i="84" s="1"/>
  <c r="G40" i="84" s="1"/>
  <c r="H12" i="72"/>
  <c r="O62" i="40" s="1"/>
  <c r="C15" i="85"/>
  <c r="M23" i="77"/>
  <c r="Q18" i="81"/>
  <c r="S18" i="81" l="1"/>
  <c r="U18" i="81" s="1"/>
  <c r="I15" i="85"/>
  <c r="L15" i="85"/>
  <c r="F15" i="85"/>
  <c r="O15" i="85"/>
  <c r="H17" i="72"/>
  <c r="N36" i="42" s="1"/>
  <c r="S19" i="81"/>
  <c r="U19" i="81" s="1"/>
  <c r="H14" i="72"/>
  <c r="O46" i="41" s="1"/>
  <c r="H10" i="72"/>
  <c r="U38" i="37" s="1"/>
  <c r="I16" i="85"/>
  <c r="F16" i="85"/>
  <c r="L16" i="85"/>
  <c r="O16" i="85"/>
  <c r="C15" i="86" l="1"/>
  <c r="H11" i="72"/>
  <c r="C16" i="86"/>
  <c r="H13" i="72"/>
  <c r="L16" i="86" l="1"/>
  <c r="I16" i="86"/>
  <c r="O16" i="86"/>
  <c r="F16" i="86"/>
  <c r="H9" i="72"/>
  <c r="G23" i="72"/>
  <c r="O46" i="39"/>
  <c r="O54" i="38"/>
  <c r="Q31" i="81"/>
  <c r="I26" i="85"/>
  <c r="S12" i="80"/>
  <c r="S11" i="80"/>
  <c r="I15" i="86"/>
  <c r="O15" i="86"/>
  <c r="L15" i="86"/>
  <c r="F15" i="86"/>
  <c r="Q12" i="39" l="1"/>
  <c r="Q11" i="81"/>
  <c r="Q12" i="81"/>
  <c r="J17" i="80"/>
  <c r="J9" i="80"/>
  <c r="J27" i="80"/>
  <c r="J21" i="80"/>
  <c r="J12" i="80"/>
  <c r="J13" i="80"/>
  <c r="J22" i="80"/>
  <c r="J25" i="80"/>
  <c r="J20" i="80"/>
  <c r="J18" i="80"/>
  <c r="J29" i="80"/>
  <c r="J11" i="80"/>
  <c r="J19" i="80"/>
  <c r="J16" i="80"/>
  <c r="J30" i="80"/>
  <c r="J10" i="80"/>
  <c r="J15" i="80"/>
  <c r="J23" i="80"/>
  <c r="J31" i="80"/>
  <c r="J24" i="80"/>
  <c r="J14" i="80"/>
  <c r="J28" i="80"/>
  <c r="J26" i="80"/>
  <c r="H23" i="72"/>
  <c r="Q39" i="36"/>
  <c r="Q39" i="80"/>
  <c r="K22" i="78"/>
  <c r="O26" i="85"/>
  <c r="I35" i="85"/>
  <c r="J35" i="85" s="1"/>
  <c r="I34" i="85"/>
  <c r="J34" i="85" s="1"/>
  <c r="I26" i="86"/>
  <c r="O26" i="86" s="1"/>
  <c r="O35" i="86" s="1"/>
  <c r="P35" i="86" s="1"/>
  <c r="S11" i="81"/>
  <c r="S12" i="81"/>
  <c r="K16" i="78" l="1"/>
  <c r="K15" i="78"/>
  <c r="P16" i="78"/>
  <c r="H16" i="78"/>
  <c r="N16" i="78"/>
  <c r="I35" i="86"/>
  <c r="J35" i="86" s="1"/>
  <c r="J25" i="82"/>
  <c r="J30" i="82"/>
  <c r="J29" i="82"/>
  <c r="J28" i="82"/>
  <c r="J21" i="82"/>
  <c r="J26" i="82"/>
  <c r="U12" i="81"/>
  <c r="C26" i="86"/>
  <c r="O35" i="85"/>
  <c r="P35" i="85" s="1"/>
  <c r="O34" i="85"/>
  <c r="P34" i="85" s="1"/>
  <c r="P14" i="43"/>
  <c r="P22" i="78"/>
  <c r="H22" i="78"/>
  <c r="N22" i="78"/>
  <c r="J27" i="82"/>
  <c r="J22" i="82"/>
  <c r="J15" i="82"/>
  <c r="J17" i="82"/>
  <c r="J12" i="82"/>
  <c r="J8" i="82"/>
  <c r="H14" i="81"/>
  <c r="H15" i="81"/>
  <c r="H25" i="81"/>
  <c r="H16" i="81"/>
  <c r="H10" i="81"/>
  <c r="H29" i="81"/>
  <c r="H28" i="81"/>
  <c r="H17" i="81"/>
  <c r="H20" i="81"/>
  <c r="H19" i="81"/>
  <c r="H26" i="81"/>
  <c r="H24" i="81"/>
  <c r="H23" i="81"/>
  <c r="H22" i="81"/>
  <c r="H30" i="81"/>
  <c r="H21" i="81"/>
  <c r="H13" i="81"/>
  <c r="H18" i="81"/>
  <c r="H31" i="81"/>
  <c r="H27" i="81"/>
  <c r="H11" i="81"/>
  <c r="H9" i="81"/>
  <c r="H12" i="81"/>
  <c r="J20" i="81"/>
  <c r="J11" i="81"/>
  <c r="J26" i="81"/>
  <c r="J16" i="81"/>
  <c r="J9" i="81"/>
  <c r="J15" i="81"/>
  <c r="J31" i="81"/>
  <c r="J30" i="81"/>
  <c r="J29" i="81"/>
  <c r="J22" i="81"/>
  <c r="J10" i="81"/>
  <c r="J24" i="81"/>
  <c r="J25" i="81"/>
  <c r="J17" i="81"/>
  <c r="J27" i="81"/>
  <c r="J28" i="81"/>
  <c r="J18" i="81"/>
  <c r="J23" i="81"/>
  <c r="J12" i="81"/>
  <c r="J14" i="81"/>
  <c r="J21" i="81"/>
  <c r="J19" i="81"/>
  <c r="J13" i="81"/>
  <c r="U11" i="81"/>
  <c r="O34" i="86"/>
  <c r="P34" i="86" s="1"/>
  <c r="P36" i="86" s="1"/>
  <c r="P38" i="86" s="1"/>
  <c r="P14" i="42"/>
  <c r="Q12" i="41"/>
  <c r="J13" i="82"/>
  <c r="J14" i="82"/>
  <c r="J18" i="82"/>
  <c r="J19" i="82"/>
  <c r="J11" i="82"/>
  <c r="J16" i="82"/>
  <c r="T22" i="72"/>
  <c r="Y22" i="72"/>
  <c r="I34" i="86"/>
  <c r="J34" i="86" s="1"/>
  <c r="J36" i="85"/>
  <c r="J38" i="85" s="1"/>
  <c r="Q31" i="80"/>
  <c r="R26" i="84"/>
  <c r="S11" i="36"/>
  <c r="S12" i="36"/>
  <c r="U12" i="36" s="1"/>
  <c r="J23" i="82"/>
  <c r="J9" i="82"/>
  <c r="J10" i="82"/>
  <c r="J24" i="82"/>
  <c r="J20" i="82"/>
  <c r="P15" i="78"/>
  <c r="H15" i="78"/>
  <c r="N15" i="78"/>
  <c r="S12" i="39"/>
  <c r="I36" i="39"/>
  <c r="K36" i="39" s="1"/>
  <c r="I20" i="39"/>
  <c r="K20" i="39" s="1"/>
  <c r="I12" i="39"/>
  <c r="K12" i="39" s="1"/>
  <c r="I18" i="39"/>
  <c r="K18" i="39" s="1"/>
  <c r="I27" i="39"/>
  <c r="K27" i="39" s="1"/>
  <c r="I11" i="39"/>
  <c r="K11" i="39" s="1"/>
  <c r="I16" i="39"/>
  <c r="K16" i="39" s="1"/>
  <c r="I19" i="39"/>
  <c r="K19" i="39" s="1"/>
  <c r="I10" i="39"/>
  <c r="K10" i="39" s="1"/>
  <c r="I30" i="39"/>
  <c r="K30" i="39" s="1"/>
  <c r="I15" i="39"/>
  <c r="K15" i="39" s="1"/>
  <c r="I32" i="39"/>
  <c r="K32" i="39" s="1"/>
  <c r="I35" i="39"/>
  <c r="K35" i="39" s="1"/>
  <c r="I26" i="39"/>
  <c r="K26" i="39" s="1"/>
  <c r="I14" i="39"/>
  <c r="K14" i="39" s="1"/>
  <c r="I23" i="39"/>
  <c r="K23" i="39" s="1"/>
  <c r="I34" i="39"/>
  <c r="K34" i="39" s="1"/>
  <c r="I31" i="39"/>
  <c r="K31" i="39" s="1"/>
  <c r="I24" i="39"/>
  <c r="K24" i="39" s="1"/>
  <c r="I22" i="39"/>
  <c r="K22" i="39" s="1"/>
  <c r="I28" i="39"/>
  <c r="K28" i="39" s="1"/>
  <c r="K12" i="78" l="1"/>
  <c r="K21" i="78"/>
  <c r="K19" i="78"/>
  <c r="K22" i="77"/>
  <c r="K18" i="78"/>
  <c r="J36" i="86"/>
  <c r="J38" i="86" s="1"/>
  <c r="Q15" i="78"/>
  <c r="P11" i="78"/>
  <c r="H11" i="78"/>
  <c r="N11" i="78"/>
  <c r="P19" i="78"/>
  <c r="H19" i="78"/>
  <c r="N19" i="78"/>
  <c r="Z22" i="72"/>
  <c r="AK22" i="72"/>
  <c r="K20" i="82"/>
  <c r="O20" i="82" s="1"/>
  <c r="S20" i="82" s="1"/>
  <c r="L21" i="81"/>
  <c r="K17" i="82"/>
  <c r="O17" i="82" s="1"/>
  <c r="S17" i="82" s="1"/>
  <c r="L18" i="81"/>
  <c r="K24" i="82"/>
  <c r="O24" i="82" s="1"/>
  <c r="S24" i="82" s="1"/>
  <c r="L25" i="81"/>
  <c r="K28" i="82"/>
  <c r="O28" i="82" s="1"/>
  <c r="S28" i="82" s="1"/>
  <c r="L29" i="81"/>
  <c r="K8" i="82"/>
  <c r="O8" i="82" s="1"/>
  <c r="S8" i="82" s="1"/>
  <c r="L9" i="81"/>
  <c r="K19" i="82"/>
  <c r="O19" i="82" s="1"/>
  <c r="S19" i="82" s="1"/>
  <c r="N20" i="81"/>
  <c r="N9" i="81"/>
  <c r="N18" i="81"/>
  <c r="N22" i="81"/>
  <c r="N19" i="81"/>
  <c r="N29" i="81"/>
  <c r="N15" i="81"/>
  <c r="Q14" i="38"/>
  <c r="Q12" i="38"/>
  <c r="S12" i="38" s="1"/>
  <c r="Q13" i="38"/>
  <c r="S13" i="38" s="1"/>
  <c r="Q16" i="38"/>
  <c r="S16" i="38" s="1"/>
  <c r="P12" i="78"/>
  <c r="H12" i="78"/>
  <c r="N12" i="78"/>
  <c r="P18" i="78"/>
  <c r="H18" i="78"/>
  <c r="N18" i="78"/>
  <c r="K10" i="78"/>
  <c r="J26" i="36"/>
  <c r="J11" i="36"/>
  <c r="U11" i="36"/>
  <c r="J28" i="36"/>
  <c r="J31" i="36"/>
  <c r="J19" i="36"/>
  <c r="J12" i="36"/>
  <c r="J9" i="36"/>
  <c r="J27" i="36"/>
  <c r="J24" i="36"/>
  <c r="J15" i="36"/>
  <c r="J30" i="36"/>
  <c r="J13" i="36"/>
  <c r="J20" i="36"/>
  <c r="J18" i="36"/>
  <c r="J22" i="36"/>
  <c r="J16" i="36"/>
  <c r="J29" i="36"/>
  <c r="J14" i="36"/>
  <c r="J25" i="36"/>
  <c r="J17" i="36"/>
  <c r="J10" i="36"/>
  <c r="J23" i="36"/>
  <c r="J21" i="36"/>
  <c r="Q15" i="40"/>
  <c r="Q14" i="40"/>
  <c r="S14" i="40" s="1"/>
  <c r="Q17" i="40"/>
  <c r="S17" i="40" s="1"/>
  <c r="Q18" i="40"/>
  <c r="S18" i="40" s="1"/>
  <c r="Q13" i="40"/>
  <c r="S13" i="40" s="1"/>
  <c r="Q19" i="40"/>
  <c r="S19" i="40" s="1"/>
  <c r="S12" i="41"/>
  <c r="I24" i="41"/>
  <c r="K24" i="41" s="1"/>
  <c r="I28" i="41"/>
  <c r="K28" i="41" s="1"/>
  <c r="I19" i="41"/>
  <c r="K19" i="41" s="1"/>
  <c r="I31" i="41"/>
  <c r="K31" i="41" s="1"/>
  <c r="I23" i="41"/>
  <c r="K23" i="41" s="1"/>
  <c r="I12" i="41"/>
  <c r="K12" i="41" s="1"/>
  <c r="I22" i="41"/>
  <c r="K22" i="41" s="1"/>
  <c r="I32" i="41"/>
  <c r="K32" i="41" s="1"/>
  <c r="I20" i="41"/>
  <c r="K20" i="41" s="1"/>
  <c r="I36" i="41"/>
  <c r="K36" i="41" s="1"/>
  <c r="I30" i="41"/>
  <c r="K30" i="41" s="1"/>
  <c r="I26" i="41"/>
  <c r="K26" i="41" s="1"/>
  <c r="I18" i="41"/>
  <c r="K18" i="41" s="1"/>
  <c r="I34" i="41"/>
  <c r="K34" i="41" s="1"/>
  <c r="I15" i="41"/>
  <c r="K15" i="41" s="1"/>
  <c r="I27" i="41"/>
  <c r="K27" i="41" s="1"/>
  <c r="I14" i="41"/>
  <c r="K14" i="41" s="1"/>
  <c r="I10" i="41"/>
  <c r="K10" i="41" s="1"/>
  <c r="I35" i="41"/>
  <c r="K35" i="41" s="1"/>
  <c r="I11" i="41"/>
  <c r="K11" i="41" s="1"/>
  <c r="I16" i="41"/>
  <c r="K16" i="41" s="1"/>
  <c r="K13" i="82"/>
  <c r="O13" i="82" s="1"/>
  <c r="S13" i="82" s="1"/>
  <c r="L14" i="81"/>
  <c r="K27" i="82"/>
  <c r="O27" i="82" s="1"/>
  <c r="S27" i="82" s="1"/>
  <c r="N28" i="81"/>
  <c r="K23" i="82"/>
  <c r="O23" i="82" s="1"/>
  <c r="S23" i="82" s="1"/>
  <c r="L24" i="81"/>
  <c r="K29" i="82"/>
  <c r="O29" i="82" s="1"/>
  <c r="S29" i="82" s="1"/>
  <c r="L30" i="81"/>
  <c r="K15" i="82"/>
  <c r="O15" i="82" s="1"/>
  <c r="S15" i="82" s="1"/>
  <c r="L16" i="81"/>
  <c r="L11" i="81"/>
  <c r="L13" i="81"/>
  <c r="L23" i="81"/>
  <c r="L20" i="81"/>
  <c r="N10" i="81"/>
  <c r="N14" i="81"/>
  <c r="L26" i="86"/>
  <c r="F26" i="86"/>
  <c r="C35" i="86"/>
  <c r="D35" i="86" s="1"/>
  <c r="C34" i="86"/>
  <c r="D34" i="86" s="1"/>
  <c r="X13" i="37"/>
  <c r="X12" i="37"/>
  <c r="X14" i="37"/>
  <c r="Q16" i="78"/>
  <c r="AD26" i="84"/>
  <c r="R34" i="84"/>
  <c r="S34" i="84" s="1"/>
  <c r="R35" i="84"/>
  <c r="S35" i="84" s="1"/>
  <c r="T12" i="72"/>
  <c r="Y12" i="72"/>
  <c r="P21" i="78"/>
  <c r="H21" i="78"/>
  <c r="N21" i="78"/>
  <c r="K12" i="82"/>
  <c r="O12" i="82" s="1"/>
  <c r="S12" i="82" s="1"/>
  <c r="N13" i="81"/>
  <c r="K11" i="82"/>
  <c r="O11" i="82" s="1"/>
  <c r="S11" i="82" s="1"/>
  <c r="L12" i="81"/>
  <c r="K26" i="82"/>
  <c r="O26" i="82" s="1"/>
  <c r="S26" i="82" s="1"/>
  <c r="L27" i="81"/>
  <c r="K9" i="82"/>
  <c r="O9" i="82" s="1"/>
  <c r="S9" i="82" s="1"/>
  <c r="L10" i="81"/>
  <c r="K30" i="82"/>
  <c r="O30" i="82" s="1"/>
  <c r="S30" i="82" s="1"/>
  <c r="L31" i="81"/>
  <c r="L26" i="81"/>
  <c r="K25" i="82"/>
  <c r="O25" i="82" s="1"/>
  <c r="S25" i="82" s="1"/>
  <c r="N27" i="81"/>
  <c r="N21" i="81"/>
  <c r="N24" i="81"/>
  <c r="L17" i="81"/>
  <c r="N16" i="81"/>
  <c r="P22" i="77"/>
  <c r="H22" i="77"/>
  <c r="N22" i="77"/>
  <c r="I27" i="43"/>
  <c r="K27" i="43" s="1"/>
  <c r="I29" i="43"/>
  <c r="K29" i="43" s="1"/>
  <c r="I22" i="43"/>
  <c r="K22" i="43" s="1"/>
  <c r="I19" i="43"/>
  <c r="K19" i="43" s="1"/>
  <c r="I18" i="43"/>
  <c r="K18" i="43" s="1"/>
  <c r="I17" i="43"/>
  <c r="K17" i="43" s="1"/>
  <c r="I31" i="43"/>
  <c r="K31" i="43" s="1"/>
  <c r="I25" i="43"/>
  <c r="K25" i="43" s="1"/>
  <c r="I15" i="43"/>
  <c r="K15" i="43" s="1"/>
  <c r="I13" i="43"/>
  <c r="K13" i="43" s="1"/>
  <c r="I35" i="43"/>
  <c r="K35" i="43" s="1"/>
  <c r="I34" i="43"/>
  <c r="K34" i="43" s="1"/>
  <c r="I23" i="43"/>
  <c r="K23" i="43" s="1"/>
  <c r="I33" i="43"/>
  <c r="K33" i="43" s="1"/>
  <c r="I14" i="43"/>
  <c r="K14" i="43" s="1"/>
  <c r="I30" i="43"/>
  <c r="K30" i="43" s="1"/>
  <c r="R14" i="43"/>
  <c r="I26" i="43"/>
  <c r="K26" i="43" s="1"/>
  <c r="I21" i="43"/>
  <c r="K21" i="43" s="1"/>
  <c r="K11" i="78"/>
  <c r="T16" i="72"/>
  <c r="Y16" i="72"/>
  <c r="T19" i="72"/>
  <c r="Y19" i="72"/>
  <c r="P13" i="78"/>
  <c r="H13" i="78"/>
  <c r="N13" i="78"/>
  <c r="Q11" i="80"/>
  <c r="Q12" i="80"/>
  <c r="U12" i="80" s="1"/>
  <c r="I33" i="42"/>
  <c r="K33" i="42" s="1"/>
  <c r="I30" i="42"/>
  <c r="K30" i="42" s="1"/>
  <c r="I14" i="42"/>
  <c r="K14" i="42" s="1"/>
  <c r="I18" i="42"/>
  <c r="K18" i="42" s="1"/>
  <c r="I34" i="42"/>
  <c r="K34" i="42" s="1"/>
  <c r="I22" i="42"/>
  <c r="K22" i="42" s="1"/>
  <c r="I27" i="42"/>
  <c r="K27" i="42" s="1"/>
  <c r="I26" i="42"/>
  <c r="K26" i="42" s="1"/>
  <c r="I19" i="42"/>
  <c r="K19" i="42" s="1"/>
  <c r="I23" i="42"/>
  <c r="K23" i="42" s="1"/>
  <c r="I13" i="42"/>
  <c r="K13" i="42" s="1"/>
  <c r="I15" i="42"/>
  <c r="K15" i="42" s="1"/>
  <c r="I17" i="42"/>
  <c r="K17" i="42" s="1"/>
  <c r="I31" i="42"/>
  <c r="K31" i="42" s="1"/>
  <c r="I29" i="42"/>
  <c r="K29" i="42" s="1"/>
  <c r="R14" i="42"/>
  <c r="I21" i="42"/>
  <c r="K21" i="42" s="1"/>
  <c r="I25" i="42"/>
  <c r="K25" i="42" s="1"/>
  <c r="I35" i="42"/>
  <c r="K35" i="42" s="1"/>
  <c r="K18" i="82"/>
  <c r="O18" i="82" s="1"/>
  <c r="S18" i="82" s="1"/>
  <c r="L19" i="81"/>
  <c r="K22" i="82"/>
  <c r="O22" i="82" s="1"/>
  <c r="S22" i="82" s="1"/>
  <c r="N23" i="81"/>
  <c r="K16" i="82"/>
  <c r="O16" i="82" s="1"/>
  <c r="S16" i="82" s="1"/>
  <c r="N17" i="81"/>
  <c r="K21" i="82"/>
  <c r="O21" i="82" s="1"/>
  <c r="S21" i="82" s="1"/>
  <c r="L22" i="81"/>
  <c r="K14" i="82"/>
  <c r="O14" i="82" s="1"/>
  <c r="S14" i="82" s="1"/>
  <c r="L15" i="81"/>
  <c r="K10" i="82"/>
  <c r="O10" i="82" s="1"/>
  <c r="S10" i="82" s="1"/>
  <c r="N11" i="81"/>
  <c r="N12" i="81"/>
  <c r="N31" i="81"/>
  <c r="N30" i="81"/>
  <c r="N26" i="81"/>
  <c r="L28" i="81"/>
  <c r="N25" i="81"/>
  <c r="Q22" i="78"/>
  <c r="P36" i="85"/>
  <c r="P38" i="85" s="1"/>
  <c r="T15" i="72"/>
  <c r="Y15" i="72"/>
  <c r="K13" i="78"/>
  <c r="K12" i="77" l="1"/>
  <c r="K14" i="78"/>
  <c r="K17" i="78"/>
  <c r="K19" i="77"/>
  <c r="Z15" i="72"/>
  <c r="AK15" i="72"/>
  <c r="R22" i="78"/>
  <c r="H13" i="80"/>
  <c r="H24" i="80"/>
  <c r="H11" i="80"/>
  <c r="H14" i="80"/>
  <c r="H28" i="80"/>
  <c r="H22" i="80"/>
  <c r="H20" i="80"/>
  <c r="H18" i="80"/>
  <c r="H21" i="80"/>
  <c r="H10" i="80"/>
  <c r="H15" i="80"/>
  <c r="H23" i="80"/>
  <c r="H25" i="80"/>
  <c r="H30" i="80"/>
  <c r="H16" i="80"/>
  <c r="H26" i="80"/>
  <c r="H27" i="80"/>
  <c r="H9" i="80"/>
  <c r="H17" i="80"/>
  <c r="H19" i="80"/>
  <c r="H31" i="80"/>
  <c r="H12" i="80"/>
  <c r="H29" i="80"/>
  <c r="U11" i="80"/>
  <c r="Q13" i="78"/>
  <c r="R13" i="78" s="1"/>
  <c r="Z16" i="72"/>
  <c r="AK16" i="72"/>
  <c r="Q21" i="78"/>
  <c r="P12" i="77"/>
  <c r="H12" i="77"/>
  <c r="N12" i="77"/>
  <c r="Y13" i="37"/>
  <c r="AB13" i="37" s="1"/>
  <c r="AA13" i="37"/>
  <c r="N10" i="36"/>
  <c r="I9" i="82"/>
  <c r="L10" i="36"/>
  <c r="I28" i="82"/>
  <c r="N29" i="36"/>
  <c r="L29" i="36"/>
  <c r="L20" i="36"/>
  <c r="I19" i="82"/>
  <c r="N20" i="36"/>
  <c r="N24" i="36"/>
  <c r="I23" i="82"/>
  <c r="L24" i="36"/>
  <c r="L19" i="36"/>
  <c r="I18" i="82"/>
  <c r="N19" i="36"/>
  <c r="N11" i="36"/>
  <c r="L11" i="36"/>
  <c r="I10" i="82"/>
  <c r="P19" i="77"/>
  <c r="H19" i="77"/>
  <c r="N19" i="77"/>
  <c r="Q11" i="78"/>
  <c r="Z12" i="72"/>
  <c r="AK12" i="72"/>
  <c r="S36" i="84"/>
  <c r="S38" i="84" s="1"/>
  <c r="S39" i="84" s="1"/>
  <c r="S40" i="84" s="1"/>
  <c r="F34" i="86"/>
  <c r="G34" i="86" s="1"/>
  <c r="F35" i="86"/>
  <c r="G35" i="86" s="1"/>
  <c r="I15" i="40"/>
  <c r="K15" i="40" s="1"/>
  <c r="S15" i="40"/>
  <c r="I32" i="40"/>
  <c r="K32" i="40" s="1"/>
  <c r="I33" i="40"/>
  <c r="K33" i="40" s="1"/>
  <c r="I20" i="40"/>
  <c r="K20" i="40" s="1"/>
  <c r="I21" i="40"/>
  <c r="K21" i="40" s="1"/>
  <c r="I13" i="40"/>
  <c r="K13" i="40" s="1"/>
  <c r="I36" i="40"/>
  <c r="K36" i="40" s="1"/>
  <c r="I17" i="40"/>
  <c r="K17" i="40" s="1"/>
  <c r="I37" i="40"/>
  <c r="K37" i="40" s="1"/>
  <c r="I30" i="40"/>
  <c r="K30" i="40" s="1"/>
  <c r="I19" i="40"/>
  <c r="K19" i="40" s="1"/>
  <c r="I12" i="40"/>
  <c r="K12" i="40" s="1"/>
  <c r="I11" i="40"/>
  <c r="K11" i="40" s="1"/>
  <c r="I28" i="40"/>
  <c r="K28" i="40" s="1"/>
  <c r="I25" i="40"/>
  <c r="K25" i="40" s="1"/>
  <c r="I38" i="40"/>
  <c r="K38" i="40" s="1"/>
  <c r="I24" i="40"/>
  <c r="K24" i="40" s="1"/>
  <c r="I29" i="40"/>
  <c r="K29" i="40" s="1"/>
  <c r="I16" i="40"/>
  <c r="K16" i="40" s="1"/>
  <c r="I34" i="40"/>
  <c r="K34" i="40" s="1"/>
  <c r="I26" i="40"/>
  <c r="K26" i="40" s="1"/>
  <c r="P17" i="78"/>
  <c r="H17" i="78"/>
  <c r="N17" i="78"/>
  <c r="L17" i="36"/>
  <c r="N17" i="36"/>
  <c r="I16" i="82"/>
  <c r="L16" i="36"/>
  <c r="N16" i="36"/>
  <c r="I15" i="82"/>
  <c r="N13" i="36"/>
  <c r="I12" i="82"/>
  <c r="L13" i="36"/>
  <c r="I26" i="82"/>
  <c r="L27" i="36"/>
  <c r="N27" i="36"/>
  <c r="N31" i="36"/>
  <c r="I30" i="82"/>
  <c r="L31" i="36"/>
  <c r="L26" i="36"/>
  <c r="N26" i="36"/>
  <c r="I25" i="82"/>
  <c r="T13" i="72"/>
  <c r="Y13" i="72"/>
  <c r="Q12" i="78"/>
  <c r="AL22" i="72"/>
  <c r="P10" i="78"/>
  <c r="H10" i="78"/>
  <c r="N10" i="78"/>
  <c r="T18" i="72"/>
  <c r="Y18" i="72"/>
  <c r="Y9" i="72"/>
  <c r="T9" i="72"/>
  <c r="Z19" i="72"/>
  <c r="AK19" i="72"/>
  <c r="C26" i="85"/>
  <c r="AD34" i="84"/>
  <c r="AE34" i="84" s="1"/>
  <c r="AD35" i="84"/>
  <c r="AE35" i="84" s="1"/>
  <c r="R16" i="78"/>
  <c r="H11" i="37"/>
  <c r="AA14" i="37"/>
  <c r="H35" i="37"/>
  <c r="H18" i="37"/>
  <c r="H39" i="37"/>
  <c r="H30" i="37"/>
  <c r="H28" i="37"/>
  <c r="H34" i="37"/>
  <c r="H10" i="37"/>
  <c r="H19" i="37"/>
  <c r="H40" i="37"/>
  <c r="H26" i="37"/>
  <c r="H36" i="37"/>
  <c r="H32" i="37"/>
  <c r="H27" i="37"/>
  <c r="H16" i="37"/>
  <c r="H15" i="37"/>
  <c r="H31" i="37"/>
  <c r="H23" i="37"/>
  <c r="Y14" i="37"/>
  <c r="H24" i="37"/>
  <c r="H14" i="37"/>
  <c r="H12" i="37"/>
  <c r="H22" i="37"/>
  <c r="H38" i="37"/>
  <c r="H20" i="37"/>
  <c r="L34" i="86"/>
  <c r="M34" i="86" s="1"/>
  <c r="L35" i="86"/>
  <c r="M35" i="86" s="1"/>
  <c r="I20" i="82"/>
  <c r="N21" i="36"/>
  <c r="L21" i="36"/>
  <c r="I24" i="82"/>
  <c r="L25" i="36"/>
  <c r="N25" i="36"/>
  <c r="L22" i="36"/>
  <c r="I21" i="82"/>
  <c r="N22" i="36"/>
  <c r="I29" i="82"/>
  <c r="L30" i="36"/>
  <c r="N30" i="36"/>
  <c r="N9" i="36"/>
  <c r="L9" i="36"/>
  <c r="I8" i="82"/>
  <c r="N28" i="36"/>
  <c r="I27" i="82"/>
  <c r="L28" i="36"/>
  <c r="P9" i="78"/>
  <c r="H9" i="78"/>
  <c r="N9" i="78"/>
  <c r="K16" i="77"/>
  <c r="K9" i="78"/>
  <c r="K15" i="77"/>
  <c r="R15" i="78"/>
  <c r="T11" i="72"/>
  <c r="Y11" i="72"/>
  <c r="P16" i="77"/>
  <c r="H16" i="77"/>
  <c r="N16" i="77"/>
  <c r="P15" i="77"/>
  <c r="H15" i="77"/>
  <c r="N15" i="77"/>
  <c r="Q22" i="77"/>
  <c r="T21" i="72"/>
  <c r="Y21" i="72"/>
  <c r="P14" i="78"/>
  <c r="H14" i="78"/>
  <c r="N14" i="78"/>
  <c r="Y12" i="37"/>
  <c r="AB12" i="37" s="1"/>
  <c r="AA12" i="37"/>
  <c r="D36" i="86"/>
  <c r="D38" i="86" s="1"/>
  <c r="N23" i="36"/>
  <c r="L23" i="36"/>
  <c r="I22" i="82"/>
  <c r="N14" i="36"/>
  <c r="L14" i="36"/>
  <c r="I13" i="82"/>
  <c r="I17" i="82"/>
  <c r="N18" i="36"/>
  <c r="L18" i="36"/>
  <c r="L15" i="36"/>
  <c r="N15" i="36"/>
  <c r="I14" i="82"/>
  <c r="I11" i="82"/>
  <c r="N12" i="36"/>
  <c r="L12" i="36"/>
  <c r="Q18" i="78"/>
  <c r="R18" i="78" s="1"/>
  <c r="S14" i="38"/>
  <c r="I22" i="38"/>
  <c r="K22" i="38" s="1"/>
  <c r="I10" i="38"/>
  <c r="K10" i="38" s="1"/>
  <c r="I19" i="38"/>
  <c r="K19" i="38" s="1"/>
  <c r="I11" i="38"/>
  <c r="K11" i="38" s="1"/>
  <c r="I28" i="38"/>
  <c r="K28" i="38" s="1"/>
  <c r="I26" i="38"/>
  <c r="K26" i="38" s="1"/>
  <c r="I23" i="38"/>
  <c r="K23" i="38" s="1"/>
  <c r="I27" i="38"/>
  <c r="K27" i="38" s="1"/>
  <c r="I20" i="38"/>
  <c r="K20" i="38" s="1"/>
  <c r="I35" i="38"/>
  <c r="K35" i="38" s="1"/>
  <c r="I24" i="38"/>
  <c r="K24" i="38" s="1"/>
  <c r="I34" i="38"/>
  <c r="K34" i="38" s="1"/>
  <c r="I31" i="38"/>
  <c r="K31" i="38" s="1"/>
  <c r="I30" i="38"/>
  <c r="K30" i="38" s="1"/>
  <c r="I36" i="38"/>
  <c r="K36" i="38" s="1"/>
  <c r="I15" i="38"/>
  <c r="K15" i="38" s="1"/>
  <c r="I12" i="38"/>
  <c r="K12" i="38" s="1"/>
  <c r="I32" i="38"/>
  <c r="K32" i="38" s="1"/>
  <c r="I16" i="38"/>
  <c r="K16" i="38" s="1"/>
  <c r="I14" i="38"/>
  <c r="K14" i="38" s="1"/>
  <c r="I18" i="38"/>
  <c r="K18" i="38" s="1"/>
  <c r="Q19" i="78"/>
  <c r="S23" i="72" l="1"/>
  <c r="Y23" i="72" s="1"/>
  <c r="Z23" i="72" s="1"/>
  <c r="K18" i="77"/>
  <c r="K11" i="77"/>
  <c r="M13" i="82"/>
  <c r="Q13" i="82" s="1"/>
  <c r="N13" i="82"/>
  <c r="R13" i="82" s="1"/>
  <c r="P13" i="77"/>
  <c r="H13" i="77"/>
  <c r="N13" i="77"/>
  <c r="Z11" i="72"/>
  <c r="AK11" i="72"/>
  <c r="P11" i="77"/>
  <c r="H11" i="77"/>
  <c r="N11" i="77"/>
  <c r="M21" i="82"/>
  <c r="Q21" i="82" s="1"/>
  <c r="N21" i="82"/>
  <c r="R21" i="82" s="1"/>
  <c r="M24" i="82"/>
  <c r="Q24" i="82" s="1"/>
  <c r="N24" i="82"/>
  <c r="R24" i="82" s="1"/>
  <c r="L20" i="37"/>
  <c r="P20" i="37"/>
  <c r="L14" i="37"/>
  <c r="P14" i="37"/>
  <c r="P31" i="37"/>
  <c r="L31" i="37"/>
  <c r="L32" i="37"/>
  <c r="P32" i="37"/>
  <c r="L19" i="37"/>
  <c r="P19" i="37"/>
  <c r="L30" i="37"/>
  <c r="P30" i="37"/>
  <c r="AL19" i="72"/>
  <c r="Z9" i="72"/>
  <c r="AK9" i="72"/>
  <c r="Q10" i="78"/>
  <c r="AK13" i="72"/>
  <c r="Z13" i="72"/>
  <c r="M12" i="82"/>
  <c r="Q12" i="82" s="1"/>
  <c r="N12" i="82"/>
  <c r="R12" i="82" s="1"/>
  <c r="R11" i="78"/>
  <c r="Q19" i="77"/>
  <c r="M23" i="82"/>
  <c r="Q23" i="82" s="1"/>
  <c r="N23" i="82"/>
  <c r="R23" i="82" s="1"/>
  <c r="N19" i="80"/>
  <c r="L19" i="80"/>
  <c r="L26" i="80"/>
  <c r="N26" i="80"/>
  <c r="N23" i="80"/>
  <c r="L23" i="80"/>
  <c r="L18" i="80"/>
  <c r="N18" i="80"/>
  <c r="N14" i="80"/>
  <c r="L14" i="80"/>
  <c r="M11" i="82"/>
  <c r="Q11" i="82" s="1"/>
  <c r="N11" i="82"/>
  <c r="R11" i="82" s="1"/>
  <c r="Q14" i="78"/>
  <c r="P21" i="77"/>
  <c r="H21" i="77"/>
  <c r="N21" i="77"/>
  <c r="Q15" i="77"/>
  <c r="Q9" i="78"/>
  <c r="M8" i="82"/>
  <c r="Q8" i="82" s="1"/>
  <c r="N8" i="82"/>
  <c r="R8" i="82" s="1"/>
  <c r="L38" i="37"/>
  <c r="P38" i="37"/>
  <c r="L24" i="37"/>
  <c r="P24" i="37"/>
  <c r="P15" i="37"/>
  <c r="L15" i="37"/>
  <c r="P36" i="37"/>
  <c r="L36" i="37"/>
  <c r="L10" i="37"/>
  <c r="P10" i="37"/>
  <c r="P39" i="37"/>
  <c r="L39" i="37"/>
  <c r="P11" i="37"/>
  <c r="L11" i="37"/>
  <c r="AE36" i="84"/>
  <c r="AE38" i="84" s="1"/>
  <c r="AE39" i="84" s="1"/>
  <c r="AE40" i="84" s="1"/>
  <c r="R12" i="78"/>
  <c r="M16" i="82"/>
  <c r="Q16" i="82" s="1"/>
  <c r="N16" i="82"/>
  <c r="R16" i="82" s="1"/>
  <c r="T10" i="72"/>
  <c r="Y10" i="72"/>
  <c r="T14" i="72"/>
  <c r="Y14" i="72"/>
  <c r="M10" i="82"/>
  <c r="Q10" i="82" s="1"/>
  <c r="N10" i="82"/>
  <c r="R10" i="82" s="1"/>
  <c r="M18" i="82"/>
  <c r="Q18" i="82" s="1"/>
  <c r="N18" i="82"/>
  <c r="R18" i="82" s="1"/>
  <c r="M9" i="82"/>
  <c r="Q9" i="82" s="1"/>
  <c r="N9" i="82"/>
  <c r="R9" i="82" s="1"/>
  <c r="T20" i="72"/>
  <c r="Y20" i="72"/>
  <c r="K13" i="77"/>
  <c r="Q12" i="77"/>
  <c r="AL16" i="72"/>
  <c r="N29" i="80"/>
  <c r="L29" i="80"/>
  <c r="L17" i="80"/>
  <c r="N17" i="80"/>
  <c r="L16" i="80"/>
  <c r="N16" i="80"/>
  <c r="L15" i="80"/>
  <c r="N15" i="80"/>
  <c r="L20" i="80"/>
  <c r="N20" i="80"/>
  <c r="L11" i="80"/>
  <c r="N11" i="80"/>
  <c r="K21" i="77"/>
  <c r="R19" i="78"/>
  <c r="M14" i="82"/>
  <c r="Q14" i="82" s="1"/>
  <c r="N14" i="82"/>
  <c r="R14" i="82" s="1"/>
  <c r="J39" i="86"/>
  <c r="J40" i="86" s="1"/>
  <c r="P39" i="86"/>
  <c r="P40" i="86" s="1"/>
  <c r="Z21" i="72"/>
  <c r="AK21" i="72"/>
  <c r="R22" i="77"/>
  <c r="M29" i="82"/>
  <c r="Q29" i="82" s="1"/>
  <c r="N29" i="82"/>
  <c r="R29" i="82" s="1"/>
  <c r="P22" i="37"/>
  <c r="L22" i="37"/>
  <c r="AB14" i="37"/>
  <c r="J12" i="37"/>
  <c r="J39" i="37"/>
  <c r="J27" i="37"/>
  <c r="J38" i="37"/>
  <c r="J16" i="37"/>
  <c r="J24" i="37"/>
  <c r="J28" i="37"/>
  <c r="J11" i="37"/>
  <c r="J31" i="37"/>
  <c r="J10" i="37"/>
  <c r="J30" i="37"/>
  <c r="J32" i="37"/>
  <c r="J36" i="37"/>
  <c r="J19" i="37"/>
  <c r="J14" i="37"/>
  <c r="J35" i="37"/>
  <c r="J20" i="37"/>
  <c r="J15" i="37"/>
  <c r="J34" i="37"/>
  <c r="J26" i="37"/>
  <c r="J22" i="37"/>
  <c r="J18" i="37"/>
  <c r="J40" i="37"/>
  <c r="J23" i="37"/>
  <c r="P16" i="37"/>
  <c r="L16" i="37"/>
  <c r="L26" i="37"/>
  <c r="P26" i="37"/>
  <c r="L34" i="37"/>
  <c r="P34" i="37"/>
  <c r="L18" i="37"/>
  <c r="P18" i="37"/>
  <c r="F26" i="85"/>
  <c r="L26" i="85"/>
  <c r="C35" i="85"/>
  <c r="D35" i="85" s="1"/>
  <c r="C34" i="85"/>
  <c r="D34" i="85" s="1"/>
  <c r="T23" i="72"/>
  <c r="AM22" i="72"/>
  <c r="M25" i="82"/>
  <c r="Q25" i="82" s="1"/>
  <c r="N25" i="82"/>
  <c r="R25" i="82" s="1"/>
  <c r="M30" i="82"/>
  <c r="Q30" i="82" s="1"/>
  <c r="N30" i="82"/>
  <c r="R30" i="82" s="1"/>
  <c r="M26" i="82"/>
  <c r="Q26" i="82" s="1"/>
  <c r="N26" i="82"/>
  <c r="R26" i="82" s="1"/>
  <c r="M15" i="82"/>
  <c r="Q15" i="82" s="1"/>
  <c r="N15" i="82"/>
  <c r="R15" i="82" s="1"/>
  <c r="P18" i="77"/>
  <c r="H18" i="77"/>
  <c r="N18" i="77"/>
  <c r="R21" i="78"/>
  <c r="L12" i="80"/>
  <c r="N12" i="80"/>
  <c r="N9" i="80"/>
  <c r="L9" i="80"/>
  <c r="L30" i="80"/>
  <c r="N30" i="80"/>
  <c r="N10" i="80"/>
  <c r="L10" i="80"/>
  <c r="N22" i="80"/>
  <c r="L22" i="80"/>
  <c r="L24" i="80"/>
  <c r="N24" i="80"/>
  <c r="M17" i="82"/>
  <c r="Q17" i="82" s="1"/>
  <c r="N17" i="82"/>
  <c r="R17" i="82" s="1"/>
  <c r="M22" i="82"/>
  <c r="Q22" i="82" s="1"/>
  <c r="N22" i="82"/>
  <c r="R22" i="82" s="1"/>
  <c r="Q16" i="77"/>
  <c r="M27" i="82"/>
  <c r="Q27" i="82" s="1"/>
  <c r="N27" i="82"/>
  <c r="R27" i="82" s="1"/>
  <c r="M20" i="82"/>
  <c r="Q20" i="82" s="1"/>
  <c r="N20" i="82"/>
  <c r="R20" i="82" s="1"/>
  <c r="M36" i="86"/>
  <c r="M38" i="86" s="1"/>
  <c r="M39" i="86" s="1"/>
  <c r="M40" i="86" s="1"/>
  <c r="P12" i="37"/>
  <c r="L12" i="37"/>
  <c r="L23" i="37"/>
  <c r="P23" i="37"/>
  <c r="P27" i="37"/>
  <c r="L27" i="37"/>
  <c r="P40" i="37"/>
  <c r="L40" i="37"/>
  <c r="L28" i="37"/>
  <c r="P28" i="37"/>
  <c r="L35" i="37"/>
  <c r="P35" i="37"/>
  <c r="K10" i="77"/>
  <c r="AK18" i="72"/>
  <c r="Z18" i="72"/>
  <c r="J23" i="78"/>
  <c r="Q17" i="78"/>
  <c r="G36" i="86"/>
  <c r="G38" i="86" s="1"/>
  <c r="G39" i="86" s="1"/>
  <c r="G40" i="86" s="1"/>
  <c r="AL12" i="72"/>
  <c r="T17" i="72"/>
  <c r="Y17" i="72"/>
  <c r="M19" i="82"/>
  <c r="Q19" i="82" s="1"/>
  <c r="N19" i="82"/>
  <c r="R19" i="82" s="1"/>
  <c r="M28" i="82"/>
  <c r="Q28" i="82" s="1"/>
  <c r="N28" i="82"/>
  <c r="R28" i="82" s="1"/>
  <c r="L31" i="80"/>
  <c r="N31" i="80"/>
  <c r="N27" i="80"/>
  <c r="L27" i="80"/>
  <c r="N25" i="80"/>
  <c r="L25" i="80"/>
  <c r="N21" i="80"/>
  <c r="L21" i="80"/>
  <c r="L28" i="80"/>
  <c r="N28" i="80"/>
  <c r="N13" i="80"/>
  <c r="L13" i="80"/>
  <c r="AL15" i="72"/>
  <c r="K9" i="77" l="1"/>
  <c r="K20" i="78"/>
  <c r="K17" i="77"/>
  <c r="K14" i="77"/>
  <c r="K20" i="77"/>
  <c r="R17" i="78"/>
  <c r="N36" i="37"/>
  <c r="R36" i="37"/>
  <c r="AL21" i="72"/>
  <c r="Z10" i="72"/>
  <c r="AK10" i="72"/>
  <c r="J23" i="77"/>
  <c r="R15" i="77"/>
  <c r="Q21" i="77"/>
  <c r="P17" i="77"/>
  <c r="H17" i="77"/>
  <c r="N17" i="77"/>
  <c r="R19" i="77"/>
  <c r="AL9" i="72"/>
  <c r="AM19" i="72"/>
  <c r="Q11" i="77"/>
  <c r="Q13" i="77"/>
  <c r="R13" i="77" s="1"/>
  <c r="Z17" i="72"/>
  <c r="AK17" i="72"/>
  <c r="AL18" i="72"/>
  <c r="AM18" i="72" s="1"/>
  <c r="N37" i="43" s="1"/>
  <c r="P10" i="77"/>
  <c r="H10" i="77"/>
  <c r="N10" i="77"/>
  <c r="R22" i="37"/>
  <c r="N22" i="37"/>
  <c r="R31" i="37"/>
  <c r="N31" i="37"/>
  <c r="D36" i="85"/>
  <c r="D38" i="85" s="1"/>
  <c r="R23" i="37"/>
  <c r="N23" i="37"/>
  <c r="R26" i="37"/>
  <c r="N26" i="37"/>
  <c r="R35" i="37"/>
  <c r="N35" i="37"/>
  <c r="R32" i="37"/>
  <c r="N32" i="37"/>
  <c r="R11" i="37"/>
  <c r="N11" i="37"/>
  <c r="R38" i="37"/>
  <c r="N38" i="37"/>
  <c r="R12" i="77"/>
  <c r="R9" i="78"/>
  <c r="AL11" i="72"/>
  <c r="P20" i="77"/>
  <c r="H20" i="77"/>
  <c r="N20" i="77"/>
  <c r="R16" i="37"/>
  <c r="N16" i="37"/>
  <c r="AM15" i="72"/>
  <c r="R16" i="77"/>
  <c r="P14" i="77"/>
  <c r="H14" i="77"/>
  <c r="N14" i="77"/>
  <c r="N40" i="37"/>
  <c r="R40" i="37"/>
  <c r="N34" i="37"/>
  <c r="R34" i="37"/>
  <c r="N14" i="37"/>
  <c r="R14" i="37"/>
  <c r="N30" i="37"/>
  <c r="R30" i="37"/>
  <c r="R28" i="37"/>
  <c r="N28" i="37"/>
  <c r="N27" i="37"/>
  <c r="R27" i="37"/>
  <c r="Z14" i="72"/>
  <c r="AK14" i="72"/>
  <c r="F34" i="85"/>
  <c r="G34" i="85" s="1"/>
  <c r="F35" i="85"/>
  <c r="G35" i="85" s="1"/>
  <c r="R20" i="37"/>
  <c r="N20" i="37"/>
  <c r="N12" i="37"/>
  <c r="R12" i="37"/>
  <c r="P9" i="77"/>
  <c r="E23" i="77"/>
  <c r="H9" i="77"/>
  <c r="N9" i="77"/>
  <c r="AM12" i="72"/>
  <c r="P20" i="78"/>
  <c r="H20" i="78"/>
  <c r="N20" i="78"/>
  <c r="E23" i="78"/>
  <c r="E26" i="78" s="1"/>
  <c r="Q18" i="77"/>
  <c r="R18" i="77" s="1"/>
  <c r="L35" i="85"/>
  <c r="M35" i="85" s="1"/>
  <c r="L34" i="85"/>
  <c r="M34" i="85" s="1"/>
  <c r="N18" i="37"/>
  <c r="R18" i="37"/>
  <c r="N15" i="37"/>
  <c r="R15" i="37"/>
  <c r="R19" i="37"/>
  <c r="N19" i="37"/>
  <c r="N10" i="37"/>
  <c r="R10" i="37"/>
  <c r="R24" i="37"/>
  <c r="N24" i="37"/>
  <c r="R39" i="37"/>
  <c r="N39" i="37"/>
  <c r="AM16" i="72"/>
  <c r="Z20" i="72"/>
  <c r="AK20" i="72"/>
  <c r="R14" i="78"/>
  <c r="AL13" i="72"/>
  <c r="AM13" i="72" s="1"/>
  <c r="R10" i="78"/>
  <c r="M36" i="85" l="1"/>
  <c r="M38" i="85" s="1"/>
  <c r="M39" i="85" s="1"/>
  <c r="M40" i="85" s="1"/>
  <c r="G36" i="85"/>
  <c r="G38" i="85" s="1"/>
  <c r="G39" i="85" s="1"/>
  <c r="G40" i="85" s="1"/>
  <c r="H23" i="77"/>
  <c r="N23" i="77"/>
  <c r="AL14" i="72"/>
  <c r="Q14" i="77"/>
  <c r="AM11" i="72"/>
  <c r="AL17" i="72"/>
  <c r="Q17" i="77"/>
  <c r="R21" i="77"/>
  <c r="K23" i="77"/>
  <c r="H23" i="78"/>
  <c r="N23" i="78"/>
  <c r="Q20" i="77"/>
  <c r="P39" i="85"/>
  <c r="P40" i="85" s="1"/>
  <c r="J39" i="85"/>
  <c r="J40" i="85" s="1"/>
  <c r="E26" i="77"/>
  <c r="Q10" i="77"/>
  <c r="AK23" i="72"/>
  <c r="AL10" i="72"/>
  <c r="O63" i="40"/>
  <c r="Q9" i="77"/>
  <c r="P23" i="77"/>
  <c r="P26" i="77" s="1"/>
  <c r="Q40" i="81"/>
  <c r="R11" i="77"/>
  <c r="Q20" i="78"/>
  <c r="P23" i="78"/>
  <c r="P26" i="78" s="1"/>
  <c r="AL20" i="72"/>
  <c r="K23" i="78"/>
  <c r="AM9" i="72"/>
  <c r="AM21" i="72"/>
  <c r="AM10" i="72" l="1"/>
  <c r="R20" i="77"/>
  <c r="R17" i="77"/>
  <c r="AM14" i="72"/>
  <c r="R20" i="78"/>
  <c r="Q23" i="78"/>
  <c r="R23" i="78" s="1"/>
  <c r="AM17" i="72"/>
  <c r="N37" i="42" s="1"/>
  <c r="R14" i="77"/>
  <c r="R10" i="77"/>
  <c r="Q40" i="36"/>
  <c r="Q23" i="77"/>
  <c r="R23" i="77" s="1"/>
  <c r="R9" i="77"/>
  <c r="AL23" i="72"/>
  <c r="AM23" i="72" s="1"/>
  <c r="AM20" i="72"/>
  <c r="O55" i="38"/>
  <c r="O47" i="39"/>
  <c r="U39" i="37" l="1"/>
  <c r="O47" i="41"/>
</calcChain>
</file>

<file path=xl/sharedStrings.xml><?xml version="1.0" encoding="utf-8"?>
<sst xmlns="http://schemas.openxmlformats.org/spreadsheetml/2006/main" count="795" uniqueCount="287">
  <si>
    <t>Puget Sound Energy</t>
  </si>
  <si>
    <t>Line No.</t>
  </si>
  <si>
    <t>Residential</t>
  </si>
  <si>
    <t>50-59</t>
  </si>
  <si>
    <t>449-459</t>
  </si>
  <si>
    <t>All Sales</t>
  </si>
  <si>
    <t xml:space="preserve"> </t>
  </si>
  <si>
    <t>Present</t>
  </si>
  <si>
    <t>Proposed</t>
  </si>
  <si>
    <t>Difference</t>
  </si>
  <si>
    <t>Line</t>
  </si>
  <si>
    <t>%</t>
  </si>
  <si>
    <t>GRC Rate Impacts</t>
  </si>
  <si>
    <t>24 (8)</t>
  </si>
  <si>
    <t>26 (12,26P)</t>
  </si>
  <si>
    <t>31 (10)</t>
  </si>
  <si>
    <t>Firm Resale</t>
  </si>
  <si>
    <t>Subtotal</t>
  </si>
  <si>
    <t>A</t>
  </si>
  <si>
    <t>B</t>
  </si>
  <si>
    <t>Retail Wheeling</t>
  </si>
  <si>
    <t>Schedule 129 - Low Income</t>
  </si>
  <si>
    <t>Schedule 140 - Property Tax</t>
  </si>
  <si>
    <t>25 (11, 7A)</t>
  </si>
  <si>
    <t>Schedule 142 - Decoupling</t>
  </si>
  <si>
    <t>$ x 1000</t>
  </si>
  <si>
    <t>* Average PSE Customer</t>
  </si>
  <si>
    <t>Notes:</t>
  </si>
  <si>
    <t>&gt;5000</t>
  </si>
  <si>
    <t>Schedule 194 - BPA Exch Credit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</si>
  <si>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</si>
  <si>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</si>
  <si>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</si>
  <si>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</si>
  <si>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</si>
  <si>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</si>
  <si>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</si>
  <si>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</si>
  <si>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</si>
  <si>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</si>
  <si>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</si>
  <si>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kWh</t>
  </si>
  <si>
    <t>Change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</si>
  <si>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</si>
  <si>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</si>
  <si>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</si>
  <si>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</si>
  <si>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</si>
  <si>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</si>
  <si>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</si>
  <si>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</si>
  <si>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</si>
  <si>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</si>
  <si>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</si>
  <si>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</si>
  <si>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</si>
  <si>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</si>
  <si>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</si>
  <si>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</si>
  <si>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</si>
  <si>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</si>
  <si>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</si>
  <si>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</si>
  <si>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</si>
  <si>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</si>
  <si>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</si>
  <si>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</si>
  <si>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</si>
  <si>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</si>
  <si>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</si>
  <si>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</si>
  <si>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</si>
  <si>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</si>
  <si>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</si>
  <si>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</si>
  <si>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</si>
  <si>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</si>
  <si>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</si>
  <si>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</si>
  <si>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</si>
  <si>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</si>
  <si>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</si>
  <si>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</si>
  <si>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</si>
  <si>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</si>
  <si>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</si>
  <si>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</si>
  <si>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</si>
  <si>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</si>
  <si>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</si>
  <si>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</si>
  <si>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</si>
  <si>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</si>
  <si>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</si>
  <si>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</si>
  <si>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</si>
  <si>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</si>
  <si>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</si>
  <si>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</si>
  <si>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</si>
  <si>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</si>
  <si>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Average kWh - First 20,000</t>
  </si>
  <si>
    <t>Schedule 142 - Decoupling ($-kW)</t>
  </si>
  <si>
    <t>Average kWh - block 1</t>
  </si>
  <si>
    <t>Average kWh - block 2</t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</si>
  <si>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</si>
  <si>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</si>
  <si>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</si>
  <si>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</si>
  <si>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</si>
  <si>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</si>
  <si>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</si>
  <si>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</si>
  <si>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</si>
  <si>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</si>
  <si>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</si>
  <si>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</si>
  <si>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</si>
  <si>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</si>
  <si>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</si>
  <si>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Special Contract</t>
  </si>
  <si>
    <t>C</t>
  </si>
  <si>
    <t>D</t>
  </si>
  <si>
    <t>Residential Base Rate Impact:</t>
  </si>
  <si>
    <t>Base Rate Impact</t>
  </si>
  <si>
    <t>Net Rate Impact</t>
  </si>
  <si>
    <t>Proposed Rates Effective January 2023</t>
  </si>
  <si>
    <t>Rate Schedule</t>
  </si>
  <si>
    <t>Schedule 95 - PCORC</t>
  </si>
  <si>
    <t>Schedule 142 - Decoupling Supplemental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</si>
  <si>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10/1/2021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</si>
  <si>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January 2023</t>
    </r>
  </si>
  <si>
    <t>Schedule 142 - Decoupling Supplemental ($-kWh)</t>
  </si>
  <si>
    <t>Schedule 142 - Decoupling Supplemental ($-kW)</t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</si>
  <si>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10/1/2021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</si>
  <si>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January 2023</t>
    </r>
  </si>
  <si>
    <r>
      <t xml:space="preserve">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Base Rates Effective 10/1/2021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</si>
  <si>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January 2023</t>
    </r>
  </si>
  <si>
    <t>% Customers</t>
  </si>
  <si>
    <t>Annual</t>
  </si>
  <si>
    <t>Summer (Apr-Sep)</t>
  </si>
  <si>
    <t>Winter (Oct-Mar)</t>
  </si>
  <si>
    <t>Schedule 141C - Colstrip</t>
  </si>
  <si>
    <t>Schedule 141N - Non Refundable MYRP</t>
  </si>
  <si>
    <t>Schedule 141R - Refundable MYRP</t>
  </si>
  <si>
    <t xml:space="preserve">Schedule 141X- Tax Passback </t>
  </si>
  <si>
    <t>Schedule 141Z - Tax</t>
  </si>
  <si>
    <t>Test Year ended December 2023</t>
  </si>
  <si>
    <t>Annual mWh 
Delivered Sales 
YE 2023</t>
  </si>
  <si>
    <t>Test Year ended December 2024</t>
  </si>
  <si>
    <t>Proposed Rates Effective January 2024</t>
  </si>
  <si>
    <t>Annual mWh 
Delivered Sales 
YE 2024</t>
  </si>
  <si>
    <t>Test Year ended December 2025</t>
  </si>
  <si>
    <t>Proposed Rates Effective January 2025</t>
  </si>
  <si>
    <t>Annual mWh 
Delivered Sales 
YE 2025</t>
  </si>
  <si>
    <t>Sec Volt Gen Svc</t>
  </si>
  <si>
    <t>Sec Volt Gen Lg Dem Svc</t>
  </si>
  <si>
    <t>Sec Volt Gen Med Dem Svc</t>
  </si>
  <si>
    <t>Sec Volt Irrig &amp; Pump Svc</t>
  </si>
  <si>
    <t>Pri Volt Gen Svc</t>
  </si>
  <si>
    <t>Pri Volt Irrig &amp; Pump Svc</t>
  </si>
  <si>
    <t>Pri Volt Interr Elec Sch</t>
  </si>
  <si>
    <t>High Volt Interr Svc</t>
  </si>
  <si>
    <t>High Volt Gen Svc</t>
  </si>
  <si>
    <t>Area &amp; Street Lighting</t>
  </si>
  <si>
    <t>Total Forecast Revenue at Current Rates (1)</t>
  </si>
  <si>
    <t>Rate Class</t>
  </si>
  <si>
    <t>Base Rate $ Change</t>
  </si>
  <si>
    <t>Base Rate % Change</t>
  </si>
  <si>
    <t>Sch 141N Rate Plan $ Change</t>
  </si>
  <si>
    <t>Sch 141N Rate Plan % Change</t>
  </si>
  <si>
    <t>Sch 141C Rate Plan $ Change</t>
  </si>
  <si>
    <t>Sch 141C Rate Plan % Change</t>
  </si>
  <si>
    <t>Sch 141R Rate Plan $ Change</t>
  </si>
  <si>
    <t>Sch 141R Rate Plan % Change</t>
  </si>
  <si>
    <t>Sch 141X Rate Plan $ Change</t>
  </si>
  <si>
    <t>Sch 141X Rate Plan % Change</t>
  </si>
  <si>
    <t>Sch 95 PCORC Rate Plan $ Change</t>
  </si>
  <si>
    <t>Sch 95 PCORC Rate Plan % Change</t>
  </si>
  <si>
    <t>Sch 95 PCAM Rate Plan $ Change</t>
  </si>
  <si>
    <t>Sch 95 PCAM Rate Plan % Change</t>
  </si>
  <si>
    <t>Sch 139 Rate Plan $ Change</t>
  </si>
  <si>
    <t>Sch 139 Rate Plan % Change</t>
  </si>
  <si>
    <t>(1)  Rates Effective October 1, 2021</t>
  </si>
  <si>
    <t>Sch 142 Supp Rate Plan $ Change</t>
  </si>
  <si>
    <t>Total $ Change</t>
  </si>
  <si>
    <t>Total % Change</t>
  </si>
  <si>
    <t>Total Forecast Revenue at RY#1 Rates (1)</t>
  </si>
  <si>
    <t>(1)  Proposed Rates Effective January 1, 2023</t>
  </si>
  <si>
    <t>(1)  Proposed Rates Effective January 1, 2024</t>
  </si>
  <si>
    <t>Total Forecast Revenue at RY#2 Rates (1)</t>
  </si>
  <si>
    <t>2022 Electric General Rate Case Filing</t>
  </si>
  <si>
    <t>Schedule 7 Residential Monthly Billing Comparison of Proposed Rate Year #1 Rates</t>
  </si>
  <si>
    <t>Proposed Rates Effective January 1, 2023</t>
  </si>
  <si>
    <t>Proposed Rates Effective January 1, 2024</t>
  </si>
  <si>
    <t>Proposed Rates Effective January 1, 2025</t>
  </si>
  <si>
    <t>Winter
(Oct-Mar)</t>
  </si>
  <si>
    <t>Change in Bill $</t>
  </si>
  <si>
    <t>Change in Bill %</t>
  </si>
  <si>
    <t>Schedule 7 Residential Monthly Billing Comparison of Proposed Rate Plan Rates</t>
  </si>
  <si>
    <t>Proposed
Bill
Effective
Jan. 1, 2023</t>
  </si>
  <si>
    <t>Proposed
Bill
Effective
Jan. 1, 2024</t>
  </si>
  <si>
    <t>Proposed
Bill
Effective
Jan. 1, 2025</t>
  </si>
  <si>
    <r>
      <t xml:space="preserve">Monthly Bill Amounts $ </t>
    </r>
    <r>
      <rPr>
        <vertAlign val="superscript"/>
        <sz val="8.8000000000000007"/>
        <rFont val="Calibri"/>
        <family val="2"/>
        <scheme val="minor"/>
      </rPr>
      <t>1</t>
    </r>
  </si>
  <si>
    <r>
      <t xml:space="preserve">Current
Bill </t>
    </r>
    <r>
      <rPr>
        <vertAlign val="superscript"/>
        <sz val="9.9"/>
        <rFont val="Calibri"/>
        <family val="2"/>
        <scheme val="minor"/>
      </rPr>
      <t>2</t>
    </r>
  </si>
  <si>
    <r>
      <t xml:space="preserve">   </t>
    </r>
    <r>
      <rPr>
        <vertAlign val="superscript"/>
        <sz val="9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Base Rates Effective 10/1/2021</t>
    </r>
  </si>
  <si>
    <r>
      <t xml:space="preserve">Monthly Bill Amounts </t>
    </r>
    <r>
      <rPr>
        <vertAlign val="superscript"/>
        <sz val="8.8000000000000007"/>
        <rFont val="Calibri"/>
        <family val="2"/>
        <scheme val="minor"/>
      </rPr>
      <t>1</t>
    </r>
  </si>
  <si>
    <r>
      <t xml:space="preserve">Present </t>
    </r>
    <r>
      <rPr>
        <vertAlign val="superscript"/>
        <sz val="9.9"/>
        <rFont val="Calibri"/>
        <family val="2"/>
        <scheme val="minor"/>
      </rPr>
      <t>2</t>
    </r>
  </si>
  <si>
    <r>
      <t xml:space="preserve">Proposed </t>
    </r>
    <r>
      <rPr>
        <vertAlign val="superscript"/>
        <sz val="9.9"/>
        <rFont val="Calibri"/>
        <family val="2"/>
        <scheme val="minor"/>
      </rPr>
      <t>3</t>
    </r>
  </si>
  <si>
    <r>
      <t xml:space="preserve">   </t>
    </r>
    <r>
      <rPr>
        <vertAlign val="superscript"/>
        <sz val="9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Base + Rider Rates Effective January 2023</t>
    </r>
  </si>
  <si>
    <r>
      <t xml:space="preserve">Proposed </t>
    </r>
    <r>
      <rPr>
        <vertAlign val="superscript"/>
        <sz val="11"/>
        <rFont val="Calibri"/>
        <family val="2"/>
        <scheme val="minor"/>
      </rPr>
      <t>2,</t>
    </r>
    <r>
      <rPr>
        <vertAlign val="superscript"/>
        <sz val="9.9"/>
        <rFont val="Calibri"/>
        <family val="2"/>
        <scheme val="minor"/>
      </rPr>
      <t>3</t>
    </r>
  </si>
  <si>
    <r>
      <t xml:space="preserve">   </t>
    </r>
    <r>
      <rPr>
        <vertAlign val="superscript"/>
        <sz val="9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Base Rates Effective 1/1/2024</t>
    </r>
  </si>
  <si>
    <r>
      <t xml:space="preserve">   </t>
    </r>
    <r>
      <rPr>
        <vertAlign val="superscript"/>
        <sz val="9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Rider Rates Effective January 2025</t>
    </r>
  </si>
  <si>
    <t>12 ME
Dec 2023
Total Forecast
Revenue @ 
Proposed 
Rates</t>
  </si>
  <si>
    <t>12 ME
Dec 2024
Total Forecast
Revenue @ 
Proposed 
Rates</t>
  </si>
  <si>
    <t>12 ME
Dec 2025
Total Forecast
Revenue @ 
Proposed 
Rates</t>
  </si>
  <si>
    <t>F = E/D</t>
  </si>
  <si>
    <t>E</t>
  </si>
  <si>
    <t>G</t>
  </si>
  <si>
    <t>H = G/D</t>
  </si>
  <si>
    <t>I</t>
  </si>
  <si>
    <t>J = I/D</t>
  </si>
  <si>
    <t>K</t>
  </si>
  <si>
    <t>L = K/D</t>
  </si>
  <si>
    <t>M</t>
  </si>
  <si>
    <t>N = M/D</t>
  </si>
  <si>
    <t>O</t>
  </si>
  <si>
    <t>P = O/D</t>
  </si>
  <si>
    <t>R = Q/D</t>
  </si>
  <si>
    <t>S</t>
  </si>
  <si>
    <t>T = S/D</t>
  </si>
  <si>
    <t>U</t>
  </si>
  <si>
    <t>V = U/D</t>
  </si>
  <si>
    <t>J = I-D</t>
  </si>
  <si>
    <t>K = J/D</t>
  </si>
  <si>
    <t>Current Rates</t>
  </si>
  <si>
    <t>Base Rate Change</t>
  </si>
  <si>
    <t>Sch. 141N Rate Change</t>
  </si>
  <si>
    <t>Sch. 141R Rate Change</t>
  </si>
  <si>
    <t>Sch. 141X Rate Change</t>
  </si>
  <si>
    <t>Total 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</si>
  <si>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</si>
  <si>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</si>
  <si>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</si>
  <si>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Typical Sch. 7  Residential Bill Impacts of Proposed Rate Year #1 Rates</t>
  </si>
  <si>
    <t>Customer charge ($/month)</t>
  </si>
  <si>
    <t>Total monthly bill</t>
  </si>
  <si>
    <t>Change from bill under current rates</t>
  </si>
  <si>
    <t>Percent change from bill under current rates</t>
  </si>
  <si>
    <t>Volume (kWh)</t>
  </si>
  <si>
    <t>Basic Charge (Sch. 7)</t>
  </si>
  <si>
    <t>Energy Charge (Sch. 7) First 600 kWh</t>
  </si>
  <si>
    <t>Energy Charge (Sch. 7) Over 600 kWh</t>
  </si>
  <si>
    <t>Total volumetric charges First 600 kWh</t>
  </si>
  <si>
    <t>Total volumetric charges Over 600 kWh</t>
  </si>
  <si>
    <t>Total Volumetric Charges</t>
  </si>
  <si>
    <t>Volumetric charges ($/kWh)</t>
  </si>
  <si>
    <t>Sch. 141C Rate Change</t>
  </si>
  <si>
    <t>Sch. 142 Supp Rate Change</t>
  </si>
  <si>
    <t>Sch. 95  PCORC Rate Change</t>
  </si>
  <si>
    <t>Sch. 95  PCAM Rate Change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</si>
  <si>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7 customers in effect October 1, 2021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</si>
  <si>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7 customers in effect January 1, 2024</t>
    </r>
  </si>
  <si>
    <t>Typical Sch. 7  Residential Bill Impacts of Proposed Rate Year #2 Rates</t>
  </si>
  <si>
    <t>Typical Sch. 7  Residential Bill Impacts of Proposed Rate Year #3 Rates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</si>
  <si>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7 customers in effect January 1, 2025</t>
    </r>
  </si>
  <si>
    <t>K = D+E+G+I</t>
  </si>
  <si>
    <t>Schedule 139 Current</t>
  </si>
  <si>
    <t>Schedule 139 Proposed</t>
  </si>
  <si>
    <t>Total Impact</t>
  </si>
  <si>
    <t>Sch 142 Supp Rate Plan % Change</t>
  </si>
  <si>
    <t>GRC Revenue Change ($)</t>
  </si>
  <si>
    <t>GRC Revenue Change (%)</t>
  </si>
  <si>
    <t>AA = Z/D</t>
  </si>
  <si>
    <t>GRC Revenue Changes</t>
  </si>
  <si>
    <t>Other Revenue Changes Impacting Customers</t>
  </si>
  <si>
    <t>Q = E+G+I+K+M+O</t>
  </si>
  <si>
    <t>W</t>
  </si>
  <si>
    <t>X = W/D</t>
  </si>
  <si>
    <t>Z = Y-D</t>
  </si>
  <si>
    <t>Y = D+Q+S+U+W</t>
  </si>
  <si>
    <t>Note:  Schedule 141X rates are effective October 1, 2021 through December 31, 2022 and will go to zero on January 1, 2023</t>
  </si>
  <si>
    <r>
      <t xml:space="preserve">   </t>
    </r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Includes Rider &amp; Tracker Schedules 95 PCORC, 95 PCA, 95A, 120, 129, 137, 140, 141, 141C, 141N, 141R, 141x, 141z, 142, 142 Supplemental, 194</t>
    </r>
  </si>
  <si>
    <r>
      <t xml:space="preserve">   </t>
    </r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Includes Rider Schedules 95 PCORC, 95 PCA, 95A, 120, 129, 137, 140, 141, 141C, 141N, 141R, 141x, 141z, 142, 142 Supplemental,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</si>
  <si>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 PCORC, 95 PCA, 95A, 120, 129, 137, 140, 141, 141C, 141N, 141R, 141x, 141z, 142, 142 Supplemental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</si>
  <si>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 PCORC, 95 PCA, 95A, 120, 129, 137, 140, 141, 141C, 141N, 141R, 141x, 141z, 142, 142 Supplemental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</si>
  <si>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 PCORC, 95 PCA, 95A, 120, 129, 137, 140, 141, 141C, 141N, 141R, 141x, 141z, 142, 142 Supplemental, 194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</si>
</sst>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00_);_(* \(#,##0.000\);_(* &quot;-&quot;??_);_(@_)"/>
    <numFmt numFmtId="168" formatCode="0.00_)"/>
    <numFmt numFmtId="169" formatCode="_(&quot;$&quot;* #,##0.000000_);_(&quot;$&quot;* \(#,##0.000000\);_(&quot;$&quot;* &quot;-&quot;??_);_(@_)"/>
    <numFmt numFmtId="170" formatCode="_(&quot;$&quot;* #,##0.00000_);_(&quot;$&quot;* \(#,##0.00000\);_(&quot;$&quot;* &quot;-&quot;??_);_(@_)"/>
    <numFmt numFmtId="171" formatCode="0.000"/>
    <numFmt numFmtId="172" formatCode="_(* #,##0.0000_);_(* \(#,##0.0000\);_(* &quot;-&quot;??_);_(@_)"/>
    <numFmt numFmtId="173" formatCode="_(&quot;$&quot;* #,##0.00_);_(&quot;$&quot;* \(#,##0.00\);_(&quot;$&quot;* &quot;-&quot;_);_(@_)"/>
    <numFmt numFmtId="174" formatCode="_(&quot;$&quot;* #,##0.00000_);_(&quot;$&quot;* \(#,##0.00000\);_(&quot;$&quot;* &quot;-&quot;?????_);_(@_)"/>
    <numFmt numFmtId="175" formatCode="_(&quot;$&quot;* #,##0.0_);_(&quot;$&quot;* \(#,##0.0\);_(&quot;$&quot;* &quot;-&quot;??_);_(@_)"/>
  </numFmts>
  <fonts count="25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6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8.8000000000000007"/>
      <name val="Calibri"/>
      <family val="2"/>
      <scheme val="minor"/>
    </font>
    <font>
      <vertAlign val="superscript"/>
      <sz val="9.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215">
    <xf numFmtId="0" fontId="0" fillId="0" borderId="0" xfId="0"/>
    <xf numFmtId="5" fontId="4" fillId="0" borderId="0" xfId="0" applyNumberFormat="1" applyFont="1" applyFill="1"/>
    <xf numFmtId="0" fontId="2" fillId="0" borderId="0" xfId="0" applyFont="1" applyFill="1"/>
    <xf numFmtId="0" fontId="4" fillId="0" borderId="1" xfId="0" applyFont="1" applyFill="1" applyBorder="1"/>
    <xf numFmtId="10" fontId="4" fillId="0" borderId="0" xfId="0" applyNumberFormat="1" applyFont="1" applyFill="1" applyProtection="1"/>
    <xf numFmtId="37" fontId="4" fillId="0" borderId="0" xfId="0" applyNumberFormat="1" applyFont="1" applyFill="1" applyProtection="1"/>
    <xf numFmtId="10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6" fontId="4" fillId="0" borderId="0" xfId="0" applyNumberFormat="1" applyFont="1" applyFill="1"/>
    <xf numFmtId="0" fontId="4" fillId="0" borderId="0" xfId="0" applyFont="1" applyFill="1" applyBorder="1"/>
    <xf numFmtId="43" fontId="4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4" fillId="0" borderId="0" xfId="0" applyFont="1" applyFill="1" applyProtection="1"/>
    <xf numFmtId="0" fontId="1" fillId="0" borderId="0" xfId="0" applyFont="1" applyFill="1"/>
    <xf numFmtId="166" fontId="1" fillId="0" borderId="0" xfId="0" applyNumberFormat="1" applyFont="1" applyFill="1" applyProtection="1"/>
    <xf numFmtId="10" fontId="1" fillId="0" borderId="0" xfId="0" applyNumberFormat="1" applyFont="1" applyFill="1" applyProtection="1"/>
    <xf numFmtId="0" fontId="1" fillId="0" borderId="0" xfId="0" applyFont="1" applyFill="1" applyProtection="1"/>
    <xf numFmtId="5" fontId="1" fillId="0" borderId="0" xfId="0" applyNumberFormat="1" applyFont="1" applyFill="1" applyProtection="1"/>
    <xf numFmtId="172" fontId="1" fillId="0" borderId="0" xfId="0" applyNumberFormat="1" applyFont="1" applyFill="1" applyProtection="1"/>
    <xf numFmtId="37" fontId="1" fillId="0" borderId="0" xfId="0" applyNumberFormat="1" applyFont="1" applyFill="1" applyProtection="1"/>
    <xf numFmtId="0" fontId="1" fillId="0" borderId="0" xfId="0" applyFont="1" applyFill="1" applyBorder="1"/>
    <xf numFmtId="166" fontId="1" fillId="0" borderId="0" xfId="0" applyNumberFormat="1" applyFont="1" applyFill="1" applyBorder="1" applyProtection="1"/>
    <xf numFmtId="5" fontId="1" fillId="0" borderId="0" xfId="0" applyNumberFormat="1" applyFont="1" applyFill="1"/>
    <xf numFmtId="7" fontId="4" fillId="0" borderId="0" xfId="0" applyNumberFormat="1" applyFont="1" applyFill="1"/>
    <xf numFmtId="0" fontId="4" fillId="0" borderId="1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1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7" fillId="0" borderId="0" xfId="0" applyFont="1" applyFill="1" applyProtection="1"/>
    <xf numFmtId="0" fontId="1" fillId="0" borderId="0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Continuous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Continuous"/>
    </xf>
    <xf numFmtId="0" fontId="1" fillId="0" borderId="5" xfId="0" applyFont="1" applyFill="1" applyBorder="1" applyAlignment="1" applyProtection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 applyProtection="1">
      <alignment horizontal="centerContinuous"/>
    </xf>
    <xf numFmtId="0" fontId="1" fillId="0" borderId="1" xfId="0" applyFont="1" applyFill="1" applyBorder="1"/>
    <xf numFmtId="0" fontId="1" fillId="0" borderId="1" xfId="0" applyFont="1" applyFill="1" applyBorder="1" applyProtection="1"/>
    <xf numFmtId="0" fontId="1" fillId="0" borderId="1" xfId="0" quotePrefix="1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/>
    <xf numFmtId="0" fontId="3" fillId="0" borderId="0" xfId="0" applyFont="1" applyFill="1" applyAlignment="1" applyProtection="1">
      <alignment horizontal="centerContinuous"/>
    </xf>
    <xf numFmtId="5" fontId="4" fillId="0" borderId="0" xfId="0" applyNumberFormat="1" applyFont="1" applyFill="1" applyProtection="1"/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Alignment="1">
      <alignment horizontal="centerContinuous"/>
    </xf>
    <xf numFmtId="10" fontId="4" fillId="0" borderId="0" xfId="0" applyNumberFormat="1" applyFont="1" applyFill="1"/>
    <xf numFmtId="0" fontId="4" fillId="0" borderId="0" xfId="0" quotePrefix="1" applyFont="1" applyFill="1" applyAlignment="1">
      <alignment horizontal="right"/>
    </xf>
    <xf numFmtId="0" fontId="4" fillId="0" borderId="12" xfId="0" applyFont="1" applyFill="1" applyBorder="1"/>
    <xf numFmtId="0" fontId="4" fillId="0" borderId="11" xfId="0" applyFont="1" applyFill="1" applyBorder="1"/>
    <xf numFmtId="0" fontId="4" fillId="0" borderId="8" xfId="0" applyFont="1" applyFill="1" applyBorder="1"/>
    <xf numFmtId="0" fontId="4" fillId="0" borderId="8" xfId="0" applyFont="1" applyFill="1" applyBorder="1" applyAlignment="1"/>
    <xf numFmtId="0" fontId="4" fillId="0" borderId="7" xfId="0" quotePrefix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Continuous"/>
    </xf>
    <xf numFmtId="0" fontId="4" fillId="0" borderId="0" xfId="0" quotePrefix="1" applyFont="1" applyFill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13" fillId="0" borderId="0" xfId="0" applyFont="1" applyFill="1" applyAlignment="1">
      <alignment horizontal="centerContinuous"/>
    </xf>
    <xf numFmtId="0" fontId="4" fillId="0" borderId="0" xfId="0" quotePrefix="1" applyFont="1" applyFill="1" applyAlignment="1">
      <alignment horizontal="left"/>
    </xf>
    <xf numFmtId="44" fontId="4" fillId="0" borderId="0" xfId="0" applyNumberFormat="1" applyFont="1" applyFill="1"/>
    <xf numFmtId="170" fontId="4" fillId="0" borderId="0" xfId="0" applyNumberFormat="1" applyFont="1" applyFill="1"/>
    <xf numFmtId="169" fontId="4" fillId="0" borderId="0" xfId="0" applyNumberFormat="1" applyFont="1" applyFill="1"/>
    <xf numFmtId="0" fontId="16" fillId="0" borderId="0" xfId="0" applyFont="1" applyFill="1"/>
    <xf numFmtId="0" fontId="16" fillId="0" borderId="5" xfId="0" applyFont="1" applyFill="1" applyBorder="1" applyAlignment="1">
      <alignment horizontal="centerContinuous" wrapText="1"/>
    </xf>
    <xf numFmtId="0" fontId="16" fillId="0" borderId="0" xfId="0" applyFont="1" applyFill="1" applyBorder="1" applyAlignment="1">
      <alignment horizontal="centerContinuous" wrapText="1"/>
    </xf>
    <xf numFmtId="0" fontId="16" fillId="0" borderId="5" xfId="0" quotePrefix="1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Continuous"/>
    </xf>
    <xf numFmtId="37" fontId="16" fillId="0" borderId="0" xfId="0" applyNumberFormat="1" applyFont="1" applyFill="1" applyProtection="1"/>
    <xf numFmtId="10" fontId="16" fillId="0" borderId="0" xfId="0" applyNumberFormat="1" applyFont="1" applyFill="1" applyAlignment="1">
      <alignment horizontal="center"/>
    </xf>
    <xf numFmtId="7" fontId="16" fillId="0" borderId="0" xfId="0" applyNumberFormat="1" applyFont="1" applyFill="1"/>
    <xf numFmtId="10" fontId="16" fillId="0" borderId="0" xfId="0" applyNumberFormat="1" applyFont="1" applyFill="1"/>
    <xf numFmtId="7" fontId="16" fillId="0" borderId="0" xfId="0" applyNumberFormat="1" applyFont="1" applyFill="1" applyProtection="1"/>
    <xf numFmtId="0" fontId="19" fillId="0" borderId="0" xfId="0" applyFont="1" applyFill="1"/>
    <xf numFmtId="0" fontId="16" fillId="0" borderId="0" xfId="0" applyFont="1" applyFill="1" applyAlignment="1"/>
    <xf numFmtId="0" fontId="16" fillId="0" borderId="0" xfId="0" quotePrefix="1" applyFont="1" applyFill="1" applyAlignment="1"/>
    <xf numFmtId="0" fontId="19" fillId="0" borderId="0" xfId="0" quotePrefix="1" applyFont="1" applyFill="1" applyBorder="1" applyAlignment="1">
      <alignment horizontal="left"/>
    </xf>
    <xf numFmtId="0" fontId="19" fillId="0" borderId="0" xfId="0" quotePrefix="1" applyFont="1" applyFill="1" applyBorder="1" applyAlignment="1"/>
    <xf numFmtId="0" fontId="16" fillId="0" borderId="0" xfId="0" applyFont="1" applyFill="1" applyAlignment="1">
      <alignment horizontal="centerContinuous"/>
    </xf>
    <xf numFmtId="0" fontId="16" fillId="0" borderId="1" xfId="0" applyFont="1" applyFill="1" applyBorder="1" applyAlignment="1">
      <alignment horizontal="centerContinuous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Continuous"/>
    </xf>
    <xf numFmtId="0" fontId="22" fillId="0" borderId="0" xfId="0" applyFont="1" applyFill="1"/>
    <xf numFmtId="0" fontId="16" fillId="0" borderId="5" xfId="0" applyFont="1" applyFill="1" applyBorder="1" applyAlignment="1">
      <alignment horizontal="center"/>
    </xf>
    <xf numFmtId="166" fontId="16" fillId="0" borderId="0" xfId="0" applyNumberFormat="1" applyFont="1" applyFill="1"/>
    <xf numFmtId="10" fontId="16" fillId="0" borderId="0" xfId="0" applyNumberFormat="1" applyFont="1" applyFill="1" applyProtection="1"/>
    <xf numFmtId="43" fontId="16" fillId="0" borderId="0" xfId="0" applyNumberFormat="1" applyFont="1" applyFill="1"/>
    <xf numFmtId="0" fontId="16" fillId="0" borderId="0" xfId="0" applyFont="1" applyFill="1" applyBorder="1"/>
    <xf numFmtId="169" fontId="16" fillId="0" borderId="0" xfId="0" applyNumberFormat="1" applyFont="1" applyFill="1"/>
    <xf numFmtId="0" fontId="16" fillId="0" borderId="0" xfId="0" quotePrefix="1" applyFont="1" applyFill="1" applyAlignment="1">
      <alignment horizontal="left"/>
    </xf>
    <xf numFmtId="37" fontId="16" fillId="0" borderId="1" xfId="0" applyNumberFormat="1" applyFont="1" applyFill="1" applyBorder="1" applyProtection="1"/>
    <xf numFmtId="0" fontId="16" fillId="0" borderId="1" xfId="0" applyFont="1" applyFill="1" applyBorder="1"/>
    <xf numFmtId="7" fontId="16" fillId="0" borderId="1" xfId="0" applyNumberFormat="1" applyFont="1" applyFill="1" applyBorder="1" applyProtection="1"/>
    <xf numFmtId="168" fontId="16" fillId="0" borderId="1" xfId="0" applyNumberFormat="1" applyFont="1" applyFill="1" applyBorder="1" applyProtection="1"/>
    <xf numFmtId="0" fontId="16" fillId="0" borderId="0" xfId="0" quotePrefix="1" applyFont="1" applyFill="1" applyAlignment="1">
      <alignment horizontal="right"/>
    </xf>
    <xf numFmtId="10" fontId="16" fillId="0" borderId="0" xfId="0" applyNumberFormat="1" applyFont="1" applyFill="1" applyAlignment="1">
      <alignment horizontal="right"/>
    </xf>
    <xf numFmtId="0" fontId="23" fillId="0" borderId="0" xfId="0" applyFont="1" applyFill="1" applyAlignment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9" fillId="0" borderId="1" xfId="0" quotePrefix="1" applyFont="1" applyFill="1" applyBorder="1" applyAlignment="1">
      <alignment horizontal="center" wrapText="1"/>
    </xf>
    <xf numFmtId="17" fontId="19" fillId="0" borderId="1" xfId="0" quotePrefix="1" applyNumberFormat="1" applyFont="1" applyFill="1" applyBorder="1" applyAlignment="1">
      <alignment horizontal="center" wrapText="1"/>
    </xf>
    <xf numFmtId="17" fontId="19" fillId="0" borderId="0" xfId="0" quotePrefix="1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quotePrefix="1" applyFont="1" applyFill="1" applyBorder="1" applyAlignment="1">
      <alignment horizontal="center" vertical="top" wrapText="1"/>
    </xf>
    <xf numFmtId="17" fontId="19" fillId="0" borderId="0" xfId="0" quotePrefix="1" applyNumberFormat="1" applyFont="1" applyFill="1" applyBorder="1" applyAlignment="1">
      <alignment horizontal="center" vertical="top"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left"/>
    </xf>
    <xf numFmtId="164" fontId="19" fillId="0" borderId="0" xfId="0" applyNumberFormat="1" applyFont="1" applyFill="1"/>
    <xf numFmtId="166" fontId="19" fillId="0" borderId="0" xfId="0" applyNumberFormat="1" applyFont="1" applyFill="1"/>
    <xf numFmtId="10" fontId="19" fillId="0" borderId="0" xfId="0" applyNumberFormat="1" applyFont="1" applyFill="1"/>
    <xf numFmtId="165" fontId="19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164" fontId="19" fillId="0" borderId="3" xfId="0" applyNumberFormat="1" applyFont="1" applyFill="1" applyBorder="1"/>
    <xf numFmtId="165" fontId="19" fillId="0" borderId="3" xfId="0" applyNumberFormat="1" applyFont="1" applyFill="1" applyBorder="1"/>
    <xf numFmtId="10" fontId="19" fillId="0" borderId="3" xfId="0" applyNumberFormat="1" applyFont="1" applyFill="1" applyBorder="1"/>
    <xf numFmtId="169" fontId="19" fillId="0" borderId="0" xfId="0" applyNumberFormat="1" applyFont="1" applyFill="1"/>
    <xf numFmtId="0" fontId="19" fillId="0" borderId="0" xfId="0" quotePrefix="1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0" xfId="0" quotePrefix="1" applyFont="1" applyFill="1" applyAlignment="1">
      <alignment horizontal="center" vertical="top" wrapText="1"/>
    </xf>
    <xf numFmtId="164" fontId="16" fillId="0" borderId="0" xfId="0" applyNumberFormat="1" applyFont="1" applyFill="1"/>
    <xf numFmtId="44" fontId="16" fillId="0" borderId="0" xfId="0" applyNumberFormat="1" applyFont="1" applyFill="1"/>
    <xf numFmtId="44" fontId="16" fillId="0" borderId="0" xfId="0" applyNumberFormat="1" applyFont="1" applyFill="1" applyBorder="1"/>
    <xf numFmtId="0" fontId="16" fillId="0" borderId="0" xfId="0" applyFont="1" applyFill="1" applyAlignment="1">
      <alignment horizontal="left" indent="1"/>
    </xf>
    <xf numFmtId="0" fontId="16" fillId="0" borderId="0" xfId="0" quotePrefix="1" applyFont="1" applyFill="1" applyAlignment="1">
      <alignment horizontal="left" indent="1"/>
    </xf>
    <xf numFmtId="0" fontId="19" fillId="0" borderId="1" xfId="0" applyFont="1" applyFill="1" applyBorder="1"/>
    <xf numFmtId="10" fontId="19" fillId="0" borderId="0" xfId="0" applyNumberFormat="1" applyFont="1" applyFill="1" applyAlignment="1">
      <alignment horizontal="right"/>
    </xf>
    <xf numFmtId="10" fontId="19" fillId="0" borderId="3" xfId="0" applyNumberFormat="1" applyFont="1" applyFill="1" applyBorder="1" applyAlignment="1">
      <alignment horizontal="right"/>
    </xf>
    <xf numFmtId="164" fontId="19" fillId="0" borderId="0" xfId="0" applyNumberFormat="1" applyFont="1" applyFill="1" applyAlignment="1">
      <alignment horizontal="right"/>
    </xf>
    <xf numFmtId="165" fontId="19" fillId="0" borderId="0" xfId="0" applyNumberFormat="1" applyFont="1" applyFill="1" applyAlignment="1">
      <alignment horizontal="right"/>
    </xf>
    <xf numFmtId="166" fontId="19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164" fontId="19" fillId="0" borderId="3" xfId="0" applyNumberFormat="1" applyFont="1" applyFill="1" applyBorder="1" applyAlignment="1">
      <alignment horizontal="right"/>
    </xf>
    <xf numFmtId="165" fontId="19" fillId="0" borderId="3" xfId="0" applyNumberFormat="1" applyFont="1" applyFill="1" applyBorder="1" applyAlignment="1">
      <alignment horizontal="right"/>
    </xf>
    <xf numFmtId="10" fontId="19" fillId="0" borderId="0" xfId="0" applyNumberFormat="1" applyFont="1" applyFill="1" applyBorder="1" applyAlignment="1">
      <alignment horizontal="right"/>
    </xf>
    <xf numFmtId="175" fontId="19" fillId="0" borderId="0" xfId="1" applyNumberFormat="1" applyFont="1" applyFill="1"/>
    <xf numFmtId="0" fontId="23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1" fillId="0" borderId="5" xfId="0" quotePrefix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6" fillId="0" borderId="0" xfId="0" applyFont="1" applyFill="1" applyAlignment="1">
      <alignment horizontal="left"/>
    </xf>
    <xf numFmtId="173" fontId="16" fillId="0" borderId="0" xfId="0" applyNumberFormat="1" applyFont="1" applyFill="1"/>
    <xf numFmtId="0" fontId="16" fillId="0" borderId="0" xfId="0" applyFont="1" applyFill="1" applyAlignment="1">
      <alignment horizontal="left" indent="2"/>
    </xf>
    <xf numFmtId="44" fontId="16" fillId="0" borderId="6" xfId="0" applyNumberFormat="1" applyFont="1" applyFill="1" applyBorder="1"/>
    <xf numFmtId="174" fontId="16" fillId="0" borderId="0" xfId="0" applyNumberFormat="1" applyFont="1" applyFill="1"/>
    <xf numFmtId="0" fontId="16" fillId="0" borderId="0" xfId="0" quotePrefix="1" applyFont="1" applyFill="1" applyAlignment="1">
      <alignment horizontal="left" indent="2"/>
    </xf>
    <xf numFmtId="173" fontId="16" fillId="0" borderId="0" xfId="0" applyNumberFormat="1" applyFont="1" applyFill="1" applyBorder="1"/>
    <xf numFmtId="174" fontId="16" fillId="0" borderId="0" xfId="0" applyNumberFormat="1" applyFont="1" applyFill="1" applyBorder="1"/>
    <xf numFmtId="166" fontId="16" fillId="0" borderId="0" xfId="0" applyNumberFormat="1" applyFont="1" applyFill="1" applyBorder="1"/>
    <xf numFmtId="0" fontId="16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4" xfId="0" quotePrefix="1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9" fillId="0" borderId="15" xfId="0" quotePrefix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quotePrefix="1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16" fillId="0" borderId="1" xfId="0" quotePrefix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0" xfId="0" quotePrefix="1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4" fillId="0" borderId="7" xfId="0" quotePrefix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5" xfId="0" quotePrefix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44" fontId="4" fillId="0" borderId="0" xfId="0" applyNumberFormat="1" applyFont="1" applyFill="1" applyBorder="1"/>
    <xf numFmtId="44" fontId="4" fillId="0" borderId="11" xfId="0" applyNumberFormat="1" applyFont="1" applyFill="1" applyBorder="1"/>
    <xf numFmtId="169" fontId="4" fillId="0" borderId="0" xfId="0" applyNumberFormat="1" applyFont="1" applyFill="1" applyBorder="1"/>
    <xf numFmtId="169" fontId="4" fillId="0" borderId="11" xfId="0" applyNumberFormat="1" applyFont="1" applyFill="1" applyBorder="1"/>
    <xf numFmtId="167" fontId="4" fillId="0" borderId="4" xfId="0" applyNumberFormat="1" applyFont="1" applyFill="1" applyBorder="1"/>
    <xf numFmtId="0" fontId="4" fillId="0" borderId="4" xfId="0" applyFont="1" applyFill="1" applyBorder="1"/>
    <xf numFmtId="167" fontId="4" fillId="0" borderId="13" xfId="0" applyNumberFormat="1" applyFont="1" applyFill="1" applyBorder="1"/>
    <xf numFmtId="7" fontId="4" fillId="0" borderId="11" xfId="0" applyNumberFormat="1" applyFont="1" applyFill="1" applyBorder="1"/>
    <xf numFmtId="170" fontId="4" fillId="0" borderId="11" xfId="0" applyNumberFormat="1" applyFont="1" applyFill="1" applyBorder="1"/>
    <xf numFmtId="0" fontId="4" fillId="0" borderId="13" xfId="0" applyFont="1" applyFill="1" applyBorder="1"/>
    <xf numFmtId="7" fontId="4" fillId="0" borderId="0" xfId="0" applyNumberFormat="1" applyFont="1" applyFill="1" applyBorder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wrapText="1"/>
    </xf>
    <xf numFmtId="0" fontId="16" fillId="0" borderId="7" xfId="0" quotePrefix="1" applyFont="1" applyFill="1" applyBorder="1" applyAlignment="1">
      <alignment horizontal="left"/>
    </xf>
    <xf numFmtId="0" fontId="23" fillId="0" borderId="8" xfId="0" applyFont="1" applyFill="1" applyBorder="1" applyAlignment="1">
      <alignment horizontal="right"/>
    </xf>
    <xf numFmtId="0" fontId="23" fillId="0" borderId="8" xfId="0" quotePrefix="1" applyFont="1" applyFill="1" applyBorder="1" applyAlignment="1">
      <alignment horizontal="left"/>
    </xf>
    <xf numFmtId="0" fontId="23" fillId="0" borderId="9" xfId="0" applyFont="1" applyFill="1" applyBorder="1" applyAlignment="1">
      <alignment horizontal="right"/>
    </xf>
    <xf numFmtId="0" fontId="16" fillId="0" borderId="10" xfId="0" quotePrefix="1" applyFont="1" applyFill="1" applyBorder="1" applyAlignment="1">
      <alignment horizontal="left"/>
    </xf>
    <xf numFmtId="44" fontId="16" fillId="0" borderId="11" xfId="0" applyNumberFormat="1" applyFont="1" applyFill="1" applyBorder="1"/>
    <xf numFmtId="169" fontId="16" fillId="0" borderId="0" xfId="0" applyNumberFormat="1" applyFont="1" applyFill="1" applyBorder="1"/>
    <xf numFmtId="169" fontId="16" fillId="0" borderId="11" xfId="0" applyNumberFormat="1" applyFont="1" applyFill="1" applyBorder="1"/>
    <xf numFmtId="0" fontId="16" fillId="0" borderId="12" xfId="0" quotePrefix="1" applyFont="1" applyFill="1" applyBorder="1" applyAlignment="1">
      <alignment horizontal="left"/>
    </xf>
    <xf numFmtId="44" fontId="16" fillId="0" borderId="4" xfId="0" applyNumberFormat="1" applyFont="1" applyFill="1" applyBorder="1"/>
    <xf numFmtId="0" fontId="16" fillId="0" borderId="4" xfId="0" applyFont="1" applyFill="1" applyBorder="1"/>
    <xf numFmtId="44" fontId="16" fillId="0" borderId="13" xfId="0" applyNumberFormat="1" applyFont="1" applyFill="1" applyBorder="1"/>
    <xf numFmtId="171" fontId="16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abSelected="1" zoomScale="80" zoomScaleNormal="80" workbookViewId="0">
      <pane xSplit="5" ySplit="7" topLeftCell="F8" activePane="bottomRight" state="frozen"/>
      <selection sqref="A1:XFD1048576"/>
      <selection pane="topRight" sqref="A1:XFD1048576"/>
      <selection pane="bottomLeft" sqref="A1:XFD1048576"/>
      <selection pane="bottomRight" activeCell="F8" sqref="F8"/>
    </sheetView>
  </sheetViews>
  <sheetFormatPr defaultColWidth="6.28515625" defaultRowHeight="12.75" x14ac:dyDescent="0.2"/>
  <cols>
    <col min="1" max="1" width="4.85546875" style="85" bestFit="1" customWidth="1"/>
    <col min="2" max="2" width="30.85546875" style="85" bestFit="1" customWidth="1"/>
    <col min="3" max="3" width="15.140625" style="85" bestFit="1" customWidth="1"/>
    <col min="4" max="4" width="14.42578125" style="85" bestFit="1" customWidth="1"/>
    <col min="5" max="5" width="13.140625" style="85" bestFit="1" customWidth="1"/>
    <col min="6" max="6" width="2.140625" style="85" customWidth="1"/>
    <col min="7" max="7" width="11" style="85" bestFit="1" customWidth="1"/>
    <col min="8" max="8" width="11.42578125" style="85" bestFit="1" customWidth="1"/>
    <col min="9" max="9" width="2.5703125" style="85" customWidth="1"/>
    <col min="10" max="11" width="11" style="85" bestFit="1" customWidth="1"/>
    <col min="12" max="12" width="3" style="85" customWidth="1"/>
    <col min="13" max="14" width="12" style="85" bestFit="1" customWidth="1"/>
    <col min="15" max="15" width="2.42578125" style="85" customWidth="1"/>
    <col min="16" max="16" width="10.7109375" style="85" bestFit="1" customWidth="1"/>
    <col min="17" max="17" width="11" style="85" bestFit="1" customWidth="1"/>
    <col min="18" max="18" width="2.140625" style="85" customWidth="1"/>
    <col min="19" max="19" width="10.7109375" style="85" bestFit="1" customWidth="1"/>
    <col min="20" max="20" width="11" style="85" bestFit="1" customWidth="1"/>
    <col min="21" max="21" width="2.140625" style="85" customWidth="1"/>
    <col min="22" max="22" width="10.7109375" style="85" bestFit="1" customWidth="1"/>
    <col min="23" max="23" width="11" style="85" bestFit="1" customWidth="1"/>
    <col min="24" max="24" width="2.140625" style="85" customWidth="1"/>
    <col min="25" max="25" width="12.28515625" style="85" bestFit="1" customWidth="1"/>
    <col min="26" max="26" width="10.28515625" style="85" bestFit="1" customWidth="1"/>
    <col min="27" max="27" width="2.140625" style="85" customWidth="1"/>
    <col min="28" max="29" width="11.7109375" style="85" bestFit="1" customWidth="1"/>
    <col min="30" max="30" width="2.140625" style="85" customWidth="1"/>
    <col min="31" max="31" width="10.7109375" style="85" bestFit="1" customWidth="1"/>
    <col min="32" max="32" width="11" style="85" bestFit="1" customWidth="1"/>
    <col min="33" max="33" width="1.140625" style="85" customWidth="1"/>
    <col min="34" max="35" width="9.5703125" style="85" customWidth="1"/>
    <col min="36" max="36" width="2" style="85" customWidth="1"/>
    <col min="37" max="37" width="11.5703125" style="85" customWidth="1"/>
    <col min="38" max="38" width="11.28515625" style="85" customWidth="1"/>
    <col min="39" max="39" width="9.85546875" style="85" bestFit="1" customWidth="1"/>
    <col min="40" max="43" width="2" style="85" customWidth="1"/>
    <col min="44" max="16384" width="6.28515625" style="85"/>
  </cols>
  <sheetData>
    <row r="1" spans="1:43" x14ac:dyDescent="0.2">
      <c r="A1" s="172" t="s">
        <v>0</v>
      </c>
      <c r="B1" s="172"/>
      <c r="C1" s="148"/>
      <c r="D1" s="108"/>
      <c r="E1" s="108"/>
    </row>
    <row r="2" spans="1:43" x14ac:dyDescent="0.2">
      <c r="A2" s="172" t="s">
        <v>12</v>
      </c>
      <c r="B2" s="172"/>
      <c r="C2" s="148"/>
      <c r="D2" s="108"/>
      <c r="E2" s="108"/>
    </row>
    <row r="3" spans="1:43" x14ac:dyDescent="0.2">
      <c r="A3" s="173" t="s">
        <v>147</v>
      </c>
      <c r="B3" s="172"/>
      <c r="C3" s="148"/>
      <c r="D3" s="108"/>
      <c r="E3" s="108"/>
    </row>
    <row r="4" spans="1:43" x14ac:dyDescent="0.2">
      <c r="A4" s="172" t="s">
        <v>25</v>
      </c>
      <c r="B4" s="172"/>
      <c r="C4" s="148"/>
      <c r="D4" s="108"/>
      <c r="E4" s="108"/>
    </row>
    <row r="5" spans="1:43" x14ac:dyDescent="0.2">
      <c r="A5" s="173" t="s">
        <v>126</v>
      </c>
      <c r="B5" s="172"/>
      <c r="C5" s="148"/>
      <c r="D5" s="109"/>
      <c r="E5" s="109"/>
    </row>
    <row r="6" spans="1:43" x14ac:dyDescent="0.2">
      <c r="A6" s="110"/>
      <c r="B6" s="109"/>
      <c r="C6" s="109"/>
      <c r="D6" s="109"/>
      <c r="E6" s="109"/>
      <c r="G6" s="166" t="s">
        <v>274</v>
      </c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8"/>
      <c r="AB6" s="169" t="s">
        <v>275</v>
      </c>
      <c r="AC6" s="170"/>
      <c r="AD6" s="170"/>
      <c r="AE6" s="170"/>
      <c r="AF6" s="170"/>
      <c r="AG6" s="170"/>
      <c r="AH6" s="170"/>
      <c r="AI6" s="171"/>
    </row>
    <row r="7" spans="1:43" ht="89.25" x14ac:dyDescent="0.2">
      <c r="A7" s="111" t="s">
        <v>1</v>
      </c>
      <c r="B7" s="111" t="s">
        <v>166</v>
      </c>
      <c r="C7" s="111" t="s">
        <v>127</v>
      </c>
      <c r="D7" s="112" t="s">
        <v>148</v>
      </c>
      <c r="E7" s="113" t="s">
        <v>165</v>
      </c>
      <c r="F7" s="137"/>
      <c r="G7" s="113" t="s">
        <v>167</v>
      </c>
      <c r="H7" s="113" t="s">
        <v>168</v>
      </c>
      <c r="I7" s="113"/>
      <c r="J7" s="113" t="s">
        <v>177</v>
      </c>
      <c r="K7" s="113" t="s">
        <v>178</v>
      </c>
      <c r="L7" s="113"/>
      <c r="M7" s="113" t="s">
        <v>181</v>
      </c>
      <c r="N7" s="113" t="s">
        <v>182</v>
      </c>
      <c r="O7" s="137"/>
      <c r="P7" s="113" t="s">
        <v>171</v>
      </c>
      <c r="Q7" s="113" t="s">
        <v>172</v>
      </c>
      <c r="R7" s="137"/>
      <c r="S7" s="113" t="s">
        <v>169</v>
      </c>
      <c r="T7" s="113" t="s">
        <v>170</v>
      </c>
      <c r="U7" s="137"/>
      <c r="V7" s="113" t="s">
        <v>173</v>
      </c>
      <c r="W7" s="113" t="s">
        <v>174</v>
      </c>
      <c r="X7" s="137"/>
      <c r="Y7" s="113" t="s">
        <v>271</v>
      </c>
      <c r="Z7" s="113" t="s">
        <v>272</v>
      </c>
      <c r="AA7" s="137"/>
      <c r="AB7" s="113" t="s">
        <v>179</v>
      </c>
      <c r="AC7" s="113" t="s">
        <v>180</v>
      </c>
      <c r="AD7" s="113"/>
      <c r="AE7" s="113" t="s">
        <v>175</v>
      </c>
      <c r="AF7" s="113" t="s">
        <v>176</v>
      </c>
      <c r="AG7" s="137"/>
      <c r="AH7" s="113" t="s">
        <v>184</v>
      </c>
      <c r="AI7" s="113" t="s">
        <v>270</v>
      </c>
      <c r="AJ7" s="137"/>
      <c r="AK7" s="113" t="s">
        <v>213</v>
      </c>
      <c r="AL7" s="113" t="s">
        <v>185</v>
      </c>
      <c r="AM7" s="113" t="s">
        <v>186</v>
      </c>
      <c r="AN7" s="137"/>
      <c r="AO7" s="137"/>
      <c r="AP7" s="137"/>
      <c r="AQ7" s="137"/>
    </row>
    <row r="8" spans="1:43" s="130" customFormat="1" ht="25.5" x14ac:dyDescent="0.2">
      <c r="A8" s="115"/>
      <c r="B8" s="115" t="s">
        <v>18</v>
      </c>
      <c r="C8" s="115" t="s">
        <v>19</v>
      </c>
      <c r="D8" s="116" t="s">
        <v>121</v>
      </c>
      <c r="E8" s="117" t="s">
        <v>122</v>
      </c>
      <c r="G8" s="130" t="s">
        <v>217</v>
      </c>
      <c r="H8" s="130" t="s">
        <v>216</v>
      </c>
      <c r="J8" s="130" t="s">
        <v>218</v>
      </c>
      <c r="K8" s="130" t="s">
        <v>219</v>
      </c>
      <c r="M8" s="130" t="s">
        <v>220</v>
      </c>
      <c r="N8" s="130" t="s">
        <v>221</v>
      </c>
      <c r="P8" s="130" t="s">
        <v>222</v>
      </c>
      <c r="Q8" s="130" t="s">
        <v>223</v>
      </c>
      <c r="S8" s="130" t="s">
        <v>224</v>
      </c>
      <c r="T8" s="130" t="s">
        <v>225</v>
      </c>
      <c r="V8" s="130" t="s">
        <v>226</v>
      </c>
      <c r="W8" s="130" t="s">
        <v>227</v>
      </c>
      <c r="Y8" s="131" t="s">
        <v>276</v>
      </c>
      <c r="Z8" s="131" t="s">
        <v>228</v>
      </c>
      <c r="AB8" s="130" t="s">
        <v>229</v>
      </c>
      <c r="AC8" s="131" t="s">
        <v>230</v>
      </c>
      <c r="AE8" s="130" t="s">
        <v>231</v>
      </c>
      <c r="AF8" s="130" t="s">
        <v>232</v>
      </c>
      <c r="AH8" s="130" t="s">
        <v>277</v>
      </c>
      <c r="AI8" s="131" t="s">
        <v>278</v>
      </c>
      <c r="AK8" s="131" t="s">
        <v>280</v>
      </c>
      <c r="AL8" s="131" t="s">
        <v>279</v>
      </c>
      <c r="AM8" s="131" t="s">
        <v>273</v>
      </c>
    </row>
    <row r="9" spans="1:43" x14ac:dyDescent="0.2">
      <c r="A9" s="109">
        <v>1</v>
      </c>
      <c r="B9" s="119" t="s">
        <v>2</v>
      </c>
      <c r="C9" s="119">
        <v>7</v>
      </c>
      <c r="D9" s="140">
        <v>10846482</v>
      </c>
      <c r="E9" s="141">
        <v>1240674.5999694003</v>
      </c>
      <c r="F9" s="142"/>
      <c r="G9" s="141">
        <v>-6142.749352858169</v>
      </c>
      <c r="H9" s="138">
        <f>+G9/$E9</f>
        <v>-4.9511365454001175E-3</v>
      </c>
      <c r="I9" s="138"/>
      <c r="J9" s="141">
        <v>-35948</v>
      </c>
      <c r="K9" s="138">
        <f>+J9/$E9</f>
        <v>-2.8974559486336395E-2</v>
      </c>
      <c r="L9" s="138"/>
      <c r="M9" s="141">
        <v>0</v>
      </c>
      <c r="N9" s="138">
        <f>+M9/$E9</f>
        <v>0</v>
      </c>
      <c r="O9" s="143"/>
      <c r="P9" s="141">
        <v>31368</v>
      </c>
      <c r="Q9" s="138">
        <f>+P9/$E9</f>
        <v>2.5283019416028708E-2</v>
      </c>
      <c r="R9" s="143"/>
      <c r="S9" s="141">
        <v>145083</v>
      </c>
      <c r="T9" s="138">
        <f>+S9/$E9</f>
        <v>0.1169388008778275</v>
      </c>
      <c r="U9" s="143"/>
      <c r="V9" s="141">
        <v>61695</v>
      </c>
      <c r="W9" s="138">
        <f>+V9/$E9</f>
        <v>4.9726979178522417E-2</v>
      </c>
      <c r="X9" s="143"/>
      <c r="Y9" s="141">
        <f t="shared" ref="Y9:Y22" si="0">+G9+J9+M9+S9+V9+P9</f>
        <v>196055.25064714183</v>
      </c>
      <c r="Z9" s="138">
        <f>+Y9/$E9</f>
        <v>0.15802310344064213</v>
      </c>
      <c r="AA9" s="143"/>
      <c r="AB9" s="141">
        <v>-23153</v>
      </c>
      <c r="AC9" s="138">
        <f t="shared" ref="AC9:AC23" si="1">+AB9/$E9</f>
        <v>-1.8661621669832717E-2</v>
      </c>
      <c r="AD9" s="138"/>
      <c r="AE9" s="141">
        <v>-9220</v>
      </c>
      <c r="AF9" s="138">
        <f>+AE9/$E9</f>
        <v>-7.4314409275626336E-3</v>
      </c>
      <c r="AG9" s="143"/>
      <c r="AH9" s="141">
        <v>-3406</v>
      </c>
      <c r="AI9" s="138">
        <f>+AH9/$E9</f>
        <v>-2.7452806723729209E-3</v>
      </c>
      <c r="AJ9" s="143"/>
      <c r="AK9" s="141">
        <f>SUM(E9,Y9,AB9,AE9,AH9)</f>
        <v>1400950.8506165422</v>
      </c>
      <c r="AL9" s="141">
        <f t="shared" ref="AL9:AL22" si="2">+AK9-E9</f>
        <v>160276.25064714183</v>
      </c>
      <c r="AM9" s="138">
        <f>+AL9/$E9</f>
        <v>0.12918476017087385</v>
      </c>
      <c r="AN9" s="143"/>
      <c r="AO9" s="143"/>
      <c r="AP9" s="143"/>
      <c r="AQ9" s="143"/>
    </row>
    <row r="10" spans="1:43" x14ac:dyDescent="0.2">
      <c r="A10" s="109">
        <f>+A9+1</f>
        <v>2</v>
      </c>
      <c r="B10" s="119" t="s">
        <v>155</v>
      </c>
      <c r="C10" s="119" t="s">
        <v>13</v>
      </c>
      <c r="D10" s="140">
        <v>2697633</v>
      </c>
      <c r="E10" s="141">
        <v>318694.06554000004</v>
      </c>
      <c r="F10" s="142"/>
      <c r="G10" s="141">
        <v>-1618.6927830000059</v>
      </c>
      <c r="H10" s="138">
        <f t="shared" ref="H10:H23" si="3">+G10/$E10</f>
        <v>-5.0791431596232213E-3</v>
      </c>
      <c r="I10" s="138"/>
      <c r="J10" s="141">
        <v>-9303</v>
      </c>
      <c r="K10" s="138">
        <f t="shared" ref="K10:K22" si="4">+J10/$E10</f>
        <v>-2.9191004809696899E-2</v>
      </c>
      <c r="L10" s="138"/>
      <c r="M10" s="141">
        <v>-734</v>
      </c>
      <c r="N10" s="138">
        <f t="shared" ref="N10:N23" si="5">+M10/$E10</f>
        <v>-2.3031492561880603E-3</v>
      </c>
      <c r="O10" s="143"/>
      <c r="P10" s="141">
        <v>6782</v>
      </c>
      <c r="Q10" s="138">
        <f t="shared" ref="Q10:Q23" si="6">+P10/$E10</f>
        <v>2.1280597078293495E-2</v>
      </c>
      <c r="R10" s="143"/>
      <c r="S10" s="141">
        <v>27972</v>
      </c>
      <c r="T10" s="138">
        <f t="shared" ref="T10:T23" si="7">+S10/$E10</f>
        <v>8.7770696177237623E-2</v>
      </c>
      <c r="U10" s="143"/>
      <c r="V10" s="141">
        <v>11894</v>
      </c>
      <c r="W10" s="138">
        <f t="shared" ref="W10:W23" si="8">+V10/$E10</f>
        <v>3.732105892793023E-2</v>
      </c>
      <c r="X10" s="143"/>
      <c r="Y10" s="141">
        <f t="shared" si="0"/>
        <v>34992.307216999994</v>
      </c>
      <c r="Z10" s="138">
        <f t="shared" ref="Z10:Z23" si="9">+Y10/$E10</f>
        <v>0.10979905495795317</v>
      </c>
      <c r="AA10" s="143"/>
      <c r="AB10" s="141">
        <v>-5813</v>
      </c>
      <c r="AC10" s="138">
        <f t="shared" si="1"/>
        <v>-1.8240063523462118E-2</v>
      </c>
      <c r="AD10" s="138"/>
      <c r="AE10" s="141">
        <v>-2004</v>
      </c>
      <c r="AF10" s="138">
        <f t="shared" ref="AF10:AF23" si="10">+AE10/$E10</f>
        <v>-6.2881622743881102E-3</v>
      </c>
      <c r="AG10" s="143"/>
      <c r="AH10" s="141">
        <v>-3240</v>
      </c>
      <c r="AI10" s="138">
        <f t="shared" ref="AI10:AI23" si="11">+AH10/$E10</f>
        <v>-1.0166489904699339E-2</v>
      </c>
      <c r="AJ10" s="143"/>
      <c r="AK10" s="141">
        <f t="shared" ref="AK10:AK22" si="12">SUM(E10,Y10,AB10,AE10,AH10)</f>
        <v>342629.37275700003</v>
      </c>
      <c r="AL10" s="141">
        <f t="shared" si="2"/>
        <v>23935.307216999994</v>
      </c>
      <c r="AM10" s="138">
        <f t="shared" ref="AM10:AM23" si="13">+AL10/$E10</f>
        <v>7.5104339255403607E-2</v>
      </c>
      <c r="AN10" s="143"/>
      <c r="AO10" s="143"/>
      <c r="AP10" s="143"/>
      <c r="AQ10" s="143"/>
    </row>
    <row r="11" spans="1:43" x14ac:dyDescent="0.2">
      <c r="A11" s="109">
        <f>+A10+1</f>
        <v>3</v>
      </c>
      <c r="B11" s="124" t="s">
        <v>157</v>
      </c>
      <c r="C11" s="119" t="s">
        <v>23</v>
      </c>
      <c r="D11" s="140">
        <v>2911699.0000000005</v>
      </c>
      <c r="E11" s="141">
        <v>315215.63184349728</v>
      </c>
      <c r="F11" s="142"/>
      <c r="G11" s="141">
        <v>-1589.2873869001633</v>
      </c>
      <c r="H11" s="138">
        <f t="shared" si="3"/>
        <v>-5.0419053700015591E-3</v>
      </c>
      <c r="I11" s="138"/>
      <c r="J11" s="141">
        <v>-9876</v>
      </c>
      <c r="K11" s="138">
        <f t="shared" si="4"/>
        <v>-3.1330933501747704E-2</v>
      </c>
      <c r="L11" s="138"/>
      <c r="M11" s="141">
        <v>-1084</v>
      </c>
      <c r="N11" s="138">
        <f t="shared" si="5"/>
        <v>-3.4389157468503965E-3</v>
      </c>
      <c r="O11" s="143"/>
      <c r="P11" s="141">
        <v>7288</v>
      </c>
      <c r="Q11" s="138">
        <f t="shared" si="6"/>
        <v>2.3120680777717423E-2</v>
      </c>
      <c r="R11" s="143"/>
      <c r="S11" s="141">
        <v>30445</v>
      </c>
      <c r="T11" s="138">
        <f t="shared" si="7"/>
        <v>9.6584677041384057E-2</v>
      </c>
      <c r="U11" s="143"/>
      <c r="V11" s="141">
        <v>12945</v>
      </c>
      <c r="W11" s="138">
        <f t="shared" si="8"/>
        <v>4.1067125777655332E-2</v>
      </c>
      <c r="X11" s="143"/>
      <c r="Y11" s="141">
        <f t="shared" si="0"/>
        <v>38128.712613099837</v>
      </c>
      <c r="Z11" s="138">
        <f t="shared" si="9"/>
        <v>0.12096072897815716</v>
      </c>
      <c r="AA11" s="143"/>
      <c r="AB11" s="141">
        <v>-6474</v>
      </c>
      <c r="AC11" s="138">
        <f t="shared" si="1"/>
        <v>-2.0538321536078843E-2</v>
      </c>
      <c r="AD11" s="138"/>
      <c r="AE11" s="141">
        <v>-2079</v>
      </c>
      <c r="AF11" s="138">
        <f t="shared" si="10"/>
        <v>-6.595485090130972E-3</v>
      </c>
      <c r="AG11" s="143"/>
      <c r="AH11" s="141">
        <v>178</v>
      </c>
      <c r="AI11" s="138">
        <f t="shared" si="11"/>
        <v>5.6469280713964071E-4</v>
      </c>
      <c r="AJ11" s="143"/>
      <c r="AK11" s="141">
        <f t="shared" si="12"/>
        <v>344969.34445659711</v>
      </c>
      <c r="AL11" s="141">
        <f t="shared" si="2"/>
        <v>29753.712613099837</v>
      </c>
      <c r="AM11" s="138">
        <f t="shared" si="13"/>
        <v>9.4391615159086978E-2</v>
      </c>
      <c r="AN11" s="143"/>
      <c r="AO11" s="143"/>
      <c r="AP11" s="143"/>
      <c r="AQ11" s="143"/>
    </row>
    <row r="12" spans="1:43" x14ac:dyDescent="0.2">
      <c r="A12" s="109">
        <f t="shared" ref="A12:A23" si="14">+A11+1</f>
        <v>4</v>
      </c>
      <c r="B12" s="124" t="s">
        <v>156</v>
      </c>
      <c r="C12" s="119" t="s">
        <v>14</v>
      </c>
      <c r="D12" s="140">
        <v>1831289</v>
      </c>
      <c r="E12" s="141">
        <v>183650.94462513478</v>
      </c>
      <c r="F12" s="142"/>
      <c r="G12" s="141">
        <v>-917.47578899998916</v>
      </c>
      <c r="H12" s="138">
        <f t="shared" si="3"/>
        <v>-4.9957586162855047E-3</v>
      </c>
      <c r="I12" s="138"/>
      <c r="J12" s="141">
        <v>-6021</v>
      </c>
      <c r="K12" s="138">
        <f t="shared" si="4"/>
        <v>-3.278502058505587E-2</v>
      </c>
      <c r="L12" s="138"/>
      <c r="M12" s="141">
        <v>-1950</v>
      </c>
      <c r="N12" s="138">
        <f t="shared" si="5"/>
        <v>-1.0617968799345449E-2</v>
      </c>
      <c r="O12" s="143"/>
      <c r="P12" s="141">
        <v>4210</v>
      </c>
      <c r="Q12" s="138">
        <f t="shared" si="6"/>
        <v>2.2923922382176585E-2</v>
      </c>
      <c r="R12" s="143"/>
      <c r="S12" s="141">
        <v>16689</v>
      </c>
      <c r="T12" s="138">
        <f t="shared" si="7"/>
        <v>9.0873477585782667E-2</v>
      </c>
      <c r="U12" s="143"/>
      <c r="V12" s="141">
        <v>7096</v>
      </c>
      <c r="W12" s="138">
        <f t="shared" si="8"/>
        <v>3.8638516205207848E-2</v>
      </c>
      <c r="X12" s="143"/>
      <c r="Y12" s="141">
        <f t="shared" si="0"/>
        <v>19106.524211000011</v>
      </c>
      <c r="Z12" s="138">
        <f t="shared" si="9"/>
        <v>0.10403716817248028</v>
      </c>
      <c r="AA12" s="143"/>
      <c r="AB12" s="141">
        <v>-4261</v>
      </c>
      <c r="AC12" s="138">
        <f t="shared" si="1"/>
        <v>-2.3201623104621004E-2</v>
      </c>
      <c r="AD12" s="138"/>
      <c r="AE12" s="141">
        <v>-1161</v>
      </c>
      <c r="AF12" s="138">
        <f t="shared" si="10"/>
        <v>-6.3217752697641372E-3</v>
      </c>
      <c r="AG12" s="143"/>
      <c r="AH12" s="141">
        <v>-545</v>
      </c>
      <c r="AI12" s="138">
        <f t="shared" si="11"/>
        <v>-2.9675861516119334E-3</v>
      </c>
      <c r="AJ12" s="143"/>
      <c r="AK12" s="141">
        <f t="shared" si="12"/>
        <v>196790.46883613479</v>
      </c>
      <c r="AL12" s="141">
        <f t="shared" si="2"/>
        <v>13139.524211000011</v>
      </c>
      <c r="AM12" s="138">
        <f t="shared" si="13"/>
        <v>7.15461836464832E-2</v>
      </c>
      <c r="AN12" s="143"/>
      <c r="AO12" s="143"/>
      <c r="AP12" s="143"/>
      <c r="AQ12" s="143"/>
    </row>
    <row r="13" spans="1:43" x14ac:dyDescent="0.2">
      <c r="A13" s="109">
        <f t="shared" si="14"/>
        <v>5</v>
      </c>
      <c r="B13" s="119" t="s">
        <v>158</v>
      </c>
      <c r="C13" s="119">
        <v>29</v>
      </c>
      <c r="D13" s="140">
        <v>14668</v>
      </c>
      <c r="E13" s="141">
        <v>1382.2765606066582</v>
      </c>
      <c r="F13" s="142"/>
      <c r="G13" s="141">
        <v>-7.5377179890931529</v>
      </c>
      <c r="H13" s="138">
        <f t="shared" si="3"/>
        <v>-5.4531185754788276E-3</v>
      </c>
      <c r="I13" s="138"/>
      <c r="J13" s="141">
        <v>-53</v>
      </c>
      <c r="K13" s="138">
        <f t="shared" si="4"/>
        <v>-3.8342544111967851E-2</v>
      </c>
      <c r="L13" s="138"/>
      <c r="M13" s="141">
        <v>0</v>
      </c>
      <c r="N13" s="138">
        <f t="shared" si="5"/>
        <v>0</v>
      </c>
      <c r="O13" s="143"/>
      <c r="P13" s="141">
        <v>39</v>
      </c>
      <c r="Q13" s="138">
        <f t="shared" si="6"/>
        <v>2.8214324912580118E-2</v>
      </c>
      <c r="R13" s="143"/>
      <c r="S13" s="141">
        <v>153</v>
      </c>
      <c r="T13" s="138">
        <f t="shared" si="7"/>
        <v>0.11068696696473738</v>
      </c>
      <c r="U13" s="143"/>
      <c r="V13" s="141">
        <v>65</v>
      </c>
      <c r="W13" s="138">
        <f t="shared" si="8"/>
        <v>4.70238748543002E-2</v>
      </c>
      <c r="X13" s="143"/>
      <c r="Y13" s="141">
        <f t="shared" si="0"/>
        <v>196.46228201090685</v>
      </c>
      <c r="Z13" s="138">
        <f t="shared" si="9"/>
        <v>0.14212950404417102</v>
      </c>
      <c r="AA13" s="143"/>
      <c r="AB13" s="141">
        <v>-27</v>
      </c>
      <c r="AC13" s="138">
        <f t="shared" si="1"/>
        <v>-1.9532994170247776E-2</v>
      </c>
      <c r="AD13" s="138"/>
      <c r="AE13" s="141">
        <v>-10</v>
      </c>
      <c r="AF13" s="138">
        <f t="shared" si="10"/>
        <v>-7.2344422852769538E-3</v>
      </c>
      <c r="AG13" s="143"/>
      <c r="AH13" s="141">
        <v>1</v>
      </c>
      <c r="AI13" s="138">
        <f t="shared" si="11"/>
        <v>7.2344422852769531E-4</v>
      </c>
      <c r="AJ13" s="143"/>
      <c r="AK13" s="141">
        <f t="shared" si="12"/>
        <v>1542.7388426175651</v>
      </c>
      <c r="AL13" s="141">
        <f t="shared" si="2"/>
        <v>160.46228201090685</v>
      </c>
      <c r="AM13" s="138">
        <f t="shared" si="13"/>
        <v>0.116085511817174</v>
      </c>
      <c r="AN13" s="143"/>
      <c r="AO13" s="143"/>
      <c r="AP13" s="143"/>
      <c r="AQ13" s="143"/>
    </row>
    <row r="14" spans="1:43" x14ac:dyDescent="0.2">
      <c r="A14" s="109">
        <f t="shared" si="14"/>
        <v>6</v>
      </c>
      <c r="B14" s="124" t="s">
        <v>159</v>
      </c>
      <c r="C14" s="119" t="s">
        <v>15</v>
      </c>
      <c r="D14" s="140">
        <v>1332008</v>
      </c>
      <c r="E14" s="141">
        <v>131885.5205557844</v>
      </c>
      <c r="F14" s="142"/>
      <c r="G14" s="141">
        <v>-656.67994400000316</v>
      </c>
      <c r="H14" s="138">
        <f t="shared" si="3"/>
        <v>-4.9791663348080989E-3</v>
      </c>
      <c r="I14" s="138"/>
      <c r="J14" s="141">
        <v>-4214</v>
      </c>
      <c r="K14" s="138">
        <f t="shared" si="4"/>
        <v>-3.195195334743043E-2</v>
      </c>
      <c r="L14" s="138"/>
      <c r="M14" s="141">
        <v>-874</v>
      </c>
      <c r="N14" s="138">
        <f t="shared" si="5"/>
        <v>-6.6269594745263869E-3</v>
      </c>
      <c r="O14" s="143"/>
      <c r="P14" s="141">
        <v>2940</v>
      </c>
      <c r="Q14" s="138">
        <f t="shared" si="6"/>
        <v>2.2292060474951463E-2</v>
      </c>
      <c r="R14" s="143"/>
      <c r="S14" s="141">
        <v>12020</v>
      </c>
      <c r="T14" s="138">
        <f t="shared" si="7"/>
        <v>9.1139648608475024E-2</v>
      </c>
      <c r="U14" s="143"/>
      <c r="V14" s="141">
        <v>5111</v>
      </c>
      <c r="W14" s="138">
        <f t="shared" si="8"/>
        <v>3.8753306492339087E-2</v>
      </c>
      <c r="X14" s="143"/>
      <c r="Y14" s="141">
        <f t="shared" si="0"/>
        <v>14326.320055999997</v>
      </c>
      <c r="Z14" s="138">
        <f t="shared" si="9"/>
        <v>0.10862693641900066</v>
      </c>
      <c r="AA14" s="143"/>
      <c r="AB14" s="141">
        <v>-2836</v>
      </c>
      <c r="AC14" s="138">
        <f t="shared" si="1"/>
        <v>-2.1503497791483792E-2</v>
      </c>
      <c r="AD14" s="138"/>
      <c r="AE14" s="141">
        <v>-850</v>
      </c>
      <c r="AF14" s="138">
        <f t="shared" si="10"/>
        <v>-6.4449834706492319E-3</v>
      </c>
      <c r="AG14" s="143"/>
      <c r="AH14" s="141">
        <v>-1152</v>
      </c>
      <c r="AI14" s="138">
        <f t="shared" si="11"/>
        <v>-8.7348481861034295E-3</v>
      </c>
      <c r="AJ14" s="143"/>
      <c r="AK14" s="141">
        <f t="shared" si="12"/>
        <v>141373.8406117844</v>
      </c>
      <c r="AL14" s="141">
        <f t="shared" si="2"/>
        <v>9488.3200559999968</v>
      </c>
      <c r="AM14" s="138">
        <f t="shared" si="13"/>
        <v>7.1943606970764212E-2</v>
      </c>
      <c r="AN14" s="143"/>
      <c r="AO14" s="143"/>
      <c r="AP14" s="143"/>
      <c r="AQ14" s="143"/>
    </row>
    <row r="15" spans="1:43" x14ac:dyDescent="0.2">
      <c r="A15" s="109">
        <f t="shared" si="14"/>
        <v>7</v>
      </c>
      <c r="B15" s="124" t="s">
        <v>160</v>
      </c>
      <c r="C15" s="119">
        <v>35</v>
      </c>
      <c r="D15" s="140">
        <v>4663</v>
      </c>
      <c r="E15" s="141">
        <v>311.0139698738783</v>
      </c>
      <c r="F15" s="142"/>
      <c r="G15" s="141">
        <v>0</v>
      </c>
      <c r="H15" s="138">
        <f t="shared" si="3"/>
        <v>0</v>
      </c>
      <c r="I15" s="138"/>
      <c r="J15" s="141">
        <v>-8</v>
      </c>
      <c r="K15" s="138">
        <f t="shared" si="4"/>
        <v>-2.5722317242676086E-2</v>
      </c>
      <c r="L15" s="138"/>
      <c r="M15" s="141">
        <v>0</v>
      </c>
      <c r="N15" s="138">
        <f t="shared" si="5"/>
        <v>0</v>
      </c>
      <c r="O15" s="143"/>
      <c r="P15" s="141">
        <v>7</v>
      </c>
      <c r="Q15" s="138">
        <f t="shared" si="6"/>
        <v>2.2507027587341574E-2</v>
      </c>
      <c r="R15" s="143"/>
      <c r="S15" s="141">
        <v>59</v>
      </c>
      <c r="T15" s="138">
        <f t="shared" si="7"/>
        <v>0.18970208966473612</v>
      </c>
      <c r="U15" s="143"/>
      <c r="V15" s="141">
        <v>25</v>
      </c>
      <c r="W15" s="138">
        <f t="shared" si="8"/>
        <v>8.0382241383362765E-2</v>
      </c>
      <c r="X15" s="143"/>
      <c r="Y15" s="141">
        <f t="shared" si="0"/>
        <v>83</v>
      </c>
      <c r="Z15" s="138">
        <f t="shared" si="9"/>
        <v>0.26686904139276435</v>
      </c>
      <c r="AA15" s="143"/>
      <c r="AB15" s="141">
        <v>-7</v>
      </c>
      <c r="AC15" s="138">
        <f t="shared" si="1"/>
        <v>-2.2507027587341574E-2</v>
      </c>
      <c r="AD15" s="138"/>
      <c r="AE15" s="141">
        <v>-5</v>
      </c>
      <c r="AF15" s="138">
        <f t="shared" si="10"/>
        <v>-1.6076448276672553E-2</v>
      </c>
      <c r="AG15" s="143"/>
      <c r="AH15" s="141">
        <v>0</v>
      </c>
      <c r="AI15" s="138">
        <f t="shared" si="11"/>
        <v>0</v>
      </c>
      <c r="AJ15" s="143"/>
      <c r="AK15" s="141">
        <f t="shared" si="12"/>
        <v>382.0139698738783</v>
      </c>
      <c r="AL15" s="141">
        <f t="shared" si="2"/>
        <v>71</v>
      </c>
      <c r="AM15" s="138">
        <f t="shared" si="13"/>
        <v>0.22828556552875026</v>
      </c>
      <c r="AN15" s="143"/>
      <c r="AO15" s="143"/>
      <c r="AP15" s="143"/>
      <c r="AQ15" s="143"/>
    </row>
    <row r="16" spans="1:43" x14ac:dyDescent="0.2">
      <c r="A16" s="109">
        <f t="shared" si="14"/>
        <v>8</v>
      </c>
      <c r="B16" s="119" t="s">
        <v>161</v>
      </c>
      <c r="C16" s="119">
        <v>43</v>
      </c>
      <c r="D16" s="140">
        <v>118190</v>
      </c>
      <c r="E16" s="141">
        <v>12421.279326430144</v>
      </c>
      <c r="F16" s="142"/>
      <c r="G16" s="141">
        <v>-78.005400000001828</v>
      </c>
      <c r="H16" s="138">
        <f t="shared" si="3"/>
        <v>-6.2799811476762319E-3</v>
      </c>
      <c r="I16" s="138"/>
      <c r="J16" s="141">
        <v>-296</v>
      </c>
      <c r="K16" s="138">
        <f t="shared" si="4"/>
        <v>-2.383007355531952E-2</v>
      </c>
      <c r="L16" s="138"/>
      <c r="M16" s="141">
        <v>-60</v>
      </c>
      <c r="N16" s="138">
        <f t="shared" si="5"/>
        <v>-4.8304203152674703E-3</v>
      </c>
      <c r="O16" s="143"/>
      <c r="P16" s="141">
        <v>56</v>
      </c>
      <c r="Q16" s="138">
        <f t="shared" si="6"/>
        <v>4.5083922942496385E-3</v>
      </c>
      <c r="R16" s="143"/>
      <c r="S16" s="141">
        <v>1022</v>
      </c>
      <c r="T16" s="138">
        <f t="shared" si="7"/>
        <v>8.2278159370055906E-2</v>
      </c>
      <c r="U16" s="143"/>
      <c r="V16" s="141">
        <v>434</v>
      </c>
      <c r="W16" s="138">
        <f t="shared" si="8"/>
        <v>3.4940040280434702E-2</v>
      </c>
      <c r="X16" s="143"/>
      <c r="Y16" s="141">
        <f t="shared" si="0"/>
        <v>1077.9945999999982</v>
      </c>
      <c r="Z16" s="138">
        <f t="shared" si="9"/>
        <v>8.6786116926477017E-2</v>
      </c>
      <c r="AA16" s="143"/>
      <c r="AB16" s="141">
        <v>-201</v>
      </c>
      <c r="AC16" s="138">
        <f t="shared" si="1"/>
        <v>-1.6181908056146024E-2</v>
      </c>
      <c r="AD16" s="138"/>
      <c r="AE16" s="141">
        <v>-103</v>
      </c>
      <c r="AF16" s="138">
        <f t="shared" si="10"/>
        <v>-8.2922215412091563E-3</v>
      </c>
      <c r="AG16" s="143"/>
      <c r="AH16" s="141">
        <v>7</v>
      </c>
      <c r="AI16" s="138">
        <f t="shared" si="11"/>
        <v>5.6354903678120481E-4</v>
      </c>
      <c r="AJ16" s="143"/>
      <c r="AK16" s="141">
        <f t="shared" si="12"/>
        <v>13202.273926430142</v>
      </c>
      <c r="AL16" s="141">
        <f t="shared" si="2"/>
        <v>780.99459999999817</v>
      </c>
      <c r="AM16" s="138">
        <f t="shared" si="13"/>
        <v>6.287553636590304E-2</v>
      </c>
      <c r="AN16" s="143"/>
      <c r="AO16" s="143"/>
      <c r="AP16" s="143"/>
      <c r="AQ16" s="143"/>
    </row>
    <row r="17" spans="1:43" x14ac:dyDescent="0.2">
      <c r="A17" s="109">
        <f t="shared" si="14"/>
        <v>9</v>
      </c>
      <c r="B17" s="119" t="s">
        <v>162</v>
      </c>
      <c r="C17" s="119">
        <v>46</v>
      </c>
      <c r="D17" s="140">
        <v>78251</v>
      </c>
      <c r="E17" s="141">
        <v>5902.03028267437</v>
      </c>
      <c r="F17" s="142"/>
      <c r="G17" s="141">
        <v>-46.089838999999301</v>
      </c>
      <c r="H17" s="138">
        <f t="shared" si="3"/>
        <v>-7.8091498675121581E-3</v>
      </c>
      <c r="I17" s="138"/>
      <c r="J17" s="141">
        <v>-175</v>
      </c>
      <c r="K17" s="138">
        <f t="shared" si="4"/>
        <v>-2.9650813638438796E-2</v>
      </c>
      <c r="L17" s="138"/>
      <c r="M17" s="141">
        <v>-105</v>
      </c>
      <c r="N17" s="138">
        <f t="shared" si="5"/>
        <v>-1.779048818306328E-2</v>
      </c>
      <c r="O17" s="143"/>
      <c r="P17" s="141">
        <v>49</v>
      </c>
      <c r="Q17" s="138">
        <f t="shared" si="6"/>
        <v>8.3022278187628636E-3</v>
      </c>
      <c r="R17" s="143"/>
      <c r="S17" s="141">
        <v>384</v>
      </c>
      <c r="T17" s="138">
        <f t="shared" si="7"/>
        <v>6.5062356783774269E-2</v>
      </c>
      <c r="U17" s="143"/>
      <c r="V17" s="141">
        <v>163</v>
      </c>
      <c r="W17" s="138">
        <f t="shared" si="8"/>
        <v>2.7617614988945851E-2</v>
      </c>
      <c r="X17" s="143"/>
      <c r="Y17" s="141">
        <f t="shared" si="0"/>
        <v>269.9101610000007</v>
      </c>
      <c r="Z17" s="138">
        <f t="shared" si="9"/>
        <v>4.5731747902468756E-2</v>
      </c>
      <c r="AA17" s="143"/>
      <c r="AB17" s="141">
        <v>-142</v>
      </c>
      <c r="AC17" s="138">
        <f t="shared" si="1"/>
        <v>-2.4059517352333196E-2</v>
      </c>
      <c r="AD17" s="138"/>
      <c r="AE17" s="141">
        <v>-38</v>
      </c>
      <c r="AF17" s="138">
        <f t="shared" si="10"/>
        <v>-6.4384623900609964E-3</v>
      </c>
      <c r="AG17" s="143"/>
      <c r="AH17" s="141">
        <v>0</v>
      </c>
      <c r="AI17" s="138">
        <f t="shared" si="11"/>
        <v>0</v>
      </c>
      <c r="AJ17" s="143"/>
      <c r="AK17" s="141">
        <f t="shared" si="12"/>
        <v>5991.9404436743707</v>
      </c>
      <c r="AL17" s="141">
        <f t="shared" si="2"/>
        <v>89.910161000000699</v>
      </c>
      <c r="AM17" s="138">
        <f t="shared" si="13"/>
        <v>1.5233768160074565E-2</v>
      </c>
      <c r="AN17" s="143"/>
      <c r="AO17" s="143"/>
      <c r="AP17" s="143"/>
      <c r="AQ17" s="143"/>
    </row>
    <row r="18" spans="1:43" x14ac:dyDescent="0.2">
      <c r="A18" s="109">
        <f t="shared" si="14"/>
        <v>10</v>
      </c>
      <c r="B18" s="124" t="s">
        <v>163</v>
      </c>
      <c r="C18" s="119">
        <v>49</v>
      </c>
      <c r="D18" s="140">
        <v>504715</v>
      </c>
      <c r="E18" s="141">
        <v>38866.047725176562</v>
      </c>
      <c r="F18" s="142"/>
      <c r="G18" s="141">
        <v>-297.27713499999663</v>
      </c>
      <c r="H18" s="138">
        <f t="shared" si="3"/>
        <v>-7.6487616415761026E-3</v>
      </c>
      <c r="I18" s="138"/>
      <c r="J18" s="141">
        <v>-1402</v>
      </c>
      <c r="K18" s="138">
        <f t="shared" si="4"/>
        <v>-3.6072615613339444E-2</v>
      </c>
      <c r="L18" s="138"/>
      <c r="M18" s="141">
        <v>-1029</v>
      </c>
      <c r="N18" s="138">
        <f t="shared" si="5"/>
        <v>-2.647555026114571E-2</v>
      </c>
      <c r="O18" s="143"/>
      <c r="P18" s="141">
        <v>1040</v>
      </c>
      <c r="Q18" s="138">
        <f t="shared" si="6"/>
        <v>2.6758573636143382E-2</v>
      </c>
      <c r="R18" s="143"/>
      <c r="S18" s="141">
        <v>2476</v>
      </c>
      <c r="T18" s="138">
        <f t="shared" si="7"/>
        <v>6.370598877220289E-2</v>
      </c>
      <c r="U18" s="143"/>
      <c r="V18" s="141">
        <v>1053</v>
      </c>
      <c r="W18" s="138">
        <f t="shared" si="8"/>
        <v>2.7093055806595174E-2</v>
      </c>
      <c r="X18" s="143"/>
      <c r="Y18" s="141">
        <f t="shared" si="0"/>
        <v>1840.7228650000034</v>
      </c>
      <c r="Z18" s="138">
        <f t="shared" si="9"/>
        <v>4.7360690698880194E-2</v>
      </c>
      <c r="AA18" s="143"/>
      <c r="AB18" s="141">
        <v>-993</v>
      </c>
      <c r="AC18" s="138">
        <f t="shared" si="1"/>
        <v>-2.5549291942971519E-2</v>
      </c>
      <c r="AD18" s="138"/>
      <c r="AE18" s="141">
        <v>-244</v>
      </c>
      <c r="AF18" s="138">
        <f t="shared" si="10"/>
        <v>-6.2779730454028699E-3</v>
      </c>
      <c r="AG18" s="143"/>
      <c r="AH18" s="141">
        <v>0</v>
      </c>
      <c r="AI18" s="138">
        <f t="shared" si="11"/>
        <v>0</v>
      </c>
      <c r="AJ18" s="143"/>
      <c r="AK18" s="141">
        <f t="shared" si="12"/>
        <v>39469.770590176566</v>
      </c>
      <c r="AL18" s="141">
        <f t="shared" si="2"/>
        <v>603.72286500000337</v>
      </c>
      <c r="AM18" s="138">
        <f t="shared" si="13"/>
        <v>1.5533425710505807E-2</v>
      </c>
      <c r="AN18" s="143"/>
      <c r="AO18" s="143"/>
      <c r="AP18" s="143"/>
      <c r="AQ18" s="143"/>
    </row>
    <row r="19" spans="1:43" x14ac:dyDescent="0.2">
      <c r="A19" s="109">
        <f t="shared" si="14"/>
        <v>11</v>
      </c>
      <c r="B19" s="119" t="s">
        <v>164</v>
      </c>
      <c r="C19" s="119" t="s">
        <v>3</v>
      </c>
      <c r="D19" s="140">
        <v>62703</v>
      </c>
      <c r="E19" s="141">
        <v>17200.345846223234</v>
      </c>
      <c r="F19" s="142"/>
      <c r="G19" s="141">
        <v>-93.965139818492389</v>
      </c>
      <c r="H19" s="138">
        <f t="shared" si="3"/>
        <v>-5.462979678349013E-3</v>
      </c>
      <c r="I19" s="138"/>
      <c r="J19" s="141">
        <v>-190</v>
      </c>
      <c r="K19" s="138">
        <f t="shared" si="4"/>
        <v>-1.1046289516423837E-2</v>
      </c>
      <c r="L19" s="138"/>
      <c r="M19" s="141">
        <v>0</v>
      </c>
      <c r="N19" s="138">
        <f t="shared" si="5"/>
        <v>0</v>
      </c>
      <c r="O19" s="143"/>
      <c r="P19" s="141">
        <v>82</v>
      </c>
      <c r="Q19" s="138">
        <f t="shared" si="6"/>
        <v>4.7673460018250241E-3</v>
      </c>
      <c r="R19" s="143"/>
      <c r="S19" s="141">
        <v>2827</v>
      </c>
      <c r="T19" s="138">
        <f t="shared" si="7"/>
        <v>0.1643571603312115</v>
      </c>
      <c r="U19" s="143"/>
      <c r="V19" s="141">
        <v>1202</v>
      </c>
      <c r="W19" s="138">
        <f t="shared" si="8"/>
        <v>6.9882315782849744E-2</v>
      </c>
      <c r="X19" s="143"/>
      <c r="Y19" s="141">
        <f t="shared" si="0"/>
        <v>3827.0348601815076</v>
      </c>
      <c r="Z19" s="138">
        <f t="shared" si="9"/>
        <v>0.22249755292111342</v>
      </c>
      <c r="AA19" s="143"/>
      <c r="AB19" s="141">
        <v>-134</v>
      </c>
      <c r="AC19" s="138">
        <f t="shared" si="1"/>
        <v>-7.7905410273726005E-3</v>
      </c>
      <c r="AD19" s="138"/>
      <c r="AE19" s="141">
        <v>-171</v>
      </c>
      <c r="AF19" s="138">
        <f t="shared" si="10"/>
        <v>-9.941660564781454E-3</v>
      </c>
      <c r="AG19" s="143"/>
      <c r="AH19" s="141">
        <v>0</v>
      </c>
      <c r="AI19" s="138">
        <f t="shared" si="11"/>
        <v>0</v>
      </c>
      <c r="AJ19" s="143"/>
      <c r="AK19" s="141">
        <f t="shared" si="12"/>
        <v>20722.380706404743</v>
      </c>
      <c r="AL19" s="141">
        <f t="shared" si="2"/>
        <v>3522.0348601815094</v>
      </c>
      <c r="AM19" s="138">
        <f t="shared" si="13"/>
        <v>0.20476535132895948</v>
      </c>
      <c r="AN19" s="143"/>
      <c r="AO19" s="143"/>
      <c r="AP19" s="143"/>
      <c r="AQ19" s="143"/>
    </row>
    <row r="20" spans="1:43" x14ac:dyDescent="0.2">
      <c r="A20" s="109">
        <f t="shared" si="14"/>
        <v>12</v>
      </c>
      <c r="B20" s="119" t="s">
        <v>20</v>
      </c>
      <c r="C20" s="119" t="s">
        <v>4</v>
      </c>
      <c r="D20" s="140">
        <v>1895530</v>
      </c>
      <c r="E20" s="141">
        <v>11482.98</v>
      </c>
      <c r="F20" s="142"/>
      <c r="G20" s="141">
        <v>-40.529000000000451</v>
      </c>
      <c r="H20" s="138">
        <f t="shared" si="3"/>
        <v>-3.5294845066350766E-3</v>
      </c>
      <c r="I20" s="138"/>
      <c r="J20" s="141">
        <v>0</v>
      </c>
      <c r="K20" s="138">
        <f t="shared" si="4"/>
        <v>0</v>
      </c>
      <c r="L20" s="138"/>
      <c r="M20" s="141">
        <v>0</v>
      </c>
      <c r="N20" s="138">
        <f t="shared" si="5"/>
        <v>0</v>
      </c>
      <c r="O20" s="143"/>
      <c r="P20" s="141">
        <v>0</v>
      </c>
      <c r="Q20" s="138">
        <f t="shared" si="6"/>
        <v>0</v>
      </c>
      <c r="R20" s="143"/>
      <c r="S20" s="141">
        <v>165.84</v>
      </c>
      <c r="T20" s="138">
        <f t="shared" si="7"/>
        <v>1.4442244086465361E-2</v>
      </c>
      <c r="U20" s="143"/>
      <c r="V20" s="141">
        <v>70.56</v>
      </c>
      <c r="W20" s="138">
        <f t="shared" si="8"/>
        <v>6.1447463985829466E-3</v>
      </c>
      <c r="X20" s="143"/>
      <c r="Y20" s="141">
        <f t="shared" si="0"/>
        <v>195.87099999999955</v>
      </c>
      <c r="Z20" s="138">
        <f t="shared" si="9"/>
        <v>1.7057505978413229E-2</v>
      </c>
      <c r="AA20" s="143"/>
      <c r="AB20" s="141">
        <v>0</v>
      </c>
      <c r="AC20" s="138">
        <f t="shared" si="1"/>
        <v>0</v>
      </c>
      <c r="AD20" s="138"/>
      <c r="AE20" s="141">
        <v>-10</v>
      </c>
      <c r="AF20" s="138">
        <f t="shared" si="10"/>
        <v>-8.7085408143182353E-4</v>
      </c>
      <c r="AG20" s="143"/>
      <c r="AH20" s="141">
        <v>0</v>
      </c>
      <c r="AI20" s="138">
        <f t="shared" si="11"/>
        <v>0</v>
      </c>
      <c r="AJ20" s="143"/>
      <c r="AK20" s="141">
        <f t="shared" si="12"/>
        <v>11668.850999999999</v>
      </c>
      <c r="AL20" s="141">
        <f t="shared" si="2"/>
        <v>185.87099999999919</v>
      </c>
      <c r="AM20" s="138">
        <f t="shared" si="13"/>
        <v>1.6186651896981374E-2</v>
      </c>
      <c r="AN20" s="143"/>
      <c r="AO20" s="143"/>
      <c r="AP20" s="143"/>
      <c r="AQ20" s="143"/>
    </row>
    <row r="21" spans="1:43" x14ac:dyDescent="0.2">
      <c r="A21" s="109">
        <f t="shared" si="14"/>
        <v>13</v>
      </c>
      <c r="B21" s="119" t="s">
        <v>120</v>
      </c>
      <c r="C21" s="119" t="s">
        <v>120</v>
      </c>
      <c r="D21" s="140">
        <v>289426</v>
      </c>
      <c r="E21" s="141">
        <v>6419.3731384850562</v>
      </c>
      <c r="F21" s="142"/>
      <c r="G21" s="141">
        <v>-848.18656249265268</v>
      </c>
      <c r="H21" s="138">
        <f t="shared" si="3"/>
        <v>-0.13212918834825996</v>
      </c>
      <c r="I21" s="138"/>
      <c r="J21" s="141">
        <v>0</v>
      </c>
      <c r="K21" s="138">
        <f t="shared" si="4"/>
        <v>0</v>
      </c>
      <c r="L21" s="138"/>
      <c r="M21" s="141">
        <v>0</v>
      </c>
      <c r="N21" s="138">
        <f t="shared" si="5"/>
        <v>0</v>
      </c>
      <c r="O21" s="143"/>
      <c r="P21" s="141">
        <v>7</v>
      </c>
      <c r="Q21" s="138">
        <f t="shared" si="6"/>
        <v>1.0904491527426569E-3</v>
      </c>
      <c r="R21" s="143"/>
      <c r="S21" s="141">
        <v>693</v>
      </c>
      <c r="T21" s="138">
        <f t="shared" si="7"/>
        <v>0.10795446612152304</v>
      </c>
      <c r="U21" s="143"/>
      <c r="V21" s="141">
        <v>295</v>
      </c>
      <c r="W21" s="138">
        <f t="shared" si="8"/>
        <v>4.5954642865583401E-2</v>
      </c>
      <c r="X21" s="143"/>
      <c r="Y21" s="141">
        <f t="shared" si="0"/>
        <v>146.81343750734732</v>
      </c>
      <c r="Z21" s="138">
        <f t="shared" si="9"/>
        <v>2.2870369791589126E-2</v>
      </c>
      <c r="AA21" s="143"/>
      <c r="AB21" s="141">
        <v>0</v>
      </c>
      <c r="AC21" s="138">
        <f t="shared" si="1"/>
        <v>0</v>
      </c>
      <c r="AD21" s="138"/>
      <c r="AE21" s="141">
        <v>-96</v>
      </c>
      <c r="AF21" s="138">
        <f t="shared" si="10"/>
        <v>-1.495473123761358E-2</v>
      </c>
      <c r="AG21" s="143"/>
      <c r="AH21" s="141">
        <v>-746</v>
      </c>
      <c r="AI21" s="138">
        <f t="shared" si="11"/>
        <v>-0.11621072399228886</v>
      </c>
      <c r="AJ21" s="143"/>
      <c r="AK21" s="141">
        <f t="shared" si="12"/>
        <v>5724.186575992404</v>
      </c>
      <c r="AL21" s="141">
        <f t="shared" si="2"/>
        <v>-695.18656249265223</v>
      </c>
      <c r="AM21" s="138">
        <f t="shared" si="13"/>
        <v>-0.10829508543831325</v>
      </c>
      <c r="AN21" s="143"/>
      <c r="AO21" s="143"/>
      <c r="AP21" s="143"/>
      <c r="AQ21" s="143"/>
    </row>
    <row r="22" spans="1:43" x14ac:dyDescent="0.2">
      <c r="A22" s="109">
        <f t="shared" si="14"/>
        <v>14</v>
      </c>
      <c r="B22" s="119" t="s">
        <v>16</v>
      </c>
      <c r="C22" s="119">
        <v>5</v>
      </c>
      <c r="D22" s="140">
        <v>7521</v>
      </c>
      <c r="E22" s="141">
        <v>371.26370234227704</v>
      </c>
      <c r="F22" s="142"/>
      <c r="G22" s="141">
        <v>231.07525999999984</v>
      </c>
      <c r="H22" s="138">
        <f t="shared" si="3"/>
        <v>0.62240197073444559</v>
      </c>
      <c r="I22" s="138"/>
      <c r="J22" s="141">
        <v>-24</v>
      </c>
      <c r="K22" s="138">
        <f t="shared" si="4"/>
        <v>-6.4644078719750031E-2</v>
      </c>
      <c r="L22" s="138"/>
      <c r="M22" s="141">
        <v>0</v>
      </c>
      <c r="N22" s="138">
        <f t="shared" si="5"/>
        <v>0</v>
      </c>
      <c r="O22" s="143"/>
      <c r="P22" s="141">
        <v>15</v>
      </c>
      <c r="Q22" s="138">
        <f t="shared" si="6"/>
        <v>4.0402549199843769E-2</v>
      </c>
      <c r="R22" s="143"/>
      <c r="S22" s="141">
        <v>62</v>
      </c>
      <c r="T22" s="138">
        <f t="shared" si="7"/>
        <v>0.16699720335935425</v>
      </c>
      <c r="U22" s="143"/>
      <c r="V22" s="141">
        <v>26</v>
      </c>
      <c r="W22" s="138">
        <f t="shared" si="8"/>
        <v>7.0031085279729191E-2</v>
      </c>
      <c r="X22" s="143"/>
      <c r="Y22" s="141">
        <f t="shared" si="0"/>
        <v>310.07525999999984</v>
      </c>
      <c r="Z22" s="138">
        <f t="shared" si="9"/>
        <v>0.8351887298536228</v>
      </c>
      <c r="AA22" s="143"/>
      <c r="AB22" s="141">
        <v>-15</v>
      </c>
      <c r="AC22" s="138">
        <f t="shared" si="1"/>
        <v>-4.0402549199843769E-2</v>
      </c>
      <c r="AD22" s="138"/>
      <c r="AE22" s="141">
        <v>-5</v>
      </c>
      <c r="AF22" s="138">
        <f t="shared" si="10"/>
        <v>-1.3467516399947923E-2</v>
      </c>
      <c r="AG22" s="143"/>
      <c r="AH22" s="141">
        <v>0</v>
      </c>
      <c r="AI22" s="138">
        <f t="shared" si="11"/>
        <v>0</v>
      </c>
      <c r="AJ22" s="143"/>
      <c r="AK22" s="141">
        <f t="shared" si="12"/>
        <v>661.33896234227689</v>
      </c>
      <c r="AL22" s="141">
        <f t="shared" si="2"/>
        <v>290.07525999999984</v>
      </c>
      <c r="AM22" s="138">
        <f t="shared" si="13"/>
        <v>0.78131866425383112</v>
      </c>
      <c r="AN22" s="143"/>
      <c r="AO22" s="143"/>
      <c r="AP22" s="143"/>
      <c r="AQ22" s="143"/>
    </row>
    <row r="23" spans="1:43" ht="13.5" thickBot="1" x14ac:dyDescent="0.25">
      <c r="A23" s="109">
        <f t="shared" si="14"/>
        <v>15</v>
      </c>
      <c r="B23" s="119"/>
      <c r="C23" s="119" t="s">
        <v>5</v>
      </c>
      <c r="D23" s="144">
        <f>SUM(D9:D22)</f>
        <v>22594778</v>
      </c>
      <c r="E23" s="145">
        <f>SUM(E9:E22)</f>
        <v>2284477.3730856287</v>
      </c>
      <c r="F23" s="141"/>
      <c r="G23" s="145">
        <f>SUM(G9:G22)</f>
        <v>-12105.400790058568</v>
      </c>
      <c r="H23" s="139">
        <f t="shared" si="3"/>
        <v>-5.2989803850444278E-3</v>
      </c>
      <c r="I23" s="146"/>
      <c r="J23" s="145">
        <f>SUM(J9:J22)</f>
        <v>-67510</v>
      </c>
      <c r="K23" s="139">
        <f t="shared" ref="K23" si="15">+J23/$E23</f>
        <v>-2.9551616836027E-2</v>
      </c>
      <c r="L23" s="146"/>
      <c r="M23" s="145">
        <f>SUM(M9:M22)</f>
        <v>-5836</v>
      </c>
      <c r="N23" s="139">
        <f t="shared" si="5"/>
        <v>-2.5546324374915354E-3</v>
      </c>
      <c r="O23" s="143"/>
      <c r="P23" s="145">
        <f>SUM(P9:P22)</f>
        <v>53883</v>
      </c>
      <c r="Q23" s="139">
        <f t="shared" si="6"/>
        <v>2.3586576358697126E-2</v>
      </c>
      <c r="R23" s="143"/>
      <c r="S23" s="145">
        <f>SUM(S9:S22)</f>
        <v>240050.84</v>
      </c>
      <c r="T23" s="139">
        <f t="shared" si="7"/>
        <v>0.10507910598202375</v>
      </c>
      <c r="U23" s="143"/>
      <c r="V23" s="145">
        <f>SUM(V9:V22)</f>
        <v>102074.56</v>
      </c>
      <c r="W23" s="139">
        <f t="shared" si="8"/>
        <v>4.4681799523419469E-2</v>
      </c>
      <c r="X23" s="143"/>
      <c r="Y23" s="145">
        <f>+G23+J23+M23+S23+V23+P23</f>
        <v>310556.99920994142</v>
      </c>
      <c r="Z23" s="139">
        <f t="shared" si="9"/>
        <v>0.13594225220557737</v>
      </c>
      <c r="AA23" s="143"/>
      <c r="AB23" s="145">
        <f>SUM(AB9:AB22)</f>
        <v>-44056</v>
      </c>
      <c r="AC23" s="139">
        <f t="shared" si="1"/>
        <v>-1.9284936029151319E-2</v>
      </c>
      <c r="AD23" s="146"/>
      <c r="AE23" s="145">
        <f>SUM(AE9:AE22)</f>
        <v>-15996</v>
      </c>
      <c r="AF23" s="139">
        <f t="shared" si="10"/>
        <v>-7.0020391484089456E-3</v>
      </c>
      <c r="AG23" s="143"/>
      <c r="AH23" s="145">
        <f>SUM(AH9:AH22)</f>
        <v>-8903</v>
      </c>
      <c r="AI23" s="139">
        <f t="shared" si="11"/>
        <v>-3.8971714515056788E-3</v>
      </c>
      <c r="AJ23" s="143"/>
      <c r="AK23" s="145">
        <f>SUM(AK9:AK22)</f>
        <v>2526079.3722955701</v>
      </c>
      <c r="AL23" s="145">
        <f>SUM(AL9:AL22)</f>
        <v>241601.99920994145</v>
      </c>
      <c r="AM23" s="139">
        <f t="shared" si="13"/>
        <v>0.10575810557651144</v>
      </c>
      <c r="AN23" s="143"/>
      <c r="AO23" s="143"/>
      <c r="AP23" s="143"/>
      <c r="AQ23" s="143"/>
    </row>
    <row r="24" spans="1:43" ht="13.5" thickTop="1" x14ac:dyDescent="0.2">
      <c r="E24" s="123"/>
      <c r="H24" s="128"/>
      <c r="I24" s="128"/>
      <c r="J24" s="128"/>
      <c r="K24" s="128"/>
      <c r="L24" s="128"/>
      <c r="M24" s="128"/>
      <c r="N24" s="128"/>
      <c r="AB24" s="128"/>
      <c r="AC24" s="128"/>
      <c r="AD24" s="128"/>
    </row>
    <row r="25" spans="1:43" x14ac:dyDescent="0.2">
      <c r="D25" s="120">
        <v>22594778</v>
      </c>
      <c r="E25" s="123">
        <v>2284477.3730856292</v>
      </c>
      <c r="H25" s="128"/>
      <c r="I25" s="128"/>
      <c r="J25" s="128"/>
      <c r="K25" s="128"/>
      <c r="L25" s="128"/>
      <c r="M25" s="128"/>
      <c r="N25" s="128"/>
      <c r="Y25" s="147"/>
      <c r="AB25" s="128"/>
      <c r="AC25" s="128"/>
      <c r="AD25" s="128"/>
    </row>
    <row r="26" spans="1:43" x14ac:dyDescent="0.2">
      <c r="D26" s="120">
        <f>+D25-D23</f>
        <v>0</v>
      </c>
      <c r="E26" s="123">
        <f>+E25-E23</f>
        <v>0</v>
      </c>
      <c r="H26" s="128"/>
      <c r="I26" s="128"/>
      <c r="J26" s="128"/>
      <c r="K26" s="128"/>
      <c r="L26" s="128"/>
      <c r="M26" s="128"/>
      <c r="N26" s="128"/>
      <c r="AB26" s="128"/>
      <c r="AC26" s="128"/>
      <c r="AD26" s="128"/>
    </row>
    <row r="27" spans="1:43" ht="12.75" customHeight="1" x14ac:dyDescent="0.2">
      <c r="B27" s="124" t="s">
        <v>183</v>
      </c>
      <c r="H27" s="128"/>
      <c r="I27" s="128"/>
      <c r="J27" s="128"/>
      <c r="K27" s="128"/>
      <c r="L27" s="128"/>
      <c r="M27" s="128"/>
      <c r="N27" s="128"/>
      <c r="AB27" s="128"/>
      <c r="AC27" s="128"/>
      <c r="AD27" s="128"/>
    </row>
    <row r="28" spans="1:43" x14ac:dyDescent="0.2">
      <c r="B28" s="124" t="s">
        <v>281</v>
      </c>
      <c r="AB28" s="128"/>
      <c r="AC28" s="128"/>
      <c r="AD28" s="128"/>
    </row>
    <row r="29" spans="1:43" x14ac:dyDescent="0.2">
      <c r="AB29" s="128"/>
      <c r="AC29" s="128"/>
      <c r="AD29" s="128"/>
    </row>
    <row r="30" spans="1:43" x14ac:dyDescent="0.2">
      <c r="B30" s="85" t="s">
        <v>267</v>
      </c>
      <c r="M30" s="123">
        <v>3624</v>
      </c>
      <c r="AB30" s="128"/>
      <c r="AC30" s="128"/>
      <c r="AD30" s="128"/>
    </row>
    <row r="31" spans="1:43" x14ac:dyDescent="0.2">
      <c r="B31" s="85" t="s">
        <v>268</v>
      </c>
      <c r="M31" s="123">
        <v>-2212</v>
      </c>
    </row>
    <row r="32" spans="1:43" x14ac:dyDescent="0.2">
      <c r="B32" s="85" t="s">
        <v>269</v>
      </c>
      <c r="M32" s="123">
        <f>+M31-M30</f>
        <v>-5836</v>
      </c>
    </row>
  </sheetData>
  <mergeCells count="7">
    <mergeCell ref="G6:Z6"/>
    <mergeCell ref="AB6:AI6"/>
    <mergeCell ref="A1:B1"/>
    <mergeCell ref="A2:B2"/>
    <mergeCell ref="A3:B3"/>
    <mergeCell ref="A4:B4"/>
    <mergeCell ref="A5:B5"/>
  </mergeCells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No.___(BDJ-7)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4" ySplit="7" topLeftCell="E8" activePane="bottomRight" state="frozen"/>
      <selection sqref="A1:XFD1048576"/>
      <selection pane="topRight" sqref="A1:XFD1048576"/>
      <selection pane="bottomLeft" sqref="A1:XFD1048576"/>
      <selection pane="bottomRight" activeCell="E8" sqref="E8"/>
    </sheetView>
  </sheetViews>
  <sheetFormatPr defaultRowHeight="12.75" x14ac:dyDescent="0.2"/>
  <cols>
    <col min="1" max="1" width="4.7109375" style="199" customWidth="1"/>
    <col min="2" max="2" width="53.140625" style="199" bestFit="1" customWidth="1"/>
    <col min="3" max="3" width="11.7109375" style="199" bestFit="1" customWidth="1"/>
    <col min="4" max="4" width="9.140625" style="199"/>
    <col min="5" max="5" width="2" style="199" customWidth="1"/>
    <col min="6" max="6" width="11.7109375" style="199" bestFit="1" customWidth="1"/>
    <col min="7" max="7" width="9.140625" style="199"/>
    <col min="8" max="8" width="2" style="199" customWidth="1"/>
    <col min="9" max="9" width="11.7109375" style="199" bestFit="1" customWidth="1"/>
    <col min="10" max="10" width="9.140625" style="199"/>
    <col min="11" max="11" width="2" style="199" customWidth="1"/>
    <col min="12" max="12" width="11.7109375" style="199" bestFit="1" customWidth="1"/>
    <col min="13" max="13" width="9.140625" style="199"/>
    <col min="14" max="14" width="2" style="199" customWidth="1"/>
    <col min="15" max="15" width="11.7109375" style="199" bestFit="1" customWidth="1"/>
    <col min="16" max="16" width="9" style="199" bestFit="1" customWidth="1"/>
    <col min="17" max="16384" width="9.140625" style="199"/>
  </cols>
  <sheetData>
    <row r="1" spans="1:17" ht="1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7" ht="15" x14ac:dyDescent="0.25">
      <c r="A2" s="180" t="s">
        <v>191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5" x14ac:dyDescent="0.25">
      <c r="A3" s="180" t="s">
        <v>264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5" x14ac:dyDescent="0.25">
      <c r="A4" s="180" t="s">
        <v>195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7" ht="15" x14ac:dyDescent="0.25">
      <c r="A5" s="74"/>
      <c r="B5" s="74"/>
      <c r="C5" s="74"/>
      <c r="D5" s="74"/>
      <c r="E5" s="74"/>
      <c r="F5" s="155"/>
      <c r="G5" s="74"/>
      <c r="H5" s="74"/>
      <c r="I5" s="155"/>
      <c r="J5" s="74"/>
      <c r="K5" s="74"/>
      <c r="L5" s="74"/>
      <c r="M5" s="74"/>
      <c r="N5" s="74"/>
      <c r="O5" s="74"/>
      <c r="P5" s="74"/>
      <c r="Q5" s="74"/>
    </row>
    <row r="6" spans="1:17" ht="15" x14ac:dyDescent="0.25">
      <c r="A6" s="74"/>
      <c r="B6" s="74"/>
      <c r="C6" s="91" t="s">
        <v>235</v>
      </c>
      <c r="D6" s="91"/>
      <c r="F6" s="91" t="s">
        <v>237</v>
      </c>
      <c r="G6" s="91"/>
      <c r="I6" s="91" t="s">
        <v>237</v>
      </c>
      <c r="J6" s="91"/>
      <c r="L6" s="91" t="s">
        <v>238</v>
      </c>
      <c r="M6" s="91"/>
      <c r="O6" s="91" t="s">
        <v>240</v>
      </c>
      <c r="P6" s="91"/>
    </row>
    <row r="7" spans="1:17" ht="17.25" x14ac:dyDescent="0.25">
      <c r="A7" s="149" t="s">
        <v>10</v>
      </c>
      <c r="B7" s="149"/>
      <c r="C7" s="149" t="s">
        <v>241</v>
      </c>
      <c r="D7" s="149" t="s">
        <v>242</v>
      </c>
      <c r="F7" s="149" t="s">
        <v>243</v>
      </c>
      <c r="G7" s="149" t="s">
        <v>242</v>
      </c>
      <c r="I7" s="149" t="s">
        <v>243</v>
      </c>
      <c r="J7" s="149" t="s">
        <v>242</v>
      </c>
      <c r="L7" s="149" t="s">
        <v>243</v>
      </c>
      <c r="M7" s="149" t="s">
        <v>242</v>
      </c>
      <c r="O7" s="149" t="s">
        <v>243</v>
      </c>
      <c r="P7" s="149" t="s">
        <v>242</v>
      </c>
    </row>
    <row r="8" spans="1:17" ht="15" x14ac:dyDescent="0.25">
      <c r="A8" s="200">
        <v>1</v>
      </c>
      <c r="B8" s="101" t="s">
        <v>249</v>
      </c>
      <c r="C8" s="132">
        <f>+'Typical Res Bill RY#2'!C8</f>
        <v>800</v>
      </c>
      <c r="D8" s="156"/>
      <c r="E8" s="99"/>
      <c r="F8" s="74">
        <f>+$C$8</f>
        <v>800</v>
      </c>
      <c r="G8" s="156"/>
      <c r="H8" s="74"/>
      <c r="I8" s="74">
        <f>+$C$8</f>
        <v>800</v>
      </c>
      <c r="J8" s="156"/>
      <c r="K8" s="74"/>
      <c r="L8" s="74">
        <f>+$C$8</f>
        <v>800</v>
      </c>
      <c r="M8" s="156"/>
      <c r="N8" s="74"/>
      <c r="O8" s="132">
        <f>+$C$8</f>
        <v>800</v>
      </c>
      <c r="P8" s="156"/>
    </row>
    <row r="9" spans="1:17" ht="15" x14ac:dyDescent="0.25">
      <c r="A9" s="150">
        <f>+A8+1</f>
        <v>2</v>
      </c>
      <c r="B9" s="74"/>
      <c r="C9" s="74"/>
      <c r="D9" s="156"/>
      <c r="E9" s="99"/>
      <c r="F9" s="74"/>
      <c r="G9" s="156"/>
      <c r="H9" s="74"/>
      <c r="I9" s="74"/>
      <c r="J9" s="156"/>
      <c r="K9" s="74"/>
      <c r="L9" s="74"/>
      <c r="M9" s="156"/>
      <c r="N9" s="74"/>
      <c r="O9" s="74"/>
      <c r="P9" s="156"/>
    </row>
    <row r="10" spans="1:17" ht="15" x14ac:dyDescent="0.25">
      <c r="A10" s="150">
        <f t="shared" ref="A10:A40" si="0">+A9+1</f>
        <v>3</v>
      </c>
      <c r="B10" s="74" t="s">
        <v>245</v>
      </c>
      <c r="C10" s="74"/>
      <c r="D10" s="156"/>
      <c r="E10" s="99"/>
      <c r="F10" s="74"/>
      <c r="G10" s="156"/>
      <c r="H10" s="74"/>
      <c r="I10" s="74"/>
      <c r="J10" s="156"/>
      <c r="K10" s="74"/>
      <c r="L10" s="74"/>
      <c r="M10" s="156"/>
      <c r="N10" s="74"/>
      <c r="O10" s="74"/>
      <c r="P10" s="156"/>
    </row>
    <row r="11" spans="1:17" ht="15" x14ac:dyDescent="0.25">
      <c r="A11" s="150">
        <f t="shared" si="0"/>
        <v>4</v>
      </c>
      <c r="B11" s="136" t="s">
        <v>250</v>
      </c>
      <c r="C11" s="134">
        <f>+'Typical Res Bill RY#2'!O11</f>
        <v>8.24</v>
      </c>
      <c r="D11" s="156">
        <f>C11</f>
        <v>8.24</v>
      </c>
      <c r="E11" s="134"/>
      <c r="F11" s="134">
        <f>+$C$11</f>
        <v>8.24</v>
      </c>
      <c r="G11" s="156">
        <f>F11</f>
        <v>8.24</v>
      </c>
      <c r="H11" s="74"/>
      <c r="I11" s="134">
        <f>+$C$11</f>
        <v>8.24</v>
      </c>
      <c r="J11" s="156">
        <f>I11</f>
        <v>8.24</v>
      </c>
      <c r="K11" s="74"/>
      <c r="L11" s="134">
        <f>+$C$11</f>
        <v>8.24</v>
      </c>
      <c r="M11" s="156">
        <f>L11</f>
        <v>8.24</v>
      </c>
      <c r="N11" s="74"/>
      <c r="O11" s="134">
        <f>+$C$11</f>
        <v>8.24</v>
      </c>
      <c r="P11" s="156">
        <f>O11</f>
        <v>8.24</v>
      </c>
    </row>
    <row r="12" spans="1:17" ht="15" x14ac:dyDescent="0.25">
      <c r="A12" s="150">
        <f t="shared" si="0"/>
        <v>5</v>
      </c>
      <c r="B12" s="157" t="s">
        <v>17</v>
      </c>
      <c r="C12" s="134"/>
      <c r="D12" s="158">
        <f>SUM(D11:D11)</f>
        <v>8.24</v>
      </c>
      <c r="E12" s="134"/>
      <c r="F12" s="134"/>
      <c r="G12" s="158">
        <f>SUM(G11:G11)</f>
        <v>8.24</v>
      </c>
      <c r="H12" s="74"/>
      <c r="I12" s="134"/>
      <c r="J12" s="158">
        <f>SUM(J11:J11)</f>
        <v>8.24</v>
      </c>
      <c r="K12" s="74"/>
      <c r="L12" s="134"/>
      <c r="M12" s="158">
        <f>SUM(M11:M11)</f>
        <v>8.24</v>
      </c>
      <c r="N12" s="74"/>
      <c r="O12" s="134"/>
      <c r="P12" s="158">
        <f>SUM(P11:P11)</f>
        <v>8.24</v>
      </c>
    </row>
    <row r="13" spans="1:17" ht="15" x14ac:dyDescent="0.25">
      <c r="A13" s="150">
        <f t="shared" si="0"/>
        <v>6</v>
      </c>
      <c r="B13" s="74"/>
      <c r="C13" s="133"/>
      <c r="D13" s="156"/>
      <c r="E13" s="134"/>
      <c r="F13" s="133"/>
      <c r="G13" s="156"/>
      <c r="H13" s="74"/>
      <c r="I13" s="133"/>
      <c r="J13" s="156"/>
      <c r="K13" s="74"/>
      <c r="L13" s="133"/>
      <c r="M13" s="156"/>
      <c r="N13" s="74"/>
      <c r="O13" s="133"/>
      <c r="P13" s="156"/>
    </row>
    <row r="14" spans="1:17" ht="15" x14ac:dyDescent="0.25">
      <c r="A14" s="150">
        <f t="shared" si="0"/>
        <v>7</v>
      </c>
      <c r="B14" s="101" t="s">
        <v>256</v>
      </c>
      <c r="C14" s="74"/>
      <c r="D14" s="156"/>
      <c r="E14" s="99"/>
      <c r="F14" s="74"/>
      <c r="G14" s="156"/>
      <c r="H14" s="74"/>
      <c r="I14" s="74"/>
      <c r="J14" s="156"/>
      <c r="K14" s="74"/>
      <c r="L14" s="74"/>
      <c r="M14" s="156"/>
      <c r="N14" s="74"/>
      <c r="O14" s="74"/>
      <c r="P14" s="156"/>
    </row>
    <row r="15" spans="1:17" ht="15" x14ac:dyDescent="0.25">
      <c r="A15" s="150">
        <f t="shared" si="0"/>
        <v>8</v>
      </c>
      <c r="B15" s="136" t="s">
        <v>251</v>
      </c>
      <c r="C15" s="100">
        <f>+'Typical Res Bill RY#2'!O15</f>
        <v>8.9991000000000002E-2</v>
      </c>
      <c r="D15" s="156"/>
      <c r="E15" s="162"/>
      <c r="F15" s="100">
        <f>+$C$15</f>
        <v>8.9991000000000002E-2</v>
      </c>
      <c r="G15" s="156"/>
      <c r="H15" s="74"/>
      <c r="I15" s="100">
        <f>+$C$15</f>
        <v>8.9991000000000002E-2</v>
      </c>
      <c r="J15" s="156"/>
      <c r="K15" s="74"/>
      <c r="L15" s="100">
        <f>+$C$15</f>
        <v>8.9991000000000002E-2</v>
      </c>
      <c r="M15" s="156"/>
      <c r="N15" s="74"/>
      <c r="O15" s="100">
        <f>+C15</f>
        <v>8.9991000000000002E-2</v>
      </c>
      <c r="P15" s="156"/>
    </row>
    <row r="16" spans="1:17" ht="15" x14ac:dyDescent="0.25">
      <c r="A16" s="150">
        <f t="shared" si="0"/>
        <v>9</v>
      </c>
      <c r="B16" s="136" t="s">
        <v>252</v>
      </c>
      <c r="C16" s="100">
        <f>+'Typical Res Bill RY#2'!O16</f>
        <v>0.109528</v>
      </c>
      <c r="D16" s="156"/>
      <c r="E16" s="162"/>
      <c r="F16" s="100">
        <f>+$C$16</f>
        <v>0.109528</v>
      </c>
      <c r="G16" s="156"/>
      <c r="H16" s="74"/>
      <c r="I16" s="100">
        <f>+$C$16</f>
        <v>0.109528</v>
      </c>
      <c r="J16" s="156"/>
      <c r="K16" s="74"/>
      <c r="L16" s="100">
        <f>+$C$16</f>
        <v>0.109528</v>
      </c>
      <c r="M16" s="156"/>
      <c r="N16" s="74"/>
      <c r="O16" s="100">
        <f>+C16</f>
        <v>0.109528</v>
      </c>
      <c r="P16" s="156"/>
    </row>
    <row r="17" spans="1:16" ht="15" x14ac:dyDescent="0.25">
      <c r="A17" s="150">
        <f t="shared" si="0"/>
        <v>10</v>
      </c>
      <c r="B17" s="136"/>
      <c r="C17" s="100"/>
      <c r="D17" s="156"/>
      <c r="E17" s="162"/>
      <c r="F17" s="159"/>
      <c r="G17" s="156"/>
      <c r="H17" s="74"/>
      <c r="I17" s="159"/>
      <c r="J17" s="156"/>
      <c r="K17" s="74"/>
      <c r="L17" s="159"/>
      <c r="M17" s="156"/>
      <c r="N17" s="74"/>
      <c r="O17" s="100"/>
      <c r="P17" s="156"/>
    </row>
    <row r="18" spans="1:16" ht="15" x14ac:dyDescent="0.25">
      <c r="A18" s="150">
        <f t="shared" si="0"/>
        <v>11</v>
      </c>
      <c r="B18" s="136" t="s">
        <v>128</v>
      </c>
      <c r="C18" s="100">
        <f>+'Typical Res Bill RY#2'!O18</f>
        <v>0</v>
      </c>
      <c r="D18" s="156"/>
      <c r="E18" s="162"/>
      <c r="F18" s="100">
        <f t="shared" ref="F18:F27" si="1">+$C18</f>
        <v>0</v>
      </c>
      <c r="G18" s="156"/>
      <c r="H18" s="74"/>
      <c r="I18" s="100">
        <f>+C18</f>
        <v>0</v>
      </c>
      <c r="J18" s="156"/>
      <c r="K18" s="74"/>
      <c r="L18" s="100">
        <f t="shared" ref="L18:L26" si="2">+$C18</f>
        <v>0</v>
      </c>
      <c r="M18" s="156"/>
      <c r="N18" s="74"/>
      <c r="O18" s="100">
        <f t="shared" ref="O18:O32" si="3">+C18</f>
        <v>0</v>
      </c>
      <c r="P18" s="156"/>
    </row>
    <row r="19" spans="1:16" ht="15" x14ac:dyDescent="0.25">
      <c r="A19" s="150">
        <f t="shared" si="0"/>
        <v>12</v>
      </c>
      <c r="B19" s="136" t="s">
        <v>34</v>
      </c>
      <c r="C19" s="100">
        <f>+'Typical Res Bill RY#2'!O19</f>
        <v>0</v>
      </c>
      <c r="D19" s="156"/>
      <c r="E19" s="162"/>
      <c r="F19" s="100">
        <f t="shared" si="1"/>
        <v>0</v>
      </c>
      <c r="G19" s="156"/>
      <c r="H19" s="74"/>
      <c r="I19" s="100">
        <f t="shared" ref="I19:I32" si="4">+C19</f>
        <v>0</v>
      </c>
      <c r="J19" s="156"/>
      <c r="K19" s="74"/>
      <c r="L19" s="100">
        <f t="shared" si="2"/>
        <v>0</v>
      </c>
      <c r="M19" s="156"/>
      <c r="N19" s="74"/>
      <c r="O19" s="100">
        <f t="shared" si="3"/>
        <v>0</v>
      </c>
      <c r="P19" s="156"/>
    </row>
    <row r="20" spans="1:16" ht="15" x14ac:dyDescent="0.25">
      <c r="A20" s="150">
        <f t="shared" si="0"/>
        <v>13</v>
      </c>
      <c r="B20" s="136" t="s">
        <v>33</v>
      </c>
      <c r="C20" s="100">
        <f>+'Typical Res Bill RY#2'!O20</f>
        <v>-1.3910000000000001E-3</v>
      </c>
      <c r="D20" s="156"/>
      <c r="E20" s="162"/>
      <c r="F20" s="100">
        <f t="shared" si="1"/>
        <v>-1.3910000000000001E-3</v>
      </c>
      <c r="G20" s="156"/>
      <c r="H20" s="74"/>
      <c r="I20" s="100">
        <f t="shared" si="4"/>
        <v>-1.3910000000000001E-3</v>
      </c>
      <c r="J20" s="156"/>
      <c r="K20" s="74"/>
      <c r="L20" s="100">
        <f t="shared" si="2"/>
        <v>-1.3910000000000001E-3</v>
      </c>
      <c r="M20" s="156"/>
      <c r="N20" s="74"/>
      <c r="O20" s="100">
        <f t="shared" si="3"/>
        <v>-1.3910000000000001E-3</v>
      </c>
      <c r="P20" s="156"/>
    </row>
    <row r="21" spans="1:16" ht="15" x14ac:dyDescent="0.25">
      <c r="A21" s="150">
        <f t="shared" si="0"/>
        <v>14</v>
      </c>
      <c r="B21" s="136" t="s">
        <v>32</v>
      </c>
      <c r="C21" s="100">
        <f>+'Typical Res Bill RY#2'!O21</f>
        <v>3.8249999999999998E-3</v>
      </c>
      <c r="D21" s="156"/>
      <c r="E21" s="162"/>
      <c r="F21" s="100">
        <f t="shared" si="1"/>
        <v>3.8249999999999998E-3</v>
      </c>
      <c r="G21" s="156"/>
      <c r="H21" s="74"/>
      <c r="I21" s="100">
        <f t="shared" si="4"/>
        <v>3.8249999999999998E-3</v>
      </c>
      <c r="J21" s="156"/>
      <c r="K21" s="74"/>
      <c r="L21" s="100">
        <f t="shared" si="2"/>
        <v>3.8249999999999998E-3</v>
      </c>
      <c r="M21" s="156"/>
      <c r="N21" s="74"/>
      <c r="O21" s="100">
        <f t="shared" si="3"/>
        <v>3.8249999999999998E-3</v>
      </c>
      <c r="P21" s="156"/>
    </row>
    <row r="22" spans="1:16" ht="15" x14ac:dyDescent="0.25">
      <c r="A22" s="150">
        <f t="shared" si="0"/>
        <v>15</v>
      </c>
      <c r="B22" s="136" t="s">
        <v>21</v>
      </c>
      <c r="C22" s="100">
        <f>+'Typical Res Bill RY#2'!O22</f>
        <v>1.3519999999999999E-3</v>
      </c>
      <c r="D22" s="156"/>
      <c r="E22" s="162"/>
      <c r="F22" s="100">
        <f t="shared" si="1"/>
        <v>1.3519999999999999E-3</v>
      </c>
      <c r="G22" s="156"/>
      <c r="H22" s="74"/>
      <c r="I22" s="100">
        <f t="shared" si="4"/>
        <v>1.3519999999999999E-3</v>
      </c>
      <c r="J22" s="156"/>
      <c r="K22" s="74"/>
      <c r="L22" s="100">
        <f t="shared" si="2"/>
        <v>1.3519999999999999E-3</v>
      </c>
      <c r="M22" s="156"/>
      <c r="N22" s="74"/>
      <c r="O22" s="100">
        <f t="shared" si="3"/>
        <v>1.3519999999999999E-3</v>
      </c>
      <c r="P22" s="156"/>
    </row>
    <row r="23" spans="1:16" ht="15" x14ac:dyDescent="0.25">
      <c r="A23" s="150">
        <f t="shared" si="0"/>
        <v>16</v>
      </c>
      <c r="B23" s="135" t="s">
        <v>30</v>
      </c>
      <c r="C23" s="100">
        <f>+'Typical Res Bill RY#2'!O23</f>
        <v>-2.0999999999999999E-5</v>
      </c>
      <c r="D23" s="156"/>
      <c r="E23" s="162"/>
      <c r="F23" s="100">
        <f t="shared" si="1"/>
        <v>-2.0999999999999999E-5</v>
      </c>
      <c r="G23" s="156"/>
      <c r="H23" s="74"/>
      <c r="I23" s="100">
        <f t="shared" si="4"/>
        <v>-2.0999999999999999E-5</v>
      </c>
      <c r="J23" s="156"/>
      <c r="K23" s="74"/>
      <c r="L23" s="100">
        <f t="shared" si="2"/>
        <v>-2.0999999999999999E-5</v>
      </c>
      <c r="M23" s="156"/>
      <c r="N23" s="74"/>
      <c r="O23" s="100">
        <f t="shared" si="3"/>
        <v>-2.0999999999999999E-5</v>
      </c>
      <c r="P23" s="156"/>
    </row>
    <row r="24" spans="1:16" ht="15" x14ac:dyDescent="0.25">
      <c r="A24" s="150">
        <f t="shared" si="0"/>
        <v>17</v>
      </c>
      <c r="B24" s="136" t="s">
        <v>22</v>
      </c>
      <c r="C24" s="100">
        <f>+'Typical Res Bill RY#2'!O24</f>
        <v>3.0720000000000001E-3</v>
      </c>
      <c r="D24" s="156"/>
      <c r="E24" s="162"/>
      <c r="F24" s="100">
        <f t="shared" si="1"/>
        <v>3.0720000000000001E-3</v>
      </c>
      <c r="G24" s="156"/>
      <c r="H24" s="74"/>
      <c r="I24" s="100">
        <f t="shared" si="4"/>
        <v>3.0720000000000001E-3</v>
      </c>
      <c r="J24" s="156"/>
      <c r="K24" s="74"/>
      <c r="L24" s="100">
        <f t="shared" si="2"/>
        <v>3.0720000000000001E-3</v>
      </c>
      <c r="M24" s="156"/>
      <c r="N24" s="74"/>
      <c r="O24" s="100">
        <f t="shared" si="3"/>
        <v>3.0720000000000001E-3</v>
      </c>
      <c r="P24" s="156"/>
    </row>
    <row r="25" spans="1:16" ht="15" x14ac:dyDescent="0.25">
      <c r="A25" s="150">
        <f t="shared" si="0"/>
        <v>18</v>
      </c>
      <c r="B25" s="135" t="s">
        <v>142</v>
      </c>
      <c r="C25" s="100">
        <f>+'Typical Res Bill RY#2'!O25</f>
        <v>3.0840718613430909E-3</v>
      </c>
      <c r="D25" s="156"/>
      <c r="E25" s="162"/>
      <c r="F25" s="100">
        <f>+'Res Bill RY#3'!S30</f>
        <v>4.2623478907954397E-3</v>
      </c>
      <c r="G25" s="156"/>
      <c r="H25" s="74"/>
      <c r="I25" s="100">
        <f t="shared" si="4"/>
        <v>3.0840718613430909E-3</v>
      </c>
      <c r="J25" s="156"/>
      <c r="K25" s="74"/>
      <c r="L25" s="100">
        <f t="shared" si="2"/>
        <v>3.0840718613430909E-3</v>
      </c>
      <c r="M25" s="156"/>
      <c r="N25" s="74"/>
      <c r="O25" s="100">
        <f>+F25</f>
        <v>4.2623478907954397E-3</v>
      </c>
      <c r="P25" s="156"/>
    </row>
    <row r="26" spans="1:16" ht="15" x14ac:dyDescent="0.25">
      <c r="A26" s="150">
        <f t="shared" si="0"/>
        <v>19</v>
      </c>
      <c r="B26" s="135" t="s">
        <v>143</v>
      </c>
      <c r="C26" s="100">
        <f>+'Typical Res Bill RY#2'!O26</f>
        <v>1.0187999999999999E-2</v>
      </c>
      <c r="D26" s="156"/>
      <c r="E26" s="162"/>
      <c r="F26" s="100">
        <f t="shared" si="1"/>
        <v>1.0187999999999999E-2</v>
      </c>
      <c r="G26" s="156"/>
      <c r="H26" s="74"/>
      <c r="I26" s="100">
        <f>+'Res Bill RY#3'!S31</f>
        <v>4.4200000000000003E-3</v>
      </c>
      <c r="J26" s="156"/>
      <c r="K26" s="74"/>
      <c r="L26" s="100">
        <f t="shared" si="2"/>
        <v>1.0187999999999999E-2</v>
      </c>
      <c r="M26" s="156"/>
      <c r="N26" s="74"/>
      <c r="O26" s="100">
        <f>+I26</f>
        <v>4.4200000000000003E-3</v>
      </c>
      <c r="P26" s="156"/>
    </row>
    <row r="27" spans="1:16" ht="15" x14ac:dyDescent="0.25">
      <c r="A27" s="150">
        <f t="shared" si="0"/>
        <v>20</v>
      </c>
      <c r="B27" s="136" t="s">
        <v>144</v>
      </c>
      <c r="C27" s="100">
        <f>+'Typical Res Bill RY#2'!O27</f>
        <v>1.2151E-2</v>
      </c>
      <c r="D27" s="156"/>
      <c r="E27" s="99"/>
      <c r="F27" s="100">
        <f t="shared" si="1"/>
        <v>1.2151E-2</v>
      </c>
      <c r="G27" s="74"/>
      <c r="H27" s="74"/>
      <c r="I27" s="100">
        <f t="shared" si="4"/>
        <v>1.2151E-2</v>
      </c>
      <c r="J27" s="74"/>
      <c r="K27" s="74"/>
      <c r="L27" s="100">
        <f>+'Res Bill RY#3'!S32</f>
        <v>1.8373E-2</v>
      </c>
      <c r="M27" s="74"/>
      <c r="N27" s="74"/>
      <c r="O27" s="100">
        <f>+L27</f>
        <v>1.8373E-2</v>
      </c>
      <c r="P27" s="74"/>
    </row>
    <row r="28" spans="1:16" ht="15" x14ac:dyDescent="0.25">
      <c r="A28" s="150">
        <f t="shared" si="0"/>
        <v>21</v>
      </c>
      <c r="B28" s="136" t="s">
        <v>145</v>
      </c>
      <c r="C28" s="100">
        <f>+'Typical Res Bill RY#2'!O28</f>
        <v>0</v>
      </c>
      <c r="D28" s="156"/>
      <c r="E28" s="162"/>
      <c r="F28" s="100">
        <f t="shared" ref="F28:F32" si="5">+$C28</f>
        <v>0</v>
      </c>
      <c r="G28" s="156"/>
      <c r="H28" s="74"/>
      <c r="I28" s="100">
        <f t="shared" si="4"/>
        <v>0</v>
      </c>
      <c r="J28" s="156"/>
      <c r="K28" s="74"/>
      <c r="L28" s="100">
        <f t="shared" ref="L28:L32" si="6">+$C28</f>
        <v>0</v>
      </c>
      <c r="M28" s="156"/>
      <c r="N28" s="74"/>
      <c r="O28" s="100">
        <f t="shared" si="3"/>
        <v>0</v>
      </c>
      <c r="P28" s="156"/>
    </row>
    <row r="29" spans="1:16" ht="15" x14ac:dyDescent="0.25">
      <c r="A29" s="150">
        <f t="shared" si="0"/>
        <v>22</v>
      </c>
      <c r="B29" s="136" t="s">
        <v>146</v>
      </c>
      <c r="C29" s="100">
        <f>+'Typical Res Bill RY#2'!O29</f>
        <v>-8.8400000000000002E-4</v>
      </c>
      <c r="D29" s="156"/>
      <c r="E29" s="162"/>
      <c r="F29" s="100">
        <f t="shared" si="5"/>
        <v>-8.8400000000000002E-4</v>
      </c>
      <c r="G29" s="156"/>
      <c r="H29" s="74"/>
      <c r="I29" s="100">
        <f t="shared" si="4"/>
        <v>-8.8400000000000002E-4</v>
      </c>
      <c r="J29" s="156"/>
      <c r="K29" s="74"/>
      <c r="L29" s="100">
        <f t="shared" si="6"/>
        <v>-8.8400000000000002E-4</v>
      </c>
      <c r="M29" s="156"/>
      <c r="N29" s="74"/>
      <c r="O29" s="100">
        <f t="shared" si="3"/>
        <v>-8.8400000000000002E-4</v>
      </c>
      <c r="P29" s="156"/>
    </row>
    <row r="30" spans="1:16" ht="15" x14ac:dyDescent="0.25">
      <c r="A30" s="150">
        <f t="shared" si="0"/>
        <v>23</v>
      </c>
      <c r="B30" s="136" t="s">
        <v>24</v>
      </c>
      <c r="C30" s="100">
        <f>+'Typical Res Bill RY#2'!O30</f>
        <v>-4.17E-4</v>
      </c>
      <c r="D30" s="156"/>
      <c r="E30" s="162"/>
      <c r="F30" s="100">
        <f t="shared" si="5"/>
        <v>-4.17E-4</v>
      </c>
      <c r="G30" s="156"/>
      <c r="H30" s="74"/>
      <c r="I30" s="100">
        <f t="shared" si="4"/>
        <v>-4.17E-4</v>
      </c>
      <c r="J30" s="156"/>
      <c r="K30" s="74"/>
      <c r="L30" s="100">
        <f t="shared" si="6"/>
        <v>-4.17E-4</v>
      </c>
      <c r="M30" s="156"/>
      <c r="N30" s="74"/>
      <c r="O30" s="100">
        <f t="shared" si="3"/>
        <v>-4.17E-4</v>
      </c>
      <c r="P30" s="156"/>
    </row>
    <row r="31" spans="1:16" ht="15" x14ac:dyDescent="0.25">
      <c r="A31" s="150">
        <f t="shared" si="0"/>
        <v>24</v>
      </c>
      <c r="B31" s="136" t="s">
        <v>129</v>
      </c>
      <c r="C31" s="100">
        <f>+'Typical Res Bill RY#2'!O31</f>
        <v>0</v>
      </c>
      <c r="D31" s="156"/>
      <c r="E31" s="162"/>
      <c r="F31" s="100">
        <f t="shared" si="5"/>
        <v>0</v>
      </c>
      <c r="G31" s="156"/>
      <c r="H31" s="74"/>
      <c r="I31" s="100">
        <f t="shared" si="4"/>
        <v>0</v>
      </c>
      <c r="J31" s="156"/>
      <c r="K31" s="74"/>
      <c r="L31" s="100">
        <f t="shared" si="6"/>
        <v>0</v>
      </c>
      <c r="M31" s="156"/>
      <c r="N31" s="74"/>
      <c r="O31" s="100">
        <f t="shared" si="3"/>
        <v>0</v>
      </c>
      <c r="P31" s="156"/>
    </row>
    <row r="32" spans="1:16" ht="15" x14ac:dyDescent="0.25">
      <c r="A32" s="150">
        <f t="shared" si="0"/>
        <v>25</v>
      </c>
      <c r="B32" s="136" t="s">
        <v>29</v>
      </c>
      <c r="C32" s="100">
        <f>+'Typical Res Bill RY#2'!O32</f>
        <v>-6.689136E-3</v>
      </c>
      <c r="D32" s="156"/>
      <c r="E32" s="162"/>
      <c r="F32" s="100">
        <f t="shared" si="5"/>
        <v>-6.689136E-3</v>
      </c>
      <c r="G32" s="156"/>
      <c r="H32" s="74"/>
      <c r="I32" s="100">
        <f t="shared" si="4"/>
        <v>-6.689136E-3</v>
      </c>
      <c r="J32" s="156"/>
      <c r="K32" s="74"/>
      <c r="L32" s="100">
        <f t="shared" si="6"/>
        <v>-6.689136E-3</v>
      </c>
      <c r="M32" s="156"/>
      <c r="N32" s="74"/>
      <c r="O32" s="100">
        <f t="shared" si="3"/>
        <v>-6.689136E-3</v>
      </c>
      <c r="P32" s="156"/>
    </row>
    <row r="33" spans="1:16" ht="15" x14ac:dyDescent="0.25">
      <c r="A33" s="150">
        <f t="shared" si="0"/>
        <v>26</v>
      </c>
      <c r="B33" s="101"/>
      <c r="C33" s="100"/>
      <c r="D33" s="156"/>
      <c r="E33" s="162"/>
      <c r="F33" s="100"/>
      <c r="G33" s="156"/>
      <c r="H33" s="74"/>
      <c r="I33" s="100"/>
      <c r="J33" s="156"/>
      <c r="K33" s="74"/>
      <c r="L33" s="100"/>
      <c r="M33" s="156"/>
      <c r="N33" s="74"/>
      <c r="O33" s="100"/>
      <c r="P33" s="156"/>
    </row>
    <row r="34" spans="1:16" ht="15" x14ac:dyDescent="0.25">
      <c r="A34" s="150">
        <f t="shared" si="0"/>
        <v>27</v>
      </c>
      <c r="B34" s="160" t="s">
        <v>253</v>
      </c>
      <c r="C34" s="100">
        <f>SUM(C15,C18:C32)</f>
        <v>0.1142609358613431</v>
      </c>
      <c r="D34" s="161">
        <f>ROUND(IF(C8&lt;600,C8*C34,600*C34),2)</f>
        <v>68.56</v>
      </c>
      <c r="E34" s="162"/>
      <c r="F34" s="100">
        <f>SUM(F15,F18:F32)</f>
        <v>0.11543921189079545</v>
      </c>
      <c r="G34" s="161">
        <f>ROUND(IF(F8&lt;600,F8*F34,600*F34),2)</f>
        <v>69.260000000000005</v>
      </c>
      <c r="H34" s="74"/>
      <c r="I34" s="100">
        <f>SUM(I15,I18:I32)</f>
        <v>0.10849293586134311</v>
      </c>
      <c r="J34" s="161">
        <f>ROUND(IF(I8&lt;600,I8*I34,600*I34),2)</f>
        <v>65.099999999999994</v>
      </c>
      <c r="K34" s="74"/>
      <c r="L34" s="100">
        <f>SUM(L15,L18:L32)</f>
        <v>0.12048293586134311</v>
      </c>
      <c r="M34" s="161">
        <f>ROUND(IF(L8&lt;600,L8*L34,600*L34),2)</f>
        <v>72.290000000000006</v>
      </c>
      <c r="N34" s="74"/>
      <c r="O34" s="100">
        <f>SUM(O15,O18:O32)</f>
        <v>0.11589321189079545</v>
      </c>
      <c r="P34" s="161">
        <f>ROUND(IF(O8&lt;600,O8*O34,600*O34),2)</f>
        <v>69.540000000000006</v>
      </c>
    </row>
    <row r="35" spans="1:16" ht="15" x14ac:dyDescent="0.25">
      <c r="A35" s="150">
        <f t="shared" si="0"/>
        <v>28</v>
      </c>
      <c r="B35" s="160" t="s">
        <v>254</v>
      </c>
      <c r="C35" s="100">
        <f>SUM(C16,C18:C32)</f>
        <v>0.13379793586134309</v>
      </c>
      <c r="D35" s="156">
        <f>ROUND(IF(C8&lt;600,0,(C8-600)*C35),2)</f>
        <v>26.76</v>
      </c>
      <c r="E35" s="162"/>
      <c r="F35" s="100">
        <f>SUM(F16,F18:F32)</f>
        <v>0.13497621189079542</v>
      </c>
      <c r="G35" s="156">
        <f>ROUND(IF(F8&lt;600,0,(F8-600)*F35),2)</f>
        <v>27</v>
      </c>
      <c r="H35" s="74"/>
      <c r="I35" s="100">
        <f>SUM(I16,I18:I32)</f>
        <v>0.12802993586134309</v>
      </c>
      <c r="J35" s="156">
        <f>ROUND(IF(I8&lt;600,0,(I8-600)*I35),2)</f>
        <v>25.61</v>
      </c>
      <c r="K35" s="74"/>
      <c r="L35" s="100">
        <f>SUM(L16,L18:L32)</f>
        <v>0.14001993586134309</v>
      </c>
      <c r="M35" s="156">
        <f>ROUND(IF(L8&lt;600,0,(L8-600)*L35),2)</f>
        <v>28</v>
      </c>
      <c r="N35" s="74"/>
      <c r="O35" s="100">
        <f>SUM(O16,O18:O32)</f>
        <v>0.13543021189079543</v>
      </c>
      <c r="P35" s="156">
        <f>ROUND(IF(O8&lt;600,0,(O8-600)*O35),2)</f>
        <v>27.09</v>
      </c>
    </row>
    <row r="36" spans="1:16" ht="15" x14ac:dyDescent="0.25">
      <c r="A36" s="150">
        <f t="shared" si="0"/>
        <v>29</v>
      </c>
      <c r="B36" s="157" t="s">
        <v>255</v>
      </c>
      <c r="C36" s="74"/>
      <c r="D36" s="158">
        <f>SUM(D34:D35)</f>
        <v>95.320000000000007</v>
      </c>
      <c r="E36" s="99"/>
      <c r="F36" s="74"/>
      <c r="G36" s="158">
        <f>SUM(G34:G35)</f>
        <v>96.26</v>
      </c>
      <c r="H36" s="74"/>
      <c r="I36" s="74"/>
      <c r="J36" s="158">
        <f>SUM(J34:J35)</f>
        <v>90.71</v>
      </c>
      <c r="K36" s="74"/>
      <c r="L36" s="74"/>
      <c r="M36" s="158">
        <f>SUM(M34:M35)</f>
        <v>100.29</v>
      </c>
      <c r="N36" s="74"/>
      <c r="O36" s="74"/>
      <c r="P36" s="158">
        <f>SUM(P34:P35)</f>
        <v>96.63000000000001</v>
      </c>
    </row>
    <row r="37" spans="1:16" ht="15" x14ac:dyDescent="0.25">
      <c r="A37" s="150">
        <f t="shared" si="0"/>
        <v>30</v>
      </c>
      <c r="B37" s="74"/>
      <c r="C37" s="74"/>
      <c r="D37" s="134"/>
      <c r="E37" s="99"/>
      <c r="F37" s="74"/>
      <c r="G37" s="156"/>
      <c r="H37" s="74"/>
      <c r="I37" s="74"/>
      <c r="J37" s="156"/>
      <c r="K37" s="74"/>
      <c r="L37" s="74"/>
      <c r="M37" s="156"/>
      <c r="N37" s="74"/>
      <c r="O37" s="74"/>
      <c r="P37" s="156"/>
    </row>
    <row r="38" spans="1:16" ht="15" x14ac:dyDescent="0.25">
      <c r="A38" s="150">
        <f t="shared" si="0"/>
        <v>31</v>
      </c>
      <c r="B38" s="74" t="s">
        <v>246</v>
      </c>
      <c r="C38" s="133"/>
      <c r="D38" s="156">
        <f>D12+D36</f>
        <v>103.56</v>
      </c>
      <c r="E38" s="134"/>
      <c r="F38" s="133"/>
      <c r="G38" s="156">
        <f>G12+G36</f>
        <v>104.5</v>
      </c>
      <c r="H38" s="74"/>
      <c r="I38" s="133"/>
      <c r="J38" s="156">
        <f>J12+J36</f>
        <v>98.949999999999989</v>
      </c>
      <c r="K38" s="74"/>
      <c r="L38" s="133"/>
      <c r="M38" s="156">
        <f>M12+M36</f>
        <v>108.53</v>
      </c>
      <c r="N38" s="74"/>
      <c r="O38" s="133"/>
      <c r="P38" s="156">
        <f>P12+P36</f>
        <v>104.87</v>
      </c>
    </row>
    <row r="39" spans="1:16" ht="15" x14ac:dyDescent="0.25">
      <c r="A39" s="150">
        <f t="shared" si="0"/>
        <v>32</v>
      </c>
      <c r="B39" s="74" t="s">
        <v>247</v>
      </c>
      <c r="C39" s="133"/>
      <c r="D39" s="156"/>
      <c r="E39" s="134"/>
      <c r="F39" s="133"/>
      <c r="G39" s="156">
        <f>G38-$D38</f>
        <v>0.93999999999999773</v>
      </c>
      <c r="H39" s="74"/>
      <c r="I39" s="133"/>
      <c r="J39" s="156">
        <f>J38-$D38</f>
        <v>-4.6100000000000136</v>
      </c>
      <c r="K39" s="74"/>
      <c r="L39" s="133"/>
      <c r="M39" s="156">
        <f>M38-$D38</f>
        <v>4.9699999999999989</v>
      </c>
      <c r="N39" s="74"/>
      <c r="O39" s="133"/>
      <c r="P39" s="156">
        <f>P38-$D38</f>
        <v>1.3100000000000023</v>
      </c>
    </row>
    <row r="40" spans="1:16" ht="15" x14ac:dyDescent="0.25">
      <c r="A40" s="150">
        <f t="shared" si="0"/>
        <v>33</v>
      </c>
      <c r="B40" s="74" t="s">
        <v>248</v>
      </c>
      <c r="C40" s="96"/>
      <c r="D40" s="96"/>
      <c r="E40" s="163"/>
      <c r="F40" s="96"/>
      <c r="G40" s="83">
        <f>G39/$D38</f>
        <v>9.0768636539204101E-3</v>
      </c>
      <c r="H40" s="74"/>
      <c r="I40" s="96"/>
      <c r="J40" s="83">
        <f>J39/$D38</f>
        <v>-4.451525685592906E-2</v>
      </c>
      <c r="K40" s="74"/>
      <c r="L40" s="96"/>
      <c r="M40" s="83">
        <f>M39/$D38</f>
        <v>4.7991502510621849E-2</v>
      </c>
      <c r="N40" s="74"/>
      <c r="O40" s="96"/>
      <c r="P40" s="83">
        <f>P39/$D38</f>
        <v>1.2649671687910412E-2</v>
      </c>
    </row>
    <row r="41" spans="1:16" ht="15" x14ac:dyDescent="0.25">
      <c r="A41" s="74"/>
      <c r="B41" s="74"/>
      <c r="C41" s="74"/>
      <c r="D41" s="156"/>
      <c r="E41" s="99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ht="17.25" x14ac:dyDescent="0.25">
      <c r="B42" s="101" t="s">
        <v>265</v>
      </c>
      <c r="C42" s="74"/>
      <c r="D42" s="74"/>
      <c r="E42" s="99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</sheetData>
  <mergeCells count="4">
    <mergeCell ref="A1:Q1"/>
    <mergeCell ref="A2:Q2"/>
    <mergeCell ref="A3:Q3"/>
    <mergeCell ref="A4:Q4"/>
  </mergeCells>
  <pageMargins left="0.7" right="0.7" top="0.75" bottom="0.75" header="0.3" footer="0.3"/>
  <pageSetup scale="69" orientation="landscape" r:id="rId1"/>
  <headerFooter>
    <oddFooter>&amp;L&amp;A&amp;RExhibit No.___(BDJ-7)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14" customWidth="1"/>
    <col min="2" max="2" width="10.5703125" style="14" customWidth="1"/>
    <col min="3" max="3" width="3.7109375" style="14" customWidth="1"/>
    <col min="4" max="4" width="12.5703125" style="14" bestFit="1" customWidth="1"/>
    <col min="5" max="5" width="1.7109375" style="14" customWidth="1"/>
    <col min="6" max="6" width="12" style="14" bestFit="1" customWidth="1"/>
    <col min="7" max="7" width="1.7109375" style="14" customWidth="1"/>
    <col min="8" max="8" width="12.5703125" style="14" bestFit="1" customWidth="1"/>
    <col min="9" max="9" width="1.7109375" style="14" customWidth="1"/>
    <col min="10" max="10" width="15.7109375" style="14" customWidth="1"/>
    <col min="11" max="11" width="1.7109375" style="14" customWidth="1"/>
    <col min="12" max="12" width="10.42578125" style="14" customWidth="1"/>
    <col min="13" max="13" width="2.28515625" style="14" hidden="1" customWidth="1"/>
    <col min="14" max="14" width="8" style="14" customWidth="1"/>
    <col min="15" max="15" width="1.7109375" style="14" customWidth="1"/>
    <col min="16" max="16" width="9.7109375" style="14" customWidth="1"/>
    <col min="17" max="17" width="1.7109375" style="14" hidden="1" customWidth="1"/>
    <col min="18" max="18" width="12" style="14" bestFit="1" customWidth="1"/>
    <col min="19" max="19" width="3.42578125" style="14" customWidth="1"/>
    <col min="20" max="20" width="36.85546875" style="14" bestFit="1" customWidth="1"/>
    <col min="21" max="21" width="14" style="14" bestFit="1" customWidth="1"/>
    <col min="22" max="22" width="14.42578125" style="14" bestFit="1" customWidth="1"/>
    <col min="23" max="23" width="14.28515625" style="14" bestFit="1" customWidth="1"/>
    <col min="24" max="24" width="14" style="14" bestFit="1" customWidth="1"/>
    <col min="25" max="25" width="14.42578125" style="14" bestFit="1" customWidth="1"/>
    <col min="26" max="26" width="2.85546875" style="71" customWidth="1"/>
    <col min="27" max="27" width="6.5703125" style="14" customWidth="1"/>
    <col min="28" max="28" width="8.7109375" style="14" customWidth="1"/>
    <col min="29" max="16384" width="9.42578125" style="14"/>
  </cols>
  <sheetData>
    <row r="1" spans="1:28" ht="20.2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8" ht="20.25" x14ac:dyDescent="0.3">
      <c r="B2" s="40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8" ht="20.25" x14ac:dyDescent="0.3">
      <c r="B3" s="40" t="s">
        <v>59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8" ht="20.25" x14ac:dyDescent="0.3">
      <c r="B4" s="40" t="s">
        <v>58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28" x14ac:dyDescent="0.25">
      <c r="A5" s="16"/>
    </row>
    <row r="6" spans="1:28" ht="17.25" x14ac:dyDescent="0.25">
      <c r="A6" s="16"/>
      <c r="B6" s="20"/>
      <c r="C6" s="20"/>
      <c r="D6" s="38" t="s">
        <v>57</v>
      </c>
      <c r="E6" s="38"/>
      <c r="F6" s="38"/>
      <c r="G6" s="38"/>
      <c r="H6" s="38"/>
      <c r="I6" s="38"/>
      <c r="J6" s="38"/>
      <c r="K6" s="20"/>
      <c r="L6" s="37" t="s">
        <v>56</v>
      </c>
      <c r="M6" s="37"/>
      <c r="N6" s="37"/>
      <c r="O6" s="17"/>
      <c r="P6" s="37" t="s">
        <v>55</v>
      </c>
      <c r="Q6" s="37"/>
      <c r="R6" s="37"/>
    </row>
    <row r="7" spans="1:28" ht="17.25" thickBot="1" x14ac:dyDescent="0.3">
      <c r="A7" s="16"/>
      <c r="B7" s="20"/>
      <c r="C7" s="20"/>
      <c r="D7" s="35" t="s">
        <v>105</v>
      </c>
      <c r="E7" s="35"/>
      <c r="F7" s="35"/>
      <c r="G7" s="36"/>
      <c r="H7" s="35" t="s">
        <v>106</v>
      </c>
      <c r="I7" s="35"/>
      <c r="J7" s="35"/>
      <c r="K7" s="20"/>
      <c r="L7" s="35" t="s">
        <v>9</v>
      </c>
      <c r="M7" s="35"/>
      <c r="N7" s="35"/>
      <c r="O7" s="17"/>
      <c r="P7" s="35" t="s">
        <v>9</v>
      </c>
      <c r="Q7" s="35"/>
      <c r="R7" s="35"/>
    </row>
    <row r="8" spans="1:28" ht="15.75" x14ac:dyDescent="0.25">
      <c r="A8" s="16"/>
      <c r="B8" s="34" t="s">
        <v>41</v>
      </c>
      <c r="C8" s="20"/>
      <c r="D8" s="153" t="s">
        <v>54</v>
      </c>
      <c r="E8" s="33"/>
      <c r="F8" s="154" t="s">
        <v>53</v>
      </c>
      <c r="G8" s="20"/>
      <c r="H8" s="153" t="s">
        <v>54</v>
      </c>
      <c r="I8" s="33"/>
      <c r="J8" s="154" t="s">
        <v>53</v>
      </c>
      <c r="K8" s="20"/>
      <c r="L8" s="153" t="s">
        <v>54</v>
      </c>
      <c r="M8" s="33"/>
      <c r="N8" s="154" t="s">
        <v>53</v>
      </c>
      <c r="O8" s="17"/>
      <c r="P8" s="153" t="s">
        <v>54</v>
      </c>
      <c r="Q8" s="33"/>
      <c r="R8" s="154" t="s">
        <v>53</v>
      </c>
      <c r="T8" s="182" t="s">
        <v>52</v>
      </c>
      <c r="U8" s="183"/>
      <c r="V8" s="184"/>
      <c r="W8" s="185" t="s">
        <v>51</v>
      </c>
      <c r="X8" s="183"/>
      <c r="Y8" s="184"/>
    </row>
    <row r="9" spans="1:28" ht="15.75" x14ac:dyDescent="0.25">
      <c r="A9" s="16"/>
      <c r="B9" s="20"/>
      <c r="C9" s="20"/>
      <c r="D9" s="32"/>
      <c r="E9" s="32"/>
      <c r="F9" s="32"/>
      <c r="G9" s="32"/>
      <c r="H9" s="32"/>
      <c r="I9" s="32"/>
      <c r="J9" s="32"/>
      <c r="K9" s="17"/>
      <c r="L9" s="17"/>
      <c r="M9" s="17"/>
      <c r="N9" s="17"/>
      <c r="O9" s="17"/>
      <c r="P9" s="17"/>
      <c r="Q9" s="17"/>
      <c r="R9" s="17"/>
      <c r="T9" s="28"/>
      <c r="U9" s="31" t="s">
        <v>50</v>
      </c>
      <c r="V9" s="30" t="s">
        <v>49</v>
      </c>
      <c r="W9" s="28"/>
      <c r="X9" s="31" t="s">
        <v>50</v>
      </c>
      <c r="Y9" s="30" t="s">
        <v>49</v>
      </c>
    </row>
    <row r="10" spans="1:28" ht="15.75" x14ac:dyDescent="0.25">
      <c r="A10" s="16"/>
      <c r="B10" s="23">
        <v>500</v>
      </c>
      <c r="C10" s="18"/>
      <c r="D10" s="21">
        <f>ROUND($U$10+$B10*$U$14,0)</f>
        <v>65</v>
      </c>
      <c r="E10" s="21"/>
      <c r="F10" s="21">
        <f>ROUND($V$10+$B10*$V$14,0)</f>
        <v>81</v>
      </c>
      <c r="G10" s="21"/>
      <c r="H10" s="21">
        <f>ROUND($X$10+$B10*$X$14,0)</f>
        <v>70</v>
      </c>
      <c r="I10" s="21"/>
      <c r="J10" s="21">
        <f>ROUND($Y$10+$B10*$Y$14,0)</f>
        <v>86</v>
      </c>
      <c r="K10" s="20"/>
      <c r="L10" s="21">
        <f>H10-D10</f>
        <v>5</v>
      </c>
      <c r="M10" s="21"/>
      <c r="N10" s="21">
        <f>J10-F10</f>
        <v>5</v>
      </c>
      <c r="O10" s="17"/>
      <c r="P10" s="19">
        <f>ROUND(H10/D10-1,4)</f>
        <v>7.6899999999999996E-2</v>
      </c>
      <c r="Q10" s="20"/>
      <c r="R10" s="19">
        <f>ROUND(J10/F10-1,4)</f>
        <v>6.1699999999999998E-2</v>
      </c>
      <c r="T10" s="28" t="s">
        <v>48</v>
      </c>
      <c r="U10" s="188">
        <f>SUM(U17)</f>
        <v>10.210000000000001</v>
      </c>
      <c r="V10" s="189">
        <f>SUM(V17)</f>
        <v>25.95</v>
      </c>
      <c r="W10" s="28" t="str">
        <f>+T10</f>
        <v>Basic Charge</v>
      </c>
      <c r="X10" s="188">
        <f>SUM(X17)</f>
        <v>10.210000000000001</v>
      </c>
      <c r="Y10" s="189">
        <f>SUM(Y17)</f>
        <v>25.95</v>
      </c>
      <c r="Z10" s="27"/>
      <c r="AA10" s="8">
        <f>(X10-U10)/U10</f>
        <v>0</v>
      </c>
      <c r="AB10" s="8">
        <f>(Y10-V10)/V10</f>
        <v>0</v>
      </c>
    </row>
    <row r="11" spans="1:28" ht="15.75" x14ac:dyDescent="0.25">
      <c r="A11" s="16"/>
      <c r="B11" s="23">
        <f>+B10+500</f>
        <v>1000</v>
      </c>
      <c r="C11" s="18"/>
      <c r="D11" s="21">
        <f>ROUND($U$10+$B11*$U$14,0)</f>
        <v>120</v>
      </c>
      <c r="E11" s="21"/>
      <c r="F11" s="21">
        <f>ROUND($V$10+$B11*$V$14,0)</f>
        <v>136</v>
      </c>
      <c r="G11" s="21"/>
      <c r="H11" s="21">
        <f>ROUND($X$10+$B11*$X$14,0)</f>
        <v>130</v>
      </c>
      <c r="I11" s="21"/>
      <c r="J11" s="21">
        <f>ROUND($Y$10+$B11*$Y$14,0)</f>
        <v>145</v>
      </c>
      <c r="K11" s="20"/>
      <c r="L11" s="21">
        <f>H11-D11</f>
        <v>10</v>
      </c>
      <c r="M11" s="21"/>
      <c r="N11" s="21">
        <f>J11-F11</f>
        <v>9</v>
      </c>
      <c r="O11" s="17"/>
      <c r="P11" s="19">
        <f>ROUND(H11/D11-1,4)</f>
        <v>8.3299999999999999E-2</v>
      </c>
      <c r="Q11" s="20"/>
      <c r="R11" s="19">
        <f>ROUND(J11/F11-1,4)</f>
        <v>6.6199999999999995E-2</v>
      </c>
      <c r="T11" s="28"/>
      <c r="U11" s="198"/>
      <c r="V11" s="195"/>
      <c r="W11" s="28"/>
      <c r="X11" s="198"/>
      <c r="Y11" s="195"/>
    </row>
    <row r="12" spans="1:28" ht="15.75" x14ac:dyDescent="0.25">
      <c r="A12" s="16"/>
      <c r="B12" s="23">
        <f>+B11+500</f>
        <v>1500</v>
      </c>
      <c r="C12" s="18"/>
      <c r="D12" s="21">
        <f>ROUND($U$10+$B12*$U$14,0)</f>
        <v>175</v>
      </c>
      <c r="E12" s="21"/>
      <c r="F12" s="21">
        <f>ROUND($V$10+$B12*$V$14,0)</f>
        <v>190</v>
      </c>
      <c r="G12" s="21"/>
      <c r="H12" s="21">
        <f>ROUND($X$10+$B12*$X$14,0)</f>
        <v>190</v>
      </c>
      <c r="I12" s="21"/>
      <c r="J12" s="21">
        <f>ROUND($Y$10+$B12*$Y$14,0)</f>
        <v>205</v>
      </c>
      <c r="K12" s="20"/>
      <c r="L12" s="21">
        <f>H12-D12</f>
        <v>15</v>
      </c>
      <c r="M12" s="21"/>
      <c r="N12" s="21">
        <f>J12-F12</f>
        <v>15</v>
      </c>
      <c r="O12" s="17"/>
      <c r="P12" s="19">
        <f>ROUND(H12/D12-1,4)</f>
        <v>8.5699999999999998E-2</v>
      </c>
      <c r="Q12" s="20"/>
      <c r="R12" s="19">
        <f>ROUND(J12/F12-1,4)</f>
        <v>7.8899999999999998E-2</v>
      </c>
      <c r="T12" s="29" t="s">
        <v>47</v>
      </c>
      <c r="U12" s="190">
        <f>SUM(U18,V22:V35)</f>
        <v>0.11102451732995706</v>
      </c>
      <c r="V12" s="191">
        <f>U12</f>
        <v>0.11102451732995706</v>
      </c>
      <c r="W12" s="28" t="str">
        <f>+T12</f>
        <v xml:space="preserve">Winter kWh </v>
      </c>
      <c r="X12" s="190">
        <f>SUM(X18,Y22:Y35)</f>
        <v>0.12087200000000003</v>
      </c>
      <c r="Y12" s="191">
        <f>X12</f>
        <v>0.12087200000000003</v>
      </c>
      <c r="AA12" s="8">
        <f t="shared" ref="AA12:AB14" si="0">(X12-U12)/U12</f>
        <v>8.8696469094091568E-2</v>
      </c>
      <c r="AB12" s="8">
        <f t="shared" si="0"/>
        <v>8.8696469094091568E-2</v>
      </c>
    </row>
    <row r="13" spans="1:28" ht="15.75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T13" s="28" t="s">
        <v>46</v>
      </c>
      <c r="U13" s="190">
        <f>SUM(U19,V22:V35)</f>
        <v>0.10775551732995706</v>
      </c>
      <c r="V13" s="191">
        <f>U13</f>
        <v>0.10775551732995706</v>
      </c>
      <c r="W13" s="28" t="str">
        <f>+T13</f>
        <v>Summer kWh</v>
      </c>
      <c r="X13" s="190">
        <f>SUM(X19,Y22:Y35)</f>
        <v>0.11762400000000003</v>
      </c>
      <c r="Y13" s="191">
        <f>X13</f>
        <v>0.11762400000000003</v>
      </c>
      <c r="AA13" s="8">
        <f t="shared" si="0"/>
        <v>9.1582156668830225E-2</v>
      </c>
      <c r="AB13" s="8">
        <f t="shared" si="0"/>
        <v>9.1582156668830225E-2</v>
      </c>
    </row>
    <row r="14" spans="1:28" ht="15.75" x14ac:dyDescent="0.25">
      <c r="A14" s="16"/>
      <c r="B14" s="23">
        <v>2500</v>
      </c>
      <c r="C14" s="18"/>
      <c r="D14" s="21">
        <f>ROUND($U$10+$B14*$U$14,0)</f>
        <v>284</v>
      </c>
      <c r="E14" s="21"/>
      <c r="F14" s="21">
        <f>ROUND($V$10+$B14*$V$14,0)</f>
        <v>300</v>
      </c>
      <c r="G14" s="21"/>
      <c r="H14" s="21">
        <f>ROUND($X$10+$B14*$X$14,0)</f>
        <v>309</v>
      </c>
      <c r="I14" s="21"/>
      <c r="J14" s="21">
        <f>ROUND($Y$10+$B14*$Y$14,0)</f>
        <v>325</v>
      </c>
      <c r="K14" s="20"/>
      <c r="L14" s="21">
        <f>H14-D14</f>
        <v>25</v>
      </c>
      <c r="M14" s="21"/>
      <c r="N14" s="21">
        <f>J14-F14</f>
        <v>25</v>
      </c>
      <c r="O14" s="17"/>
      <c r="P14" s="19">
        <f>ROUND(H14/D14-1,4)</f>
        <v>8.7999999999999995E-2</v>
      </c>
      <c r="Q14" s="20"/>
      <c r="R14" s="19">
        <f>ROUND(J14/F14-1,4)</f>
        <v>8.3299999999999999E-2</v>
      </c>
      <c r="T14" s="28" t="s">
        <v>45</v>
      </c>
      <c r="U14" s="190">
        <f>ROUND(SUM(U20,V22:V35),6)</f>
        <v>0.109676</v>
      </c>
      <c r="V14" s="191">
        <f>U14</f>
        <v>0.109676</v>
      </c>
      <c r="W14" s="28" t="str">
        <f>+T14</f>
        <v>Average kWh</v>
      </c>
      <c r="X14" s="190">
        <f>ROUND(SUM(X20,Y22:Y35),6)</f>
        <v>0.119531</v>
      </c>
      <c r="Y14" s="191">
        <f>X14</f>
        <v>0.119531</v>
      </c>
      <c r="AA14" s="8">
        <f t="shared" si="0"/>
        <v>8.9855574601553689E-2</v>
      </c>
      <c r="AB14" s="8">
        <f t="shared" si="0"/>
        <v>8.9855574601553689E-2</v>
      </c>
    </row>
    <row r="15" spans="1:28" ht="16.5" thickBot="1" x14ac:dyDescent="0.3">
      <c r="A15" s="16"/>
      <c r="B15" s="23">
        <f>+B14+500</f>
        <v>3000</v>
      </c>
      <c r="C15" s="18"/>
      <c r="D15" s="21">
        <f>ROUND($U$10+$B15*$U$14,0)</f>
        <v>339</v>
      </c>
      <c r="E15" s="21"/>
      <c r="F15" s="21">
        <f>ROUND($V$10+$B15*$V$14,0)</f>
        <v>355</v>
      </c>
      <c r="G15" s="21"/>
      <c r="H15" s="21">
        <f>ROUND($X$10+$B15*$X$14,0)</f>
        <v>369</v>
      </c>
      <c r="I15" s="21"/>
      <c r="J15" s="21">
        <f>ROUND($Y$10+$B15*$Y$14,0)</f>
        <v>385</v>
      </c>
      <c r="K15" s="20"/>
      <c r="L15" s="21">
        <f>H15-D15</f>
        <v>30</v>
      </c>
      <c r="M15" s="21"/>
      <c r="N15" s="21">
        <f>J15-F15</f>
        <v>30</v>
      </c>
      <c r="O15" s="17"/>
      <c r="P15" s="19">
        <f>ROUND(H15/D15-1,4)</f>
        <v>8.8499999999999995E-2</v>
      </c>
      <c r="Q15" s="20"/>
      <c r="R15" s="19">
        <f>ROUND(J15/F15-1,4)</f>
        <v>8.4500000000000006E-2</v>
      </c>
      <c r="T15" s="61" t="s">
        <v>6</v>
      </c>
      <c r="U15" s="193" t="s">
        <v>6</v>
      </c>
      <c r="V15" s="197" t="s">
        <v>6</v>
      </c>
      <c r="W15" s="61" t="s">
        <v>6</v>
      </c>
      <c r="X15" s="193" t="s">
        <v>6</v>
      </c>
      <c r="Y15" s="197" t="s">
        <v>6</v>
      </c>
    </row>
    <row r="16" spans="1:28" ht="15.75" x14ac:dyDescent="0.25">
      <c r="A16" s="16"/>
      <c r="B16" s="23">
        <f>+B15+500</f>
        <v>3500</v>
      </c>
      <c r="C16" s="18"/>
      <c r="D16" s="21">
        <f>ROUND($U$10+$B16*$U$14,0)</f>
        <v>394</v>
      </c>
      <c r="E16" s="21"/>
      <c r="F16" s="21">
        <f>ROUND($V$10+$B16*$V$14,0)</f>
        <v>410</v>
      </c>
      <c r="G16" s="21"/>
      <c r="H16" s="21">
        <f>ROUND($X$10+$B16*$X$14,0)</f>
        <v>429</v>
      </c>
      <c r="I16" s="21"/>
      <c r="J16" s="21">
        <f>ROUND($Y$10+$B16*$Y$14,0)</f>
        <v>444</v>
      </c>
      <c r="K16" s="20"/>
      <c r="L16" s="21">
        <f>H16-D16</f>
        <v>35</v>
      </c>
      <c r="M16" s="21"/>
      <c r="N16" s="21">
        <f>J16-F16</f>
        <v>34</v>
      </c>
      <c r="O16" s="17"/>
      <c r="P16" s="19">
        <f>ROUND(H16/D16-1,4)</f>
        <v>8.8800000000000004E-2</v>
      </c>
      <c r="Q16" s="20"/>
      <c r="R16" s="19">
        <f>ROUND(J16/F16-1,4)</f>
        <v>8.2900000000000001E-2</v>
      </c>
      <c r="AA16" s="27"/>
    </row>
    <row r="17" spans="1:28" ht="15.75" x14ac:dyDescent="0.25">
      <c r="A17" s="16"/>
      <c r="B17" s="17"/>
      <c r="C17" s="18"/>
      <c r="D17" s="26"/>
      <c r="E17" s="26"/>
      <c r="F17" s="26"/>
      <c r="G17" s="26"/>
      <c r="H17" s="26"/>
      <c r="I17" s="26"/>
      <c r="J17" s="26"/>
      <c r="K17" s="17"/>
      <c r="L17" s="21"/>
      <c r="M17" s="21"/>
      <c r="N17" s="21"/>
      <c r="O17" s="17"/>
      <c r="P17" s="19"/>
      <c r="Q17" s="17"/>
      <c r="R17" s="17"/>
      <c r="T17" s="14" t="str">
        <f>+T10</f>
        <v>Basic Charge</v>
      </c>
      <c r="U17" s="73">
        <v>10.210000000000001</v>
      </c>
      <c r="V17" s="73">
        <v>25.95</v>
      </c>
      <c r="X17" s="73">
        <v>10.210000000000001</v>
      </c>
      <c r="Y17" s="73">
        <v>25.95</v>
      </c>
      <c r="AA17" s="8">
        <f t="shared" ref="AA17:AA20" si="1">(X17-U17)/U17</f>
        <v>0</v>
      </c>
      <c r="AB17" s="8">
        <f t="shared" ref="AB17:AB20" si="2">(Y17-V17)/V17</f>
        <v>0</v>
      </c>
    </row>
    <row r="18" spans="1:28" ht="15.75" x14ac:dyDescent="0.25">
      <c r="A18" s="16"/>
      <c r="B18" s="23">
        <f>+B16+500</f>
        <v>4000</v>
      </c>
      <c r="C18" s="18"/>
      <c r="D18" s="21">
        <f>ROUND($U$10+$B18*$U$14,0)</f>
        <v>449</v>
      </c>
      <c r="E18" s="21"/>
      <c r="F18" s="21">
        <f>ROUND($V$10+$B18*$V$14,0)</f>
        <v>465</v>
      </c>
      <c r="G18" s="21"/>
      <c r="H18" s="21">
        <f>ROUND($X$10+$B18*$X$14,0)</f>
        <v>488</v>
      </c>
      <c r="I18" s="21"/>
      <c r="J18" s="21">
        <f>ROUND($Y$10+$B18*$Y$14,0)</f>
        <v>504</v>
      </c>
      <c r="K18" s="20"/>
      <c r="L18" s="21">
        <f>H18-D18</f>
        <v>39</v>
      </c>
      <c r="M18" s="21"/>
      <c r="N18" s="21">
        <f>J18-F18</f>
        <v>39</v>
      </c>
      <c r="O18" s="17"/>
      <c r="P18" s="19">
        <f>ROUND(H18/D18-1,4)</f>
        <v>8.6900000000000005E-2</v>
      </c>
      <c r="Q18" s="20"/>
      <c r="R18" s="19">
        <f>ROUND(J18/F18-1,4)</f>
        <v>8.3900000000000002E-2</v>
      </c>
      <c r="T18" s="14" t="str">
        <f>+T12</f>
        <v xml:space="preserve">Winter kWh </v>
      </c>
      <c r="U18" s="73">
        <v>9.4531000000000004E-2</v>
      </c>
      <c r="V18" s="73">
        <f>+U18</f>
        <v>9.4531000000000004E-2</v>
      </c>
      <c r="X18" s="73">
        <v>9.3921000000000004E-2</v>
      </c>
      <c r="Y18" s="73">
        <f>+X18</f>
        <v>9.3921000000000004E-2</v>
      </c>
      <c r="AA18" s="8">
        <f t="shared" si="1"/>
        <v>-6.452909627529587E-3</v>
      </c>
      <c r="AB18" s="8">
        <f t="shared" si="2"/>
        <v>-6.452909627529587E-3</v>
      </c>
    </row>
    <row r="19" spans="1:28" ht="15.75" x14ac:dyDescent="0.25">
      <c r="B19" s="23">
        <f>+B18+500</f>
        <v>4500</v>
      </c>
      <c r="C19" s="18"/>
      <c r="D19" s="21">
        <f>ROUND($U$10+$B19*$U$14,0)</f>
        <v>504</v>
      </c>
      <c r="E19" s="21"/>
      <c r="F19" s="21">
        <f>ROUND($V$10+$B19*$V$14,0)</f>
        <v>519</v>
      </c>
      <c r="G19" s="21"/>
      <c r="H19" s="21">
        <f>ROUND($X$10+$B19*$X$14,0)</f>
        <v>548</v>
      </c>
      <c r="I19" s="21"/>
      <c r="J19" s="21">
        <f>ROUND($Y$10+$B19*$Y$14,0)</f>
        <v>564</v>
      </c>
      <c r="K19" s="20"/>
      <c r="L19" s="21">
        <f>H19-D19</f>
        <v>44</v>
      </c>
      <c r="M19" s="21"/>
      <c r="N19" s="21">
        <f>J19-F19</f>
        <v>45</v>
      </c>
      <c r="O19" s="17"/>
      <c r="P19" s="19">
        <f>ROUND(H19/D19-1,4)</f>
        <v>8.7300000000000003E-2</v>
      </c>
      <c r="Q19" s="20"/>
      <c r="R19" s="19">
        <f>ROUND(J19/F19-1,4)</f>
        <v>8.6699999999999999E-2</v>
      </c>
      <c r="T19" s="14" t="str">
        <f>+T13</f>
        <v>Summer kWh</v>
      </c>
      <c r="U19" s="73">
        <v>9.1261999999999996E-2</v>
      </c>
      <c r="V19" s="73">
        <f>+U19</f>
        <v>9.1261999999999996E-2</v>
      </c>
      <c r="X19" s="73">
        <v>9.0673000000000004E-2</v>
      </c>
      <c r="Y19" s="73">
        <f>+X19</f>
        <v>9.0673000000000004E-2</v>
      </c>
      <c r="Z19" s="27"/>
      <c r="AA19" s="8">
        <f t="shared" si="1"/>
        <v>-6.4539457824723577E-3</v>
      </c>
      <c r="AB19" s="8">
        <f t="shared" si="2"/>
        <v>-6.4539457824723577E-3</v>
      </c>
    </row>
    <row r="20" spans="1:28" ht="15.75" x14ac:dyDescent="0.25">
      <c r="A20" s="16"/>
      <c r="B20" s="23">
        <f>+B19+500</f>
        <v>5000</v>
      </c>
      <c r="C20" s="18"/>
      <c r="D20" s="21">
        <f>ROUND($U$10+$B20*$U$14,0)</f>
        <v>559</v>
      </c>
      <c r="E20" s="21"/>
      <c r="F20" s="21">
        <f>ROUND($V$10+$B20*$V$14,0)</f>
        <v>574</v>
      </c>
      <c r="G20" s="21"/>
      <c r="H20" s="21">
        <f>ROUND($X$10+$B20*$X$14,0)</f>
        <v>608</v>
      </c>
      <c r="I20" s="21"/>
      <c r="J20" s="21">
        <f>ROUND($Y$10+$B20*$Y$14,0)</f>
        <v>624</v>
      </c>
      <c r="K20" s="20"/>
      <c r="L20" s="21">
        <f>H20-D20</f>
        <v>49</v>
      </c>
      <c r="M20" s="21"/>
      <c r="N20" s="21">
        <f>J20-F20</f>
        <v>50</v>
      </c>
      <c r="O20" s="17"/>
      <c r="P20" s="19">
        <f>ROUND(H20/D20-1,4)</f>
        <v>8.77E-2</v>
      </c>
      <c r="Q20" s="20"/>
      <c r="R20" s="19">
        <f>ROUND(J20/F20-1,4)</f>
        <v>8.7099999999999997E-2</v>
      </c>
      <c r="T20" s="14" t="str">
        <f>+T14</f>
        <v>Average kWh</v>
      </c>
      <c r="U20" s="73">
        <v>9.3182000000000001E-2</v>
      </c>
      <c r="V20" s="73">
        <f>+U20</f>
        <v>9.3182000000000001E-2</v>
      </c>
      <c r="X20" s="73">
        <v>9.2579999999999996E-2</v>
      </c>
      <c r="Y20" s="73">
        <f>+X20</f>
        <v>9.2579999999999996E-2</v>
      </c>
      <c r="AA20" s="8">
        <f t="shared" si="1"/>
        <v>-6.4604751990728392E-3</v>
      </c>
      <c r="AB20" s="8">
        <f t="shared" si="2"/>
        <v>-6.4604751990728392E-3</v>
      </c>
    </row>
    <row r="21" spans="1:28" ht="15.75" x14ac:dyDescent="0.25">
      <c r="A21" s="16"/>
      <c r="B21" s="17"/>
      <c r="C21" s="18"/>
      <c r="D21" s="26"/>
      <c r="E21" s="26"/>
      <c r="F21" s="26"/>
      <c r="G21" s="26"/>
      <c r="H21" s="26"/>
      <c r="I21" s="26"/>
      <c r="J21" s="26"/>
      <c r="K21" s="17"/>
      <c r="L21" s="21"/>
      <c r="M21" s="21"/>
      <c r="N21" s="21"/>
      <c r="O21" s="17"/>
      <c r="P21" s="19"/>
      <c r="Q21" s="17"/>
      <c r="R21" s="17"/>
    </row>
    <row r="22" spans="1:28" ht="15.75" x14ac:dyDescent="0.25">
      <c r="A22" s="16"/>
      <c r="B22" s="23">
        <f>+B20+1000</f>
        <v>6000</v>
      </c>
      <c r="C22" s="22"/>
      <c r="D22" s="21">
        <f>ROUND($U$10+$B22*$U$14,0)</f>
        <v>668</v>
      </c>
      <c r="E22" s="21"/>
      <c r="F22" s="21">
        <f>ROUND($V$10+$B22*$V$14,0)</f>
        <v>684</v>
      </c>
      <c r="G22" s="21"/>
      <c r="H22" s="21">
        <f>ROUND($X$10+$B22*$X$14,0)</f>
        <v>727</v>
      </c>
      <c r="I22" s="21"/>
      <c r="J22" s="21">
        <f>ROUND($Y$10+$B22*$Y$14,0)</f>
        <v>743</v>
      </c>
      <c r="K22" s="20"/>
      <c r="L22" s="21">
        <f>H22-D22</f>
        <v>59</v>
      </c>
      <c r="M22" s="21"/>
      <c r="N22" s="21">
        <f>J22-F22</f>
        <v>59</v>
      </c>
      <c r="O22" s="17"/>
      <c r="P22" s="19">
        <f>ROUND(H22/D22-1,4)</f>
        <v>8.8300000000000003E-2</v>
      </c>
      <c r="Q22" s="20"/>
      <c r="R22" s="19">
        <f>ROUND(J22/F22-1,4)</f>
        <v>8.6300000000000002E-2</v>
      </c>
      <c r="T22" s="70" t="str">
        <f>+'Res Bill RY#1'!P23</f>
        <v>Schedule 95 - PCORC</v>
      </c>
      <c r="V22" s="73">
        <v>3.4486955638168013E-3</v>
      </c>
      <c r="Y22" s="73">
        <v>0</v>
      </c>
    </row>
    <row r="23" spans="1:28" ht="15.75" x14ac:dyDescent="0.25">
      <c r="B23" s="23">
        <f>+B22+1000</f>
        <v>7000</v>
      </c>
      <c r="C23" s="22"/>
      <c r="D23" s="21">
        <f>ROUND($U$10+$B23*$U$14,0)</f>
        <v>778</v>
      </c>
      <c r="E23" s="21"/>
      <c r="F23" s="21">
        <f>ROUND($V$10+$B23*$V$14,0)</f>
        <v>794</v>
      </c>
      <c r="G23" s="21"/>
      <c r="H23" s="21">
        <f>ROUND($X$10+$B23*$X$14,0)</f>
        <v>847</v>
      </c>
      <c r="I23" s="21"/>
      <c r="J23" s="21">
        <f>ROUND($Y$10+$B23*$Y$14,0)</f>
        <v>863</v>
      </c>
      <c r="K23" s="20"/>
      <c r="L23" s="21">
        <f>H23-D23</f>
        <v>69</v>
      </c>
      <c r="M23" s="21"/>
      <c r="N23" s="21">
        <f>J23-F23</f>
        <v>69</v>
      </c>
      <c r="O23" s="17"/>
      <c r="P23" s="19">
        <f>ROUND(H23/D23-1,4)</f>
        <v>8.8700000000000001E-2</v>
      </c>
      <c r="Q23" s="20"/>
      <c r="R23" s="19">
        <f>ROUND(J23/F23-1,4)</f>
        <v>8.6900000000000005E-2</v>
      </c>
      <c r="T23" s="70" t="str">
        <f>+'Res Bill RY#1'!P24</f>
        <v>Schedule 95 - PCA</v>
      </c>
      <c r="V23" s="73">
        <v>2.1548217661402514E-3</v>
      </c>
      <c r="Y23" s="73">
        <v>0</v>
      </c>
    </row>
    <row r="24" spans="1:28" ht="15.75" x14ac:dyDescent="0.25">
      <c r="A24" s="16"/>
      <c r="B24" s="23">
        <f>+B23+1000</f>
        <v>8000</v>
      </c>
      <c r="C24" s="22"/>
      <c r="D24" s="21">
        <f>ROUND($U$10+$B24*$U$14,0)</f>
        <v>888</v>
      </c>
      <c r="E24" s="21"/>
      <c r="F24" s="21">
        <f>ROUND($V$10+$B24*$V$14,0)</f>
        <v>903</v>
      </c>
      <c r="G24" s="21"/>
      <c r="H24" s="21">
        <f>ROUND($X$10+$B24*$X$14,0)</f>
        <v>966</v>
      </c>
      <c r="I24" s="21"/>
      <c r="J24" s="21">
        <f>ROUND($Y$10+$B24*$Y$14,0)</f>
        <v>982</v>
      </c>
      <c r="K24" s="20"/>
      <c r="L24" s="21">
        <f>H24-D24</f>
        <v>78</v>
      </c>
      <c r="M24" s="21"/>
      <c r="N24" s="21">
        <f>J24-F24</f>
        <v>79</v>
      </c>
      <c r="O24" s="17"/>
      <c r="P24" s="19">
        <f>ROUND(H24/D24-1,4)</f>
        <v>8.7800000000000003E-2</v>
      </c>
      <c r="Q24" s="20"/>
      <c r="R24" s="19">
        <f>ROUND(J24/F24-1,4)</f>
        <v>8.7499999999999994E-2</v>
      </c>
      <c r="T24" s="70" t="str">
        <f>+'Res Bill RY#1'!P25</f>
        <v>Schedule 95A - Fed Inc Credit</v>
      </c>
      <c r="V24" s="73">
        <v>-1.423E-3</v>
      </c>
      <c r="Y24" s="73">
        <f t="shared" ref="Y24:Y28" si="3">+V24</f>
        <v>-1.423E-3</v>
      </c>
    </row>
    <row r="25" spans="1:28" ht="15.75" x14ac:dyDescent="0.25">
      <c r="A25" s="16"/>
      <c r="B25" s="24"/>
      <c r="C25" s="2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T25" s="70" t="str">
        <f>+'Res Bill RY#1'!P26</f>
        <v>Schedule 120 - Conservation</v>
      </c>
      <c r="V25" s="73">
        <v>3.8500000000000001E-3</v>
      </c>
      <c r="Y25" s="73">
        <f t="shared" si="3"/>
        <v>3.8500000000000001E-3</v>
      </c>
    </row>
    <row r="26" spans="1:28" ht="15.75" x14ac:dyDescent="0.25">
      <c r="A26" s="16"/>
      <c r="B26" s="23">
        <f>+B24+1000</f>
        <v>9000</v>
      </c>
      <c r="C26" s="22"/>
      <c r="D26" s="21">
        <f>ROUND($U$10+$B26*$U$14,0)</f>
        <v>997</v>
      </c>
      <c r="E26" s="21"/>
      <c r="F26" s="21">
        <f>ROUND($V$10+$B26*$V$14,0)</f>
        <v>1013</v>
      </c>
      <c r="G26" s="21"/>
      <c r="H26" s="21">
        <f>ROUND($X$10+$B26*$X$14,0)</f>
        <v>1086</v>
      </c>
      <c r="I26" s="21"/>
      <c r="J26" s="21">
        <f>ROUND($Y$10+$B26*$Y$14,0)</f>
        <v>1102</v>
      </c>
      <c r="K26" s="20"/>
      <c r="L26" s="21">
        <f>H26-D26</f>
        <v>89</v>
      </c>
      <c r="M26" s="21"/>
      <c r="N26" s="21">
        <f>J26-F26</f>
        <v>89</v>
      </c>
      <c r="O26" s="17"/>
      <c r="P26" s="19">
        <f>ROUND(H26/D26-1,4)</f>
        <v>8.9300000000000004E-2</v>
      </c>
      <c r="Q26" s="20"/>
      <c r="R26" s="19">
        <f>ROUND(J26/F26-1,4)</f>
        <v>8.7900000000000006E-2</v>
      </c>
      <c r="T26" s="70" t="str">
        <f>+'Res Bill RY#1'!P27</f>
        <v>Schedule 129 - Low Income</v>
      </c>
      <c r="V26" s="73">
        <v>1.3339999999999999E-3</v>
      </c>
      <c r="Y26" s="73">
        <f t="shared" si="3"/>
        <v>1.3339999999999999E-3</v>
      </c>
    </row>
    <row r="27" spans="1:28" ht="15.75" x14ac:dyDescent="0.25">
      <c r="B27" s="23">
        <f>+B26+1000</f>
        <v>10000</v>
      </c>
      <c r="C27" s="22"/>
      <c r="D27" s="21">
        <f>ROUND($U$10+$B27*$U$14,0)</f>
        <v>1107</v>
      </c>
      <c r="E27" s="21"/>
      <c r="F27" s="21">
        <f>ROUND($V$10+$B27*$V$14,0)</f>
        <v>1123</v>
      </c>
      <c r="G27" s="21"/>
      <c r="H27" s="21">
        <f>ROUND($X$10+$B27*$X$14,0)</f>
        <v>1206</v>
      </c>
      <c r="I27" s="21"/>
      <c r="J27" s="21">
        <f>ROUND($Y$10+$B27*$Y$14,0)</f>
        <v>1221</v>
      </c>
      <c r="K27" s="20"/>
      <c r="L27" s="21">
        <f>H27-D27</f>
        <v>99</v>
      </c>
      <c r="M27" s="21"/>
      <c r="N27" s="21">
        <f>J27-F27</f>
        <v>98</v>
      </c>
      <c r="O27" s="17"/>
      <c r="P27" s="19">
        <f>ROUND(H27/D27-1,4)</f>
        <v>8.9399999999999993E-2</v>
      </c>
      <c r="Q27" s="20"/>
      <c r="R27" s="19">
        <f>ROUND(J27/F27-1,4)</f>
        <v>8.7300000000000003E-2</v>
      </c>
      <c r="T27" s="70" t="str">
        <f>+'Res Bill RY#1'!P28</f>
        <v>Schedule 137 - REC</v>
      </c>
      <c r="V27" s="73">
        <v>-2.0999999999999999E-5</v>
      </c>
      <c r="Y27" s="73">
        <f t="shared" si="3"/>
        <v>-2.0999999999999999E-5</v>
      </c>
    </row>
    <row r="28" spans="1:28" ht="15.75" x14ac:dyDescent="0.25">
      <c r="A28" s="16"/>
      <c r="B28" s="23">
        <f>+B27+1000</f>
        <v>11000</v>
      </c>
      <c r="C28" s="22"/>
      <c r="D28" s="21">
        <f>ROUND($U$10+$B28*$U$14,0)</f>
        <v>1217</v>
      </c>
      <c r="E28" s="21"/>
      <c r="F28" s="21">
        <f>ROUND($V$10+$B28*$V$14,0)</f>
        <v>1232</v>
      </c>
      <c r="G28" s="21"/>
      <c r="H28" s="21">
        <f>ROUND($X$10+$B28*$X$14,0)</f>
        <v>1325</v>
      </c>
      <c r="I28" s="21"/>
      <c r="J28" s="21">
        <f>ROUND($Y$10+$B28*$Y$14,0)</f>
        <v>1341</v>
      </c>
      <c r="K28" s="20"/>
      <c r="L28" s="21">
        <f>H28-D28</f>
        <v>108</v>
      </c>
      <c r="M28" s="21"/>
      <c r="N28" s="21">
        <f>J28-F28</f>
        <v>109</v>
      </c>
      <c r="O28" s="17"/>
      <c r="P28" s="19">
        <f>ROUND(H28/D28-1,4)</f>
        <v>8.8700000000000001E-2</v>
      </c>
      <c r="Q28" s="20"/>
      <c r="R28" s="19">
        <f>ROUND(J28/F28-1,4)</f>
        <v>8.8499999999999995E-2</v>
      </c>
      <c r="T28" s="70" t="str">
        <f>+'Res Bill RY#1'!P29</f>
        <v>Schedule 140 - Property Tax</v>
      </c>
      <c r="V28" s="73">
        <v>2.6389999999999999E-3</v>
      </c>
      <c r="Y28" s="73">
        <f t="shared" si="3"/>
        <v>2.6389999999999999E-3</v>
      </c>
    </row>
    <row r="29" spans="1:28" ht="15.75" x14ac:dyDescent="0.25">
      <c r="A29" s="16"/>
      <c r="B29" s="17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70" t="str">
        <f>+'Res Bill RY#1'!P30</f>
        <v>Schedule 141C - Colstrip</v>
      </c>
      <c r="V29" s="73">
        <v>0</v>
      </c>
      <c r="Y29" s="73">
        <v>2.5140000000000002E-3</v>
      </c>
    </row>
    <row r="30" spans="1:28" ht="15.75" x14ac:dyDescent="0.25">
      <c r="A30" s="16"/>
      <c r="B30" s="23">
        <f>+B28+1000</f>
        <v>12000</v>
      </c>
      <c r="C30" s="22"/>
      <c r="D30" s="21">
        <f>ROUND($U$10+$B30*$U$14,0)</f>
        <v>1326</v>
      </c>
      <c r="E30" s="21"/>
      <c r="F30" s="21">
        <f>ROUND($V$10+$B30*$V$14,0)</f>
        <v>1342</v>
      </c>
      <c r="G30" s="21"/>
      <c r="H30" s="21">
        <f>ROUND($X$10+$B30*$X$14,0)</f>
        <v>1445</v>
      </c>
      <c r="I30" s="21"/>
      <c r="J30" s="21">
        <f>ROUND($Y$10+$B30*$Y$14,0)</f>
        <v>1460</v>
      </c>
      <c r="K30" s="20"/>
      <c r="L30" s="21">
        <f>H30-D30</f>
        <v>119</v>
      </c>
      <c r="M30" s="21"/>
      <c r="N30" s="21">
        <f>J30-F30</f>
        <v>118</v>
      </c>
      <c r="O30" s="17"/>
      <c r="P30" s="19">
        <f>ROUND(H30/D30-1,4)</f>
        <v>8.9700000000000002E-2</v>
      </c>
      <c r="Q30" s="20"/>
      <c r="R30" s="19">
        <f>ROUND(J30/F30-1,4)</f>
        <v>8.7900000000000006E-2</v>
      </c>
      <c r="T30" s="70" t="str">
        <f>+'Res Bill RY#1'!P31</f>
        <v>Schedule 141N - Non Refundable MYRP</v>
      </c>
      <c r="V30" s="73">
        <v>0</v>
      </c>
      <c r="Y30" s="73">
        <v>1.0369E-2</v>
      </c>
    </row>
    <row r="31" spans="1:28" ht="15.75" x14ac:dyDescent="0.25">
      <c r="B31" s="23">
        <f>+B30+1000</f>
        <v>13000</v>
      </c>
      <c r="C31" s="22"/>
      <c r="D31" s="21">
        <f>ROUND($U$10+$B31*$U$14,0)</f>
        <v>1436</v>
      </c>
      <c r="E31" s="21"/>
      <c r="F31" s="21">
        <f>ROUND($V$10+$B31*$V$14,0)</f>
        <v>1452</v>
      </c>
      <c r="G31" s="21"/>
      <c r="H31" s="21">
        <f>ROUND($X$10+$B31*$X$14,0)</f>
        <v>1564</v>
      </c>
      <c r="I31" s="21"/>
      <c r="J31" s="21">
        <f>ROUND($Y$10+$B31*$Y$14,0)</f>
        <v>1580</v>
      </c>
      <c r="K31" s="20"/>
      <c r="L31" s="21">
        <f>H31-D31</f>
        <v>128</v>
      </c>
      <c r="M31" s="21"/>
      <c r="N31" s="21">
        <f>J31-F31</f>
        <v>128</v>
      </c>
      <c r="O31" s="17"/>
      <c r="P31" s="19">
        <f>ROUND(H31/D31-1,4)</f>
        <v>8.9099999999999999E-2</v>
      </c>
      <c r="Q31" s="20"/>
      <c r="R31" s="19">
        <f>ROUND(J31/F31-1,4)</f>
        <v>8.8200000000000001E-2</v>
      </c>
      <c r="T31" s="70" t="str">
        <f>+'Res Bill RY#1'!P32</f>
        <v>Schedule 141R - Refundable MYRP</v>
      </c>
      <c r="V31" s="73">
        <v>0</v>
      </c>
      <c r="Y31" s="73">
        <v>4.4089999999999997E-3</v>
      </c>
    </row>
    <row r="32" spans="1:28" ht="15.75" x14ac:dyDescent="0.25">
      <c r="A32" s="16"/>
      <c r="B32" s="23">
        <f>+B31+1000</f>
        <v>14000</v>
      </c>
      <c r="C32" s="22"/>
      <c r="D32" s="21">
        <f>ROUND($U$10+$B32*$U$14,0)</f>
        <v>1546</v>
      </c>
      <c r="E32" s="21"/>
      <c r="F32" s="21">
        <f>ROUND($V$10+$B32*$V$14,0)</f>
        <v>1561</v>
      </c>
      <c r="G32" s="21"/>
      <c r="H32" s="21">
        <f>ROUND($X$10+$B32*$X$14,0)</f>
        <v>1684</v>
      </c>
      <c r="I32" s="21"/>
      <c r="J32" s="21">
        <f>ROUND($Y$10+$B32*$Y$14,0)</f>
        <v>1699</v>
      </c>
      <c r="K32" s="20"/>
      <c r="L32" s="21">
        <f>H32-D32</f>
        <v>138</v>
      </c>
      <c r="M32" s="21"/>
      <c r="N32" s="21">
        <f>J32-F32</f>
        <v>138</v>
      </c>
      <c r="O32" s="17"/>
      <c r="P32" s="19">
        <f>ROUND(H32/D32-1,4)</f>
        <v>8.9300000000000004E-2</v>
      </c>
      <c r="Q32" s="20"/>
      <c r="R32" s="19">
        <f>ROUND(J32/F32-1,4)</f>
        <v>8.8400000000000006E-2</v>
      </c>
      <c r="T32" s="70" t="str">
        <f>+'Res Bill RY#1'!P33</f>
        <v xml:space="preserve">Schedule 141X- Tax Passback </v>
      </c>
      <c r="V32" s="73">
        <v>7.4299999999999995E-4</v>
      </c>
      <c r="Y32" s="73">
        <v>0</v>
      </c>
    </row>
    <row r="33" spans="1:25" ht="15.75" x14ac:dyDescent="0.25">
      <c r="A33" s="16"/>
      <c r="B33" s="17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T33" s="70" t="str">
        <f>+'Res Bill RY#1'!P34</f>
        <v>Schedule 141Z - Tax</v>
      </c>
      <c r="V33" s="73">
        <v>-7.1299999999999998E-4</v>
      </c>
      <c r="Y33" s="73">
        <v>0</v>
      </c>
    </row>
    <row r="34" spans="1:25" ht="15.75" x14ac:dyDescent="0.25">
      <c r="A34" s="16"/>
      <c r="B34" s="23">
        <f>+B32+1000</f>
        <v>15000</v>
      </c>
      <c r="C34" s="22"/>
      <c r="D34" s="21">
        <f>ROUND($U$10+$B34*$U$14,0)</f>
        <v>1655</v>
      </c>
      <c r="E34" s="21"/>
      <c r="F34" s="21">
        <f>ROUND($V$10+$B34*$V$14,0)</f>
        <v>1671</v>
      </c>
      <c r="G34" s="21"/>
      <c r="H34" s="21">
        <f>ROUND($X$10+$B34*$X$14,0)</f>
        <v>1803</v>
      </c>
      <c r="I34" s="21"/>
      <c r="J34" s="21">
        <f>ROUND($Y$10+$B34*$Y$14,0)</f>
        <v>1819</v>
      </c>
      <c r="K34" s="20"/>
      <c r="L34" s="21">
        <f>H34-D34</f>
        <v>148</v>
      </c>
      <c r="M34" s="21"/>
      <c r="N34" s="21">
        <f>J34-F34</f>
        <v>148</v>
      </c>
      <c r="O34" s="17"/>
      <c r="P34" s="19">
        <f>ROUND(H34/D34-1,4)</f>
        <v>8.9399999999999993E-2</v>
      </c>
      <c r="Q34" s="20"/>
      <c r="R34" s="19">
        <f>ROUND(J34/F34-1,4)</f>
        <v>8.8599999999999998E-2</v>
      </c>
      <c r="T34" s="70" t="str">
        <f>+'Res Bill RY#1'!P35</f>
        <v>Schedule 142 - Decoupling</v>
      </c>
      <c r="V34" s="73">
        <v>3.2799999999999999E-3</v>
      </c>
      <c r="Y34" s="73">
        <f>+V34</f>
        <v>3.2799999999999999E-3</v>
      </c>
    </row>
    <row r="35" spans="1:25" ht="15.75" x14ac:dyDescent="0.25">
      <c r="B35" s="23">
        <f>+B34+1000</f>
        <v>16000</v>
      </c>
      <c r="C35" s="22"/>
      <c r="D35" s="21">
        <f>ROUND($U$10+$B35*$U$14,0)</f>
        <v>1765</v>
      </c>
      <c r="E35" s="21"/>
      <c r="F35" s="21">
        <f>ROUND($V$10+$B35*$V$14,0)</f>
        <v>1781</v>
      </c>
      <c r="G35" s="21"/>
      <c r="H35" s="21">
        <f>ROUND($X$10+$B35*$X$14,0)</f>
        <v>1923</v>
      </c>
      <c r="I35" s="21"/>
      <c r="J35" s="21">
        <f>ROUND($Y$10+$B35*$Y$14,0)</f>
        <v>1938</v>
      </c>
      <c r="K35" s="20"/>
      <c r="L35" s="21">
        <f>H35-D35</f>
        <v>158</v>
      </c>
      <c r="M35" s="21"/>
      <c r="N35" s="21">
        <f>J35-F35</f>
        <v>157</v>
      </c>
      <c r="O35" s="17"/>
      <c r="P35" s="19">
        <f>ROUND(H35/D35-1,4)</f>
        <v>8.9499999999999996E-2</v>
      </c>
      <c r="Q35" s="20"/>
      <c r="R35" s="19">
        <f>ROUND(J35/F35-1,4)</f>
        <v>8.8200000000000001E-2</v>
      </c>
      <c r="T35" s="70" t="str">
        <f>+'Res Bill RY#1'!P36</f>
        <v>Schedule 142 - Decoupling Supplemental</v>
      </c>
      <c r="V35" s="73">
        <v>1.201E-3</v>
      </c>
      <c r="Y35" s="73">
        <v>0</v>
      </c>
    </row>
    <row r="36" spans="1:25" ht="15.75" x14ac:dyDescent="0.25">
      <c r="A36" s="16"/>
      <c r="B36" s="23">
        <f>+B35+1000</f>
        <v>17000</v>
      </c>
      <c r="C36" s="22"/>
      <c r="D36" s="21">
        <f>ROUND($U$10+$B36*$U$14,0)</f>
        <v>1875</v>
      </c>
      <c r="E36" s="21"/>
      <c r="F36" s="21">
        <f>ROUND($V$10+$B36*$V$14,0)</f>
        <v>1890</v>
      </c>
      <c r="G36" s="21"/>
      <c r="H36" s="21">
        <f>ROUND($X$10+$B36*$X$14,0)</f>
        <v>2042</v>
      </c>
      <c r="I36" s="21"/>
      <c r="J36" s="21">
        <f>ROUND($Y$10+$B36*$Y$14,0)</f>
        <v>2058</v>
      </c>
      <c r="K36" s="20"/>
      <c r="L36" s="21">
        <f>H36-D36</f>
        <v>167</v>
      </c>
      <c r="M36" s="21"/>
      <c r="N36" s="21">
        <f>J36-F36</f>
        <v>168</v>
      </c>
      <c r="O36" s="17"/>
      <c r="P36" s="19">
        <f>ROUND(H36/D36-1,4)</f>
        <v>8.9099999999999999E-2</v>
      </c>
      <c r="Q36" s="20"/>
      <c r="R36" s="19">
        <f>ROUND(J36/F36-1,4)</f>
        <v>8.8900000000000007E-2</v>
      </c>
      <c r="T36" s="70"/>
      <c r="V36" s="73"/>
      <c r="X36" s="73"/>
      <c r="Y36" s="73"/>
    </row>
    <row r="37" spans="1:25" ht="15.75" x14ac:dyDescent="0.25">
      <c r="A37" s="16"/>
      <c r="B37" s="17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U37" s="1" t="s">
        <v>6</v>
      </c>
    </row>
    <row r="38" spans="1:25" ht="15.75" x14ac:dyDescent="0.25">
      <c r="A38" s="16"/>
      <c r="B38" s="23">
        <f>+B36+1000</f>
        <v>18000</v>
      </c>
      <c r="C38" s="22"/>
      <c r="D38" s="21">
        <f>ROUND($U$10+$B38*$U$14,0)</f>
        <v>1984</v>
      </c>
      <c r="E38" s="21"/>
      <c r="F38" s="21">
        <f>ROUND($V$10+$B38*$V$14,0)</f>
        <v>2000</v>
      </c>
      <c r="G38" s="21"/>
      <c r="H38" s="21">
        <f>ROUND($X$10+$B38*$X$14,0)</f>
        <v>2162</v>
      </c>
      <c r="I38" s="21"/>
      <c r="J38" s="21">
        <f>ROUND($Y$10+$B38*$Y$14,0)</f>
        <v>2178</v>
      </c>
      <c r="K38" s="20"/>
      <c r="L38" s="21">
        <f>H38-D38</f>
        <v>178</v>
      </c>
      <c r="M38" s="21"/>
      <c r="N38" s="21">
        <f>J38-F38</f>
        <v>178</v>
      </c>
      <c r="O38" s="17"/>
      <c r="P38" s="19">
        <f>ROUND(H38/D38-1,4)</f>
        <v>8.9700000000000002E-2</v>
      </c>
      <c r="Q38" s="20"/>
      <c r="R38" s="19">
        <f>ROUND(J38/F38-1,4)</f>
        <v>8.8999999999999996E-2</v>
      </c>
      <c r="T38" s="60" t="s">
        <v>124</v>
      </c>
      <c r="U38" s="6">
        <f>+'Rate Impacts_RY#1'!H10</f>
        <v>-5.0791431596232213E-3</v>
      </c>
    </row>
    <row r="39" spans="1:25" ht="15.75" x14ac:dyDescent="0.25">
      <c r="A39" s="16"/>
      <c r="B39" s="23">
        <f>+B38+1000</f>
        <v>19000</v>
      </c>
      <c r="C39" s="22"/>
      <c r="D39" s="21">
        <f>ROUND($U$10+$B39*$U$14,0)</f>
        <v>2094</v>
      </c>
      <c r="E39" s="21"/>
      <c r="F39" s="21">
        <f>ROUND($V$10+$B39*$V$14,0)</f>
        <v>2110</v>
      </c>
      <c r="G39" s="21"/>
      <c r="H39" s="21">
        <f>ROUND($X$10+$B39*$X$14,0)</f>
        <v>2281</v>
      </c>
      <c r="I39" s="21"/>
      <c r="J39" s="21">
        <f>ROUND($Y$10+$B39*$Y$14,0)</f>
        <v>2297</v>
      </c>
      <c r="K39" s="20"/>
      <c r="L39" s="21">
        <f>H39-D39</f>
        <v>187</v>
      </c>
      <c r="M39" s="21"/>
      <c r="N39" s="21">
        <f>J39-F39</f>
        <v>187</v>
      </c>
      <c r="O39" s="17"/>
      <c r="P39" s="19">
        <f>ROUND(H39/D39-1,4)</f>
        <v>8.9300000000000004E-2</v>
      </c>
      <c r="Q39" s="20"/>
      <c r="R39" s="19">
        <f>ROUND(J39/F39-1,4)</f>
        <v>8.8599999999999998E-2</v>
      </c>
      <c r="T39" s="60" t="s">
        <v>125</v>
      </c>
      <c r="U39" s="6">
        <f>+'Rate Impacts_RY#1'!AM10</f>
        <v>7.5104339255403607E-2</v>
      </c>
      <c r="V39" s="73"/>
      <c r="Y39" s="73"/>
    </row>
    <row r="40" spans="1:25" ht="15.75" x14ac:dyDescent="0.25">
      <c r="A40" s="16"/>
      <c r="B40" s="23">
        <f>+B39+1000</f>
        <v>20000</v>
      </c>
      <c r="C40" s="22"/>
      <c r="D40" s="21">
        <f>ROUND($U$10+$B40*$U$14,0)</f>
        <v>2204</v>
      </c>
      <c r="E40" s="21"/>
      <c r="F40" s="21">
        <f>ROUND($V$10+$B40*$V$14,0)</f>
        <v>2219</v>
      </c>
      <c r="G40" s="21"/>
      <c r="H40" s="21">
        <f>ROUND($X$10+$B40*$X$14,0)</f>
        <v>2401</v>
      </c>
      <c r="I40" s="21"/>
      <c r="J40" s="21">
        <f>ROUND($Y$10+$B40*$Y$14,0)</f>
        <v>2417</v>
      </c>
      <c r="K40" s="20"/>
      <c r="L40" s="21">
        <f>H40-D40</f>
        <v>197</v>
      </c>
      <c r="M40" s="21"/>
      <c r="N40" s="21">
        <f>J40-F40</f>
        <v>198</v>
      </c>
      <c r="O40" s="17"/>
      <c r="P40" s="19">
        <f>ROUND(H40/D40-1,4)</f>
        <v>8.9399999999999993E-2</v>
      </c>
      <c r="Q40" s="20"/>
      <c r="R40" s="19">
        <f>ROUND(J40/F40-1,4)</f>
        <v>8.9200000000000002E-2</v>
      </c>
    </row>
    <row r="41" spans="1:25" ht="15.75" x14ac:dyDescent="0.25">
      <c r="A41" s="16"/>
      <c r="B41" s="17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25" x14ac:dyDescent="0.25">
      <c r="A42" s="16"/>
      <c r="B42" s="181" t="s">
        <v>27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</row>
    <row r="43" spans="1:25" ht="15.6" customHeight="1" x14ac:dyDescent="0.25">
      <c r="A43" s="16"/>
      <c r="B43" s="181" t="s">
        <v>284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</row>
    <row r="44" spans="1:25" x14ac:dyDescent="0.25">
      <c r="A44" s="16"/>
      <c r="B44" s="181" t="s">
        <v>44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</row>
    <row r="45" spans="1:25" x14ac:dyDescent="0.25">
      <c r="A45" s="16"/>
      <c r="B45" s="181" t="s">
        <v>130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</row>
    <row r="46" spans="1:25" x14ac:dyDescent="0.25">
      <c r="A46" s="16"/>
      <c r="B46" s="181" t="s">
        <v>131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</row>
    <row r="47" spans="1:25" x14ac:dyDescent="0.25">
      <c r="A47" s="16"/>
      <c r="T47" s="7"/>
      <c r="U47" s="6"/>
    </row>
    <row r="48" spans="1:25" x14ac:dyDescent="0.25">
      <c r="M48" s="1"/>
    </row>
  </sheetData>
  <mergeCells count="7">
    <mergeCell ref="B45:R45"/>
    <mergeCell ref="B46:R46"/>
    <mergeCell ref="T8:V8"/>
    <mergeCell ref="W8:Y8"/>
    <mergeCell ref="B42:R42"/>
    <mergeCell ref="B43:R43"/>
    <mergeCell ref="B44:R44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14" customWidth="1"/>
    <col min="2" max="2" width="10.28515625" style="14" bestFit="1" customWidth="1"/>
    <col min="3" max="3" width="2.7109375" style="14" customWidth="1"/>
    <col min="4" max="4" width="13.28515625" style="14" bestFit="1" customWidth="1"/>
    <col min="5" max="5" width="9.140625" style="14" bestFit="1" customWidth="1"/>
    <col min="6" max="6" width="3.85546875" style="14" customWidth="1"/>
    <col min="7" max="7" width="13.140625" style="14" bestFit="1" customWidth="1"/>
    <col min="8" max="8" width="4" style="14" customWidth="1"/>
    <col min="9" max="9" width="13.140625" style="14" bestFit="1" customWidth="1"/>
    <col min="10" max="10" width="5" style="14" customWidth="1"/>
    <col min="11" max="11" width="9.85546875" style="14" bestFit="1" customWidth="1"/>
    <col min="12" max="12" width="2.7109375" style="14" customWidth="1"/>
    <col min="13" max="13" width="3.28515625" style="14" customWidth="1"/>
    <col min="14" max="14" width="36" style="14" bestFit="1" customWidth="1"/>
    <col min="15" max="15" width="11.7109375" style="14" bestFit="1" customWidth="1"/>
    <col min="16" max="16" width="24.85546875" style="14" bestFit="1" customWidth="1"/>
    <col min="17" max="17" width="11.7109375" style="14" bestFit="1" customWidth="1"/>
    <col min="18" max="18" width="2.42578125" style="14" customWidth="1"/>
    <col min="19" max="19" width="8.28515625" style="14" bestFit="1" customWidth="1"/>
    <col min="20" max="16384" width="9.42578125" style="14"/>
  </cols>
  <sheetData>
    <row r="1" spans="1:19" ht="20.2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9"/>
      <c r="M1" s="49"/>
    </row>
    <row r="2" spans="1:19" ht="20.25" x14ac:dyDescent="0.3">
      <c r="B2" s="40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9"/>
      <c r="M2" s="49"/>
    </row>
    <row r="3" spans="1:19" ht="20.25" x14ac:dyDescent="0.3">
      <c r="B3" s="40" t="s">
        <v>69</v>
      </c>
      <c r="C3" s="40"/>
      <c r="D3" s="40"/>
      <c r="E3" s="40"/>
      <c r="F3" s="40"/>
      <c r="G3" s="40"/>
      <c r="H3" s="40"/>
      <c r="I3" s="40"/>
      <c r="J3" s="40"/>
      <c r="K3" s="40"/>
      <c r="L3" s="49"/>
      <c r="M3" s="49"/>
    </row>
    <row r="4" spans="1:19" ht="20.25" x14ac:dyDescent="0.3">
      <c r="B4" s="50" t="s">
        <v>77</v>
      </c>
      <c r="C4" s="40"/>
      <c r="D4" s="40"/>
      <c r="E4" s="40"/>
      <c r="F4" s="40"/>
      <c r="G4" s="40"/>
      <c r="H4" s="40"/>
      <c r="I4" s="40"/>
      <c r="J4" s="40"/>
      <c r="K4" s="40"/>
      <c r="L4" s="49"/>
      <c r="M4" s="49"/>
    </row>
    <row r="5" spans="1:19" x14ac:dyDescent="0.25">
      <c r="A5" s="16"/>
      <c r="B5" s="48"/>
    </row>
    <row r="6" spans="1:19" ht="15.75" x14ac:dyDescent="0.25">
      <c r="A6" s="16"/>
      <c r="B6" s="46" t="s">
        <v>76</v>
      </c>
      <c r="C6" s="20"/>
      <c r="D6" s="20"/>
      <c r="E6" s="20"/>
      <c r="F6" s="20"/>
      <c r="G6" s="186" t="s">
        <v>75</v>
      </c>
      <c r="H6" s="187"/>
      <c r="I6" s="187"/>
      <c r="J6" s="20"/>
      <c r="K6" s="17"/>
      <c r="L6" s="16"/>
      <c r="M6" s="16"/>
    </row>
    <row r="7" spans="1:19" ht="16.5" thickBot="1" x14ac:dyDescent="0.3">
      <c r="A7" s="16"/>
      <c r="B7" s="47" t="s">
        <v>74</v>
      </c>
      <c r="C7" s="37"/>
      <c r="D7" s="46" t="s">
        <v>73</v>
      </c>
      <c r="E7" s="20"/>
      <c r="F7" s="20"/>
      <c r="G7" s="45" t="s">
        <v>72</v>
      </c>
      <c r="H7" s="17"/>
      <c r="I7" s="45" t="s">
        <v>8</v>
      </c>
      <c r="J7" s="20"/>
      <c r="K7" s="37" t="s">
        <v>55</v>
      </c>
      <c r="L7" s="16"/>
      <c r="M7" s="16"/>
    </row>
    <row r="8" spans="1:19" ht="16.5" x14ac:dyDescent="0.25">
      <c r="A8" s="16"/>
      <c r="B8" s="34" t="s">
        <v>71</v>
      </c>
      <c r="C8" s="32"/>
      <c r="D8" s="44" t="s">
        <v>70</v>
      </c>
      <c r="E8" s="34" t="s">
        <v>41</v>
      </c>
      <c r="F8" s="20"/>
      <c r="G8" s="43" t="s">
        <v>107</v>
      </c>
      <c r="H8" s="43"/>
      <c r="I8" s="43" t="s">
        <v>108</v>
      </c>
      <c r="J8" s="20"/>
      <c r="K8" s="35" t="s">
        <v>9</v>
      </c>
      <c r="L8" s="16"/>
      <c r="M8" s="16"/>
      <c r="N8" s="182" t="s">
        <v>52</v>
      </c>
      <c r="O8" s="184"/>
      <c r="P8" s="185" t="s">
        <v>51</v>
      </c>
      <c r="Q8" s="184"/>
      <c r="R8" s="71"/>
    </row>
    <row r="9" spans="1:19" ht="15.75" x14ac:dyDescent="0.25">
      <c r="A9" s="16"/>
      <c r="B9" s="20"/>
      <c r="C9" s="20"/>
      <c r="D9" s="20"/>
      <c r="E9" s="20"/>
      <c r="F9" s="20"/>
      <c r="G9" s="32"/>
      <c r="H9" s="32"/>
      <c r="I9" s="32"/>
      <c r="J9" s="17"/>
      <c r="K9" s="17"/>
      <c r="N9" s="28"/>
      <c r="O9" s="30"/>
      <c r="P9" s="9"/>
      <c r="Q9" s="30"/>
      <c r="R9" s="71"/>
    </row>
    <row r="10" spans="1:19" ht="15.75" x14ac:dyDescent="0.25">
      <c r="A10" s="16"/>
      <c r="B10" s="20">
        <v>50</v>
      </c>
      <c r="C10" s="20"/>
      <c r="D10" s="20">
        <v>300</v>
      </c>
      <c r="E10" s="23">
        <f>ROUND((B$10*D10),0)</f>
        <v>15000</v>
      </c>
      <c r="F10" s="20"/>
      <c r="G10" s="21">
        <f>+O$10+IF($E10&lt;20000,$E10*O$14,20000*O$14+($E10-20000)*O$16)+IF($B10&gt;50,($B10-50)*O$22,0)</f>
        <v>1600.2896893705174</v>
      </c>
      <c r="H10" s="21"/>
      <c r="I10" s="21">
        <f>+Q$10+IF($E10&lt;20000,$E10*Q$14,20000*Q$14+($E10-20000)*Q$16)+IF($B10&gt;50,($B10-50)*Q$22,0)</f>
        <v>1731.6550000000002</v>
      </c>
      <c r="J10" s="20"/>
      <c r="K10" s="18">
        <f>ROUND((+I10-G10)/G10,3)</f>
        <v>8.2000000000000003E-2</v>
      </c>
      <c r="L10" s="16"/>
      <c r="M10" s="16"/>
      <c r="N10" s="28" t="s">
        <v>48</v>
      </c>
      <c r="O10" s="189">
        <f>SUM(O27)</f>
        <v>53.95</v>
      </c>
      <c r="P10" s="28" t="str">
        <f>+N10</f>
        <v>Basic Charge</v>
      </c>
      <c r="Q10" s="189">
        <f>SUM(Q27)</f>
        <v>53.95</v>
      </c>
      <c r="R10" s="27"/>
      <c r="S10" s="8">
        <f>(Q10-O10)/O10</f>
        <v>0</v>
      </c>
    </row>
    <row r="11" spans="1:19" ht="15.75" x14ac:dyDescent="0.25">
      <c r="A11" s="16"/>
      <c r="B11" s="20">
        <f>+B10</f>
        <v>50</v>
      </c>
      <c r="C11" s="20"/>
      <c r="D11" s="20">
        <v>500</v>
      </c>
      <c r="E11" s="23">
        <f>ROUND((B$10*D11),0)</f>
        <v>25000</v>
      </c>
      <c r="F11" s="20"/>
      <c r="G11" s="21">
        <f>+O$10+IF($E11&lt;20000,$E11*O$14,20000*O$14+($E11-20000)*O$16)+IF($B11&gt;50,($B11-50)*O$22,0)</f>
        <v>2520.252815617529</v>
      </c>
      <c r="H11" s="21"/>
      <c r="I11" s="21">
        <f>+Q$10+IF($E11&lt;20000,$E11*Q$14,20000*Q$14+($E11-20000)*Q$16)+IF($B11&gt;50,($B11-50)*Q$22,0)</f>
        <v>2739.9750000000004</v>
      </c>
      <c r="J11" s="20"/>
      <c r="K11" s="18">
        <f>ROUND((+I11-G11)/G11,3)</f>
        <v>8.6999999999999994E-2</v>
      </c>
      <c r="L11" s="16"/>
      <c r="M11" s="16"/>
      <c r="N11" s="28"/>
      <c r="O11" s="195"/>
      <c r="P11" s="9"/>
      <c r="Q11" s="195"/>
      <c r="R11" s="71"/>
    </row>
    <row r="12" spans="1:19" ht="15.75" x14ac:dyDescent="0.25">
      <c r="A12" s="16"/>
      <c r="B12" s="20">
        <f>+B11</f>
        <v>50</v>
      </c>
      <c r="C12" s="20"/>
      <c r="D12" s="20">
        <v>700</v>
      </c>
      <c r="E12" s="23">
        <f>ROUND((B$10*D12),0)</f>
        <v>35000</v>
      </c>
      <c r="F12" s="20"/>
      <c r="G12" s="21">
        <f>+O$10+IF($E12&lt;20000,$E12*O$14,20000*O$14+($E12-20000)*O$16)+IF($B12&gt;50,($B12-50)*O$22,0)</f>
        <v>3329.2859418645403</v>
      </c>
      <c r="H12" s="21"/>
      <c r="I12" s="21">
        <f>+Q$10+IF($E12&lt;20000,$E12*Q$14,20000*Q$14+($E12-20000)*Q$16)+IF($B12&gt;50,($B12-50)*Q$22,0)</f>
        <v>3638.1450000000004</v>
      </c>
      <c r="J12" s="20"/>
      <c r="K12" s="18">
        <f>ROUND((+I12-G12)/G12,3)</f>
        <v>9.2999999999999999E-2</v>
      </c>
      <c r="N12" s="29" t="s">
        <v>68</v>
      </c>
      <c r="O12" s="191">
        <f>SUM(O28,O39:O52)</f>
        <v>0.10753031262470115</v>
      </c>
      <c r="P12" s="28" t="str">
        <f>+N12</f>
        <v>Winter kWh - First 20,000</v>
      </c>
      <c r="Q12" s="191">
        <f>SUM(Q28,Q39:Q52)</f>
        <v>0.11625700000000001</v>
      </c>
      <c r="R12" s="71"/>
      <c r="S12" s="8">
        <f>(Q12-O12)/O12</f>
        <v>8.115560312519933E-2</v>
      </c>
    </row>
    <row r="13" spans="1:19" x14ac:dyDescent="0.25">
      <c r="A13" s="16"/>
      <c r="L13" s="16"/>
      <c r="M13" s="16"/>
      <c r="N13" s="29" t="s">
        <v>67</v>
      </c>
      <c r="O13" s="191">
        <f>SUM(O29,O39:O52)</f>
        <v>9.8374312624701157E-2</v>
      </c>
      <c r="P13" s="28" t="str">
        <f>+N13</f>
        <v>Summer kWh - First 20,000</v>
      </c>
      <c r="Q13" s="191">
        <f>SUM(Q29,Q39:Q52)</f>
        <v>0.107165</v>
      </c>
      <c r="R13" s="71"/>
      <c r="S13" s="8">
        <f>(Q13-O13)/O13</f>
        <v>8.935958118289869E-2</v>
      </c>
    </row>
    <row r="14" spans="1:19" ht="15.75" x14ac:dyDescent="0.25">
      <c r="A14" s="16"/>
      <c r="B14" s="20">
        <v>100</v>
      </c>
      <c r="C14" s="20"/>
      <c r="D14" s="20">
        <v>300</v>
      </c>
      <c r="E14" s="23">
        <f>ROUND((B$14*D14),0)</f>
        <v>30000</v>
      </c>
      <c r="F14" s="20"/>
      <c r="G14" s="21">
        <f>+O$10+IF($E14&lt;20000,$E14*O$14,20000*O$14+($E14-20000)*O$16)+IF($B14&gt;50,($B14-50)*O$22,0)</f>
        <v>3350.2693787410344</v>
      </c>
      <c r="H14" s="21"/>
      <c r="I14" s="21">
        <f>+Q$10+IF($E14&lt;20000,$E14*Q$14,20000*Q$14+($E14-20000)*Q$16)+IF($B14&gt;50,($B14-50)*Q$22,0)</f>
        <v>3614.5600000000004</v>
      </c>
      <c r="J14" s="20"/>
      <c r="K14" s="18">
        <f>ROUND((+I14-G14)/G14,3)</f>
        <v>7.9000000000000001E-2</v>
      </c>
      <c r="L14" s="16"/>
      <c r="M14" s="16"/>
      <c r="N14" s="29" t="s">
        <v>101</v>
      </c>
      <c r="O14" s="191">
        <f>SUM(O30,O39:O52)</f>
        <v>0.10308931262470115</v>
      </c>
      <c r="P14" s="28" t="str">
        <f>+N14</f>
        <v>Average kWh - First 20,000</v>
      </c>
      <c r="Q14" s="191">
        <f>SUM(Q30,Q39:Q52)</f>
        <v>0.11184700000000002</v>
      </c>
      <c r="R14" s="71"/>
      <c r="S14" s="8">
        <f>(Q14-O14)/O14</f>
        <v>8.4952427679689843E-2</v>
      </c>
    </row>
    <row r="15" spans="1:19" ht="15.75" x14ac:dyDescent="0.25">
      <c r="A15" s="16"/>
      <c r="B15" s="20">
        <f>+B14</f>
        <v>100</v>
      </c>
      <c r="C15" s="20"/>
      <c r="D15" s="20">
        <v>500</v>
      </c>
      <c r="E15" s="23">
        <f>ROUND((B$14*D15),0)</f>
        <v>50000</v>
      </c>
      <c r="F15" s="20"/>
      <c r="G15" s="21">
        <f>+O$10+IF($E15&lt;20000,$E15*O$14,20000*O$14+($E15-20000)*O$16)+IF($B15&gt;50,($B15-50)*O$22,0)</f>
        <v>4968.3356312350579</v>
      </c>
      <c r="H15" s="21"/>
      <c r="I15" s="21">
        <f>+Q$10+IF($E15&lt;20000,$E15*Q$14,20000*Q$14+($E15-20000)*Q$16)+IF($B15&gt;50,($B15-50)*Q$22,0)</f>
        <v>5410.9000000000005</v>
      </c>
      <c r="J15" s="20"/>
      <c r="K15" s="18">
        <f>ROUND((+I15-G15)/G15,3)</f>
        <v>8.8999999999999996E-2</v>
      </c>
      <c r="L15" s="16"/>
      <c r="M15" s="16"/>
      <c r="N15" s="28"/>
      <c r="O15" s="191"/>
      <c r="P15" s="28"/>
      <c r="Q15" s="191"/>
      <c r="R15" s="71"/>
    </row>
    <row r="16" spans="1:19" ht="15.75" x14ac:dyDescent="0.25">
      <c r="A16" s="16"/>
      <c r="B16" s="20">
        <f>+B15</f>
        <v>100</v>
      </c>
      <c r="C16" s="20"/>
      <c r="D16" s="20">
        <v>700</v>
      </c>
      <c r="E16" s="23">
        <f>ROUND((B$14*D16),0)</f>
        <v>70000</v>
      </c>
      <c r="F16" s="20"/>
      <c r="G16" s="21">
        <f>+O$10+IF($E16&lt;20000,$E16*O$14,20000*O$14+($E16-20000)*O$16)+IF($B16&gt;50,($B16-50)*O$22,0)</f>
        <v>6586.4018837290814</v>
      </c>
      <c r="H16" s="21"/>
      <c r="I16" s="21">
        <f>+Q$10+IF($E16&lt;20000,$E16*Q$14,20000*Q$14+($E16-20000)*Q$16)+IF($B16&gt;50,($B16-50)*Q$22,0)</f>
        <v>7207.24</v>
      </c>
      <c r="J16" s="20"/>
      <c r="K16" s="18">
        <f>ROUND((+I16-G16)/G16,3)</f>
        <v>9.4E-2</v>
      </c>
      <c r="N16" s="29" t="s">
        <v>66</v>
      </c>
      <c r="O16" s="191">
        <f>SUM(O31,O39:O52)</f>
        <v>8.0903312624701157E-2</v>
      </c>
      <c r="P16" s="28" t="str">
        <f>+N16</f>
        <v>kWh - All Over 20,000</v>
      </c>
      <c r="Q16" s="191">
        <f>SUM(Q31,Q39:Q52)</f>
        <v>8.9816999999999994E-2</v>
      </c>
      <c r="R16" s="71"/>
      <c r="S16" s="8">
        <f>(Q16-O16)/O16</f>
        <v>0.11017703832039798</v>
      </c>
    </row>
    <row r="17" spans="1:19" ht="15.75" x14ac:dyDescent="0.25">
      <c r="A17" s="16"/>
      <c r="B17" s="20"/>
      <c r="C17" s="20"/>
      <c r="D17" s="20"/>
      <c r="E17" s="20"/>
      <c r="F17" s="20"/>
      <c r="G17" s="21"/>
      <c r="H17" s="21"/>
      <c r="I17" s="21"/>
      <c r="J17" s="17"/>
      <c r="K17" s="19"/>
      <c r="L17" s="16"/>
      <c r="M17" s="16"/>
      <c r="N17" s="29"/>
      <c r="O17" s="191"/>
      <c r="P17" s="29"/>
      <c r="Q17" s="191"/>
      <c r="R17" s="71"/>
      <c r="S17" s="10"/>
    </row>
    <row r="18" spans="1:19" ht="15.75" x14ac:dyDescent="0.25">
      <c r="A18" s="16"/>
      <c r="B18" s="20">
        <v>150</v>
      </c>
      <c r="C18" s="20"/>
      <c r="D18" s="20">
        <v>300</v>
      </c>
      <c r="E18" s="23">
        <f>ROUND((B$18*D18),0)</f>
        <v>45000</v>
      </c>
      <c r="F18" s="20"/>
      <c r="G18" s="21">
        <f>+O$10+IF($E18&lt;20000,$E18*O$14,20000*O$14+($E18-20000)*O$16)+IF($B18&gt;50,($B18-50)*O$22,0)</f>
        <v>4989.319068111552</v>
      </c>
      <c r="H18" s="21"/>
      <c r="I18" s="21">
        <f>+Q$10+IF($E18&lt;20000,$E18*Q$14,20000*Q$14+($E18-20000)*Q$16)+IF($B18&gt;50,($B18-50)*Q$22,0)</f>
        <v>5387.3149999999996</v>
      </c>
      <c r="J18" s="20"/>
      <c r="K18" s="18">
        <f>ROUND((+I18-G18)/G18,3)</f>
        <v>0.08</v>
      </c>
      <c r="L18" s="16"/>
      <c r="M18" s="16"/>
      <c r="N18" s="29" t="s">
        <v>65</v>
      </c>
      <c r="O18" s="191">
        <v>0</v>
      </c>
      <c r="P18" s="28" t="str">
        <f>+N18</f>
        <v>kW - First 50</v>
      </c>
      <c r="Q18" s="191">
        <v>0</v>
      </c>
      <c r="R18" s="71"/>
      <c r="S18" s="10"/>
    </row>
    <row r="19" spans="1:19" ht="15.75" x14ac:dyDescent="0.25">
      <c r="A19" s="16"/>
      <c r="B19" s="20">
        <f>+B18</f>
        <v>150</v>
      </c>
      <c r="C19" s="20"/>
      <c r="D19" s="20">
        <v>500</v>
      </c>
      <c r="E19" s="23">
        <f>ROUND((B$18*D19),0)</f>
        <v>75000</v>
      </c>
      <c r="F19" s="20"/>
      <c r="G19" s="21">
        <f>+O$10+IF($E19&lt;20000,$E19*O$14,20000*O$14+($E19-20000)*O$16)+IF($B19&gt;50,($B19-50)*O$22,0)</f>
        <v>7416.4184468525864</v>
      </c>
      <c r="H19" s="21"/>
      <c r="I19" s="21">
        <f>+Q$10+IF($E19&lt;20000,$E19*Q$14,20000*Q$14+($E19-20000)*Q$16)+IF($B19&gt;50,($B19-50)*Q$22,0)</f>
        <v>8081.8249999999998</v>
      </c>
      <c r="J19" s="20"/>
      <c r="K19" s="18">
        <f>ROUND((+I19-G19)/G19,3)</f>
        <v>0.09</v>
      </c>
      <c r="L19" s="16"/>
      <c r="M19" s="16"/>
      <c r="N19" s="29"/>
      <c r="O19" s="191"/>
      <c r="P19" s="29"/>
      <c r="Q19" s="191"/>
      <c r="R19" s="27"/>
      <c r="S19" s="27"/>
    </row>
    <row r="20" spans="1:19" ht="15.75" x14ac:dyDescent="0.25">
      <c r="A20" s="16"/>
      <c r="B20" s="20">
        <f>+B19</f>
        <v>150</v>
      </c>
      <c r="C20" s="20"/>
      <c r="D20" s="20">
        <v>700</v>
      </c>
      <c r="E20" s="23">
        <f>ROUND((B$18*D20),0)</f>
        <v>105000</v>
      </c>
      <c r="F20" s="20"/>
      <c r="G20" s="21">
        <f>+O$10+IF($E20&lt;20000,$E20*O$14,20000*O$14+($E20-20000)*O$16)+IF($B20&gt;50,($B20-50)*O$22,0)</f>
        <v>9843.5178255936225</v>
      </c>
      <c r="H20" s="21"/>
      <c r="I20" s="21">
        <f>+Q$10+IF($E20&lt;20000,$E20*Q$14,20000*Q$14+($E20-20000)*Q$16)+IF($B20&gt;50,($B20-50)*Q$22,0)</f>
        <v>10776.335000000001</v>
      </c>
      <c r="J20" s="20"/>
      <c r="K20" s="18">
        <f>ROUND((+I20-G20)/G20,3)</f>
        <v>9.5000000000000001E-2</v>
      </c>
      <c r="N20" s="29" t="s">
        <v>64</v>
      </c>
      <c r="O20" s="189">
        <f>SUM(O33)</f>
        <v>10.119999999999999</v>
      </c>
      <c r="P20" s="28" t="str">
        <f>+N20</f>
        <v>Winter kW - Over 50</v>
      </c>
      <c r="Q20" s="189">
        <f>SUM(Q33)</f>
        <v>10.119999999999999</v>
      </c>
      <c r="R20" s="71"/>
      <c r="S20" s="8">
        <f>(Q20-O20)/O20</f>
        <v>0</v>
      </c>
    </row>
    <row r="21" spans="1:19" ht="15.75" x14ac:dyDescent="0.25">
      <c r="A21" s="16"/>
      <c r="B21" s="20"/>
      <c r="C21" s="20"/>
      <c r="D21" s="20"/>
      <c r="E21" s="20"/>
      <c r="F21" s="20"/>
      <c r="G21" s="21"/>
      <c r="H21" s="21"/>
      <c r="I21" s="21"/>
      <c r="J21" s="17"/>
      <c r="K21" s="19"/>
      <c r="L21" s="16"/>
      <c r="M21" s="16"/>
      <c r="N21" s="29" t="s">
        <v>63</v>
      </c>
      <c r="O21" s="189">
        <f>SUM(O34)</f>
        <v>6.75</v>
      </c>
      <c r="P21" s="28" t="str">
        <f>+N21</f>
        <v>Summer kW - Over 50</v>
      </c>
      <c r="Q21" s="189">
        <f>SUM(Q34)</f>
        <v>6.75</v>
      </c>
      <c r="R21" s="71"/>
      <c r="S21" s="8">
        <f>(Q21-O21)/O21</f>
        <v>0</v>
      </c>
    </row>
    <row r="22" spans="1:19" ht="15.75" x14ac:dyDescent="0.25">
      <c r="A22" s="16"/>
      <c r="B22" s="20">
        <v>200</v>
      </c>
      <c r="C22" s="20"/>
      <c r="D22" s="20">
        <v>300</v>
      </c>
      <c r="E22" s="23">
        <f>ROUND((B$22*D22),0)</f>
        <v>60000</v>
      </c>
      <c r="F22" s="20"/>
      <c r="G22" s="21">
        <f>+O$10+IF($E22&lt;20000,$E22*O$14,20000*O$14+($E22-20000)*O$16)+IF($B22&gt;50,($B22-50)*O$22,0)</f>
        <v>6628.3687574820697</v>
      </c>
      <c r="H22" s="21"/>
      <c r="I22" s="21">
        <f>+Q$10+IF($E22&lt;20000,$E22*Q$14,20000*Q$14+($E22-20000)*Q$16)+IF($B22&gt;50,($B22-50)*Q$22,0)</f>
        <v>7160.0700000000006</v>
      </c>
      <c r="J22" s="20"/>
      <c r="K22" s="18">
        <f>ROUND((+I22-G22)/G22,3)</f>
        <v>0.08</v>
      </c>
      <c r="L22" s="16"/>
      <c r="M22" s="16"/>
      <c r="N22" s="29" t="s">
        <v>62</v>
      </c>
      <c r="O22" s="189">
        <f>SUM(O35)</f>
        <v>8.51</v>
      </c>
      <c r="P22" s="28" t="str">
        <f>+N22</f>
        <v>Average kW - Over 50</v>
      </c>
      <c r="Q22" s="189">
        <f>SUM(Q35)</f>
        <v>8.51</v>
      </c>
      <c r="R22" s="71"/>
      <c r="S22" s="8">
        <f>(Q22-O22)/O22</f>
        <v>0</v>
      </c>
    </row>
    <row r="23" spans="1:19" ht="15.75" x14ac:dyDescent="0.25">
      <c r="A23" s="16"/>
      <c r="B23" s="20">
        <f>+B22</f>
        <v>200</v>
      </c>
      <c r="C23" s="20"/>
      <c r="D23" s="20">
        <v>500</v>
      </c>
      <c r="E23" s="23">
        <f>ROUND((B$22*D23),0)</f>
        <v>100000</v>
      </c>
      <c r="F23" s="20"/>
      <c r="G23" s="21">
        <f>+O$10+IF($E23&lt;20000,$E23*O$14,20000*O$14+($E23-20000)*O$16)+IF($B23&gt;50,($B23-50)*O$22,0)</f>
        <v>9864.5012624701158</v>
      </c>
      <c r="H23" s="21"/>
      <c r="I23" s="21">
        <f>+Q$10+IF($E23&lt;20000,$E23*Q$14,20000*Q$14+($E23-20000)*Q$16)+IF($B23&gt;50,($B23-50)*Q$22,0)</f>
        <v>10752.75</v>
      </c>
      <c r="J23" s="20"/>
      <c r="K23" s="18">
        <f>ROUND((+I23-G23)/G23,3)</f>
        <v>0.09</v>
      </c>
      <c r="L23" s="16"/>
      <c r="M23" s="16"/>
      <c r="N23" s="28"/>
      <c r="O23" s="191"/>
      <c r="P23" s="28"/>
      <c r="Q23" s="191"/>
      <c r="R23" s="71"/>
    </row>
    <row r="24" spans="1:19" ht="15.75" x14ac:dyDescent="0.25">
      <c r="A24" s="16"/>
      <c r="B24" s="20">
        <f>+B23</f>
        <v>200</v>
      </c>
      <c r="C24" s="20"/>
      <c r="D24" s="20">
        <v>700</v>
      </c>
      <c r="E24" s="23">
        <f>ROUND((B$22*D24),0)</f>
        <v>140000</v>
      </c>
      <c r="F24" s="20"/>
      <c r="G24" s="21">
        <f>+O$10+IF($E24&lt;20000,$E24*O$14,20000*O$14+($E24-20000)*O$16)+IF($B24&gt;50,($B24-50)*O$22,0)</f>
        <v>13100.633767458163</v>
      </c>
      <c r="H24" s="21"/>
      <c r="I24" s="21">
        <f>+Q$10+IF($E24&lt;20000,$E24*Q$14,20000*Q$14+($E24-20000)*Q$16)+IF($B24&gt;50,($B24-50)*Q$22,0)</f>
        <v>14345.43</v>
      </c>
      <c r="J24" s="20"/>
      <c r="K24" s="18">
        <f>ROUND((+I24-G24)/G24,3)</f>
        <v>9.5000000000000001E-2</v>
      </c>
      <c r="N24" s="28" t="s">
        <v>61</v>
      </c>
      <c r="O24" s="196">
        <f>SUM(O36)</f>
        <v>3.1800000000000001E-3</v>
      </c>
      <c r="P24" s="28" t="str">
        <f>+N24</f>
        <v>kVarh</v>
      </c>
      <c r="Q24" s="196">
        <f>SUM(Q36)</f>
        <v>3.1800000000000001E-3</v>
      </c>
      <c r="R24" s="71"/>
      <c r="S24" s="8">
        <f>(Q24-O24)/O24</f>
        <v>0</v>
      </c>
    </row>
    <row r="25" spans="1:19" ht="16.5" thickBot="1" x14ac:dyDescent="0.3">
      <c r="A25" s="16"/>
      <c r="B25" s="20"/>
      <c r="C25" s="20"/>
      <c r="D25" s="20"/>
      <c r="E25" s="20"/>
      <c r="F25" s="20"/>
      <c r="G25" s="21"/>
      <c r="H25" s="21"/>
      <c r="I25" s="21"/>
      <c r="J25" s="17"/>
      <c r="K25" s="19"/>
      <c r="L25" s="16"/>
      <c r="M25" s="16"/>
      <c r="N25" s="61" t="s">
        <v>6</v>
      </c>
      <c r="O25" s="197" t="s">
        <v>6</v>
      </c>
      <c r="P25" s="61" t="s">
        <v>6</v>
      </c>
      <c r="Q25" s="197" t="s">
        <v>6</v>
      </c>
      <c r="R25" s="71"/>
    </row>
    <row r="26" spans="1:19" ht="15.75" x14ac:dyDescent="0.25">
      <c r="A26" s="16"/>
      <c r="B26" s="20">
        <v>250</v>
      </c>
      <c r="C26" s="20"/>
      <c r="D26" s="20">
        <v>300</v>
      </c>
      <c r="E26" s="23">
        <f>ROUND((B$26*D26),0)</f>
        <v>75000</v>
      </c>
      <c r="F26" s="20"/>
      <c r="G26" s="21">
        <f>+O$10+IF($E26&lt;20000,$E26*O$14,20000*O$14+($E26-20000)*O$16)+IF($B26&gt;50,($B26-50)*O$22,0)</f>
        <v>8267.4184468525855</v>
      </c>
      <c r="H26" s="21"/>
      <c r="I26" s="21">
        <f>+Q$10+IF($E26&lt;20000,$E26*Q$14,20000*Q$14+($E26-20000)*Q$16)+IF($B26&gt;50,($B26-50)*Q$22,0)</f>
        <v>8932.8250000000007</v>
      </c>
      <c r="J26" s="20"/>
      <c r="K26" s="18">
        <f>ROUND((+I26-G26)/G26,3)</f>
        <v>0.08</v>
      </c>
      <c r="L26" s="16"/>
      <c r="M26" s="16"/>
      <c r="R26" s="71"/>
    </row>
    <row r="27" spans="1:19" ht="15.75" x14ac:dyDescent="0.25">
      <c r="A27" s="16"/>
      <c r="B27" s="20">
        <f>+B26</f>
        <v>250</v>
      </c>
      <c r="C27" s="20"/>
      <c r="D27" s="20">
        <v>500</v>
      </c>
      <c r="E27" s="23">
        <f>ROUND((B$26*D27),0)</f>
        <v>125000</v>
      </c>
      <c r="F27" s="20"/>
      <c r="G27" s="21">
        <f>+O$10+IF($E27&lt;20000,$E27*O$14,20000*O$14+($E27-20000)*O$16)+IF($B27&gt;50,($B27-50)*O$22,0)</f>
        <v>12312.584078087644</v>
      </c>
      <c r="H27" s="21"/>
      <c r="I27" s="21">
        <f>+Q$10+IF($E27&lt;20000,$E27*Q$14,20000*Q$14+($E27-20000)*Q$16)+IF($B27&gt;50,($B27-50)*Q$22,0)</f>
        <v>13423.675000000001</v>
      </c>
      <c r="J27" s="20"/>
      <c r="K27" s="18">
        <f>ROUND((+I27-G27)/G27,3)</f>
        <v>0.09</v>
      </c>
      <c r="L27" s="16"/>
      <c r="M27" s="16"/>
      <c r="N27" s="14" t="str">
        <f>+N10</f>
        <v>Basic Charge</v>
      </c>
      <c r="O27" s="71">
        <v>53.95</v>
      </c>
      <c r="Q27" s="71">
        <v>53.95</v>
      </c>
      <c r="R27" s="71"/>
      <c r="S27" s="8">
        <f t="shared" ref="S27:S36" si="0">(Q27-O27)/O27</f>
        <v>0</v>
      </c>
    </row>
    <row r="28" spans="1:19" ht="15.75" x14ac:dyDescent="0.25">
      <c r="A28" s="16"/>
      <c r="B28" s="20">
        <f>+B27</f>
        <v>250</v>
      </c>
      <c r="C28" s="20"/>
      <c r="D28" s="20">
        <v>700</v>
      </c>
      <c r="E28" s="23">
        <f>ROUND((B$26*D28),0)</f>
        <v>175000</v>
      </c>
      <c r="F28" s="20"/>
      <c r="G28" s="21">
        <f>+O$10+IF($E28&lt;20000,$E28*O$14,20000*O$14+($E28-20000)*O$16)+IF($B28&gt;50,($B28-50)*O$22,0)</f>
        <v>16357.749709322703</v>
      </c>
      <c r="H28" s="21"/>
      <c r="I28" s="21">
        <f>+Q$10+IF($E28&lt;20000,$E28*Q$14,20000*Q$14+($E28-20000)*Q$16)+IF($B28&gt;50,($B28-50)*Q$22,0)</f>
        <v>17914.525000000001</v>
      </c>
      <c r="J28" s="20"/>
      <c r="K28" s="18">
        <f>ROUND((+I28-G28)/G28,3)</f>
        <v>9.5000000000000001E-2</v>
      </c>
      <c r="N28" s="14" t="str">
        <f>+N12</f>
        <v>Winter kWh - First 20,000</v>
      </c>
      <c r="O28" s="73">
        <v>9.2719999999999997E-2</v>
      </c>
      <c r="Q28" s="73">
        <v>9.2069999999999999E-2</v>
      </c>
      <c r="R28" s="71"/>
      <c r="S28" s="8">
        <f t="shared" si="0"/>
        <v>-7.0103537532355247E-3</v>
      </c>
    </row>
    <row r="29" spans="1:19" ht="15.75" x14ac:dyDescent="0.25">
      <c r="A29" s="16"/>
      <c r="B29" s="20"/>
      <c r="C29" s="20"/>
      <c r="D29" s="20"/>
      <c r="E29" s="20"/>
      <c r="F29" s="20"/>
      <c r="G29" s="21"/>
      <c r="H29" s="21"/>
      <c r="I29" s="21"/>
      <c r="J29" s="17"/>
      <c r="K29" s="19"/>
      <c r="L29" s="16"/>
      <c r="M29" s="16"/>
      <c r="N29" s="14" t="str">
        <f>+N13</f>
        <v>Summer kWh - First 20,000</v>
      </c>
      <c r="O29" s="73">
        <v>8.3563999999999999E-2</v>
      </c>
      <c r="Q29" s="73">
        <v>8.2977999999999996E-2</v>
      </c>
      <c r="R29" s="71"/>
      <c r="S29" s="8">
        <f t="shared" si="0"/>
        <v>-7.0125891532239141E-3</v>
      </c>
    </row>
    <row r="30" spans="1:19" ht="15.75" x14ac:dyDescent="0.25">
      <c r="A30" s="16"/>
      <c r="B30" s="20">
        <v>300</v>
      </c>
      <c r="C30" s="20"/>
      <c r="D30" s="20">
        <v>300</v>
      </c>
      <c r="E30" s="23">
        <f>ROUND((B$30*D30),0)</f>
        <v>90000</v>
      </c>
      <c r="F30" s="20"/>
      <c r="G30" s="21">
        <f>+O$10+IF($E30&lt;20000,$E30*O$14,20000*O$14+($E30-20000)*O$16)+IF($B30&gt;50,($B30-50)*O$22,0)</f>
        <v>9906.4681362231058</v>
      </c>
      <c r="H30" s="21"/>
      <c r="I30" s="21">
        <f>+Q$10+IF($E30&lt;20000,$E30*Q$14,20000*Q$14+($E30-20000)*Q$16)+IF($B30&gt;50,($B30-50)*Q$22,0)</f>
        <v>10705.580000000002</v>
      </c>
      <c r="J30" s="20"/>
      <c r="K30" s="18">
        <f>ROUND((+I30-G30)/G30,3)</f>
        <v>8.1000000000000003E-2</v>
      </c>
      <c r="L30" s="16"/>
      <c r="M30" s="16"/>
      <c r="N30" s="14" t="str">
        <f>+N14</f>
        <v>Average kWh - First 20,000</v>
      </c>
      <c r="O30" s="73">
        <v>8.8278999999999996E-2</v>
      </c>
      <c r="Q30" s="73">
        <v>8.7660000000000002E-2</v>
      </c>
      <c r="R30" s="71"/>
      <c r="S30" s="8">
        <f t="shared" si="0"/>
        <v>-7.0118601252845475E-3</v>
      </c>
    </row>
    <row r="31" spans="1:19" ht="15.75" x14ac:dyDescent="0.25">
      <c r="A31" s="16"/>
      <c r="B31" s="20">
        <f>+B30</f>
        <v>300</v>
      </c>
      <c r="C31" s="20"/>
      <c r="D31" s="20">
        <v>500</v>
      </c>
      <c r="E31" s="23">
        <f>ROUND((B$30*D31),0)</f>
        <v>150000</v>
      </c>
      <c r="F31" s="20"/>
      <c r="G31" s="21">
        <f>+O$10+IF($E31&lt;20000,$E31*O$14,20000*O$14+($E31-20000)*O$16)+IF($B31&gt;50,($B31-50)*O$22,0)</f>
        <v>14760.666893705175</v>
      </c>
      <c r="H31" s="21"/>
      <c r="I31" s="21">
        <f>+Q$10+IF($E31&lt;20000,$E31*Q$14,20000*Q$14+($E31-20000)*Q$16)+IF($B31&gt;50,($B31-50)*Q$22,0)</f>
        <v>16094.6</v>
      </c>
      <c r="J31" s="20"/>
      <c r="K31" s="18">
        <f>ROUND((+I31-G31)/G31,3)</f>
        <v>0.09</v>
      </c>
      <c r="L31" s="16"/>
      <c r="M31" s="16"/>
      <c r="N31" s="14" t="str">
        <f>+N16</f>
        <v>kWh - All Over 20,000</v>
      </c>
      <c r="O31" s="73">
        <v>6.6092999999999999E-2</v>
      </c>
      <c r="Q31" s="73">
        <v>6.5629999999999994E-2</v>
      </c>
      <c r="R31" s="71"/>
      <c r="S31" s="8">
        <f t="shared" si="0"/>
        <v>-7.0052804381705337E-3</v>
      </c>
    </row>
    <row r="32" spans="1:19" ht="15.75" x14ac:dyDescent="0.25">
      <c r="A32" s="16"/>
      <c r="B32" s="20">
        <f>+B31</f>
        <v>300</v>
      </c>
      <c r="C32" s="20"/>
      <c r="D32" s="20">
        <v>700</v>
      </c>
      <c r="E32" s="23">
        <f>ROUND((B$30*D32),0)</f>
        <v>210000</v>
      </c>
      <c r="F32" s="20"/>
      <c r="G32" s="21">
        <f>+O$10+IF($E32&lt;20000,$E32*O$14,20000*O$14+($E32-20000)*O$16)+IF($B32&gt;50,($B32-50)*O$22,0)</f>
        <v>19614.865651187243</v>
      </c>
      <c r="H32" s="21"/>
      <c r="I32" s="21">
        <f>+Q$10+IF($E32&lt;20000,$E32*Q$14,20000*Q$14+($E32-20000)*Q$16)+IF($B32&gt;50,($B32-50)*Q$22,0)</f>
        <v>21483.62</v>
      </c>
      <c r="J32" s="20"/>
      <c r="K32" s="18">
        <f>ROUND((+I32-G32)/G32,3)</f>
        <v>9.5000000000000001E-2</v>
      </c>
      <c r="N32" s="14" t="str">
        <f>+N18</f>
        <v>kW - First 50</v>
      </c>
      <c r="O32" s="73">
        <v>0</v>
      </c>
      <c r="Q32" s="73">
        <v>0</v>
      </c>
      <c r="R32" s="71"/>
      <c r="S32" s="8"/>
    </row>
    <row r="33" spans="1:19" ht="15.75" x14ac:dyDescent="0.25">
      <c r="A33" s="16"/>
      <c r="B33" s="20"/>
      <c r="C33" s="20"/>
      <c r="D33" s="20"/>
      <c r="E33" s="20"/>
      <c r="F33" s="20"/>
      <c r="G33" s="21"/>
      <c r="H33" s="21"/>
      <c r="I33" s="21"/>
      <c r="J33" s="17"/>
      <c r="K33" s="19"/>
      <c r="L33" s="16"/>
      <c r="M33" s="16"/>
      <c r="N33" s="14" t="str">
        <f>+N20</f>
        <v>Winter kW - Over 50</v>
      </c>
      <c r="O33" s="71">
        <v>10.119999999999999</v>
      </c>
      <c r="P33" s="71"/>
      <c r="Q33" s="71">
        <v>10.119999999999999</v>
      </c>
      <c r="R33" s="71"/>
      <c r="S33" s="8">
        <f t="shared" si="0"/>
        <v>0</v>
      </c>
    </row>
    <row r="34" spans="1:19" ht="15.75" x14ac:dyDescent="0.25">
      <c r="A34" s="16"/>
      <c r="B34" s="20">
        <v>350</v>
      </c>
      <c r="C34" s="20"/>
      <c r="D34" s="20">
        <v>300</v>
      </c>
      <c r="E34" s="23">
        <f>ROUND((B$34*D34),0)</f>
        <v>105000</v>
      </c>
      <c r="F34" s="20"/>
      <c r="G34" s="21">
        <f>+O$10+IF($E34&lt;20000,$E34*O$14,20000*O$14+($E34-20000)*O$16)+IF($B34&gt;50,($B34-50)*O$22,0)</f>
        <v>11545.517825593623</v>
      </c>
      <c r="H34" s="21"/>
      <c r="I34" s="21">
        <f>+Q$10+IF($E34&lt;20000,$E34*Q$14,20000*Q$14+($E34-20000)*Q$16)+IF($B34&gt;50,($B34-50)*Q$22,0)</f>
        <v>12478.335000000001</v>
      </c>
      <c r="J34" s="20"/>
      <c r="K34" s="18">
        <f>ROUND((+I34-G34)/G34,3)</f>
        <v>8.1000000000000003E-2</v>
      </c>
      <c r="L34" s="16"/>
      <c r="M34" s="16"/>
      <c r="N34" s="14" t="str">
        <f t="shared" ref="N34:N35" si="1">+N21</f>
        <v>Summer kW - Over 50</v>
      </c>
      <c r="O34" s="71">
        <v>6.75</v>
      </c>
      <c r="P34" s="71"/>
      <c r="Q34" s="71">
        <v>6.75</v>
      </c>
      <c r="R34" s="71"/>
      <c r="S34" s="8">
        <f t="shared" si="0"/>
        <v>0</v>
      </c>
    </row>
    <row r="35" spans="1:19" ht="15.75" x14ac:dyDescent="0.25">
      <c r="A35" s="16"/>
      <c r="B35" s="20">
        <f>+B34</f>
        <v>350</v>
      </c>
      <c r="C35" s="20"/>
      <c r="D35" s="20">
        <v>500</v>
      </c>
      <c r="E35" s="23">
        <f>ROUND((B$34*D35),0)</f>
        <v>175000</v>
      </c>
      <c r="F35" s="20"/>
      <c r="G35" s="21">
        <f>+O$10+IF($E35&lt;20000,$E35*O$14,20000*O$14+($E35-20000)*O$16)+IF($B35&gt;50,($B35-50)*O$22,0)</f>
        <v>17208.749709322703</v>
      </c>
      <c r="H35" s="21"/>
      <c r="I35" s="21">
        <f>+Q$10+IF($E35&lt;20000,$E35*Q$14,20000*Q$14+($E35-20000)*Q$16)+IF($B35&gt;50,($B35-50)*Q$22,0)</f>
        <v>18765.525000000001</v>
      </c>
      <c r="J35" s="20"/>
      <c r="K35" s="18">
        <f>ROUND((+I35-G35)/G35,3)</f>
        <v>0.09</v>
      </c>
      <c r="L35" s="16"/>
      <c r="M35" s="16"/>
      <c r="N35" s="14" t="str">
        <f t="shared" si="1"/>
        <v>Average kW - Over 50</v>
      </c>
      <c r="O35" s="71">
        <v>8.51</v>
      </c>
      <c r="P35" s="71"/>
      <c r="Q35" s="71">
        <v>8.51</v>
      </c>
      <c r="R35" s="71"/>
      <c r="S35" s="8">
        <f t="shared" si="0"/>
        <v>0</v>
      </c>
    </row>
    <row r="36" spans="1:19" ht="15.75" x14ac:dyDescent="0.25">
      <c r="A36" s="16"/>
      <c r="B36" s="20">
        <f>+B35</f>
        <v>350</v>
      </c>
      <c r="C36" s="20"/>
      <c r="D36" s="20">
        <v>700</v>
      </c>
      <c r="E36" s="23">
        <f>ROUND((B$34*D36),0)</f>
        <v>245000</v>
      </c>
      <c r="F36" s="20"/>
      <c r="G36" s="21">
        <f>+O$10+IF($E36&lt;20000,$E36*O$14,20000*O$14+($E36-20000)*O$16)+IF($B36&gt;50,($B36-50)*O$22,0)</f>
        <v>22871.981593051787</v>
      </c>
      <c r="H36" s="21"/>
      <c r="I36" s="21">
        <f>+Q$10+IF($E36&lt;20000,$E36*Q$14,20000*Q$14+($E36-20000)*Q$16)+IF($B36&gt;50,($B36-50)*Q$22,0)</f>
        <v>25052.715</v>
      </c>
      <c r="J36" s="20"/>
      <c r="K36" s="18">
        <f>ROUND((+I36-G36)/G36,3)</f>
        <v>9.5000000000000001E-2</v>
      </c>
      <c r="N36" s="14" t="str">
        <f>+N24</f>
        <v>kVarh</v>
      </c>
      <c r="O36" s="72">
        <v>3.1800000000000001E-3</v>
      </c>
      <c r="Q36" s="72">
        <v>3.1800000000000001E-3</v>
      </c>
      <c r="S36" s="8">
        <f t="shared" si="0"/>
        <v>0</v>
      </c>
    </row>
    <row r="37" spans="1:19" ht="15.75" x14ac:dyDescent="0.25">
      <c r="A37" s="16"/>
      <c r="B37" s="42"/>
      <c r="C37" s="42"/>
      <c r="D37" s="42"/>
      <c r="E37" s="42"/>
      <c r="F37" s="42"/>
      <c r="G37" s="42"/>
      <c r="H37" s="42"/>
      <c r="I37" s="42"/>
      <c r="J37" s="41"/>
      <c r="K37" s="41"/>
      <c r="L37" s="16"/>
      <c r="M37" s="16"/>
      <c r="S37" s="8"/>
    </row>
    <row r="38" spans="1:19" ht="15.75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9" ht="15.75" x14ac:dyDescent="0.25">
      <c r="B39" s="17" t="s">
        <v>27</v>
      </c>
      <c r="C39" s="17"/>
      <c r="D39" s="17"/>
      <c r="E39" s="17"/>
      <c r="F39" s="17"/>
      <c r="G39" s="17"/>
      <c r="H39" s="17"/>
      <c r="I39" s="17"/>
      <c r="J39" s="17"/>
      <c r="K39" s="17"/>
      <c r="N39" s="70" t="str">
        <f>+'Res Bill RY#1'!P23</f>
        <v>Schedule 95 - PCORC</v>
      </c>
      <c r="O39" s="73">
        <v>3.391810657944712E-3</v>
      </c>
      <c r="P39" s="73"/>
      <c r="Q39" s="73">
        <v>0</v>
      </c>
    </row>
    <row r="40" spans="1:19" ht="16.5" x14ac:dyDescent="0.25">
      <c r="B40" s="181" t="s">
        <v>285</v>
      </c>
      <c r="C40" s="181"/>
      <c r="D40" s="181"/>
      <c r="E40" s="181"/>
      <c r="F40" s="181"/>
      <c r="G40" s="181"/>
      <c r="H40" s="181"/>
      <c r="I40" s="181"/>
      <c r="J40" s="181"/>
      <c r="K40" s="181"/>
      <c r="N40" s="70" t="str">
        <f>+'Res Bill RY#1'!P24</f>
        <v>Schedule 95 - PCA</v>
      </c>
      <c r="O40" s="73">
        <v>2.2235019667564571E-3</v>
      </c>
      <c r="P40" s="73"/>
      <c r="Q40" s="73">
        <v>0</v>
      </c>
    </row>
    <row r="41" spans="1:19" ht="16.5" x14ac:dyDescent="0.25">
      <c r="A41" s="16"/>
      <c r="B41" s="181" t="s">
        <v>60</v>
      </c>
      <c r="C41" s="181"/>
      <c r="D41" s="181"/>
      <c r="E41" s="181"/>
      <c r="F41" s="181"/>
      <c r="G41" s="181"/>
      <c r="H41" s="181"/>
      <c r="I41" s="181"/>
      <c r="J41" s="181"/>
      <c r="K41" s="181"/>
      <c r="N41" s="70" t="str">
        <f>+'Res Bill RY#1'!P25</f>
        <v>Schedule 95A - Fed Inc Credit</v>
      </c>
      <c r="O41" s="73">
        <v>-1.446E-3</v>
      </c>
      <c r="P41" s="73"/>
      <c r="Q41" s="73">
        <f t="shared" ref="Q41:Q44" si="2">+O41</f>
        <v>-1.446E-3</v>
      </c>
    </row>
    <row r="42" spans="1:19" x14ac:dyDescent="0.25">
      <c r="A42" s="16"/>
      <c r="B42" s="181" t="s">
        <v>134</v>
      </c>
      <c r="C42" s="181"/>
      <c r="D42" s="181"/>
      <c r="E42" s="181"/>
      <c r="F42" s="181"/>
      <c r="G42" s="181"/>
      <c r="H42" s="181"/>
      <c r="I42" s="181"/>
      <c r="J42" s="181"/>
      <c r="K42" s="181"/>
      <c r="N42" s="70" t="str">
        <f>+'Res Bill RY#1'!P26</f>
        <v>Schedule 120 - Conservation</v>
      </c>
      <c r="O42" s="73">
        <v>4.0879999999999996E-3</v>
      </c>
      <c r="P42" s="73"/>
      <c r="Q42" s="73">
        <f t="shared" si="2"/>
        <v>4.0879999999999996E-3</v>
      </c>
    </row>
    <row r="43" spans="1:19" x14ac:dyDescent="0.25">
      <c r="A43" s="16"/>
      <c r="B43" s="181" t="s">
        <v>135</v>
      </c>
      <c r="C43" s="181"/>
      <c r="D43" s="181"/>
      <c r="E43" s="181"/>
      <c r="F43" s="181"/>
      <c r="G43" s="181"/>
      <c r="H43" s="181"/>
      <c r="I43" s="181"/>
      <c r="J43" s="181"/>
      <c r="K43" s="181"/>
      <c r="N43" s="70" t="str">
        <f>+'Res Bill RY#1'!P27</f>
        <v>Schedule 129 - Low Income</v>
      </c>
      <c r="O43" s="73">
        <v>1.206E-3</v>
      </c>
      <c r="P43" s="73"/>
      <c r="Q43" s="73">
        <f t="shared" si="2"/>
        <v>1.206E-3</v>
      </c>
    </row>
    <row r="44" spans="1:19" x14ac:dyDescent="0.25">
      <c r="A44" s="16"/>
      <c r="N44" s="70" t="str">
        <f>+'Res Bill RY#1'!P28</f>
        <v>Schedule 137 - REC</v>
      </c>
      <c r="O44" s="73">
        <v>-2.1999999999999999E-5</v>
      </c>
      <c r="P44" s="73"/>
      <c r="Q44" s="73">
        <f t="shared" si="2"/>
        <v>-2.1999999999999999E-5</v>
      </c>
    </row>
    <row r="45" spans="1:19" x14ac:dyDescent="0.25">
      <c r="A45" s="16"/>
      <c r="B45" s="151"/>
      <c r="N45" s="70" t="str">
        <f>+'Res Bill RY#1'!P29</f>
        <v>Schedule 140 - Property Tax</v>
      </c>
      <c r="O45" s="73">
        <v>2.4289999999999997E-3</v>
      </c>
      <c r="P45" s="73"/>
      <c r="Q45" s="73">
        <v>0</v>
      </c>
    </row>
    <row r="46" spans="1:19" x14ac:dyDescent="0.25">
      <c r="A46" s="16"/>
      <c r="N46" s="70" t="str">
        <f>+'Res Bill RY#1'!P30</f>
        <v>Schedule 141C - Colstrip</v>
      </c>
      <c r="O46" s="73">
        <v>0</v>
      </c>
      <c r="Q46" s="73">
        <v>2.503E-3</v>
      </c>
    </row>
    <row r="47" spans="1:19" x14ac:dyDescent="0.25">
      <c r="A47" s="16"/>
      <c r="N47" s="70" t="str">
        <f>+'Res Bill RY#1'!P31</f>
        <v>Schedule 141N - Non Refundable MYRP</v>
      </c>
      <c r="O47" s="73">
        <v>0</v>
      </c>
      <c r="Q47" s="73">
        <v>1.0456E-2</v>
      </c>
    </row>
    <row r="48" spans="1:19" x14ac:dyDescent="0.25">
      <c r="A48" s="16"/>
      <c r="N48" s="70" t="str">
        <f>+'Res Bill RY#1'!P32</f>
        <v>Schedule 141R - Refundable MYRP</v>
      </c>
      <c r="O48" s="73">
        <v>0</v>
      </c>
      <c r="Q48" s="73">
        <v>4.4460000000000003E-3</v>
      </c>
    </row>
    <row r="49" spans="1:17" x14ac:dyDescent="0.25">
      <c r="A49" s="16"/>
      <c r="N49" s="70" t="str">
        <f>+'Res Bill RY#1'!P33</f>
        <v xml:space="preserve">Schedule 141X- Tax Passback </v>
      </c>
      <c r="O49" s="73">
        <v>7.1400000000000001E-4</v>
      </c>
      <c r="P49" s="73"/>
      <c r="Q49" s="73">
        <v>0</v>
      </c>
    </row>
    <row r="50" spans="1:17" x14ac:dyDescent="0.25">
      <c r="N50" s="70" t="str">
        <f>+'Res Bill RY#1'!P34</f>
        <v>Schedule 141Z - Tax</v>
      </c>
      <c r="O50" s="73">
        <v>-6.69E-4</v>
      </c>
      <c r="P50" s="73"/>
      <c r="Q50" s="73">
        <v>0</v>
      </c>
    </row>
    <row r="51" spans="1:17" x14ac:dyDescent="0.25">
      <c r="N51" s="70" t="str">
        <f>+'Res Bill RY#1'!P35</f>
        <v>Schedule 142 - Decoupling</v>
      </c>
      <c r="O51" s="73">
        <v>2.9560000000000003E-3</v>
      </c>
      <c r="P51" s="73"/>
      <c r="Q51" s="73">
        <f t="shared" ref="Q51" si="3">+O51</f>
        <v>2.9560000000000003E-3</v>
      </c>
    </row>
    <row r="52" spans="1:17" x14ac:dyDescent="0.25">
      <c r="N52" s="70" t="str">
        <f>+'Res Bill RY#1'!P36</f>
        <v>Schedule 142 - Decoupling Supplemental</v>
      </c>
      <c r="O52" s="73">
        <v>-6.1000000000000019E-5</v>
      </c>
      <c r="P52" s="73"/>
      <c r="Q52" s="73">
        <v>0</v>
      </c>
    </row>
    <row r="54" spans="1:17" x14ac:dyDescent="0.25">
      <c r="N54" s="60" t="s">
        <v>124</v>
      </c>
      <c r="O54" s="6">
        <f>+'Rate Impacts_RY#1'!H11</f>
        <v>-5.0419053700015591E-3</v>
      </c>
    </row>
    <row r="55" spans="1:17" x14ac:dyDescent="0.25">
      <c r="N55" s="60" t="s">
        <v>125</v>
      </c>
      <c r="O55" s="6">
        <f>+'Rate Impacts_RY#1'!AM11</f>
        <v>9.4391615159086978E-2</v>
      </c>
    </row>
  </sheetData>
  <mergeCells count="7">
    <mergeCell ref="B42:K42"/>
    <mergeCell ref="B43:K43"/>
    <mergeCell ref="N8:O8"/>
    <mergeCell ref="P8:Q8"/>
    <mergeCell ref="G6:I6"/>
    <mergeCell ref="B40:K40"/>
    <mergeCell ref="B41:K41"/>
  </mergeCells>
  <printOptions horizontalCentered="1"/>
  <pageMargins left="0.7" right="0.7" top="0.75" bottom="0.71" header="0.3" footer="0.3"/>
  <pageSetup scale="52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14" customWidth="1"/>
    <col min="2" max="2" width="11.5703125" style="14" customWidth="1"/>
    <col min="3" max="3" width="2.7109375" style="14" customWidth="1"/>
    <col min="4" max="4" width="13.7109375" style="14" bestFit="1" customWidth="1"/>
    <col min="5" max="5" width="9" style="14" bestFit="1" customWidth="1"/>
    <col min="6" max="6" width="3.85546875" style="14" customWidth="1"/>
    <col min="7" max="7" width="13" style="14" bestFit="1" customWidth="1"/>
    <col min="8" max="8" width="4" style="14" customWidth="1"/>
    <col min="9" max="9" width="14.28515625" style="14" bestFit="1" customWidth="1"/>
    <col min="10" max="10" width="5" style="14" customWidth="1"/>
    <col min="11" max="11" width="13.7109375" style="14" customWidth="1"/>
    <col min="12" max="12" width="2.7109375" style="14" customWidth="1"/>
    <col min="13" max="13" width="3.28515625" style="14" customWidth="1"/>
    <col min="14" max="14" width="45.7109375" style="14" bestFit="1" customWidth="1"/>
    <col min="15" max="15" width="16.85546875" style="14" customWidth="1"/>
    <col min="16" max="17" width="14.28515625" style="14" bestFit="1" customWidth="1"/>
    <col min="18" max="18" width="2.42578125" style="14" customWidth="1"/>
    <col min="19" max="16384" width="9.42578125" style="14"/>
  </cols>
  <sheetData>
    <row r="1" spans="1:19" ht="20.2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9"/>
      <c r="M1" s="49"/>
    </row>
    <row r="2" spans="1:19" ht="20.25" x14ac:dyDescent="0.3">
      <c r="B2" s="40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9"/>
      <c r="M2" s="49"/>
    </row>
    <row r="3" spans="1:19" ht="20.25" x14ac:dyDescent="0.3">
      <c r="B3" s="40" t="s">
        <v>82</v>
      </c>
      <c r="C3" s="40"/>
      <c r="D3" s="40"/>
      <c r="E3" s="40"/>
      <c r="F3" s="40"/>
      <c r="G3" s="40"/>
      <c r="H3" s="40"/>
      <c r="I3" s="40"/>
      <c r="J3" s="40"/>
      <c r="K3" s="40"/>
      <c r="L3" s="49"/>
      <c r="M3" s="49"/>
    </row>
    <row r="4" spans="1:19" ht="20.25" x14ac:dyDescent="0.3">
      <c r="B4" s="50" t="s">
        <v>83</v>
      </c>
      <c r="C4" s="40"/>
      <c r="D4" s="40"/>
      <c r="E4" s="40"/>
      <c r="F4" s="40"/>
      <c r="G4" s="40"/>
      <c r="H4" s="40"/>
      <c r="I4" s="40"/>
      <c r="J4" s="40"/>
      <c r="K4" s="40"/>
      <c r="L4" s="49"/>
      <c r="M4" s="49"/>
    </row>
    <row r="5" spans="1:19" x14ac:dyDescent="0.25">
      <c r="A5" s="16"/>
      <c r="B5" s="48"/>
    </row>
    <row r="6" spans="1:19" ht="15.75" x14ac:dyDescent="0.25">
      <c r="A6" s="16"/>
      <c r="B6" s="46" t="s">
        <v>76</v>
      </c>
      <c r="C6" s="20"/>
      <c r="D6" s="20"/>
      <c r="E6" s="20"/>
      <c r="F6" s="20"/>
      <c r="G6" s="186" t="s">
        <v>75</v>
      </c>
      <c r="H6" s="187"/>
      <c r="I6" s="187"/>
      <c r="J6" s="20"/>
      <c r="K6" s="17"/>
      <c r="L6" s="16"/>
      <c r="M6" s="16"/>
    </row>
    <row r="7" spans="1:19" ht="16.5" thickBot="1" x14ac:dyDescent="0.3">
      <c r="A7" s="16"/>
      <c r="B7" s="47" t="s">
        <v>74</v>
      </c>
      <c r="C7" s="37"/>
      <c r="D7" s="46" t="s">
        <v>73</v>
      </c>
      <c r="E7" s="20"/>
      <c r="F7" s="20"/>
      <c r="G7" s="45" t="s">
        <v>72</v>
      </c>
      <c r="H7" s="17"/>
      <c r="I7" s="45" t="s">
        <v>8</v>
      </c>
      <c r="J7" s="20"/>
      <c r="K7" s="37" t="s">
        <v>55</v>
      </c>
      <c r="L7" s="16"/>
      <c r="M7" s="16"/>
    </row>
    <row r="8" spans="1:19" ht="16.5" x14ac:dyDescent="0.25">
      <c r="A8" s="16"/>
      <c r="B8" s="34" t="s">
        <v>71</v>
      </c>
      <c r="C8" s="32"/>
      <c r="D8" s="44" t="s">
        <v>70</v>
      </c>
      <c r="E8" s="34" t="s">
        <v>41</v>
      </c>
      <c r="F8" s="20"/>
      <c r="G8" s="43" t="s">
        <v>109</v>
      </c>
      <c r="H8" s="43"/>
      <c r="I8" s="43" t="s">
        <v>110</v>
      </c>
      <c r="J8" s="20"/>
      <c r="K8" s="35" t="s">
        <v>9</v>
      </c>
      <c r="L8" s="16"/>
      <c r="M8" s="16"/>
      <c r="N8" s="182" t="s">
        <v>52</v>
      </c>
      <c r="O8" s="184"/>
      <c r="P8" s="185" t="s">
        <v>51</v>
      </c>
      <c r="Q8" s="184"/>
      <c r="R8" s="71"/>
    </row>
    <row r="9" spans="1:19" ht="15.75" x14ac:dyDescent="0.25">
      <c r="A9" s="16"/>
      <c r="B9" s="20"/>
      <c r="C9" s="20"/>
      <c r="D9" s="20"/>
      <c r="E9" s="20"/>
      <c r="F9" s="20"/>
      <c r="G9" s="32"/>
      <c r="H9" s="32"/>
      <c r="I9" s="32"/>
      <c r="J9" s="17"/>
      <c r="K9" s="17"/>
      <c r="N9" s="28"/>
      <c r="O9" s="30"/>
      <c r="P9" s="9"/>
      <c r="Q9" s="30"/>
      <c r="R9" s="71"/>
    </row>
    <row r="10" spans="1:19" ht="15.75" x14ac:dyDescent="0.25">
      <c r="A10" s="16"/>
      <c r="B10" s="20">
        <v>350</v>
      </c>
      <c r="C10" s="20"/>
      <c r="D10" s="20">
        <v>300</v>
      </c>
      <c r="E10" s="23">
        <f>ROUND((B$10*D10),0)</f>
        <v>105000</v>
      </c>
      <c r="F10" s="20"/>
      <c r="G10" s="21">
        <f>+O$10+$B10*O$16+$E10*O$12</f>
        <v>11891.403546942822</v>
      </c>
      <c r="H10" s="21"/>
      <c r="I10" s="21">
        <f>+Q$10+$B10*Q$16+$E10*Q$12</f>
        <v>12807.508689006534</v>
      </c>
      <c r="J10" s="20"/>
      <c r="K10" s="18">
        <f>ROUND((+I10-G10)/G10,3)</f>
        <v>7.6999999999999999E-2</v>
      </c>
      <c r="L10" s="16"/>
      <c r="M10" s="16"/>
      <c r="N10" s="28" t="s">
        <v>48</v>
      </c>
      <c r="O10" s="189">
        <f>SUM(O21,)</f>
        <v>109.08</v>
      </c>
      <c r="P10" s="28" t="str">
        <f>+N10</f>
        <v>Basic Charge</v>
      </c>
      <c r="Q10" s="189">
        <f>SUM(Q21,)</f>
        <v>109.08</v>
      </c>
      <c r="R10" s="27"/>
      <c r="S10" s="8">
        <f>(Q10-O10)/O10</f>
        <v>0</v>
      </c>
    </row>
    <row r="11" spans="1:19" ht="15.75" x14ac:dyDescent="0.25">
      <c r="A11" s="16"/>
      <c r="B11" s="20">
        <f>+B10</f>
        <v>350</v>
      </c>
      <c r="C11" s="20"/>
      <c r="D11" s="20">
        <v>500</v>
      </c>
      <c r="E11" s="23">
        <f>ROUND((B$10*D11),0)</f>
        <v>175000</v>
      </c>
      <c r="F11" s="20"/>
      <c r="G11" s="21">
        <f>+O$10+$B11*O$16+$E11*O$12</f>
        <v>17233.285911571369</v>
      </c>
      <c r="H11" s="21"/>
      <c r="I11" s="21">
        <f>+Q$10+$B11*Q$16+$E11*Q$12</f>
        <v>18783.461148344224</v>
      </c>
      <c r="J11" s="20"/>
      <c r="K11" s="18">
        <f>ROUND((+I11-G11)/G11,3)</f>
        <v>0.09</v>
      </c>
      <c r="L11" s="16"/>
      <c r="M11" s="16"/>
      <c r="N11" s="28"/>
      <c r="O11" s="195"/>
      <c r="P11" s="9"/>
      <c r="Q11" s="195"/>
      <c r="R11" s="71"/>
    </row>
    <row r="12" spans="1:19" ht="15.75" x14ac:dyDescent="0.25">
      <c r="A12" s="16"/>
      <c r="B12" s="20">
        <f>+B11</f>
        <v>350</v>
      </c>
      <c r="C12" s="20"/>
      <c r="D12" s="20">
        <v>700</v>
      </c>
      <c r="E12" s="23">
        <f>ROUND((B$10*D12),0)</f>
        <v>245000</v>
      </c>
      <c r="F12" s="20"/>
      <c r="G12" s="21">
        <f>+O$10+$B12*O$16+$E12*O$12</f>
        <v>22575.168276199918</v>
      </c>
      <c r="H12" s="21"/>
      <c r="I12" s="21">
        <f>+Q$10+$B12*Q$16+$E12*Q$12</f>
        <v>24759.413607681912</v>
      </c>
      <c r="J12" s="20"/>
      <c r="K12" s="18">
        <f>ROUND((+I12-G12)/G12,3)</f>
        <v>9.7000000000000003E-2</v>
      </c>
      <c r="N12" s="29" t="s">
        <v>81</v>
      </c>
      <c r="O12" s="191">
        <f>SUM(O22,O28:O40,O42)</f>
        <v>7.6312605208979256E-2</v>
      </c>
      <c r="P12" s="28" t="str">
        <f>+N12</f>
        <v>kWh - All</v>
      </c>
      <c r="Q12" s="191">
        <f>SUM(Q22,Q28:Q40,Q42)</f>
        <v>8.5370749419109854E-2</v>
      </c>
      <c r="R12" s="71"/>
      <c r="S12" s="8">
        <f>(Q12-O12)/O12</f>
        <v>0.11869787678359563</v>
      </c>
    </row>
    <row r="13" spans="1:19" x14ac:dyDescent="0.25">
      <c r="A13" s="16"/>
      <c r="L13" s="16"/>
      <c r="M13" s="16"/>
      <c r="N13" s="29"/>
      <c r="O13" s="191"/>
      <c r="P13" s="29"/>
      <c r="Q13" s="191"/>
      <c r="R13" s="71"/>
      <c r="S13" s="10"/>
    </row>
    <row r="14" spans="1:19" ht="15.75" x14ac:dyDescent="0.25">
      <c r="A14" s="16"/>
      <c r="B14" s="20">
        <f>+B12+50</f>
        <v>400</v>
      </c>
      <c r="C14" s="20"/>
      <c r="D14" s="20">
        <v>300</v>
      </c>
      <c r="E14" s="23">
        <f>ROUND((B$14*D14),0)</f>
        <v>120000</v>
      </c>
      <c r="F14" s="20"/>
      <c r="G14" s="21">
        <f>+O$10+$B14*O$16+$E14*O$12</f>
        <v>13574.59262507751</v>
      </c>
      <c r="H14" s="21"/>
      <c r="I14" s="21">
        <f>+Q$10+$B14*Q$16+$E14*Q$12</f>
        <v>14621.569930293183</v>
      </c>
      <c r="J14" s="20"/>
      <c r="K14" s="18">
        <f>ROUND((+I14-G14)/G14,3)</f>
        <v>7.6999999999999999E-2</v>
      </c>
      <c r="L14" s="16"/>
      <c r="M14" s="16"/>
      <c r="N14" s="29" t="s">
        <v>80</v>
      </c>
      <c r="O14" s="189">
        <f>SUM(O23,O41,O43)</f>
        <v>12.81</v>
      </c>
      <c r="P14" s="28" t="str">
        <f>+N14</f>
        <v>Winter kW</v>
      </c>
      <c r="Q14" s="189">
        <f>SUM(Q23,Q41,Q43)</f>
        <v>12.71</v>
      </c>
      <c r="R14" s="71"/>
      <c r="S14" s="8">
        <f>(Q14-O14)/O14</f>
        <v>-7.8064012490241721E-3</v>
      </c>
    </row>
    <row r="15" spans="1:19" ht="15.75" x14ac:dyDescent="0.25">
      <c r="A15" s="16"/>
      <c r="B15" s="20">
        <f>+B14</f>
        <v>400</v>
      </c>
      <c r="C15" s="20"/>
      <c r="D15" s="20">
        <v>500</v>
      </c>
      <c r="E15" s="23">
        <f>ROUND((B$14*D15),0)</f>
        <v>200000</v>
      </c>
      <c r="F15" s="20"/>
      <c r="G15" s="21">
        <f>+O$10+$B15*O$16+$E15*O$12</f>
        <v>19679.601041795853</v>
      </c>
      <c r="H15" s="21"/>
      <c r="I15" s="21">
        <f>+Q$10+$B15*Q$16+$E15*Q$12</f>
        <v>21451.229883821972</v>
      </c>
      <c r="J15" s="20"/>
      <c r="K15" s="18">
        <f>ROUND((+I15-G15)/G15,3)</f>
        <v>0.09</v>
      </c>
      <c r="L15" s="16"/>
      <c r="M15" s="16"/>
      <c r="N15" s="29" t="s">
        <v>79</v>
      </c>
      <c r="O15" s="189">
        <f>SUM(O24,O41,O43)</f>
        <v>8.73</v>
      </c>
      <c r="P15" s="28" t="str">
        <f>+N15</f>
        <v>Summer kW</v>
      </c>
      <c r="Q15" s="189">
        <f>SUM(Q24,Q41,Q43)</f>
        <v>8.6300000000000008</v>
      </c>
      <c r="R15" s="71"/>
      <c r="S15" s="8">
        <f>(Q15-O15)/O15</f>
        <v>-1.1454753722794919E-2</v>
      </c>
    </row>
    <row r="16" spans="1:19" ht="15.75" x14ac:dyDescent="0.25">
      <c r="A16" s="16"/>
      <c r="B16" s="20">
        <f>+B15</f>
        <v>400</v>
      </c>
      <c r="C16" s="20"/>
      <c r="D16" s="20">
        <v>700</v>
      </c>
      <c r="E16" s="23">
        <f>ROUND((B$14*D16),0)</f>
        <v>280000</v>
      </c>
      <c r="F16" s="20"/>
      <c r="G16" s="21">
        <f>+O$10+$B16*O$16+$E16*O$12</f>
        <v>25784.609458514191</v>
      </c>
      <c r="H16" s="21"/>
      <c r="I16" s="21">
        <f>+Q$10+$B16*Q$16+$E16*Q$12</f>
        <v>28280.889837350762</v>
      </c>
      <c r="J16" s="20"/>
      <c r="K16" s="18">
        <f>ROUND((+I16-G16)/G16,3)</f>
        <v>9.7000000000000003E-2</v>
      </c>
      <c r="N16" s="29" t="s">
        <v>78</v>
      </c>
      <c r="O16" s="189">
        <f>SUM(O25,O41,O43)</f>
        <v>10.77</v>
      </c>
      <c r="P16" s="28" t="str">
        <f>+N16</f>
        <v>Average kW</v>
      </c>
      <c r="Q16" s="189">
        <f>SUM(Q25,Q41,Q43)</f>
        <v>10.67</v>
      </c>
      <c r="R16" s="71"/>
      <c r="S16" s="8">
        <f>(Q16-O16)/O16</f>
        <v>-9.2850510677808407E-3</v>
      </c>
    </row>
    <row r="17" spans="1:19" ht="15.75" x14ac:dyDescent="0.25">
      <c r="A17" s="16"/>
      <c r="B17" s="20"/>
      <c r="C17" s="20"/>
      <c r="D17" s="20"/>
      <c r="E17" s="20"/>
      <c r="F17" s="20"/>
      <c r="G17" s="21"/>
      <c r="H17" s="21"/>
      <c r="I17" s="21"/>
      <c r="J17" s="17"/>
      <c r="K17" s="19"/>
      <c r="L17" s="16"/>
      <c r="M17" s="16"/>
      <c r="N17" s="28"/>
      <c r="O17" s="191"/>
      <c r="P17" s="28"/>
      <c r="Q17" s="191"/>
      <c r="R17" s="71"/>
    </row>
    <row r="18" spans="1:19" ht="15.75" x14ac:dyDescent="0.25">
      <c r="A18" s="16"/>
      <c r="B18" s="20">
        <f>+B16+100</f>
        <v>500</v>
      </c>
      <c r="C18" s="20"/>
      <c r="D18" s="20">
        <v>300</v>
      </c>
      <c r="E18" s="23">
        <f>ROUND((B$18*D18),0)</f>
        <v>150000</v>
      </c>
      <c r="F18" s="20"/>
      <c r="G18" s="21">
        <f>+O$10+$B18*O$16+$E18*O$12</f>
        <v>16940.970781346889</v>
      </c>
      <c r="H18" s="21"/>
      <c r="I18" s="21">
        <f>+Q$10+$B18*Q$16+$E18*Q$12</f>
        <v>18249.692412866476</v>
      </c>
      <c r="J18" s="20"/>
      <c r="K18" s="18">
        <f>ROUND((+I18-G18)/G18,3)</f>
        <v>7.6999999999999999E-2</v>
      </c>
      <c r="L18" s="16"/>
      <c r="M18" s="16"/>
      <c r="N18" s="28" t="s">
        <v>61</v>
      </c>
      <c r="O18" s="196">
        <f>SUM(O26)</f>
        <v>1.2999999999999999E-3</v>
      </c>
      <c r="P18" s="28" t="str">
        <f>+N18</f>
        <v>kVarh</v>
      </c>
      <c r="Q18" s="196">
        <f>SUM(Q26)</f>
        <v>1.2999999999999999E-3</v>
      </c>
      <c r="R18" s="71"/>
      <c r="S18" s="8">
        <f>(Q18-O18)/O18</f>
        <v>0</v>
      </c>
    </row>
    <row r="19" spans="1:19" ht="16.5" thickBot="1" x14ac:dyDescent="0.3">
      <c r="A19" s="16"/>
      <c r="B19" s="20">
        <f>+B18</f>
        <v>500</v>
      </c>
      <c r="C19" s="20"/>
      <c r="D19" s="20">
        <v>500</v>
      </c>
      <c r="E19" s="23">
        <f>ROUND((B$18*D19),0)</f>
        <v>250000</v>
      </c>
      <c r="F19" s="20"/>
      <c r="G19" s="21">
        <f>+O$10+$B19*O$16+$E19*O$12</f>
        <v>24572.231302244814</v>
      </c>
      <c r="H19" s="21"/>
      <c r="I19" s="21">
        <f>+Q$10+$B19*Q$16+$E19*Q$12</f>
        <v>26786.767354777461</v>
      </c>
      <c r="J19" s="20"/>
      <c r="K19" s="18">
        <f>ROUND((+I19-G19)/G19,3)</f>
        <v>0.09</v>
      </c>
      <c r="L19" s="16"/>
      <c r="M19" s="16"/>
      <c r="N19" s="61" t="s">
        <v>6</v>
      </c>
      <c r="O19" s="197" t="s">
        <v>6</v>
      </c>
      <c r="P19" s="61" t="s">
        <v>6</v>
      </c>
      <c r="Q19" s="197" t="s">
        <v>6</v>
      </c>
      <c r="R19" s="71"/>
    </row>
    <row r="20" spans="1:19" ht="15.75" x14ac:dyDescent="0.25">
      <c r="A20" s="16"/>
      <c r="B20" s="20">
        <f>+B19</f>
        <v>500</v>
      </c>
      <c r="C20" s="20"/>
      <c r="D20" s="20">
        <v>700</v>
      </c>
      <c r="E20" s="23">
        <f>ROUND((B$18*D20),0)</f>
        <v>350000</v>
      </c>
      <c r="F20" s="20"/>
      <c r="G20" s="21">
        <f>+O$10+$B20*O$16+$E20*O$12</f>
        <v>32203.491823142736</v>
      </c>
      <c r="H20" s="21"/>
      <c r="I20" s="21">
        <f>+Q$10+$B20*Q$16+$E20*Q$12</f>
        <v>35323.842296688446</v>
      </c>
      <c r="J20" s="20"/>
      <c r="K20" s="18">
        <f>ROUND((+I20-G20)/G20,3)</f>
        <v>9.7000000000000003E-2</v>
      </c>
      <c r="R20" s="71"/>
    </row>
    <row r="21" spans="1:19" ht="15.75" x14ac:dyDescent="0.25">
      <c r="A21" s="16"/>
      <c r="B21" s="20"/>
      <c r="C21" s="20"/>
      <c r="D21" s="20"/>
      <c r="E21" s="20"/>
      <c r="F21" s="20"/>
      <c r="G21" s="21"/>
      <c r="H21" s="21"/>
      <c r="I21" s="21"/>
      <c r="J21" s="17"/>
      <c r="K21" s="19"/>
      <c r="L21" s="16"/>
      <c r="M21" s="16"/>
      <c r="N21" s="14" t="str">
        <f>+N10</f>
        <v>Basic Charge</v>
      </c>
      <c r="O21" s="71">
        <v>109.08</v>
      </c>
      <c r="P21" s="73"/>
      <c r="Q21" s="71">
        <v>109.08</v>
      </c>
      <c r="R21" s="71"/>
      <c r="S21" s="8">
        <f t="shared" ref="S21:S26" si="0">(Q21-O21)/O21</f>
        <v>0</v>
      </c>
    </row>
    <row r="22" spans="1:19" ht="15.75" x14ac:dyDescent="0.25">
      <c r="A22" s="16"/>
      <c r="B22" s="20">
        <f>+B20+100</f>
        <v>600</v>
      </c>
      <c r="C22" s="20"/>
      <c r="D22" s="20">
        <v>300</v>
      </c>
      <c r="E22" s="23">
        <f>ROUND((B$22*D22),0)</f>
        <v>180000</v>
      </c>
      <c r="F22" s="20"/>
      <c r="G22" s="21">
        <f>+O$10+$B22*O$16+$E22*O$12</f>
        <v>20307.348937616265</v>
      </c>
      <c r="H22" s="21"/>
      <c r="I22" s="21">
        <f>+Q$10+$B22*Q$16+$E22*Q$12</f>
        <v>21877.814895439773</v>
      </c>
      <c r="J22" s="20"/>
      <c r="K22" s="18">
        <f>ROUND((+I22-G22)/G22,3)</f>
        <v>7.6999999999999999E-2</v>
      </c>
      <c r="L22" s="16"/>
      <c r="M22" s="16"/>
      <c r="N22" s="14" t="str">
        <f>+N12</f>
        <v>kWh - All</v>
      </c>
      <c r="O22" s="73">
        <v>5.9096000000000003E-2</v>
      </c>
      <c r="P22" s="73"/>
      <c r="Q22" s="73">
        <v>5.8595000000000001E-2</v>
      </c>
      <c r="R22" s="71"/>
      <c r="S22" s="8">
        <f t="shared" si="0"/>
        <v>-8.4777311493163914E-3</v>
      </c>
    </row>
    <row r="23" spans="1:19" ht="15.75" x14ac:dyDescent="0.25">
      <c r="A23" s="16"/>
      <c r="B23" s="20">
        <f>+B22</f>
        <v>600</v>
      </c>
      <c r="C23" s="20"/>
      <c r="D23" s="20">
        <v>500</v>
      </c>
      <c r="E23" s="23">
        <f>ROUND((B$22*D23),0)</f>
        <v>300000</v>
      </c>
      <c r="F23" s="20"/>
      <c r="G23" s="21">
        <f>+O$10+$B23*O$16+$E23*O$12</f>
        <v>29464.861562693775</v>
      </c>
      <c r="H23" s="21"/>
      <c r="I23" s="21">
        <f>+Q$10+$B23*Q$16+$E23*Q$12</f>
        <v>32122.304825732957</v>
      </c>
      <c r="J23" s="20"/>
      <c r="K23" s="18">
        <f>ROUND((+I23-G23)/G23,3)</f>
        <v>0.09</v>
      </c>
      <c r="L23" s="16"/>
      <c r="M23" s="16"/>
      <c r="N23" s="14" t="str">
        <f>+N14</f>
        <v>Winter kW</v>
      </c>
      <c r="O23" s="71">
        <v>12.23</v>
      </c>
      <c r="P23" s="73"/>
      <c r="Q23" s="71">
        <v>12.23</v>
      </c>
      <c r="R23" s="71"/>
      <c r="S23" s="8">
        <f t="shared" si="0"/>
        <v>0</v>
      </c>
    </row>
    <row r="24" spans="1:19" ht="15.75" x14ac:dyDescent="0.25">
      <c r="A24" s="16"/>
      <c r="B24" s="20">
        <f>+B23</f>
        <v>600</v>
      </c>
      <c r="C24" s="20"/>
      <c r="D24" s="20">
        <v>700</v>
      </c>
      <c r="E24" s="23">
        <f>ROUND((B$22*D24),0)</f>
        <v>420000</v>
      </c>
      <c r="F24" s="20"/>
      <c r="G24" s="21">
        <f>+O$10+$B24*O$16+$E24*O$12</f>
        <v>38622.374187771289</v>
      </c>
      <c r="H24" s="21"/>
      <c r="I24" s="21">
        <f>+Q$10+$B24*Q$16+$E24*Q$12</f>
        <v>42366.794756026138</v>
      </c>
      <c r="J24" s="20"/>
      <c r="K24" s="18">
        <f>ROUND((+I24-G24)/G24,3)</f>
        <v>9.7000000000000003E-2</v>
      </c>
      <c r="N24" s="14" t="str">
        <f>+N15</f>
        <v>Summer kW</v>
      </c>
      <c r="O24" s="71">
        <v>8.15</v>
      </c>
      <c r="P24" s="73"/>
      <c r="Q24" s="71">
        <v>8.15</v>
      </c>
      <c r="R24" s="71"/>
      <c r="S24" s="8">
        <f t="shared" si="0"/>
        <v>0</v>
      </c>
    </row>
    <row r="25" spans="1:19" ht="15.75" x14ac:dyDescent="0.25">
      <c r="A25" s="16"/>
      <c r="B25" s="20"/>
      <c r="C25" s="20"/>
      <c r="D25" s="20"/>
      <c r="E25" s="20"/>
      <c r="F25" s="20"/>
      <c r="G25" s="21"/>
      <c r="H25" s="21"/>
      <c r="I25" s="21"/>
      <c r="J25" s="17"/>
      <c r="K25" s="19"/>
      <c r="L25" s="16"/>
      <c r="M25" s="16"/>
      <c r="N25" s="14" t="str">
        <f>+N16</f>
        <v>Average kW</v>
      </c>
      <c r="O25" s="71">
        <v>10.19</v>
      </c>
      <c r="P25" s="73"/>
      <c r="Q25" s="71">
        <v>10.19</v>
      </c>
      <c r="R25" s="71"/>
      <c r="S25" s="8">
        <f t="shared" si="0"/>
        <v>0</v>
      </c>
    </row>
    <row r="26" spans="1:19" ht="15.75" x14ac:dyDescent="0.25">
      <c r="A26" s="16"/>
      <c r="B26" s="20">
        <f>+B24+100</f>
        <v>700</v>
      </c>
      <c r="C26" s="20"/>
      <c r="D26" s="20">
        <v>300</v>
      </c>
      <c r="E26" s="23">
        <f>ROUND((B$26*D26),0)</f>
        <v>210000</v>
      </c>
      <c r="F26" s="20"/>
      <c r="G26" s="21">
        <f>+O$10+$B26*O$16+$E26*O$12</f>
        <v>23673.727093885645</v>
      </c>
      <c r="H26" s="21"/>
      <c r="I26" s="21">
        <f>+Q$10+$B26*Q$16+$E26*Q$12</f>
        <v>25505.93737801307</v>
      </c>
      <c r="J26" s="20"/>
      <c r="K26" s="18">
        <f>ROUND((+I26-G26)/G26,3)</f>
        <v>7.6999999999999999E-2</v>
      </c>
      <c r="L26" s="16"/>
      <c r="M26" s="16"/>
      <c r="N26" s="14" t="str">
        <f>+N18</f>
        <v>kVarh</v>
      </c>
      <c r="O26" s="72">
        <v>1.2999999999999999E-3</v>
      </c>
      <c r="P26" s="73"/>
      <c r="Q26" s="72">
        <v>1.2999999999999999E-3</v>
      </c>
      <c r="R26" s="71"/>
      <c r="S26" s="8">
        <f t="shared" si="0"/>
        <v>0</v>
      </c>
    </row>
    <row r="27" spans="1:19" ht="15.75" x14ac:dyDescent="0.25">
      <c r="A27" s="16"/>
      <c r="B27" s="20">
        <f>+B26</f>
        <v>700</v>
      </c>
      <c r="C27" s="20"/>
      <c r="D27" s="20">
        <v>500</v>
      </c>
      <c r="E27" s="23">
        <f>ROUND((B$26*D27),0)</f>
        <v>350000</v>
      </c>
      <c r="F27" s="20"/>
      <c r="G27" s="21">
        <f>+O$10+$B27*O$16+$E27*O$12</f>
        <v>34357.491823142736</v>
      </c>
      <c r="H27" s="21"/>
      <c r="I27" s="21">
        <f>+Q$10+$B27*Q$16+$E27*Q$12</f>
        <v>37457.842296688446</v>
      </c>
      <c r="J27" s="20"/>
      <c r="K27" s="18">
        <f>ROUND((+I27-G27)/G27,3)</f>
        <v>0.09</v>
      </c>
      <c r="L27" s="16"/>
      <c r="M27" s="16"/>
    </row>
    <row r="28" spans="1:19" ht="15.75" x14ac:dyDescent="0.25">
      <c r="A28" s="16"/>
      <c r="B28" s="20">
        <f>+B27</f>
        <v>700</v>
      </c>
      <c r="C28" s="20"/>
      <c r="D28" s="20">
        <v>700</v>
      </c>
      <c r="E28" s="23">
        <f>ROUND((B$26*D28),0)</f>
        <v>490000</v>
      </c>
      <c r="F28" s="20"/>
      <c r="G28" s="21">
        <f>+O$10+$B28*O$16+$E28*O$12</f>
        <v>45041.256552399835</v>
      </c>
      <c r="H28" s="21"/>
      <c r="I28" s="21">
        <f>+Q$10+$B28*Q$16+$E28*Q$12</f>
        <v>49409.74721536383</v>
      </c>
      <c r="J28" s="20"/>
      <c r="K28" s="18">
        <f>ROUND((+I28-G28)/G28,3)</f>
        <v>9.7000000000000003E-2</v>
      </c>
      <c r="N28" s="70" t="str">
        <f>+'Res Bill RY#1'!P23</f>
        <v>Schedule 95 - PCORC</v>
      </c>
      <c r="O28" s="73">
        <v>3.2881063707595293E-3</v>
      </c>
      <c r="Q28" s="73">
        <v>0</v>
      </c>
    </row>
    <row r="29" spans="1:19" ht="15.75" x14ac:dyDescent="0.25">
      <c r="A29" s="16"/>
      <c r="B29" s="20"/>
      <c r="C29" s="20"/>
      <c r="D29" s="20"/>
      <c r="E29" s="20"/>
      <c r="F29" s="20"/>
      <c r="G29" s="21"/>
      <c r="H29" s="21"/>
      <c r="I29" s="21"/>
      <c r="J29" s="17"/>
      <c r="K29" s="19"/>
      <c r="L29" s="16"/>
      <c r="M29" s="16"/>
      <c r="N29" s="70" t="str">
        <f>+'Res Bill RY#1'!P24</f>
        <v>Schedule 95 - PCA</v>
      </c>
      <c r="O29" s="73">
        <v>2.3267494191098565E-3</v>
      </c>
      <c r="Q29" s="73">
        <v>0</v>
      </c>
    </row>
    <row r="30" spans="1:19" ht="15.75" x14ac:dyDescent="0.25">
      <c r="A30" s="16"/>
      <c r="B30" s="20">
        <f>+B28+100</f>
        <v>800</v>
      </c>
      <c r="C30" s="20"/>
      <c r="D30" s="20">
        <v>300</v>
      </c>
      <c r="E30" s="23">
        <f>ROUND((B$30*D30),0)</f>
        <v>240000</v>
      </c>
      <c r="F30" s="20"/>
      <c r="G30" s="21">
        <f>+O$10+$B30*O$16+$E30*O$12</f>
        <v>27040.105250155022</v>
      </c>
      <c r="H30" s="21"/>
      <c r="I30" s="21">
        <f>+Q$10+$B30*Q$16+$E30*Q$12</f>
        <v>29134.059860586363</v>
      </c>
      <c r="J30" s="20"/>
      <c r="K30" s="18">
        <f>ROUND((+I30-G30)/G30,3)</f>
        <v>7.6999999999999999E-2</v>
      </c>
      <c r="L30" s="16"/>
      <c r="M30" s="16"/>
      <c r="N30" s="70" t="str">
        <f>+'Res Bill RY#1'!P25</f>
        <v>Schedule 95A - Fed Inc Credit</v>
      </c>
      <c r="O30" s="73">
        <v>2.3267494191098565E-3</v>
      </c>
      <c r="Q30" s="73">
        <f t="shared" ref="Q30:Q34" si="1">+O30</f>
        <v>2.3267494191098565E-3</v>
      </c>
    </row>
    <row r="31" spans="1:19" ht="15.75" x14ac:dyDescent="0.25">
      <c r="A31" s="16"/>
      <c r="B31" s="20">
        <f>+B30</f>
        <v>800</v>
      </c>
      <c r="C31" s="20"/>
      <c r="D31" s="20">
        <v>500</v>
      </c>
      <c r="E31" s="23">
        <f>ROUND((B$30*D31),0)</f>
        <v>400000</v>
      </c>
      <c r="F31" s="20"/>
      <c r="G31" s="21">
        <f>+O$10+$B31*O$16+$E31*O$12</f>
        <v>39250.122083591705</v>
      </c>
      <c r="H31" s="21"/>
      <c r="I31" s="21">
        <f>+Q$10+$B31*Q$16+$E31*Q$12</f>
        <v>42793.379767643943</v>
      </c>
      <c r="J31" s="20"/>
      <c r="K31" s="18">
        <f>ROUND((+I31-G31)/G31,3)</f>
        <v>0.09</v>
      </c>
      <c r="L31" s="16"/>
      <c r="M31" s="16"/>
      <c r="N31" s="70" t="str">
        <f>+'Res Bill RY#1'!P26</f>
        <v>Schedule 120 - Conservation</v>
      </c>
      <c r="O31" s="73">
        <v>4.1999999999999997E-3</v>
      </c>
      <c r="Q31" s="73">
        <f t="shared" si="1"/>
        <v>4.1999999999999997E-3</v>
      </c>
    </row>
    <row r="32" spans="1:19" ht="15.75" x14ac:dyDescent="0.25">
      <c r="A32" s="16"/>
      <c r="B32" s="20">
        <f>+B31</f>
        <v>800</v>
      </c>
      <c r="C32" s="20"/>
      <c r="D32" s="20">
        <v>700</v>
      </c>
      <c r="E32" s="23">
        <f>ROUND((B$30*D32),0)</f>
        <v>560000</v>
      </c>
      <c r="F32" s="20"/>
      <c r="G32" s="21">
        <f>+O$10+$B32*O$16+$E32*O$12</f>
        <v>51460.138917028387</v>
      </c>
      <c r="H32" s="21"/>
      <c r="I32" s="21">
        <f>+Q$10+$B32*Q$16+$E32*Q$12</f>
        <v>56452.699674701522</v>
      </c>
      <c r="J32" s="20"/>
      <c r="K32" s="18">
        <f>ROUND((+I32-G32)/G32,3)</f>
        <v>9.7000000000000003E-2</v>
      </c>
      <c r="N32" s="70" t="str">
        <f>+'Res Bill RY#1'!P27</f>
        <v>Schedule 129 - Low Income</v>
      </c>
      <c r="O32" s="73">
        <v>1.1180000000000001E-3</v>
      </c>
      <c r="Q32" s="73">
        <f t="shared" si="1"/>
        <v>1.1180000000000001E-3</v>
      </c>
    </row>
    <row r="33" spans="1:17" ht="15.75" x14ac:dyDescent="0.25">
      <c r="A33" s="16"/>
      <c r="B33" s="20"/>
      <c r="C33" s="20"/>
      <c r="D33" s="20"/>
      <c r="E33" s="20"/>
      <c r="F33" s="20"/>
      <c r="G33" s="21"/>
      <c r="H33" s="21"/>
      <c r="I33" s="21"/>
      <c r="J33" s="17"/>
      <c r="K33" s="19"/>
      <c r="L33" s="16"/>
      <c r="M33" s="16"/>
      <c r="N33" s="70" t="str">
        <f>+'Res Bill RY#1'!P28</f>
        <v>Schedule 137 - REC</v>
      </c>
      <c r="O33" s="73">
        <v>-2.0999999999999999E-5</v>
      </c>
      <c r="Q33" s="73">
        <f t="shared" si="1"/>
        <v>-2.0999999999999999E-5</v>
      </c>
    </row>
    <row r="34" spans="1:17" ht="15.75" x14ac:dyDescent="0.25">
      <c r="A34" s="16"/>
      <c r="B34" s="20">
        <f>+B32+200</f>
        <v>1000</v>
      </c>
      <c r="C34" s="20"/>
      <c r="D34" s="20">
        <v>300</v>
      </c>
      <c r="E34" s="23">
        <f>ROUND((B$34*D34),0)</f>
        <v>300000</v>
      </c>
      <c r="F34" s="20"/>
      <c r="G34" s="21">
        <f>+O$10+$B34*O$16+$E34*O$12</f>
        <v>33772.861562693775</v>
      </c>
      <c r="H34" s="21"/>
      <c r="I34" s="21">
        <f>+Q$10+$B34*Q$16+$E34*Q$12</f>
        <v>36390.304825732957</v>
      </c>
      <c r="J34" s="20"/>
      <c r="K34" s="18">
        <f>ROUND((+I34-G34)/G34,3)</f>
        <v>7.8E-2</v>
      </c>
      <c r="L34" s="16"/>
      <c r="M34" s="16"/>
      <c r="N34" s="70" t="str">
        <f>+'Res Bill RY#1'!P29</f>
        <v>Schedule 140 - Property Tax</v>
      </c>
      <c r="O34" s="73">
        <v>2.307E-3</v>
      </c>
      <c r="Q34" s="73">
        <f t="shared" si="1"/>
        <v>2.307E-3</v>
      </c>
    </row>
    <row r="35" spans="1:17" ht="15.75" x14ac:dyDescent="0.25">
      <c r="A35" s="16"/>
      <c r="B35" s="20">
        <f>+B34</f>
        <v>1000</v>
      </c>
      <c r="C35" s="20"/>
      <c r="D35" s="20">
        <v>500</v>
      </c>
      <c r="E35" s="23">
        <f>ROUND((B$34*D35),0)</f>
        <v>500000</v>
      </c>
      <c r="F35" s="20"/>
      <c r="G35" s="21">
        <f>+O$10+$B35*O$16+$E35*O$12</f>
        <v>49035.382604489627</v>
      </c>
      <c r="H35" s="21"/>
      <c r="I35" s="21">
        <f>+Q$10+$B35*Q$16+$E35*Q$12</f>
        <v>53464.454709554928</v>
      </c>
      <c r="J35" s="20"/>
      <c r="K35" s="18">
        <f>ROUND((+I35-G35)/G35,3)</f>
        <v>0.09</v>
      </c>
      <c r="L35" s="16"/>
      <c r="M35" s="16"/>
      <c r="N35" s="70" t="str">
        <f>+'Res Bill RY#1'!P30</f>
        <v>Schedule 141C - Colstrip</v>
      </c>
      <c r="O35" s="73">
        <v>0</v>
      </c>
      <c r="Q35" s="73">
        <v>2.2989999999999998E-3</v>
      </c>
    </row>
    <row r="36" spans="1:17" ht="15.75" x14ac:dyDescent="0.25">
      <c r="A36" s="16"/>
      <c r="B36" s="20">
        <f>+B35</f>
        <v>1000</v>
      </c>
      <c r="C36" s="20"/>
      <c r="D36" s="20">
        <v>700</v>
      </c>
      <c r="E36" s="23">
        <f>ROUND((B$34*D36),0)</f>
        <v>700000</v>
      </c>
      <c r="F36" s="20"/>
      <c r="G36" s="21">
        <f>+O$10+$B36*O$16+$E36*O$12</f>
        <v>64297.903646285478</v>
      </c>
      <c r="H36" s="21"/>
      <c r="I36" s="21">
        <f>+Q$10+$B36*Q$16+$E36*Q$12</f>
        <v>70538.604593376891</v>
      </c>
      <c r="J36" s="20"/>
      <c r="K36" s="18">
        <f>ROUND((+I36-G36)/G36,3)</f>
        <v>9.7000000000000003E-2</v>
      </c>
      <c r="N36" s="70" t="str">
        <f>+'Res Bill RY#1'!P31</f>
        <v>Schedule 141N - Non Refundable MYRP</v>
      </c>
      <c r="O36" s="73">
        <v>0</v>
      </c>
      <c r="Q36" s="73">
        <v>9.1129999999999996E-3</v>
      </c>
    </row>
    <row r="37" spans="1:17" ht="15.75" x14ac:dyDescent="0.25">
      <c r="A37" s="16"/>
      <c r="B37" s="42"/>
      <c r="C37" s="42"/>
      <c r="D37" s="42"/>
      <c r="E37" s="42"/>
      <c r="F37" s="42"/>
      <c r="G37" s="42"/>
      <c r="H37" s="42"/>
      <c r="I37" s="42"/>
      <c r="J37" s="41"/>
      <c r="K37" s="41"/>
      <c r="L37" s="16"/>
      <c r="M37" s="16"/>
      <c r="N37" s="70" t="str">
        <f>+'Res Bill RY#1'!P32</f>
        <v>Schedule 141R - Refundable MYRP</v>
      </c>
      <c r="O37" s="73">
        <v>0</v>
      </c>
      <c r="Q37" s="73">
        <v>3.875E-3</v>
      </c>
    </row>
    <row r="38" spans="1:17" ht="15.75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N38" s="70" t="str">
        <f>+'Res Bill RY#1'!P33</f>
        <v xml:space="preserve">Schedule 141X- Tax Passback </v>
      </c>
      <c r="O38" s="73">
        <v>6.3400000000000001E-4</v>
      </c>
      <c r="Q38" s="73">
        <v>0</v>
      </c>
    </row>
    <row r="39" spans="1:17" ht="15.75" x14ac:dyDescent="0.25">
      <c r="B39" s="17" t="s">
        <v>27</v>
      </c>
      <c r="C39" s="17"/>
      <c r="D39" s="17"/>
      <c r="E39" s="17"/>
      <c r="F39" s="17"/>
      <c r="G39" s="17"/>
      <c r="H39" s="17"/>
      <c r="I39" s="17"/>
      <c r="J39" s="17"/>
      <c r="K39" s="17"/>
      <c r="N39" s="70" t="str">
        <f>+'Res Bill RY#1'!P34</f>
        <v>Schedule 141Z - Tax</v>
      </c>
      <c r="O39" s="73">
        <v>-5.7700000000000004E-4</v>
      </c>
      <c r="Q39" s="73">
        <v>0</v>
      </c>
    </row>
    <row r="40" spans="1:17" ht="16.5" x14ac:dyDescent="0.25">
      <c r="B40" s="181" t="s">
        <v>285</v>
      </c>
      <c r="C40" s="181"/>
      <c r="D40" s="181"/>
      <c r="E40" s="181"/>
      <c r="F40" s="181"/>
      <c r="G40" s="181"/>
      <c r="H40" s="181"/>
      <c r="I40" s="181"/>
      <c r="J40" s="181"/>
      <c r="K40" s="181"/>
      <c r="N40" s="70" t="s">
        <v>119</v>
      </c>
      <c r="O40" s="73">
        <v>1.5579999999999999E-3</v>
      </c>
      <c r="Q40" s="73">
        <f>+O40</f>
        <v>1.5579999999999999E-3</v>
      </c>
    </row>
    <row r="41" spans="1:17" ht="16.5" x14ac:dyDescent="0.25">
      <c r="A41" s="16"/>
      <c r="B41" s="181" t="s">
        <v>60</v>
      </c>
      <c r="C41" s="181"/>
      <c r="D41" s="181"/>
      <c r="E41" s="181"/>
      <c r="F41" s="181"/>
      <c r="G41" s="181"/>
      <c r="H41" s="181"/>
      <c r="I41" s="181"/>
      <c r="J41" s="181"/>
      <c r="K41" s="181"/>
      <c r="N41" s="70" t="s">
        <v>102</v>
      </c>
      <c r="O41" s="71">
        <v>0.47999999999999993</v>
      </c>
      <c r="P41" s="71"/>
      <c r="Q41" s="71">
        <f>+O41</f>
        <v>0.47999999999999993</v>
      </c>
    </row>
    <row r="42" spans="1:17" x14ac:dyDescent="0.25">
      <c r="A42" s="16"/>
      <c r="B42" s="181" t="s">
        <v>134</v>
      </c>
      <c r="C42" s="181"/>
      <c r="D42" s="181"/>
      <c r="E42" s="181"/>
      <c r="F42" s="181"/>
      <c r="G42" s="181"/>
      <c r="H42" s="181"/>
      <c r="I42" s="181"/>
      <c r="J42" s="181"/>
      <c r="K42" s="181"/>
      <c r="N42" s="70" t="s">
        <v>132</v>
      </c>
      <c r="O42" s="73">
        <v>5.5999999999999999E-5</v>
      </c>
      <c r="Q42" s="73">
        <v>0</v>
      </c>
    </row>
    <row r="43" spans="1:17" x14ac:dyDescent="0.25">
      <c r="A43" s="16"/>
      <c r="B43" s="181" t="s">
        <v>135</v>
      </c>
      <c r="C43" s="181"/>
      <c r="D43" s="181"/>
      <c r="E43" s="181"/>
      <c r="F43" s="181"/>
      <c r="G43" s="181"/>
      <c r="H43" s="181"/>
      <c r="I43" s="181"/>
      <c r="J43" s="181"/>
      <c r="K43" s="181"/>
      <c r="N43" s="70" t="s">
        <v>133</v>
      </c>
      <c r="O43" s="71">
        <v>0.1</v>
      </c>
      <c r="P43" s="71"/>
      <c r="Q43" s="71">
        <v>0</v>
      </c>
    </row>
    <row r="44" spans="1:17" x14ac:dyDescent="0.25">
      <c r="A44" s="16"/>
      <c r="N44" s="70"/>
      <c r="O44" s="71"/>
    </row>
    <row r="45" spans="1:17" x14ac:dyDescent="0.25">
      <c r="A45" s="16"/>
      <c r="N45" s="70"/>
      <c r="O45" s="71"/>
    </row>
    <row r="46" spans="1:17" x14ac:dyDescent="0.25">
      <c r="A46" s="16"/>
      <c r="N46" s="7" t="s">
        <v>124</v>
      </c>
      <c r="O46" s="6">
        <f>+'Rate Impacts_RY#1'!H11</f>
        <v>-5.0419053700015591E-3</v>
      </c>
    </row>
    <row r="47" spans="1:17" x14ac:dyDescent="0.25">
      <c r="A47" s="16"/>
      <c r="N47" s="60" t="s">
        <v>125</v>
      </c>
      <c r="O47" s="6">
        <f>+'Rate Impacts_RY#1'!AM11</f>
        <v>9.4391615159086978E-2</v>
      </c>
      <c r="P47" s="73"/>
      <c r="Q47" s="73"/>
    </row>
    <row r="48" spans="1:17" x14ac:dyDescent="0.25">
      <c r="A48" s="16"/>
    </row>
    <row r="49" spans="1:1" x14ac:dyDescent="0.25">
      <c r="A49" s="16"/>
    </row>
  </sheetData>
  <mergeCells count="7">
    <mergeCell ref="B42:K42"/>
    <mergeCell ref="B43:K43"/>
    <mergeCell ref="G6:I6"/>
    <mergeCell ref="N8:O8"/>
    <mergeCell ref="P8:Q8"/>
    <mergeCell ref="B40:K40"/>
    <mergeCell ref="B41:K41"/>
  </mergeCells>
  <printOptions horizontalCentered="1"/>
  <pageMargins left="0.7" right="0.7" top="0.75" bottom="0.71" header="0.3" footer="0.3"/>
  <pageSetup scale="62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3"/>
  <sheetViews>
    <sheetView zoomScaleNormal="100" zoomScaleSheetLayoutView="75" workbookViewId="0">
      <pane xSplit="3" ySplit="9" topLeftCell="D10" activePane="bottomRight" state="frozen"/>
      <selection sqref="A1:XFD1048576"/>
      <selection pane="topRight" sqref="A1:XFD1048576"/>
      <selection pane="bottomLeft" sqref="A1:XFD1048576"/>
      <selection pane="bottomRight" activeCell="D10" sqref="D10"/>
    </sheetView>
  </sheetViews>
  <sheetFormatPr defaultColWidth="9.42578125" defaultRowHeight="15" x14ac:dyDescent="0.25"/>
  <cols>
    <col min="1" max="1" width="2.140625" style="14" customWidth="1"/>
    <col min="2" max="2" width="16.28515625" style="14" customWidth="1"/>
    <col min="3" max="3" width="1.85546875" style="14" customWidth="1"/>
    <col min="4" max="5" width="16.28515625" style="14" customWidth="1"/>
    <col min="6" max="6" width="3.5703125" style="14" customWidth="1"/>
    <col min="7" max="7" width="16.28515625" style="14" customWidth="1"/>
    <col min="8" max="8" width="2.28515625" style="14" customWidth="1"/>
    <col min="9" max="9" width="16.28515625" style="14" customWidth="1"/>
    <col min="10" max="10" width="1.85546875" style="14" customWidth="1"/>
    <col min="11" max="11" width="9.85546875" style="14" bestFit="1" customWidth="1"/>
    <col min="12" max="12" width="3.28515625" style="14" customWidth="1"/>
    <col min="13" max="13" width="2.140625" style="14" customWidth="1"/>
    <col min="14" max="14" width="50.28515625" style="14" bestFit="1" customWidth="1"/>
    <col min="15" max="15" width="12.28515625" style="14" customWidth="1"/>
    <col min="16" max="16" width="25.7109375" style="14" customWidth="1"/>
    <col min="17" max="17" width="14.28515625" style="14" customWidth="1"/>
    <col min="18" max="18" width="2.42578125" style="14" customWidth="1"/>
    <col min="19" max="19" width="6.85546875" style="14" bestFit="1" customWidth="1"/>
    <col min="20" max="16384" width="9.42578125" style="14"/>
  </cols>
  <sheetData>
    <row r="1" spans="2:19" ht="20.25" x14ac:dyDescent="0.3">
      <c r="B1" s="40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9" ht="20.25" x14ac:dyDescent="0.3">
      <c r="B2" s="40" t="s">
        <v>43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9" ht="20.25" x14ac:dyDescent="0.3">
      <c r="B3" s="40" t="s">
        <v>89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2:19" ht="18.75" x14ac:dyDescent="0.3">
      <c r="B4" s="58" t="s">
        <v>90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9" x14ac:dyDescent="0.25">
      <c r="G5" s="12"/>
      <c r="H5" s="12"/>
      <c r="I5" s="12"/>
      <c r="J5" s="12"/>
      <c r="K5" s="13"/>
      <c r="L5" s="13"/>
    </row>
    <row r="6" spans="2:19" ht="15.75" x14ac:dyDescent="0.25">
      <c r="B6" s="57" t="s">
        <v>76</v>
      </c>
      <c r="G6" s="186" t="s">
        <v>75</v>
      </c>
      <c r="H6" s="187"/>
      <c r="I6" s="187"/>
      <c r="J6" s="12"/>
      <c r="K6" s="13"/>
      <c r="L6" s="13"/>
    </row>
    <row r="7" spans="2:19" ht="15.75" thickBot="1" x14ac:dyDescent="0.3">
      <c r="B7" s="56" t="s">
        <v>74</v>
      </c>
      <c r="C7" s="13"/>
      <c r="D7" s="13" t="s">
        <v>73</v>
      </c>
      <c r="G7" s="13" t="s">
        <v>72</v>
      </c>
      <c r="H7" s="12"/>
      <c r="I7" s="13" t="s">
        <v>8</v>
      </c>
      <c r="J7" s="12"/>
      <c r="K7" s="12"/>
      <c r="L7" s="12"/>
    </row>
    <row r="8" spans="2:19" ht="16.5" x14ac:dyDescent="0.25">
      <c r="B8" s="55" t="s">
        <v>71</v>
      </c>
      <c r="C8" s="13"/>
      <c r="D8" s="54" t="s">
        <v>70</v>
      </c>
      <c r="E8" s="11" t="s">
        <v>41</v>
      </c>
      <c r="G8" s="43" t="s">
        <v>111</v>
      </c>
      <c r="H8" s="43"/>
      <c r="I8" s="43" t="s">
        <v>112</v>
      </c>
      <c r="J8" s="12"/>
      <c r="K8" s="11" t="s">
        <v>88</v>
      </c>
      <c r="L8" s="12"/>
      <c r="M8" s="12"/>
      <c r="N8" s="182" t="s">
        <v>52</v>
      </c>
      <c r="O8" s="184"/>
      <c r="P8" s="185" t="s">
        <v>51</v>
      </c>
      <c r="Q8" s="184"/>
      <c r="R8" s="71"/>
    </row>
    <row r="9" spans="2:19" x14ac:dyDescent="0.25">
      <c r="B9" s="12"/>
      <c r="C9" s="13"/>
      <c r="D9" s="54"/>
      <c r="E9" s="12"/>
      <c r="G9" s="12"/>
      <c r="H9" s="12"/>
      <c r="I9" s="12"/>
      <c r="J9" s="12"/>
      <c r="K9" s="12"/>
      <c r="L9" s="12"/>
      <c r="M9" s="12"/>
      <c r="N9" s="28"/>
      <c r="O9" s="30"/>
      <c r="P9" s="9"/>
      <c r="Q9" s="30"/>
      <c r="R9" s="71"/>
    </row>
    <row r="10" spans="2:19" x14ac:dyDescent="0.25">
      <c r="B10" s="53" t="s">
        <v>50</v>
      </c>
      <c r="C10" s="52"/>
      <c r="G10" s="52"/>
      <c r="H10" s="52"/>
      <c r="N10" s="29" t="s">
        <v>87</v>
      </c>
      <c r="O10" s="189">
        <f>SUM(O30)</f>
        <v>9.99</v>
      </c>
      <c r="P10" s="28" t="str">
        <f>+N10</f>
        <v>Basic Charge (1 Phase)</v>
      </c>
      <c r="Q10" s="189">
        <f>SUM(Q30)</f>
        <v>9.99</v>
      </c>
      <c r="R10" s="27"/>
      <c r="S10" s="8">
        <f>(Q10-O10)/O10</f>
        <v>0</v>
      </c>
    </row>
    <row r="11" spans="2:19" x14ac:dyDescent="0.25">
      <c r="B11" s="14">
        <v>25</v>
      </c>
      <c r="D11" s="5">
        <v>200</v>
      </c>
      <c r="E11" s="5">
        <f>ROUND((B$11*D11),0)</f>
        <v>5000</v>
      </c>
      <c r="G11" s="51">
        <f>ROUND(+O$10+IF(E11&gt;20000,20000*O$15+(E11-20000)*O$19,E11*O$15)+IF(B11&gt;50,(B11-50)*O$25,0),0)</f>
        <v>389</v>
      </c>
      <c r="H11" s="51"/>
      <c r="I11" s="51">
        <f>ROUND(+Q$10+IF(E11&gt;20000,20000*Q$15+(E11-20000)*Q$19,E11*Q$15)+IF(B11&gt;50,(B11-50)*Q$25,0),0)</f>
        <v>447</v>
      </c>
      <c r="J11" s="51"/>
      <c r="K11" s="4">
        <f>ROUND((I11-G11)/G11,4)</f>
        <v>0.14910000000000001</v>
      </c>
      <c r="L11" s="4"/>
      <c r="M11" s="4"/>
      <c r="N11" s="29" t="s">
        <v>86</v>
      </c>
      <c r="O11" s="189">
        <f>SUM(O31)</f>
        <v>25.36</v>
      </c>
      <c r="P11" s="28" t="str">
        <f>+N11</f>
        <v>Basic Charge (3 Phase)</v>
      </c>
      <c r="Q11" s="189">
        <f>SUM(Q31)</f>
        <v>25.36</v>
      </c>
      <c r="R11" s="71"/>
      <c r="S11" s="8">
        <f>(Q11-O11)/O11</f>
        <v>0</v>
      </c>
    </row>
    <row r="12" spans="2:19" x14ac:dyDescent="0.25">
      <c r="B12" s="14">
        <f>+B11</f>
        <v>25</v>
      </c>
      <c r="D12" s="5">
        <v>300</v>
      </c>
      <c r="E12" s="5">
        <f>ROUND((B$11*D12),0)</f>
        <v>7500</v>
      </c>
      <c r="G12" s="51">
        <f>ROUND(+O$10+IF(E12&gt;20000,20000*O$15+(E12-20000)*O$19,E12*O$15)+IF(B12&gt;50,(B12-50)*O$25,0),0)</f>
        <v>578</v>
      </c>
      <c r="H12" s="51"/>
      <c r="I12" s="51">
        <f>ROUND(+Q$10+IF(E12&gt;20000,20000*Q$15+(E12-20000)*Q$19,E12*Q$15)+IF(B12&gt;50,(B12-50)*Q$25,0),0)</f>
        <v>666</v>
      </c>
      <c r="J12" s="51"/>
      <c r="K12" s="4">
        <f>ROUND((I12-G12)/G12,4)</f>
        <v>0.1522</v>
      </c>
      <c r="L12" s="4"/>
      <c r="M12" s="4"/>
      <c r="N12" s="28"/>
      <c r="O12" s="191"/>
      <c r="P12" s="28"/>
      <c r="Q12" s="191"/>
    </row>
    <row r="13" spans="2:19" x14ac:dyDescent="0.25">
      <c r="B13" s="14">
        <f>+B12</f>
        <v>25</v>
      </c>
      <c r="D13" s="5">
        <v>500</v>
      </c>
      <c r="E13" s="5">
        <f>ROUND((B$11*D13),0)</f>
        <v>12500</v>
      </c>
      <c r="G13" s="51">
        <f>ROUND(+O$10+IF(E13&gt;20000,20000*O$15+(E13-20000)*O$19,E13*O$15)+IF(B13&gt;50,(B13-50)*O$25,0),0)</f>
        <v>957</v>
      </c>
      <c r="H13" s="51"/>
      <c r="I13" s="51">
        <f>ROUND(+Q$10+IF(E13&gt;20000,20000*Q$15+(E13-20000)*Q$19,E13*Q$15)+IF(B13&gt;50,(B13-50)*Q$25,0),0)</f>
        <v>1103</v>
      </c>
      <c r="J13" s="51"/>
      <c r="K13" s="4">
        <f>ROUND((I13-G13)/G13,4)</f>
        <v>0.15260000000000001</v>
      </c>
      <c r="L13" s="4"/>
      <c r="M13" s="4"/>
      <c r="N13" s="29" t="s">
        <v>68</v>
      </c>
      <c r="O13" s="191">
        <f>SUM(O32,O44:O58)</f>
        <v>9.987422594137807E-2</v>
      </c>
      <c r="P13" s="28" t="str">
        <f>+N13</f>
        <v>Winter kWh - First 20,000</v>
      </c>
      <c r="Q13" s="191">
        <f>SUM(Q32,Q44:Q58)</f>
        <v>0.11131786400000002</v>
      </c>
      <c r="R13" s="71"/>
      <c r="S13" s="8">
        <f>(Q13-O13)/O13</f>
        <v>0.11458049312280905</v>
      </c>
    </row>
    <row r="14" spans="2:19" x14ac:dyDescent="0.25">
      <c r="G14" s="51"/>
      <c r="H14" s="51"/>
      <c r="I14" s="51"/>
      <c r="J14" s="51"/>
      <c r="N14" s="29" t="s">
        <v>67</v>
      </c>
      <c r="O14" s="191">
        <f>SUM(O33,O44:O58)</f>
        <v>7.1152225941378072E-2</v>
      </c>
      <c r="P14" s="28" t="str">
        <f>+N14</f>
        <v>Summer kWh - First 20,000</v>
      </c>
      <c r="Q14" s="191">
        <f>SUM(Q33,Q44:Q58)</f>
        <v>8.2796864000000026E-2</v>
      </c>
      <c r="R14" s="71"/>
      <c r="S14" s="8">
        <f>(Q14-O14)/O14</f>
        <v>0.1636580993012911</v>
      </c>
    </row>
    <row r="15" spans="2:19" x14ac:dyDescent="0.25">
      <c r="B15" s="14">
        <v>50</v>
      </c>
      <c r="D15" s="5">
        <v>200</v>
      </c>
      <c r="E15" s="5">
        <f>ROUND((B$15*D15),0)</f>
        <v>10000</v>
      </c>
      <c r="G15" s="51">
        <f>ROUND(+O$10+IF(E15&gt;20000,20000*O$15+(E15-20000)*O$19,E15*O$15)+IF(B15&gt;50,(B15-50)*O$25,0),0)</f>
        <v>768</v>
      </c>
      <c r="H15" s="51"/>
      <c r="I15" s="51">
        <f>ROUND(+Q$10+IF(E15&gt;20000,20000*Q$15+(E15-20000)*Q$19,E15*Q$15)+IF(B15&gt;50,(B15-50)*Q$25,0),0)</f>
        <v>884</v>
      </c>
      <c r="J15" s="51"/>
      <c r="K15" s="4">
        <f>ROUND((I15-G15)/G15,4)</f>
        <v>0.151</v>
      </c>
      <c r="L15" s="4"/>
      <c r="M15" s="4"/>
      <c r="N15" s="28" t="s">
        <v>45</v>
      </c>
      <c r="O15" s="191">
        <f>SUM(O34,O44:O58)</f>
        <v>7.5799225941378071E-2</v>
      </c>
      <c r="P15" s="28" t="str">
        <f>+N15</f>
        <v>Average kWh</v>
      </c>
      <c r="Q15" s="191">
        <f>SUM(Q34,Q44:Q58)</f>
        <v>8.7411864000000006E-2</v>
      </c>
      <c r="R15" s="71"/>
      <c r="S15" s="8">
        <f>(Q15-O15)/O15</f>
        <v>0.15320259427982769</v>
      </c>
    </row>
    <row r="16" spans="2:19" x14ac:dyDescent="0.25">
      <c r="B16" s="14">
        <f>+B15</f>
        <v>50</v>
      </c>
      <c r="D16" s="5">
        <v>300</v>
      </c>
      <c r="E16" s="5">
        <f>ROUND((B$15*D16),0)</f>
        <v>15000</v>
      </c>
      <c r="G16" s="51">
        <f>ROUND(+O$10+IF(E16&gt;20000,20000*O$15+(E16-20000)*O$19,E16*O$15)+IF(B16&gt;50,(B16-50)*O$25,0),0)</f>
        <v>1147</v>
      </c>
      <c r="H16" s="51"/>
      <c r="I16" s="51">
        <f>ROUND(+Q$10+IF(E16&gt;20000,20000*Q$15+(E16-20000)*Q$19,E16*Q$15)+IF(B16&gt;50,(B16-50)*Q$25,0),0)</f>
        <v>1321</v>
      </c>
      <c r="J16" s="51"/>
      <c r="K16" s="4">
        <f>ROUND((I16-G16)/G16,4)</f>
        <v>0.1517</v>
      </c>
      <c r="L16" s="4"/>
      <c r="M16" s="4"/>
      <c r="N16" s="28"/>
      <c r="O16" s="191"/>
      <c r="P16" s="28"/>
      <c r="Q16" s="191"/>
      <c r="R16" s="71"/>
    </row>
    <row r="17" spans="2:19" x14ac:dyDescent="0.25">
      <c r="B17" s="14">
        <f>+B16</f>
        <v>50</v>
      </c>
      <c r="D17" s="5">
        <v>500</v>
      </c>
      <c r="E17" s="5">
        <f>ROUND((B$15*D17),0)</f>
        <v>25000</v>
      </c>
      <c r="G17" s="51">
        <f>ROUND(+O$10+IF(E17&gt;20000,20000*O$15+(E17-20000)*O$19,E17*O$15)+IF(B17&gt;50,(B17-50)*O$25,0),0)</f>
        <v>1852</v>
      </c>
      <c r="H17" s="51"/>
      <c r="I17" s="51">
        <f>ROUND(+Q$10+IF(E17&gt;20000,20000*Q$15+(E17-20000)*Q$19,E17*Q$15)+IF(B17&gt;50,(B17-50)*Q$25,0),0)</f>
        <v>2143</v>
      </c>
      <c r="J17" s="51"/>
      <c r="K17" s="4">
        <f>ROUND((I17-G17)/G17,4)</f>
        <v>0.15709999999999999</v>
      </c>
      <c r="L17" s="4"/>
      <c r="M17" s="4"/>
      <c r="N17" s="29" t="s">
        <v>85</v>
      </c>
      <c r="O17" s="191">
        <f>SUM(O35,O44:O58)</f>
        <v>7.7375225941378079E-2</v>
      </c>
      <c r="P17" s="28" t="str">
        <f>+N17</f>
        <v>Winter kWh - Over 20,000</v>
      </c>
      <c r="Q17" s="191">
        <f>SUM(Q35,Q44:Q58)</f>
        <v>8.8975864000000016E-2</v>
      </c>
      <c r="R17" s="71"/>
      <c r="S17" s="8">
        <f>(Q17-O17)/O17</f>
        <v>0.14992703307142455</v>
      </c>
    </row>
    <row r="18" spans="2:19" x14ac:dyDescent="0.25">
      <c r="G18" s="51"/>
      <c r="H18" s="51"/>
      <c r="I18" s="51"/>
      <c r="J18" s="51"/>
      <c r="N18" s="29" t="s">
        <v>84</v>
      </c>
      <c r="O18" s="191">
        <f>SUM(O36,O44:O58)</f>
        <v>6.1872225941378062E-2</v>
      </c>
      <c r="P18" s="28" t="str">
        <f>+N18</f>
        <v>Summer kWh - Over 20,000</v>
      </c>
      <c r="Q18" s="191">
        <f>SUM(Q36,Q44:Q58)</f>
        <v>7.3581864000000011E-2</v>
      </c>
      <c r="R18" s="71"/>
      <c r="S18" s="8">
        <f>(Q18-O18)/O18</f>
        <v>0.18925516062273973</v>
      </c>
    </row>
    <row r="19" spans="2:19" x14ac:dyDescent="0.25">
      <c r="B19" s="14">
        <v>75</v>
      </c>
      <c r="D19" s="5">
        <v>200</v>
      </c>
      <c r="E19" s="5">
        <f>ROUND((B$15*D19),0)</f>
        <v>10000</v>
      </c>
      <c r="G19" s="51">
        <f>ROUND(+O$10+IF(E19&gt;20000,20000*O$15+(E19-20000)*O$19,E19*O$15)+IF(B19&gt;50,(B19-50)*O$25,0),0)</f>
        <v>927</v>
      </c>
      <c r="H19" s="51"/>
      <c r="I19" s="51">
        <f>ROUND(+Q$10+IF(E19&gt;20000,20000*Q$15+(E19-20000)*Q$19,E19*Q$15)+IF(B19&gt;50,(B19-50)*Q$25,0),0)</f>
        <v>1043</v>
      </c>
      <c r="J19" s="51"/>
      <c r="K19" s="4">
        <f>ROUND((I19-G19)/G19,4)</f>
        <v>0.12509999999999999</v>
      </c>
      <c r="L19" s="4"/>
      <c r="M19" s="4"/>
      <c r="N19" s="29" t="s">
        <v>66</v>
      </c>
      <c r="O19" s="191">
        <f>SUM(O37,O44:O58)</f>
        <v>6.521122594137807E-2</v>
      </c>
      <c r="P19" s="28" t="str">
        <f>+N19</f>
        <v>kWh - All Over 20,000</v>
      </c>
      <c r="Q19" s="191">
        <f>SUM(Q37,Q44:Q58)</f>
        <v>7.689786400000001E-2</v>
      </c>
      <c r="R19" s="71"/>
      <c r="S19" s="8">
        <f>(Q19-O19)/O19</f>
        <v>0.17921205881220048</v>
      </c>
    </row>
    <row r="20" spans="2:19" x14ac:dyDescent="0.25">
      <c r="B20" s="14">
        <f>+B19</f>
        <v>75</v>
      </c>
      <c r="D20" s="5">
        <v>300</v>
      </c>
      <c r="E20" s="5">
        <f>ROUND((B$15*D20),0)</f>
        <v>15000</v>
      </c>
      <c r="G20" s="51">
        <f>ROUND(+O$10+IF(E20&gt;20000,20000*O$15+(E20-20000)*O$19,E20*O$15)+IF(B20&gt;50,(B20-50)*O$25,0),0)</f>
        <v>1306</v>
      </c>
      <c r="H20" s="51"/>
      <c r="I20" s="51">
        <f>ROUND(+Q$10+IF(E20&gt;20000,20000*Q$15+(E20-20000)*Q$19,E20*Q$15)+IF(B20&gt;50,(B20-50)*Q$25,0),0)</f>
        <v>1480</v>
      </c>
      <c r="J20" s="51"/>
      <c r="K20" s="4">
        <f>ROUND((I20-G20)/G20,4)</f>
        <v>0.13320000000000001</v>
      </c>
      <c r="L20" s="4"/>
      <c r="M20" s="4"/>
      <c r="N20" s="29"/>
      <c r="O20" s="191"/>
      <c r="P20" s="29"/>
      <c r="Q20" s="191"/>
      <c r="R20" s="71"/>
      <c r="S20" s="10"/>
    </row>
    <row r="21" spans="2:19" x14ac:dyDescent="0.25">
      <c r="B21" s="14">
        <f>+B20</f>
        <v>75</v>
      </c>
      <c r="D21" s="5">
        <v>500</v>
      </c>
      <c r="E21" s="5">
        <f>ROUND((B$15*D21),0)</f>
        <v>25000</v>
      </c>
      <c r="G21" s="51">
        <f>ROUND(+O$10+IF(E21&gt;20000,20000*O$15+(E21-20000)*O$19,E21*O$15)+IF(B21&gt;50,(B21-50)*O$25,0),0)</f>
        <v>2011</v>
      </c>
      <c r="H21" s="51"/>
      <c r="I21" s="51">
        <f>ROUND(+Q$10+IF(E21&gt;20000,20000*Q$15+(E21-20000)*Q$19,E21*Q$15)+IF(B21&gt;50,(B21-50)*Q$25,0),0)</f>
        <v>2301</v>
      </c>
      <c r="J21" s="51"/>
      <c r="K21" s="4">
        <f>ROUND((I21-G21)/G21,4)</f>
        <v>0.14419999999999999</v>
      </c>
      <c r="L21" s="4"/>
      <c r="M21" s="4"/>
      <c r="N21" s="29" t="s">
        <v>65</v>
      </c>
      <c r="O21" s="189">
        <f>SUM(O38)</f>
        <v>0</v>
      </c>
      <c r="P21" s="28" t="str">
        <f>+N21</f>
        <v>kW - First 50</v>
      </c>
      <c r="Q21" s="189">
        <f>SUM(Q38)</f>
        <v>0</v>
      </c>
      <c r="R21" s="71"/>
      <c r="S21" s="10"/>
    </row>
    <row r="22" spans="2:19" x14ac:dyDescent="0.25">
      <c r="N22" s="29"/>
      <c r="O22" s="191"/>
      <c r="P22" s="29"/>
      <c r="Q22" s="191"/>
      <c r="R22" s="27"/>
      <c r="S22" s="27"/>
    </row>
    <row r="23" spans="2:19" x14ac:dyDescent="0.25">
      <c r="B23" s="53" t="s">
        <v>49</v>
      </c>
      <c r="C23" s="52"/>
      <c r="G23" s="51"/>
      <c r="H23" s="51"/>
      <c r="I23" s="51"/>
      <c r="J23" s="51"/>
      <c r="N23" s="29" t="s">
        <v>64</v>
      </c>
      <c r="O23" s="189">
        <f>SUM(O39)</f>
        <v>9.2200000000000006</v>
      </c>
      <c r="P23" s="28" t="str">
        <f>+N23</f>
        <v>Winter kW - Over 50</v>
      </c>
      <c r="Q23" s="189">
        <f>SUM(Q39)</f>
        <v>9.2200000000000006</v>
      </c>
      <c r="R23" s="71"/>
      <c r="S23" s="8">
        <f>(Q23-O23)/O23</f>
        <v>0</v>
      </c>
    </row>
    <row r="24" spans="2:19" x14ac:dyDescent="0.25">
      <c r="B24" s="14">
        <v>100</v>
      </c>
      <c r="D24" s="5">
        <v>200</v>
      </c>
      <c r="E24" s="5">
        <f>ROUND((B$24*D24),0)</f>
        <v>20000</v>
      </c>
      <c r="G24" s="51">
        <f>ROUND(+O$11+IF(E24&gt;20000,20000*O$15+(E24-20000)*O$19,E24*O$15)+IF(B24&gt;50,(B24-50)*O$25,0),0)</f>
        <v>1859</v>
      </c>
      <c r="H24" s="51"/>
      <c r="I24" s="51">
        <f>ROUND(+Q$11+IF(E24&gt;20000,20000*Q$15+(E24-20000)*Q$19,E24*Q$15)+IF(B24&gt;50,(B24-50)*Q$25,0),0)</f>
        <v>2091</v>
      </c>
      <c r="J24" s="51"/>
      <c r="K24" s="4">
        <f>ROUND((I24-G24)/G24,4)</f>
        <v>0.12479999999999999</v>
      </c>
      <c r="L24" s="4"/>
      <c r="M24" s="4"/>
      <c r="N24" s="29" t="s">
        <v>63</v>
      </c>
      <c r="O24" s="189">
        <f t="shared" ref="O24:Q25" si="0">SUM(O40)</f>
        <v>4.54</v>
      </c>
      <c r="P24" s="28" t="str">
        <f>+N24</f>
        <v>Summer kW - Over 50</v>
      </c>
      <c r="Q24" s="189">
        <f t="shared" si="0"/>
        <v>4.54</v>
      </c>
      <c r="R24" s="71"/>
      <c r="S24" s="8">
        <f>(Q24-O24)/O24</f>
        <v>0</v>
      </c>
    </row>
    <row r="25" spans="2:19" x14ac:dyDescent="0.25">
      <c r="B25" s="14">
        <f>+B24</f>
        <v>100</v>
      </c>
      <c r="D25" s="5">
        <v>300</v>
      </c>
      <c r="E25" s="5">
        <f>ROUND((B$24*D25),0)</f>
        <v>30000</v>
      </c>
      <c r="G25" s="51">
        <f>ROUND(+O$11+IF(E25&gt;20000,20000*O$15+(E25-20000)*O$19,E25*O$15)+IF(B25&gt;50,(B25-50)*O$25,0),0)</f>
        <v>2511</v>
      </c>
      <c r="H25" s="51"/>
      <c r="I25" s="51">
        <f>ROUND(+Q$11+IF(E25&gt;20000,20000*Q$15+(E25-20000)*Q$19,E25*Q$15)+IF(B25&gt;50,(B25-50)*Q$25,0),0)</f>
        <v>2860</v>
      </c>
      <c r="J25" s="51"/>
      <c r="K25" s="4">
        <f>ROUND((I25-G25)/G25,4)</f>
        <v>0.13900000000000001</v>
      </c>
      <c r="L25" s="4"/>
      <c r="M25" s="4"/>
      <c r="N25" s="29" t="s">
        <v>62</v>
      </c>
      <c r="O25" s="189">
        <f t="shared" si="0"/>
        <v>6.35</v>
      </c>
      <c r="P25" s="28" t="str">
        <f>+N25</f>
        <v>Average kW - Over 50</v>
      </c>
      <c r="Q25" s="189">
        <f t="shared" si="0"/>
        <v>6.35</v>
      </c>
      <c r="R25" s="71"/>
      <c r="S25" s="8">
        <f>(Q25-O25)/O25</f>
        <v>0</v>
      </c>
    </row>
    <row r="26" spans="2:19" x14ac:dyDescent="0.25">
      <c r="B26" s="14">
        <f>+B25</f>
        <v>100</v>
      </c>
      <c r="D26" s="5">
        <v>500</v>
      </c>
      <c r="E26" s="5">
        <f>ROUND((B$24*D26),0)</f>
        <v>50000</v>
      </c>
      <c r="G26" s="51">
        <f>ROUND(+O$11+IF(E26&gt;20000,20000*O$15+(E26-20000)*O$19,E26*O$15)+IF(B26&gt;50,(B26-50)*O$25,0),0)</f>
        <v>3815</v>
      </c>
      <c r="H26" s="51"/>
      <c r="I26" s="51">
        <f>ROUND(+Q$11+IF(E26&gt;20000,20000*Q$15+(E26-20000)*Q$19,E26*Q$15)+IF(B26&gt;50,(B26-50)*Q$25,0),0)</f>
        <v>4398</v>
      </c>
      <c r="J26" s="51"/>
      <c r="K26" s="4">
        <f>ROUND((I26-G26)/G26,4)</f>
        <v>0.15279999999999999</v>
      </c>
      <c r="L26" s="4"/>
      <c r="M26" s="4"/>
      <c r="N26" s="28"/>
      <c r="O26" s="191"/>
      <c r="P26" s="28"/>
      <c r="Q26" s="191"/>
      <c r="R26" s="71"/>
    </row>
    <row r="27" spans="2:19" x14ac:dyDescent="0.25">
      <c r="N27" s="28" t="s">
        <v>61</v>
      </c>
      <c r="O27" s="196">
        <f>SUM(O42)</f>
        <v>2.9299999999999999E-3</v>
      </c>
      <c r="P27" s="28" t="str">
        <f>+N27</f>
        <v>kVarh</v>
      </c>
      <c r="Q27" s="196">
        <f>SUM(Q42)</f>
        <v>2.9299999999999999E-3</v>
      </c>
      <c r="R27" s="71"/>
      <c r="S27" s="8">
        <f>(Q27-O27)/O27</f>
        <v>0</v>
      </c>
    </row>
    <row r="28" spans="2:19" ht="15.75" thickBot="1" x14ac:dyDescent="0.3">
      <c r="B28" s="14">
        <v>150</v>
      </c>
      <c r="D28" s="5">
        <v>200</v>
      </c>
      <c r="E28" s="5">
        <f>ROUND((B$28*D28),0)</f>
        <v>30000</v>
      </c>
      <c r="G28" s="51">
        <f>ROUND(+O$11+IF(E28&gt;20000,20000*O$15+(E28-20000)*O$19,E28*O$15)+IF(B28&gt;50,(B28-50)*O$25,0),0)</f>
        <v>2828</v>
      </c>
      <c r="H28" s="51"/>
      <c r="I28" s="51">
        <f>ROUND(+Q$11+IF(E28&gt;20000,20000*Q$15+(E28-20000)*Q$19,E28*Q$15)+IF(B28&gt;50,(B28-50)*Q$25,0),0)</f>
        <v>3178</v>
      </c>
      <c r="J28" s="51"/>
      <c r="K28" s="4">
        <f>ROUND((I28-G28)/G28,4)</f>
        <v>0.12379999999999999</v>
      </c>
      <c r="L28" s="4"/>
      <c r="M28" s="4"/>
      <c r="N28" s="61" t="s">
        <v>6</v>
      </c>
      <c r="O28" s="197" t="s">
        <v>6</v>
      </c>
      <c r="P28" s="61" t="s">
        <v>6</v>
      </c>
      <c r="Q28" s="197" t="s">
        <v>6</v>
      </c>
      <c r="R28" s="71"/>
    </row>
    <row r="29" spans="2:19" x14ac:dyDescent="0.25">
      <c r="B29" s="14">
        <f>+B28</f>
        <v>150</v>
      </c>
      <c r="D29" s="5">
        <v>300</v>
      </c>
      <c r="E29" s="5">
        <f>ROUND((B$28*D29),0)</f>
        <v>45000</v>
      </c>
      <c r="G29" s="51">
        <f>ROUND(+O$11+IF(E29&gt;20000,20000*O$15+(E29-20000)*O$19,E29*O$15)+IF(B29&gt;50,(B29-50)*O$25,0),0)</f>
        <v>3807</v>
      </c>
      <c r="H29" s="51"/>
      <c r="I29" s="51">
        <f>ROUND(+Q$11+IF(E29&gt;20000,20000*Q$15+(E29-20000)*Q$19,E29*Q$15)+IF(B29&gt;50,(B29-50)*Q$25,0),0)</f>
        <v>4331</v>
      </c>
      <c r="J29" s="51"/>
      <c r="K29" s="4">
        <f>ROUND((I29-G29)/G29,4)</f>
        <v>0.1376</v>
      </c>
      <c r="L29" s="4"/>
      <c r="M29" s="4"/>
      <c r="R29" s="71"/>
    </row>
    <row r="30" spans="2:19" x14ac:dyDescent="0.25">
      <c r="B30" s="14">
        <f>+B29</f>
        <v>150</v>
      </c>
      <c r="D30" s="5">
        <v>500</v>
      </c>
      <c r="E30" s="5">
        <f>ROUND((B$28*D30),0)</f>
        <v>75000</v>
      </c>
      <c r="G30" s="51">
        <f>ROUND(+O$11+IF(E30&gt;20000,20000*O$15+(E30-20000)*O$19,E30*O$15)+IF(B30&gt;50,(B30-50)*O$25,0),0)</f>
        <v>5763</v>
      </c>
      <c r="H30" s="51"/>
      <c r="I30" s="51">
        <f>ROUND(+Q$11+IF(E30&gt;20000,20000*Q$15+(E30-20000)*Q$19,E30*Q$15)+IF(B30&gt;50,(B30-50)*Q$25,0),0)</f>
        <v>6638</v>
      </c>
      <c r="J30" s="51"/>
      <c r="K30" s="4">
        <f>ROUND((I30-G30)/G30,4)</f>
        <v>0.15179999999999999</v>
      </c>
      <c r="L30" s="4"/>
      <c r="M30" s="4"/>
      <c r="N30" s="14" t="str">
        <f>+N10</f>
        <v>Basic Charge (1 Phase)</v>
      </c>
      <c r="O30" s="71">
        <v>9.99</v>
      </c>
      <c r="P30" s="71"/>
      <c r="Q30" s="71">
        <v>9.99</v>
      </c>
      <c r="R30" s="71"/>
      <c r="S30" s="8">
        <f t="shared" ref="S30:S42" si="1">(Q30-O30)/O30</f>
        <v>0</v>
      </c>
    </row>
    <row r="31" spans="2:19" x14ac:dyDescent="0.25">
      <c r="N31" s="14" t="str">
        <f t="shared" ref="N31" si="2">+N11</f>
        <v>Basic Charge (3 Phase)</v>
      </c>
      <c r="O31" s="71">
        <v>25.36</v>
      </c>
      <c r="P31" s="71"/>
      <c r="Q31" s="71">
        <v>25.36</v>
      </c>
      <c r="R31" s="71"/>
      <c r="S31" s="8">
        <f t="shared" si="1"/>
        <v>0</v>
      </c>
    </row>
    <row r="32" spans="2:19" x14ac:dyDescent="0.25">
      <c r="B32" s="14">
        <v>200</v>
      </c>
      <c r="D32" s="5">
        <v>200</v>
      </c>
      <c r="E32" s="5">
        <f>ROUND((B$32*D32),0)</f>
        <v>40000</v>
      </c>
      <c r="G32" s="51">
        <f>ROUND(+O$11+IF(E32&gt;20000,20000*O$15+(E32-20000)*O$19,E32*O$15)+IF(B32&gt;50,(B32-50)*O$25,0),0)</f>
        <v>3798</v>
      </c>
      <c r="H32" s="51"/>
      <c r="I32" s="51">
        <f>ROUND(+Q$11+IF(E32&gt;20000,20000*Q$15+(E32-20000)*Q$19,E32*Q$15)+IF(B32&gt;50,(B32-50)*Q$25,0),0)</f>
        <v>4264</v>
      </c>
      <c r="J32" s="51"/>
      <c r="K32" s="4">
        <f>ROUND((I32-G32)/G32,4)</f>
        <v>0.1227</v>
      </c>
      <c r="L32" s="4"/>
      <c r="M32" s="4"/>
      <c r="N32" s="14" t="str">
        <f>+N13</f>
        <v>Winter kWh - First 20,000</v>
      </c>
      <c r="O32" s="73">
        <v>9.3538999999999997E-2</v>
      </c>
      <c r="P32" s="73"/>
      <c r="Q32" s="73">
        <v>9.2884999999999995E-2</v>
      </c>
      <c r="R32" s="71"/>
      <c r="S32" s="8">
        <f t="shared" si="1"/>
        <v>-6.9917360673088427E-3</v>
      </c>
    </row>
    <row r="33" spans="2:19" x14ac:dyDescent="0.25">
      <c r="B33" s="14">
        <f>+B32</f>
        <v>200</v>
      </c>
      <c r="D33" s="5">
        <v>300</v>
      </c>
      <c r="E33" s="5">
        <f>ROUND((B$32*D33),0)</f>
        <v>60000</v>
      </c>
      <c r="G33" s="51">
        <f>ROUND(+O$11+IF(E33&gt;20000,20000*O$15+(E33-20000)*O$19,E33*O$15)+IF(B33&gt;50,(B33-50)*O$25,0),0)</f>
        <v>5102</v>
      </c>
      <c r="H33" s="51"/>
      <c r="I33" s="51">
        <f>ROUND(+Q$11+IF(E33&gt;20000,20000*Q$15+(E33-20000)*Q$19,E33*Q$15)+IF(B33&gt;50,(B33-50)*Q$25,0),0)</f>
        <v>5802</v>
      </c>
      <c r="J33" s="51"/>
      <c r="K33" s="4">
        <f>ROUND((I33-G33)/G33,4)</f>
        <v>0.13719999999999999</v>
      </c>
      <c r="L33" s="4"/>
      <c r="M33" s="4"/>
      <c r="N33" s="14" t="str">
        <f>+N14</f>
        <v>Summer kWh - First 20,000</v>
      </c>
      <c r="O33" s="73">
        <v>6.4817E-2</v>
      </c>
      <c r="P33" s="73"/>
      <c r="Q33" s="73">
        <v>6.4364000000000005E-2</v>
      </c>
      <c r="R33" s="71"/>
      <c r="S33" s="8">
        <f t="shared" si="1"/>
        <v>-6.9889072311275606E-3</v>
      </c>
    </row>
    <row r="34" spans="2:19" x14ac:dyDescent="0.25">
      <c r="B34" s="14">
        <f>+B33</f>
        <v>200</v>
      </c>
      <c r="D34" s="5">
        <v>500</v>
      </c>
      <c r="E34" s="5">
        <f>ROUND((B$32*D34),0)</f>
        <v>100000</v>
      </c>
      <c r="G34" s="51">
        <f>ROUND(+O$11+IF(E34&gt;20000,20000*O$15+(E34-20000)*O$19,E34*O$15)+IF(B34&gt;50,(B34-50)*O$25,0),0)</f>
        <v>7711</v>
      </c>
      <c r="H34" s="51"/>
      <c r="I34" s="51">
        <f>ROUND(+Q$11+IF(E34&gt;20000,20000*Q$15+(E34-20000)*Q$19,E34*Q$15)+IF(B34&gt;50,(B34-50)*Q$25,0),0)</f>
        <v>8878</v>
      </c>
      <c r="J34" s="51"/>
      <c r="K34" s="4">
        <f>ROUND((I34-G34)/G34,4)</f>
        <v>0.15129999999999999</v>
      </c>
      <c r="L34" s="4"/>
      <c r="M34" s="4"/>
      <c r="N34" s="14" t="s">
        <v>103</v>
      </c>
      <c r="O34" s="73">
        <v>6.9463999999999998E-2</v>
      </c>
      <c r="P34" s="73"/>
      <c r="Q34" s="73">
        <v>6.8978999999999999E-2</v>
      </c>
      <c r="R34" s="71"/>
      <c r="S34" s="8">
        <f t="shared" si="1"/>
        <v>-6.9820338592652209E-3</v>
      </c>
    </row>
    <row r="35" spans="2:19" x14ac:dyDescent="0.25">
      <c r="G35" s="51"/>
      <c r="H35" s="51"/>
      <c r="I35" s="51"/>
      <c r="J35" s="51"/>
      <c r="N35" s="14" t="str">
        <f>+N17</f>
        <v>Winter kWh - Over 20,000</v>
      </c>
      <c r="O35" s="73">
        <v>7.1040000000000006E-2</v>
      </c>
      <c r="P35" s="73"/>
      <c r="Q35" s="73">
        <v>7.0542999999999995E-2</v>
      </c>
      <c r="R35" s="71"/>
      <c r="S35" s="8">
        <f t="shared" si="1"/>
        <v>-6.996058558558717E-3</v>
      </c>
    </row>
    <row r="36" spans="2:19" x14ac:dyDescent="0.25">
      <c r="B36" s="14">
        <v>300</v>
      </c>
      <c r="D36" s="5">
        <v>200</v>
      </c>
      <c r="E36" s="5">
        <f>ROUND((B$36*D36),0)</f>
        <v>60000</v>
      </c>
      <c r="G36" s="51">
        <f>ROUND(+O$11+IF(E36&gt;20000,20000*O$15+(E36-20000)*O$19,E36*O$15)+IF(B36&gt;50,(B36-50)*O$25,0),0)</f>
        <v>5737</v>
      </c>
      <c r="H36" s="51"/>
      <c r="I36" s="51">
        <f>ROUND(+Q$11+IF(E36&gt;20000,20000*Q$15+(E36-20000)*Q$19,E36*Q$15)+IF(B36&gt;50,(B36-50)*Q$25,0),0)</f>
        <v>6437</v>
      </c>
      <c r="J36" s="51"/>
      <c r="K36" s="4">
        <f>ROUND((I36-G36)/G36,4)</f>
        <v>0.122</v>
      </c>
      <c r="L36" s="4"/>
      <c r="M36" s="4"/>
      <c r="N36" s="14" t="str">
        <f>+N18</f>
        <v>Summer kWh - Over 20,000</v>
      </c>
      <c r="O36" s="73">
        <v>5.5537000000000003E-2</v>
      </c>
      <c r="P36" s="73"/>
      <c r="Q36" s="73">
        <v>5.5148999999999997E-2</v>
      </c>
      <c r="S36" s="8">
        <f t="shared" si="1"/>
        <v>-6.9863334353675276E-3</v>
      </c>
    </row>
    <row r="37" spans="2:19" x14ac:dyDescent="0.25">
      <c r="B37" s="14">
        <f>+B36</f>
        <v>300</v>
      </c>
      <c r="D37" s="5">
        <v>300</v>
      </c>
      <c r="E37" s="5">
        <f>ROUND((B$36*D37),0)</f>
        <v>90000</v>
      </c>
      <c r="G37" s="51">
        <f>ROUND(+O$11+IF(E37&gt;20000,20000*O$15+(E37-20000)*O$19,E37*O$15)+IF(B37&gt;50,(B37-50)*O$25,0),0)</f>
        <v>7694</v>
      </c>
      <c r="H37" s="51"/>
      <c r="I37" s="51">
        <f>ROUND(+Q$11+IF(E37&gt;20000,20000*Q$15+(E37-20000)*Q$19,E37*Q$15)+IF(B37&gt;50,(B37-50)*Q$25,0),0)</f>
        <v>8744</v>
      </c>
      <c r="J37" s="51"/>
      <c r="K37" s="4">
        <f>ROUND((I37-G37)/G37,4)</f>
        <v>0.13650000000000001</v>
      </c>
      <c r="L37" s="4"/>
      <c r="M37" s="4"/>
      <c r="N37" s="70" t="s">
        <v>104</v>
      </c>
      <c r="O37" s="73">
        <v>5.8875999999999998E-2</v>
      </c>
      <c r="P37" s="73"/>
      <c r="Q37" s="73">
        <v>5.8465000000000003E-2</v>
      </c>
      <c r="S37" s="8">
        <f t="shared" si="1"/>
        <v>-6.9807731503497986E-3</v>
      </c>
    </row>
    <row r="38" spans="2:19" x14ac:dyDescent="0.25">
      <c r="B38" s="14">
        <f>+B37</f>
        <v>300</v>
      </c>
      <c r="D38" s="5">
        <v>500</v>
      </c>
      <c r="E38" s="5">
        <f>ROUND((B$36*D38),0)</f>
        <v>150000</v>
      </c>
      <c r="G38" s="51">
        <f>ROUND(+O$11+IF(E38&gt;20000,20000*O$15+(E38-20000)*O$19,E38*O$15)+IF(B38&gt;50,(B38-50)*O$25,0),0)</f>
        <v>11606</v>
      </c>
      <c r="H38" s="51"/>
      <c r="I38" s="51">
        <f>ROUND(+Q$11+IF(E38&gt;20000,20000*Q$15+(E38-20000)*Q$19,E38*Q$15)+IF(B38&gt;50,(B38-50)*Q$25,0),0)</f>
        <v>13358</v>
      </c>
      <c r="J38" s="51"/>
      <c r="K38" s="4">
        <f>ROUND((I38-G38)/G38,4)</f>
        <v>0.151</v>
      </c>
      <c r="L38" s="4"/>
      <c r="M38" s="4"/>
      <c r="N38" s="14" t="str">
        <f>+N21</f>
        <v>kW - First 50</v>
      </c>
      <c r="O38" s="71">
        <v>0</v>
      </c>
      <c r="P38" s="71"/>
      <c r="Q38" s="71">
        <v>0</v>
      </c>
      <c r="S38" s="8"/>
    </row>
    <row r="39" spans="2:19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9"/>
      <c r="N39" s="14" t="str">
        <f>+N23</f>
        <v>Winter kW - Over 50</v>
      </c>
      <c r="O39" s="71">
        <v>9.2200000000000006</v>
      </c>
      <c r="P39" s="71"/>
      <c r="Q39" s="71">
        <v>9.2200000000000006</v>
      </c>
      <c r="S39" s="8">
        <f t="shared" si="1"/>
        <v>0</v>
      </c>
    </row>
    <row r="40" spans="2:19" x14ac:dyDescent="0.25">
      <c r="N40" s="14" t="str">
        <f>+N24</f>
        <v>Summer kW - Over 50</v>
      </c>
      <c r="O40" s="71">
        <v>4.54</v>
      </c>
      <c r="P40" s="71"/>
      <c r="Q40" s="71">
        <v>4.54</v>
      </c>
      <c r="S40" s="8">
        <f t="shared" si="1"/>
        <v>0</v>
      </c>
    </row>
    <row r="41" spans="2:19" x14ac:dyDescent="0.25">
      <c r="C41" s="2"/>
      <c r="N41" s="14" t="str">
        <f t="shared" ref="N41" si="3">+N25</f>
        <v>Average kW - Over 50</v>
      </c>
      <c r="O41" s="71">
        <v>6.35</v>
      </c>
      <c r="P41" s="71"/>
      <c r="Q41" s="71">
        <v>6.35</v>
      </c>
      <c r="S41" s="8">
        <f t="shared" si="1"/>
        <v>0</v>
      </c>
    </row>
    <row r="42" spans="2:19" ht="15.75" x14ac:dyDescent="0.25">
      <c r="B42" s="17" t="s">
        <v>27</v>
      </c>
      <c r="C42" s="2"/>
      <c r="N42" s="14" t="str">
        <f>+N27</f>
        <v>kVarh</v>
      </c>
      <c r="O42" s="72">
        <v>2.9299999999999999E-3</v>
      </c>
      <c r="P42" s="72"/>
      <c r="Q42" s="72">
        <v>2.9299999999999999E-3</v>
      </c>
      <c r="S42" s="8">
        <f t="shared" si="1"/>
        <v>0</v>
      </c>
    </row>
    <row r="43" spans="2:19" ht="16.5" x14ac:dyDescent="0.25">
      <c r="B43" s="181" t="s">
        <v>286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O43" s="73"/>
      <c r="P43" s="73"/>
      <c r="Q43" s="73"/>
    </row>
    <row r="44" spans="2:19" ht="16.5" x14ac:dyDescent="0.25">
      <c r="B44" s="181" t="s">
        <v>60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N44" s="70" t="str">
        <f>+'Res Bill RY#1'!P23</f>
        <v>Schedule 95 - PCORC</v>
      </c>
      <c r="O44" s="73">
        <v>3.6338751446693849E-3</v>
      </c>
      <c r="P44" s="73"/>
      <c r="Q44" s="73">
        <v>0</v>
      </c>
    </row>
    <row r="45" spans="2:19" x14ac:dyDescent="0.25">
      <c r="B45" s="181" t="s">
        <v>134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N45" s="70" t="str">
        <f>+'Res Bill RY#1'!P24</f>
        <v>Schedule 95 - PCA</v>
      </c>
      <c r="O45" s="73">
        <v>1.8524867967086855E-3</v>
      </c>
      <c r="P45" s="73"/>
      <c r="Q45" s="73">
        <v>0</v>
      </c>
    </row>
    <row r="46" spans="2:19" x14ac:dyDescent="0.25">
      <c r="B46" s="181" t="s">
        <v>135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N46" s="70" t="str">
        <f>+'Res Bill RY#1'!P25</f>
        <v>Schedule 95A - Fed Inc Credit</v>
      </c>
      <c r="O46" s="73">
        <v>-1.2149999999999999E-3</v>
      </c>
      <c r="P46" s="73"/>
      <c r="Q46" s="73">
        <f t="shared" ref="Q46:Q50" si="4">+O46</f>
        <v>-1.2149999999999999E-3</v>
      </c>
    </row>
    <row r="47" spans="2:19" x14ac:dyDescent="0.25">
      <c r="B47" s="151"/>
      <c r="N47" s="70" t="str">
        <f>+'Res Bill RY#1'!P26</f>
        <v>Schedule 120 - Conservation</v>
      </c>
      <c r="O47" s="73">
        <v>3.4199999999999999E-3</v>
      </c>
      <c r="P47" s="73"/>
      <c r="Q47" s="73">
        <f t="shared" si="4"/>
        <v>3.4199999999999999E-3</v>
      </c>
    </row>
    <row r="48" spans="2:19" x14ac:dyDescent="0.25">
      <c r="N48" s="70" t="str">
        <f>+'Res Bill RY#1'!P27</f>
        <v>Schedule 129 - Low Income</v>
      </c>
      <c r="O48" s="73">
        <v>-1.8E-5</v>
      </c>
      <c r="P48" s="73"/>
      <c r="Q48" s="73">
        <f t="shared" si="4"/>
        <v>-1.8E-5</v>
      </c>
    </row>
    <row r="49" spans="14:17" x14ac:dyDescent="0.25">
      <c r="N49" s="70" t="str">
        <f>+'Res Bill RY#1'!P28</f>
        <v>Schedule 137 - REC</v>
      </c>
      <c r="O49" s="73">
        <v>-1.8E-5</v>
      </c>
      <c r="P49" s="73"/>
      <c r="Q49" s="73">
        <f t="shared" si="4"/>
        <v>-1.8E-5</v>
      </c>
    </row>
    <row r="50" spans="14:17" x14ac:dyDescent="0.25">
      <c r="N50" s="70" t="str">
        <f>+'Res Bill RY#1'!P29</f>
        <v>Schedule 140 - Property Tax</v>
      </c>
      <c r="O50" s="73">
        <v>2.4289999999999997E-3</v>
      </c>
      <c r="P50" s="71"/>
      <c r="Q50" s="73">
        <f t="shared" si="4"/>
        <v>2.4289999999999997E-3</v>
      </c>
    </row>
    <row r="51" spans="14:17" x14ac:dyDescent="0.25">
      <c r="N51" s="70" t="str">
        <f>+'Res Bill RY#1'!P30</f>
        <v>Schedule 141C - Colstrip</v>
      </c>
      <c r="O51" s="73">
        <v>0</v>
      </c>
      <c r="Q51" s="73">
        <v>2.666E-3</v>
      </c>
    </row>
    <row r="52" spans="14:17" x14ac:dyDescent="0.25">
      <c r="N52" s="70" t="str">
        <f>+'Res Bill RY#1'!P31</f>
        <v>Schedule 141N - Non Refundable MYRP</v>
      </c>
      <c r="O52" s="73">
        <v>0</v>
      </c>
      <c r="Q52" s="73">
        <v>1.0456E-2</v>
      </c>
    </row>
    <row r="53" spans="14:17" x14ac:dyDescent="0.25">
      <c r="N53" s="70" t="str">
        <f>+'Res Bill RY#1'!P32</f>
        <v>Schedule 141R - Refundable MYRP</v>
      </c>
      <c r="O53" s="73">
        <v>0</v>
      </c>
      <c r="Q53" s="73">
        <v>4.4460000000000003E-3</v>
      </c>
    </row>
    <row r="54" spans="14:17" x14ac:dyDescent="0.25">
      <c r="N54" s="70" t="str">
        <f>+'Res Bill RY#1'!P33</f>
        <v xml:space="preserve">Schedule 141X- Tax Passback </v>
      </c>
      <c r="O54" s="73">
        <v>7.1400000000000001E-4</v>
      </c>
      <c r="P54" s="71"/>
      <c r="Q54" s="73">
        <v>0</v>
      </c>
    </row>
    <row r="55" spans="14:17" x14ac:dyDescent="0.25">
      <c r="N55" s="70" t="str">
        <f>+'Res Bill RY#1'!P34</f>
        <v>Schedule 141Z - Tax</v>
      </c>
      <c r="O55" s="73">
        <v>-6.69E-4</v>
      </c>
      <c r="P55" s="73"/>
      <c r="Q55" s="73">
        <v>0</v>
      </c>
    </row>
    <row r="56" spans="14:17" x14ac:dyDescent="0.25">
      <c r="N56" s="70" t="str">
        <f>+'Res Bill RY#1'!P35</f>
        <v>Schedule 142 - Decoupling</v>
      </c>
      <c r="O56" s="73">
        <v>2.9560000000000003E-3</v>
      </c>
      <c r="P56" s="73"/>
      <c r="Q56" s="73">
        <f>+O56</f>
        <v>2.9560000000000003E-3</v>
      </c>
    </row>
    <row r="57" spans="14:17" x14ac:dyDescent="0.25">
      <c r="N57" s="70" t="str">
        <f>+'Res Bill RY#1'!P36</f>
        <v>Schedule 142 - Decoupling Supplemental</v>
      </c>
      <c r="O57" s="73">
        <v>-6.1000000000000019E-5</v>
      </c>
      <c r="Q57" s="73">
        <v>0</v>
      </c>
    </row>
    <row r="58" spans="14:17" x14ac:dyDescent="0.25">
      <c r="N58" s="70" t="str">
        <f>+'Res Bill RY#1'!P37</f>
        <v>Schedule 194 - BPA Exch Credit</v>
      </c>
      <c r="O58" s="73">
        <v>-6.689136E-3</v>
      </c>
      <c r="P58" s="73"/>
      <c r="Q58" s="73">
        <f>+O58</f>
        <v>-6.689136E-3</v>
      </c>
    </row>
    <row r="62" spans="14:17" x14ac:dyDescent="0.25">
      <c r="N62" s="7" t="s">
        <v>124</v>
      </c>
      <c r="O62" s="6">
        <f>+'Rate Impacts_RY#1'!H12</f>
        <v>-4.9957586162855047E-3</v>
      </c>
    </row>
    <row r="63" spans="14:17" x14ac:dyDescent="0.25">
      <c r="N63" s="60" t="s">
        <v>125</v>
      </c>
      <c r="O63" s="6">
        <f>+'Rate Impacts_RY#1'!AM12</f>
        <v>7.15461836464832E-2</v>
      </c>
    </row>
  </sheetData>
  <mergeCells count="7">
    <mergeCell ref="B45:L45"/>
    <mergeCell ref="B46:L46"/>
    <mergeCell ref="N8:O8"/>
    <mergeCell ref="P8:Q8"/>
    <mergeCell ref="G6:I6"/>
    <mergeCell ref="B43:L43"/>
    <mergeCell ref="B44:L44"/>
  </mergeCells>
  <printOptions horizontalCentered="1"/>
  <pageMargins left="0.7" right="0.7" top="0.75" bottom="0.71" header="0.3" footer="0.3"/>
  <pageSetup scale="53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14" customWidth="1"/>
    <col min="2" max="2" width="11.5703125" style="14" customWidth="1"/>
    <col min="3" max="3" width="2.7109375" style="14" customWidth="1"/>
    <col min="4" max="4" width="13.7109375" style="14" bestFit="1" customWidth="1"/>
    <col min="5" max="5" width="9" style="14" bestFit="1" customWidth="1"/>
    <col min="6" max="6" width="3.85546875" style="14" customWidth="1"/>
    <col min="7" max="7" width="13" style="14" bestFit="1" customWidth="1"/>
    <col min="8" max="8" width="4" style="14" customWidth="1"/>
    <col min="9" max="9" width="14.28515625" style="14" bestFit="1" customWidth="1"/>
    <col min="10" max="10" width="5" style="14" customWidth="1"/>
    <col min="11" max="11" width="9.85546875" style="14" bestFit="1" customWidth="1"/>
    <col min="12" max="12" width="2.7109375" style="14" customWidth="1"/>
    <col min="13" max="13" width="3.28515625" style="14" customWidth="1"/>
    <col min="14" max="14" width="43.5703125" style="14" bestFit="1" customWidth="1"/>
    <col min="15" max="17" width="14.28515625" style="14" bestFit="1" customWidth="1"/>
    <col min="18" max="18" width="2.42578125" style="14" customWidth="1"/>
    <col min="19" max="19" width="7.5703125" style="14" customWidth="1"/>
    <col min="20" max="16384" width="9.42578125" style="14"/>
  </cols>
  <sheetData>
    <row r="1" spans="1:19" ht="20.25" x14ac:dyDescent="0.3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9"/>
      <c r="M1" s="49"/>
    </row>
    <row r="2" spans="1:19" ht="20.25" x14ac:dyDescent="0.3">
      <c r="B2" s="40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9"/>
      <c r="M2" s="49"/>
    </row>
    <row r="3" spans="1:19" ht="20.25" x14ac:dyDescent="0.3">
      <c r="B3" s="40" t="s">
        <v>91</v>
      </c>
      <c r="C3" s="40"/>
      <c r="D3" s="40"/>
      <c r="E3" s="40"/>
      <c r="F3" s="40"/>
      <c r="G3" s="40"/>
      <c r="H3" s="40"/>
      <c r="I3" s="40"/>
      <c r="J3" s="40"/>
      <c r="K3" s="40"/>
      <c r="L3" s="49"/>
      <c r="M3" s="49"/>
    </row>
    <row r="4" spans="1:19" ht="20.25" x14ac:dyDescent="0.3">
      <c r="B4" s="50" t="s">
        <v>92</v>
      </c>
      <c r="C4" s="40"/>
      <c r="D4" s="40"/>
      <c r="E4" s="40"/>
      <c r="F4" s="40"/>
      <c r="G4" s="40"/>
      <c r="H4" s="40"/>
      <c r="I4" s="40"/>
      <c r="J4" s="40"/>
      <c r="K4" s="40"/>
      <c r="L4" s="49"/>
      <c r="M4" s="49"/>
    </row>
    <row r="5" spans="1:19" x14ac:dyDescent="0.25">
      <c r="A5" s="16"/>
      <c r="B5" s="48"/>
    </row>
    <row r="6" spans="1:19" ht="15.75" x14ac:dyDescent="0.25">
      <c r="A6" s="16"/>
      <c r="B6" s="46" t="s">
        <v>76</v>
      </c>
      <c r="C6" s="20"/>
      <c r="D6" s="20"/>
      <c r="E6" s="20"/>
      <c r="F6" s="20"/>
      <c r="G6" s="186" t="s">
        <v>75</v>
      </c>
      <c r="H6" s="187"/>
      <c r="I6" s="187"/>
      <c r="J6" s="20"/>
      <c r="K6" s="17"/>
      <c r="L6" s="16"/>
      <c r="M6" s="16"/>
    </row>
    <row r="7" spans="1:19" ht="16.5" thickBot="1" x14ac:dyDescent="0.3">
      <c r="A7" s="16"/>
      <c r="B7" s="47" t="s">
        <v>74</v>
      </c>
      <c r="C7" s="37"/>
      <c r="D7" s="46" t="s">
        <v>73</v>
      </c>
      <c r="E7" s="20"/>
      <c r="F7" s="20"/>
      <c r="G7" s="45" t="s">
        <v>72</v>
      </c>
      <c r="H7" s="17"/>
      <c r="I7" s="45" t="s">
        <v>8</v>
      </c>
      <c r="J7" s="20"/>
      <c r="K7" s="37" t="s">
        <v>55</v>
      </c>
      <c r="L7" s="16"/>
      <c r="M7" s="16"/>
    </row>
    <row r="8" spans="1:19" ht="16.5" x14ac:dyDescent="0.25">
      <c r="A8" s="16"/>
      <c r="B8" s="34" t="s">
        <v>71</v>
      </c>
      <c r="C8" s="32"/>
      <c r="D8" s="44" t="s">
        <v>70</v>
      </c>
      <c r="E8" s="34" t="s">
        <v>41</v>
      </c>
      <c r="F8" s="20"/>
      <c r="G8" s="43" t="s">
        <v>113</v>
      </c>
      <c r="H8" s="43"/>
      <c r="I8" s="43" t="s">
        <v>114</v>
      </c>
      <c r="J8" s="20"/>
      <c r="K8" s="35" t="s">
        <v>9</v>
      </c>
      <c r="L8" s="16"/>
      <c r="M8" s="16"/>
      <c r="N8" s="182" t="s">
        <v>52</v>
      </c>
      <c r="O8" s="184"/>
      <c r="P8" s="185" t="s">
        <v>51</v>
      </c>
      <c r="Q8" s="184"/>
      <c r="R8" s="71"/>
    </row>
    <row r="9" spans="1:19" ht="15.75" x14ac:dyDescent="0.25">
      <c r="A9" s="16"/>
      <c r="B9" s="20"/>
      <c r="C9" s="20"/>
      <c r="D9" s="20"/>
      <c r="E9" s="20"/>
      <c r="F9" s="20"/>
      <c r="G9" s="32"/>
      <c r="H9" s="32"/>
      <c r="I9" s="32"/>
      <c r="J9" s="17"/>
      <c r="K9" s="17"/>
      <c r="N9" s="28"/>
      <c r="O9" s="30"/>
      <c r="P9" s="9"/>
      <c r="Q9" s="30"/>
      <c r="R9" s="71"/>
    </row>
    <row r="10" spans="1:19" ht="15.75" x14ac:dyDescent="0.25">
      <c r="A10" s="16"/>
      <c r="B10" s="20">
        <v>350</v>
      </c>
      <c r="C10" s="20"/>
      <c r="D10" s="20">
        <v>300</v>
      </c>
      <c r="E10" s="23">
        <f>ROUND((B$10*D10),0)</f>
        <v>105000</v>
      </c>
      <c r="F10" s="20"/>
      <c r="G10" s="21">
        <f>+O$10+$B10*O$16+$E10*O$12</f>
        <v>11473.958043015999</v>
      </c>
      <c r="H10" s="21"/>
      <c r="I10" s="21">
        <f>+Q$10+$B10*Q$16+$E10*Q$12</f>
        <v>12333.710000000001</v>
      </c>
      <c r="J10" s="20"/>
      <c r="K10" s="18">
        <f>ROUND((+I10-G10)/G10,3)</f>
        <v>7.4999999999999997E-2</v>
      </c>
      <c r="L10" s="16"/>
      <c r="M10" s="16"/>
      <c r="N10" s="28" t="s">
        <v>48</v>
      </c>
      <c r="O10" s="189">
        <f>SUM(O21)</f>
        <v>358.11</v>
      </c>
      <c r="P10" s="28" t="str">
        <f>+N10</f>
        <v>Basic Charge</v>
      </c>
      <c r="Q10" s="189">
        <f>SUM(Q21)</f>
        <v>358.11</v>
      </c>
      <c r="R10" s="27"/>
      <c r="S10" s="8">
        <f>(Q10-O10)/O10</f>
        <v>0</v>
      </c>
    </row>
    <row r="11" spans="1:19" ht="15.75" x14ac:dyDescent="0.25">
      <c r="A11" s="16"/>
      <c r="B11" s="20">
        <f>+B10</f>
        <v>350</v>
      </c>
      <c r="C11" s="20"/>
      <c r="D11" s="20">
        <v>500</v>
      </c>
      <c r="E11" s="23">
        <f>ROUND((B$10*D11),0)</f>
        <v>175000</v>
      </c>
      <c r="F11" s="20"/>
      <c r="G11" s="21">
        <f>+O$10+$B11*O$16+$E11*O$12</f>
        <v>16411.190071693331</v>
      </c>
      <c r="H11" s="21"/>
      <c r="I11" s="21">
        <f>+Q$10+$B11*Q$16+$E11*Q$12</f>
        <v>17893.11</v>
      </c>
      <c r="J11" s="20"/>
      <c r="K11" s="18">
        <f>ROUND((+I11-G11)/G11,3)</f>
        <v>0.09</v>
      </c>
      <c r="L11" s="16"/>
      <c r="M11" s="16"/>
      <c r="N11" s="28"/>
      <c r="O11" s="195"/>
      <c r="P11" s="9"/>
      <c r="Q11" s="195"/>
      <c r="R11" s="71"/>
    </row>
    <row r="12" spans="1:19" ht="15.75" x14ac:dyDescent="0.25">
      <c r="A12" s="16"/>
      <c r="B12" s="20">
        <f>+B11</f>
        <v>350</v>
      </c>
      <c r="C12" s="20"/>
      <c r="D12" s="20">
        <v>700</v>
      </c>
      <c r="E12" s="23">
        <f>ROUND((B$10*D12),0)</f>
        <v>245000</v>
      </c>
      <c r="F12" s="20"/>
      <c r="G12" s="21">
        <f>+O$10+$B12*O$16+$E12*O$12</f>
        <v>21348.422100370666</v>
      </c>
      <c r="H12" s="21"/>
      <c r="I12" s="21">
        <f>+Q$10+$B12*Q$16+$E12*Q$12</f>
        <v>23452.510000000002</v>
      </c>
      <c r="J12" s="20"/>
      <c r="K12" s="18">
        <f>ROUND((+I12-G12)/G12,3)</f>
        <v>9.9000000000000005E-2</v>
      </c>
      <c r="N12" s="29" t="s">
        <v>81</v>
      </c>
      <c r="O12" s="191">
        <f>SUM(O22,O28:O40,O42)</f>
        <v>7.0531886123961898E-2</v>
      </c>
      <c r="P12" s="28" t="str">
        <f>+N12</f>
        <v>kWh - All</v>
      </c>
      <c r="Q12" s="191">
        <f>SUM(Q22,Q28:Q40,Q42)</f>
        <v>7.9420000000000004E-2</v>
      </c>
      <c r="R12" s="71"/>
      <c r="S12" s="8">
        <f>(Q12-O12)/O12</f>
        <v>0.12601554225300285</v>
      </c>
    </row>
    <row r="13" spans="1:19" x14ac:dyDescent="0.25">
      <c r="A13" s="16"/>
      <c r="L13" s="16"/>
      <c r="M13" s="16"/>
      <c r="N13" s="29"/>
      <c r="O13" s="191"/>
      <c r="P13" s="29"/>
      <c r="Q13" s="191"/>
      <c r="R13" s="71"/>
      <c r="S13" s="10"/>
    </row>
    <row r="14" spans="1:19" ht="15.75" x14ac:dyDescent="0.25">
      <c r="A14" s="16"/>
      <c r="B14" s="20">
        <f>+B12+50</f>
        <v>400</v>
      </c>
      <c r="C14" s="20"/>
      <c r="D14" s="20">
        <v>300</v>
      </c>
      <c r="E14" s="23">
        <f>ROUND((B$14*D14),0)</f>
        <v>120000</v>
      </c>
      <c r="F14" s="20"/>
      <c r="G14" s="21">
        <f>+O$10+$B14*O$16+$E14*O$12</f>
        <v>13061.936334875429</v>
      </c>
      <c r="H14" s="21"/>
      <c r="I14" s="21">
        <f>+Q$10+$B14*Q$16+$E14*Q$12</f>
        <v>14044.509999999998</v>
      </c>
      <c r="J14" s="20"/>
      <c r="K14" s="18">
        <f>ROUND((+I14-G14)/G14,3)</f>
        <v>7.4999999999999997E-2</v>
      </c>
      <c r="L14" s="16"/>
      <c r="M14" s="16"/>
      <c r="N14" s="29" t="s">
        <v>80</v>
      </c>
      <c r="O14" s="189">
        <f>SUM(O23,O41,O43)</f>
        <v>12.55</v>
      </c>
      <c r="P14" s="28" t="str">
        <f>+N14</f>
        <v>Winter kW</v>
      </c>
      <c r="Q14" s="189">
        <f>SUM(Q23,Q41,Q43)</f>
        <v>12.34</v>
      </c>
      <c r="R14" s="71"/>
      <c r="S14" s="8">
        <f>(Q14-O14)/O14</f>
        <v>-1.6733067729083732E-2</v>
      </c>
    </row>
    <row r="15" spans="1:19" ht="15.75" x14ac:dyDescent="0.25">
      <c r="A15" s="16"/>
      <c r="B15" s="20">
        <f>+B14</f>
        <v>400</v>
      </c>
      <c r="C15" s="20"/>
      <c r="D15" s="20">
        <v>500</v>
      </c>
      <c r="E15" s="23">
        <f>ROUND((B$14*D15),0)</f>
        <v>200000</v>
      </c>
      <c r="F15" s="20"/>
      <c r="G15" s="21">
        <f>+O$10+$B15*O$16+$E15*O$12</f>
        <v>18704.487224792378</v>
      </c>
      <c r="H15" s="21"/>
      <c r="I15" s="21">
        <f>+Q$10+$B15*Q$16+$E15*Q$12</f>
        <v>20398.11</v>
      </c>
      <c r="J15" s="20"/>
      <c r="K15" s="18">
        <f>ROUND((+I15-G15)/G15,3)</f>
        <v>9.0999999999999998E-2</v>
      </c>
      <c r="L15" s="16"/>
      <c r="M15" s="16"/>
      <c r="N15" s="29" t="s">
        <v>79</v>
      </c>
      <c r="O15" s="189">
        <f>SUM(O24,O41,O43)</f>
        <v>8.57</v>
      </c>
      <c r="P15" s="28" t="str">
        <f>+N15</f>
        <v>Summer kW</v>
      </c>
      <c r="Q15" s="189">
        <f>SUM(Q24,Q41,Q43)</f>
        <v>8.36</v>
      </c>
      <c r="R15" s="71"/>
      <c r="S15" s="8">
        <f>(Q15-O15)/O15</f>
        <v>-2.4504084014002434E-2</v>
      </c>
    </row>
    <row r="16" spans="1:19" ht="15.75" x14ac:dyDescent="0.25">
      <c r="A16" s="16"/>
      <c r="B16" s="20">
        <f>+B15</f>
        <v>400</v>
      </c>
      <c r="C16" s="20"/>
      <c r="D16" s="20">
        <v>700</v>
      </c>
      <c r="E16" s="23">
        <f>ROUND((B$14*D16),0)</f>
        <v>280000</v>
      </c>
      <c r="F16" s="20"/>
      <c r="G16" s="21">
        <f>+O$10+$B16*O$16+$E16*O$12</f>
        <v>24347.038114709332</v>
      </c>
      <c r="H16" s="21"/>
      <c r="I16" s="21">
        <f>+Q$10+$B16*Q$16+$E16*Q$12</f>
        <v>26751.710000000003</v>
      </c>
      <c r="J16" s="20"/>
      <c r="K16" s="18">
        <f>ROUND((+I16-G16)/G16,3)</f>
        <v>9.9000000000000005E-2</v>
      </c>
      <c r="N16" s="29" t="s">
        <v>78</v>
      </c>
      <c r="O16" s="189">
        <f>SUM(O25,O41,O43)</f>
        <v>10.600000000000001</v>
      </c>
      <c r="P16" s="28" t="str">
        <f>+N16</f>
        <v>Average kW</v>
      </c>
      <c r="Q16" s="189">
        <f>SUM(Q25,Q41,Q43)</f>
        <v>10.39</v>
      </c>
      <c r="R16" s="71"/>
      <c r="S16" s="8">
        <f>(Q16-O16)/O16</f>
        <v>-1.981132075471706E-2</v>
      </c>
    </row>
    <row r="17" spans="1:19" ht="15.75" x14ac:dyDescent="0.25">
      <c r="A17" s="16"/>
      <c r="B17" s="20"/>
      <c r="C17" s="20"/>
      <c r="D17" s="20"/>
      <c r="E17" s="20"/>
      <c r="F17" s="20"/>
      <c r="G17" s="21"/>
      <c r="H17" s="21"/>
      <c r="I17" s="21"/>
      <c r="J17" s="17"/>
      <c r="K17" s="19"/>
      <c r="L17" s="16"/>
      <c r="M17" s="16"/>
      <c r="N17" s="28"/>
      <c r="O17" s="191"/>
      <c r="P17" s="28"/>
      <c r="Q17" s="191"/>
      <c r="R17" s="71"/>
    </row>
    <row r="18" spans="1:19" ht="15.75" x14ac:dyDescent="0.25">
      <c r="A18" s="16"/>
      <c r="B18" s="20">
        <f>+B16+100</f>
        <v>500</v>
      </c>
      <c r="C18" s="20"/>
      <c r="D18" s="20">
        <v>300</v>
      </c>
      <c r="E18" s="23">
        <f>ROUND((B$18*D18),0)</f>
        <v>150000</v>
      </c>
      <c r="F18" s="20"/>
      <c r="G18" s="21">
        <f>+O$10+$B18*O$16+$E18*O$12</f>
        <v>16237.892918594285</v>
      </c>
      <c r="H18" s="21"/>
      <c r="I18" s="21">
        <f>+Q$10+$B18*Q$16+$E18*Q$12</f>
        <v>17466.11</v>
      </c>
      <c r="J18" s="20"/>
      <c r="K18" s="18">
        <f>ROUND((+I18-G18)/G18,3)</f>
        <v>7.5999999999999998E-2</v>
      </c>
      <c r="L18" s="16"/>
      <c r="M18" s="16"/>
      <c r="N18" s="28" t="s">
        <v>61</v>
      </c>
      <c r="O18" s="196">
        <f>SUM(O26)</f>
        <v>1.1199999999999999E-3</v>
      </c>
      <c r="P18" s="28" t="str">
        <f>+N18</f>
        <v>kVarh</v>
      </c>
      <c r="Q18" s="196">
        <f>SUM(Q26)</f>
        <v>1.1199999999999999E-3</v>
      </c>
      <c r="R18" s="71"/>
      <c r="S18" s="8">
        <f>(Q18-O18)/O18</f>
        <v>0</v>
      </c>
    </row>
    <row r="19" spans="1:19" ht="16.5" thickBot="1" x14ac:dyDescent="0.3">
      <c r="A19" s="16"/>
      <c r="B19" s="20">
        <f>+B18</f>
        <v>500</v>
      </c>
      <c r="C19" s="20"/>
      <c r="D19" s="20">
        <v>500</v>
      </c>
      <c r="E19" s="23">
        <f>ROUND((B$18*D19),0)</f>
        <v>250000</v>
      </c>
      <c r="F19" s="20"/>
      <c r="G19" s="21">
        <f>+O$10+$B19*O$16+$E19*O$12</f>
        <v>23291.081530990476</v>
      </c>
      <c r="H19" s="21"/>
      <c r="I19" s="21">
        <f>+Q$10+$B19*Q$16+$E19*Q$12</f>
        <v>25408.11</v>
      </c>
      <c r="J19" s="20"/>
      <c r="K19" s="18">
        <f>ROUND((+I19-G19)/G19,3)</f>
        <v>9.0999999999999998E-2</v>
      </c>
      <c r="L19" s="16"/>
      <c r="M19" s="16"/>
      <c r="N19" s="61" t="s">
        <v>6</v>
      </c>
      <c r="O19" s="197" t="s">
        <v>6</v>
      </c>
      <c r="P19" s="61" t="s">
        <v>6</v>
      </c>
      <c r="Q19" s="197" t="s">
        <v>6</v>
      </c>
      <c r="R19" s="71"/>
    </row>
    <row r="20" spans="1:19" ht="15.75" x14ac:dyDescent="0.25">
      <c r="A20" s="16"/>
      <c r="B20" s="20">
        <f>+B19</f>
        <v>500</v>
      </c>
      <c r="C20" s="20"/>
      <c r="D20" s="20">
        <v>700</v>
      </c>
      <c r="E20" s="23">
        <f>ROUND((B$18*D20),0)</f>
        <v>350000</v>
      </c>
      <c r="F20" s="20"/>
      <c r="G20" s="21">
        <f>+O$10+$B20*O$16+$E20*O$12</f>
        <v>30344.270143386664</v>
      </c>
      <c r="H20" s="21"/>
      <c r="I20" s="21">
        <f>+Q$10+$B20*Q$16+$E20*Q$12</f>
        <v>33350.11</v>
      </c>
      <c r="J20" s="20"/>
      <c r="K20" s="18">
        <f>ROUND((+I20-G20)/G20,3)</f>
        <v>9.9000000000000005E-2</v>
      </c>
      <c r="R20" s="71"/>
    </row>
    <row r="21" spans="1:19" ht="15.75" x14ac:dyDescent="0.25">
      <c r="A21" s="16"/>
      <c r="B21" s="20"/>
      <c r="C21" s="20"/>
      <c r="D21" s="20"/>
      <c r="E21" s="20"/>
      <c r="F21" s="20"/>
      <c r="G21" s="21"/>
      <c r="H21" s="21"/>
      <c r="I21" s="21"/>
      <c r="J21" s="17"/>
      <c r="K21" s="19"/>
      <c r="L21" s="16"/>
      <c r="M21" s="16"/>
      <c r="N21" s="14" t="str">
        <f>+N10</f>
        <v>Basic Charge</v>
      </c>
      <c r="O21" s="71">
        <v>358.11</v>
      </c>
      <c r="P21" s="73"/>
      <c r="Q21" s="71">
        <v>358.11</v>
      </c>
      <c r="R21" s="71"/>
      <c r="S21" s="8">
        <f t="shared" ref="S21:S26" si="0">(Q21-O21)/O21</f>
        <v>0</v>
      </c>
    </row>
    <row r="22" spans="1:19" ht="15.75" x14ac:dyDescent="0.25">
      <c r="A22" s="16"/>
      <c r="B22" s="20">
        <f>+B20+100</f>
        <v>600</v>
      </c>
      <c r="C22" s="20"/>
      <c r="D22" s="20">
        <v>300</v>
      </c>
      <c r="E22" s="23">
        <f>ROUND((B$22*D22),0)</f>
        <v>180000</v>
      </c>
      <c r="F22" s="20"/>
      <c r="G22" s="21">
        <f>+O$10+$B22*O$16+$E22*O$12</f>
        <v>19413.84950231314</v>
      </c>
      <c r="H22" s="21"/>
      <c r="I22" s="21">
        <f>+Q$10+$B22*Q$16+$E22*Q$12</f>
        <v>20887.71</v>
      </c>
      <c r="J22" s="20"/>
      <c r="K22" s="18">
        <f>ROUND((+I22-G22)/G22,3)</f>
        <v>7.5999999999999998E-2</v>
      </c>
      <c r="L22" s="16"/>
      <c r="M22" s="16"/>
      <c r="N22" s="14" t="str">
        <f>+N12</f>
        <v>kWh - All</v>
      </c>
      <c r="O22" s="73">
        <v>5.7328999999999998E-2</v>
      </c>
      <c r="P22" s="73"/>
      <c r="Q22" s="73">
        <v>5.6835999999999998E-2</v>
      </c>
      <c r="R22" s="71"/>
      <c r="S22" s="8">
        <f t="shared" si="0"/>
        <v>-8.5994871705419671E-3</v>
      </c>
    </row>
    <row r="23" spans="1:19" ht="15.75" x14ac:dyDescent="0.25">
      <c r="A23" s="16"/>
      <c r="B23" s="20">
        <f>+B22</f>
        <v>600</v>
      </c>
      <c r="C23" s="20"/>
      <c r="D23" s="20">
        <v>500</v>
      </c>
      <c r="E23" s="23">
        <f>ROUND((B$22*D23),0)</f>
        <v>300000</v>
      </c>
      <c r="F23" s="20"/>
      <c r="G23" s="21">
        <f>+O$10+$B23*O$16+$E23*O$12</f>
        <v>27877.67583718857</v>
      </c>
      <c r="H23" s="21"/>
      <c r="I23" s="21">
        <f>+Q$10+$B23*Q$16+$E23*Q$12</f>
        <v>30418.11</v>
      </c>
      <c r="J23" s="20"/>
      <c r="K23" s="18">
        <f>ROUND((+I23-G23)/G23,3)</f>
        <v>9.0999999999999998E-2</v>
      </c>
      <c r="L23" s="16"/>
      <c r="M23" s="16"/>
      <c r="N23" s="14" t="str">
        <f>+N14</f>
        <v>Winter kW</v>
      </c>
      <c r="O23" s="71">
        <v>11.94</v>
      </c>
      <c r="P23" s="73"/>
      <c r="Q23" s="71">
        <v>11.94</v>
      </c>
      <c r="R23" s="71"/>
      <c r="S23" s="8">
        <f t="shared" si="0"/>
        <v>0</v>
      </c>
    </row>
    <row r="24" spans="1:19" ht="15.75" x14ac:dyDescent="0.25">
      <c r="A24" s="16"/>
      <c r="B24" s="20">
        <f>+B23</f>
        <v>600</v>
      </c>
      <c r="C24" s="20"/>
      <c r="D24" s="20">
        <v>700</v>
      </c>
      <c r="E24" s="23">
        <f>ROUND((B$22*D24),0)</f>
        <v>420000</v>
      </c>
      <c r="F24" s="20"/>
      <c r="G24" s="21">
        <f>+O$10+$B24*O$16+$E24*O$12</f>
        <v>36341.502172063992</v>
      </c>
      <c r="H24" s="21"/>
      <c r="I24" s="21">
        <f>+Q$10+$B24*Q$16+$E24*Q$12</f>
        <v>39948.51</v>
      </c>
      <c r="J24" s="20"/>
      <c r="K24" s="18">
        <f>ROUND((+I24-G24)/G24,3)</f>
        <v>9.9000000000000005E-2</v>
      </c>
      <c r="N24" s="14" t="str">
        <f t="shared" ref="N24:N25" si="1">+N15</f>
        <v>Summer kW</v>
      </c>
      <c r="O24" s="71">
        <v>7.96</v>
      </c>
      <c r="P24" s="73"/>
      <c r="Q24" s="71">
        <v>7.96</v>
      </c>
      <c r="R24" s="71"/>
      <c r="S24" s="8">
        <f t="shared" si="0"/>
        <v>0</v>
      </c>
    </row>
    <row r="25" spans="1:19" ht="15.75" x14ac:dyDescent="0.25">
      <c r="A25" s="16"/>
      <c r="B25" s="20"/>
      <c r="C25" s="20"/>
      <c r="D25" s="20"/>
      <c r="E25" s="20"/>
      <c r="F25" s="20"/>
      <c r="G25" s="21"/>
      <c r="H25" s="21"/>
      <c r="I25" s="21"/>
      <c r="J25" s="17"/>
      <c r="K25" s="19"/>
      <c r="L25" s="16"/>
      <c r="M25" s="16"/>
      <c r="N25" s="14" t="str">
        <f t="shared" si="1"/>
        <v>Average kW</v>
      </c>
      <c r="O25" s="71">
        <v>9.99</v>
      </c>
      <c r="P25" s="73"/>
      <c r="Q25" s="71">
        <v>9.99</v>
      </c>
      <c r="R25" s="71"/>
      <c r="S25" s="8">
        <f t="shared" si="0"/>
        <v>0</v>
      </c>
    </row>
    <row r="26" spans="1:19" ht="15.75" x14ac:dyDescent="0.25">
      <c r="A26" s="16"/>
      <c r="B26" s="20">
        <f>+B24+100</f>
        <v>700</v>
      </c>
      <c r="C26" s="20"/>
      <c r="D26" s="20">
        <v>300</v>
      </c>
      <c r="E26" s="23">
        <f>ROUND((B$26*D26),0)</f>
        <v>210000</v>
      </c>
      <c r="F26" s="20"/>
      <c r="G26" s="21">
        <f>+O$10+$B26*O$16+$E26*O$12</f>
        <v>22589.806086031997</v>
      </c>
      <c r="H26" s="21"/>
      <c r="I26" s="21">
        <f>+Q$10+$B26*Q$16+$E26*Q$12</f>
        <v>24309.31</v>
      </c>
      <c r="J26" s="20"/>
      <c r="K26" s="18">
        <f>ROUND((+I26-G26)/G26,3)</f>
        <v>7.5999999999999998E-2</v>
      </c>
      <c r="L26" s="16"/>
      <c r="M26" s="16"/>
      <c r="N26" s="14" t="str">
        <f>+N18</f>
        <v>kVarh</v>
      </c>
      <c r="O26" s="72">
        <v>1.1199999999999999E-3</v>
      </c>
      <c r="P26" s="73"/>
      <c r="Q26" s="72">
        <v>1.1199999999999999E-3</v>
      </c>
      <c r="R26" s="71"/>
      <c r="S26" s="8">
        <f t="shared" si="0"/>
        <v>0</v>
      </c>
    </row>
    <row r="27" spans="1:19" ht="15.75" x14ac:dyDescent="0.25">
      <c r="A27" s="16"/>
      <c r="B27" s="20">
        <f>+B26</f>
        <v>700</v>
      </c>
      <c r="C27" s="20"/>
      <c r="D27" s="20">
        <v>500</v>
      </c>
      <c r="E27" s="23">
        <f>ROUND((B$26*D27),0)</f>
        <v>350000</v>
      </c>
      <c r="F27" s="20"/>
      <c r="G27" s="21">
        <f>+O$10+$B27*O$16+$E27*O$12</f>
        <v>32464.270143386664</v>
      </c>
      <c r="H27" s="21"/>
      <c r="I27" s="21">
        <f>+Q$10+$B27*Q$16+$E27*Q$12</f>
        <v>35428.11</v>
      </c>
      <c r="J27" s="20"/>
      <c r="K27" s="18">
        <f>ROUND((+I27-G27)/G27,3)</f>
        <v>9.0999999999999998E-2</v>
      </c>
      <c r="L27" s="16"/>
      <c r="M27" s="16"/>
      <c r="O27" s="73"/>
      <c r="Q27" s="73"/>
    </row>
    <row r="28" spans="1:19" ht="15.75" x14ac:dyDescent="0.25">
      <c r="A28" s="16"/>
      <c r="B28" s="20">
        <f>+B27</f>
        <v>700</v>
      </c>
      <c r="C28" s="20"/>
      <c r="D28" s="20">
        <v>700</v>
      </c>
      <c r="E28" s="23">
        <f>ROUND((B$26*D28),0)</f>
        <v>490000</v>
      </c>
      <c r="F28" s="20"/>
      <c r="G28" s="21">
        <f>+O$10+$B28*O$16+$E28*O$12</f>
        <v>42338.734200741332</v>
      </c>
      <c r="H28" s="21"/>
      <c r="I28" s="21">
        <f>+Q$10+$B28*Q$16+$E28*Q$12</f>
        <v>46546.91</v>
      </c>
      <c r="J28" s="20"/>
      <c r="K28" s="18">
        <f>ROUND((+I28-G28)/G28,3)</f>
        <v>9.9000000000000005E-2</v>
      </c>
      <c r="N28" s="70" t="str">
        <f>+'Schedule 26 Impacts'!N28</f>
        <v>Schedule 95 - PCORC</v>
      </c>
      <c r="O28" s="73">
        <v>3.1635777349284674E-3</v>
      </c>
      <c r="Q28" s="73">
        <v>0</v>
      </c>
    </row>
    <row r="29" spans="1:19" ht="15.75" x14ac:dyDescent="0.25">
      <c r="A29" s="16"/>
      <c r="B29" s="20"/>
      <c r="C29" s="20"/>
      <c r="D29" s="20"/>
      <c r="E29" s="20"/>
      <c r="F29" s="20"/>
      <c r="G29" s="21"/>
      <c r="H29" s="21"/>
      <c r="I29" s="21"/>
      <c r="J29" s="17"/>
      <c r="K29" s="19"/>
      <c r="L29" s="16"/>
      <c r="M29" s="16"/>
      <c r="N29" s="70" t="str">
        <f>+'Schedule 26 Impacts'!N29</f>
        <v>Schedule 95 - PCA</v>
      </c>
      <c r="O29" s="73">
        <v>2.1293083890334291E-3</v>
      </c>
      <c r="Q29" s="73">
        <v>0</v>
      </c>
    </row>
    <row r="30" spans="1:19" ht="15.75" x14ac:dyDescent="0.25">
      <c r="A30" s="16"/>
      <c r="B30" s="20">
        <f>+B28+100</f>
        <v>800</v>
      </c>
      <c r="C30" s="20"/>
      <c r="D30" s="20">
        <v>300</v>
      </c>
      <c r="E30" s="23">
        <f>ROUND((B$30*D30),0)</f>
        <v>240000</v>
      </c>
      <c r="F30" s="20"/>
      <c r="G30" s="21">
        <f>+O$10+$B30*O$16+$E30*O$12</f>
        <v>25765.76266975086</v>
      </c>
      <c r="H30" s="21"/>
      <c r="I30" s="21">
        <f>+Q$10+$B30*Q$16+$E30*Q$12</f>
        <v>27730.91</v>
      </c>
      <c r="J30" s="20"/>
      <c r="K30" s="18">
        <f>ROUND((+I30-G30)/G30,3)</f>
        <v>7.5999999999999998E-2</v>
      </c>
      <c r="L30" s="16"/>
      <c r="M30" s="16"/>
      <c r="N30" s="70" t="str">
        <f>+'Schedule 26 Impacts'!N30</f>
        <v>Schedule 95A - Fed Inc Credit</v>
      </c>
      <c r="O30" s="73">
        <v>-1.3439999999999999E-3</v>
      </c>
      <c r="Q30" s="73">
        <f t="shared" ref="Q30:Q34" si="2">+O30</f>
        <v>-1.3439999999999999E-3</v>
      </c>
    </row>
    <row r="31" spans="1:19" ht="15.75" x14ac:dyDescent="0.25">
      <c r="A31" s="16"/>
      <c r="B31" s="20">
        <f>+B30</f>
        <v>800</v>
      </c>
      <c r="C31" s="20"/>
      <c r="D31" s="20">
        <v>500</v>
      </c>
      <c r="E31" s="23">
        <f>ROUND((B$30*D31),0)</f>
        <v>400000</v>
      </c>
      <c r="F31" s="20"/>
      <c r="G31" s="21">
        <f>+O$10+$B31*O$16+$E31*O$12</f>
        <v>37050.864449584762</v>
      </c>
      <c r="H31" s="21"/>
      <c r="I31" s="21">
        <f>+Q$10+$B31*Q$16+$E31*Q$12</f>
        <v>40438.11</v>
      </c>
      <c r="J31" s="20"/>
      <c r="K31" s="18">
        <f>ROUND((+I31-G31)/G31,3)</f>
        <v>9.0999999999999998E-2</v>
      </c>
      <c r="L31" s="16"/>
      <c r="M31" s="16"/>
      <c r="N31" s="70" t="str">
        <f>+'Schedule 26 Impacts'!N31</f>
        <v>Schedule 120 - Conservation</v>
      </c>
      <c r="O31" s="73">
        <v>3.8219999999999999E-3</v>
      </c>
      <c r="Q31" s="73">
        <f t="shared" si="2"/>
        <v>3.8219999999999999E-3</v>
      </c>
    </row>
    <row r="32" spans="1:19" ht="15.75" x14ac:dyDescent="0.25">
      <c r="A32" s="16"/>
      <c r="B32" s="20">
        <f>+B31</f>
        <v>800</v>
      </c>
      <c r="C32" s="20"/>
      <c r="D32" s="20">
        <v>700</v>
      </c>
      <c r="E32" s="23">
        <f>ROUND((B$30*D32),0)</f>
        <v>560000</v>
      </c>
      <c r="F32" s="20"/>
      <c r="G32" s="21">
        <f>+O$10+$B32*O$16+$E32*O$12</f>
        <v>48335.966229418664</v>
      </c>
      <c r="H32" s="21"/>
      <c r="I32" s="21">
        <f>+Q$10+$B32*Q$16+$E32*Q$12</f>
        <v>53145.310000000005</v>
      </c>
      <c r="J32" s="20"/>
      <c r="K32" s="18">
        <f>ROUND((+I32-G32)/G32,3)</f>
        <v>9.9000000000000005E-2</v>
      </c>
      <c r="N32" s="70" t="str">
        <f>+'Schedule 26 Impacts'!N32</f>
        <v>Schedule 129 - Low Income</v>
      </c>
      <c r="O32" s="73">
        <v>1.1069999999999999E-3</v>
      </c>
      <c r="Q32" s="73">
        <f t="shared" si="2"/>
        <v>1.1069999999999999E-3</v>
      </c>
    </row>
    <row r="33" spans="1:17" ht="15.75" x14ac:dyDescent="0.25">
      <c r="A33" s="16"/>
      <c r="B33" s="20"/>
      <c r="C33" s="20"/>
      <c r="D33" s="20"/>
      <c r="E33" s="20"/>
      <c r="F33" s="20"/>
      <c r="G33" s="21"/>
      <c r="H33" s="21"/>
      <c r="I33" s="21"/>
      <c r="J33" s="17"/>
      <c r="K33" s="19"/>
      <c r="L33" s="16"/>
      <c r="M33" s="16"/>
      <c r="N33" s="70" t="str">
        <f>+'Schedule 26 Impacts'!N33</f>
        <v>Schedule 137 - REC</v>
      </c>
      <c r="O33" s="73">
        <v>-2.0000000000000002E-5</v>
      </c>
      <c r="Q33" s="73">
        <f t="shared" si="2"/>
        <v>-2.0000000000000002E-5</v>
      </c>
    </row>
    <row r="34" spans="1:17" ht="15.75" x14ac:dyDescent="0.25">
      <c r="A34" s="16"/>
      <c r="B34" s="20">
        <f>+B32+200</f>
        <v>1000</v>
      </c>
      <c r="C34" s="20"/>
      <c r="D34" s="20">
        <v>300</v>
      </c>
      <c r="E34" s="23">
        <f>ROUND((B$34*D34),0)</f>
        <v>300000</v>
      </c>
      <c r="F34" s="20"/>
      <c r="G34" s="21">
        <f>+O$10+$B34*O$16+$E34*O$12</f>
        <v>32117.675837188573</v>
      </c>
      <c r="H34" s="21"/>
      <c r="I34" s="21">
        <f>+Q$10+$B34*Q$16+$E34*Q$12</f>
        <v>34574.11</v>
      </c>
      <c r="J34" s="20"/>
      <c r="K34" s="18">
        <f>ROUND((+I34-G34)/G34,3)</f>
        <v>7.5999999999999998E-2</v>
      </c>
      <c r="L34" s="16"/>
      <c r="M34" s="16"/>
      <c r="N34" s="70" t="str">
        <f>+'Schedule 26 Impacts'!N34</f>
        <v>Schedule 140 - Property Tax</v>
      </c>
      <c r="O34" s="73">
        <v>2.222E-3</v>
      </c>
      <c r="Q34" s="73">
        <f t="shared" si="2"/>
        <v>2.222E-3</v>
      </c>
    </row>
    <row r="35" spans="1:17" ht="15.75" x14ac:dyDescent="0.25">
      <c r="A35" s="16"/>
      <c r="B35" s="20">
        <f>+B34</f>
        <v>1000</v>
      </c>
      <c r="C35" s="20"/>
      <c r="D35" s="20">
        <v>500</v>
      </c>
      <c r="E35" s="23">
        <f>ROUND((B$34*D35),0)</f>
        <v>500000</v>
      </c>
      <c r="F35" s="20"/>
      <c r="G35" s="21">
        <f>+O$10+$B35*O$16+$E35*O$12</f>
        <v>46224.053061980951</v>
      </c>
      <c r="H35" s="21"/>
      <c r="I35" s="21">
        <f>+Q$10+$B35*Q$16+$E35*Q$12</f>
        <v>50458.11</v>
      </c>
      <c r="J35" s="20"/>
      <c r="K35" s="18">
        <f>ROUND((+I35-G35)/G35,3)</f>
        <v>9.1999999999999998E-2</v>
      </c>
      <c r="L35" s="16"/>
      <c r="M35" s="16"/>
      <c r="N35" s="70" t="str">
        <f>+'Schedule 26 Impacts'!N35</f>
        <v>Schedule 141C - Colstrip</v>
      </c>
      <c r="O35" s="73">
        <v>0</v>
      </c>
      <c r="Q35" s="73">
        <v>2.2070000000000002E-3</v>
      </c>
    </row>
    <row r="36" spans="1:17" ht="15.75" x14ac:dyDescent="0.25">
      <c r="A36" s="16"/>
      <c r="B36" s="20">
        <f>+B35</f>
        <v>1000</v>
      </c>
      <c r="C36" s="20"/>
      <c r="D36" s="20">
        <v>700</v>
      </c>
      <c r="E36" s="23">
        <f>ROUND((B$34*D36),0)</f>
        <v>700000</v>
      </c>
      <c r="F36" s="20"/>
      <c r="G36" s="21">
        <f>+O$10+$B36*O$16+$E36*O$12</f>
        <v>60330.430286773328</v>
      </c>
      <c r="H36" s="21"/>
      <c r="I36" s="21">
        <f>+Q$10+$B36*Q$16+$E36*Q$12</f>
        <v>66342.11</v>
      </c>
      <c r="J36" s="20"/>
      <c r="K36" s="18">
        <f>ROUND((+I36-G36)/G36,3)</f>
        <v>0.1</v>
      </c>
      <c r="N36" s="70" t="str">
        <f>+'Schedule 26 Impacts'!N36</f>
        <v>Schedule 141N - Non Refundable MYRP</v>
      </c>
      <c r="O36" s="73">
        <v>0</v>
      </c>
      <c r="Q36" s="73">
        <v>9.0240000000000008E-3</v>
      </c>
    </row>
    <row r="37" spans="1:17" ht="15.75" x14ac:dyDescent="0.25">
      <c r="A37" s="16"/>
      <c r="B37" s="42"/>
      <c r="C37" s="42"/>
      <c r="D37" s="42"/>
      <c r="E37" s="42"/>
      <c r="F37" s="42"/>
      <c r="G37" s="42"/>
      <c r="H37" s="42"/>
      <c r="I37" s="42"/>
      <c r="J37" s="41"/>
      <c r="K37" s="41"/>
      <c r="L37" s="16"/>
      <c r="M37" s="16"/>
      <c r="N37" s="70" t="str">
        <f>+'Schedule 26 Impacts'!N37</f>
        <v>Schedule 141R - Refundable MYRP</v>
      </c>
      <c r="O37" s="73">
        <v>0</v>
      </c>
      <c r="Q37" s="73">
        <v>3.8370000000000001E-3</v>
      </c>
    </row>
    <row r="38" spans="1:17" ht="15.75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N38" s="70" t="str">
        <f>+'Schedule 26 Impacts'!N38</f>
        <v xml:space="preserve">Schedule 141X- Tax Passback </v>
      </c>
      <c r="O38" s="73">
        <v>6.38E-4</v>
      </c>
      <c r="Q38" s="73">
        <v>0</v>
      </c>
    </row>
    <row r="39" spans="1:17" ht="15.75" x14ac:dyDescent="0.25">
      <c r="B39" s="17" t="s">
        <v>27</v>
      </c>
      <c r="C39" s="17"/>
      <c r="D39" s="17"/>
      <c r="E39" s="17"/>
      <c r="F39" s="17"/>
      <c r="G39" s="17"/>
      <c r="H39" s="17"/>
      <c r="I39" s="17"/>
      <c r="J39" s="17"/>
      <c r="K39" s="17"/>
      <c r="N39" s="70" t="str">
        <f>+'Schedule 26 Impacts'!N39</f>
        <v>Schedule 141Z - Tax</v>
      </c>
      <c r="O39" s="73">
        <v>-5.9000000000000003E-4</v>
      </c>
      <c r="Q39" s="73">
        <v>0</v>
      </c>
    </row>
    <row r="40" spans="1:17" ht="16.5" x14ac:dyDescent="0.25">
      <c r="B40" s="181" t="s">
        <v>285</v>
      </c>
      <c r="C40" s="181"/>
      <c r="D40" s="181"/>
      <c r="E40" s="181"/>
      <c r="F40" s="181"/>
      <c r="G40" s="181"/>
      <c r="H40" s="181"/>
      <c r="I40" s="181"/>
      <c r="J40" s="181"/>
      <c r="K40" s="181"/>
      <c r="N40" s="70" t="str">
        <f>+'Schedule 26 Impacts'!N40</f>
        <v>Schedule 142 - Decoupling ($-kWh)</v>
      </c>
      <c r="O40" s="73">
        <v>1.7290000000000003E-3</v>
      </c>
      <c r="P40" s="73"/>
      <c r="Q40" s="73">
        <f>+O40</f>
        <v>1.7290000000000003E-3</v>
      </c>
    </row>
    <row r="41" spans="1:17" ht="16.5" x14ac:dyDescent="0.25">
      <c r="A41" s="16"/>
      <c r="B41" s="181" t="s">
        <v>60</v>
      </c>
      <c r="C41" s="181"/>
      <c r="D41" s="181"/>
      <c r="E41" s="181"/>
      <c r="F41" s="181"/>
      <c r="G41" s="181"/>
      <c r="H41" s="181"/>
      <c r="I41" s="181"/>
      <c r="J41" s="181"/>
      <c r="K41" s="181"/>
      <c r="N41" s="70" t="str">
        <f>+'Schedule 26 Impacts'!N41</f>
        <v>Schedule 142 - Decoupling ($-kW)</v>
      </c>
      <c r="O41" s="71">
        <v>0.4</v>
      </c>
      <c r="P41" s="71"/>
      <c r="Q41" s="71">
        <f>+O41</f>
        <v>0.4</v>
      </c>
    </row>
    <row r="42" spans="1:17" x14ac:dyDescent="0.25">
      <c r="A42" s="16"/>
      <c r="B42" s="181" t="s">
        <v>134</v>
      </c>
      <c r="C42" s="181"/>
      <c r="D42" s="181"/>
      <c r="E42" s="181"/>
      <c r="F42" s="181"/>
      <c r="G42" s="181"/>
      <c r="H42" s="181"/>
      <c r="I42" s="181"/>
      <c r="J42" s="181"/>
      <c r="K42" s="181"/>
      <c r="N42" s="70" t="str">
        <f>+'Schedule 26 Impacts'!N42</f>
        <v>Schedule 142 - Decoupling Supplemental ($-kWh)</v>
      </c>
      <c r="O42" s="73">
        <v>3.4600000000000001E-4</v>
      </c>
      <c r="Q42" s="73">
        <v>0</v>
      </c>
    </row>
    <row r="43" spans="1:17" x14ac:dyDescent="0.25">
      <c r="A43" s="16"/>
      <c r="B43" s="181" t="s">
        <v>135</v>
      </c>
      <c r="C43" s="181"/>
      <c r="D43" s="181"/>
      <c r="E43" s="181"/>
      <c r="F43" s="181"/>
      <c r="G43" s="181"/>
      <c r="H43" s="181"/>
      <c r="I43" s="181"/>
      <c r="J43" s="181"/>
      <c r="K43" s="181"/>
      <c r="N43" s="70" t="str">
        <f>+'Schedule 26 Impacts'!N43</f>
        <v>Schedule 142 - Decoupling Supplemental ($-kW)</v>
      </c>
      <c r="O43" s="71">
        <v>0.21</v>
      </c>
      <c r="Q43" s="71">
        <v>0</v>
      </c>
    </row>
    <row r="44" spans="1:17" x14ac:dyDescent="0.25">
      <c r="A44" s="16"/>
    </row>
    <row r="45" spans="1:17" x14ac:dyDescent="0.25">
      <c r="A45" s="16"/>
    </row>
    <row r="46" spans="1:17" x14ac:dyDescent="0.25">
      <c r="A46" s="16"/>
      <c r="N46" s="7" t="s">
        <v>124</v>
      </c>
      <c r="O46" s="6">
        <f>+'Rate Impacts_RY#1'!H14</f>
        <v>-4.9791663348080989E-3</v>
      </c>
    </row>
    <row r="47" spans="1:17" x14ac:dyDescent="0.25">
      <c r="A47" s="16"/>
      <c r="N47" s="60" t="s">
        <v>125</v>
      </c>
      <c r="O47" s="6">
        <f>+'Rate Impacts_RY#1'!AM14</f>
        <v>7.1943606970764212E-2</v>
      </c>
    </row>
    <row r="48" spans="1:17" x14ac:dyDescent="0.25">
      <c r="A48" s="16"/>
    </row>
    <row r="49" spans="1:1" x14ac:dyDescent="0.25">
      <c r="A49" s="16"/>
    </row>
  </sheetData>
  <mergeCells count="7">
    <mergeCell ref="B42:K42"/>
    <mergeCell ref="B43:K43"/>
    <mergeCell ref="G6:I6"/>
    <mergeCell ref="N8:O8"/>
    <mergeCell ref="P8:Q8"/>
    <mergeCell ref="B40:K40"/>
    <mergeCell ref="B41:K41"/>
  </mergeCells>
  <printOptions horizontalCentered="1"/>
  <pageMargins left="0.7" right="0.7" top="0.75" bottom="0.71" header="0.3" footer="0.3"/>
  <pageSetup scale="65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Normal="10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activeCell="C12" sqref="C12"/>
    </sheetView>
  </sheetViews>
  <sheetFormatPr defaultColWidth="9.42578125" defaultRowHeight="15" x14ac:dyDescent="0.25"/>
  <cols>
    <col min="1" max="1" width="2.28515625" style="14" customWidth="1"/>
    <col min="2" max="2" width="11.7109375" style="14" customWidth="1"/>
    <col min="3" max="3" width="12.42578125" style="14" bestFit="1" customWidth="1"/>
    <col min="4" max="4" width="3.5703125" style="14" customWidth="1"/>
    <col min="5" max="5" width="10.5703125" style="14" bestFit="1" customWidth="1"/>
    <col min="6" max="6" width="4.140625" style="14" customWidth="1"/>
    <col min="7" max="7" width="15.5703125" style="14" bestFit="1" customWidth="1"/>
    <col min="8" max="8" width="3.85546875" style="14" customWidth="1"/>
    <col min="9" max="9" width="15.5703125" style="14" bestFit="1" customWidth="1"/>
    <col min="10" max="10" width="3.28515625" style="14" customWidth="1"/>
    <col min="11" max="11" width="9.42578125" style="14" bestFit="1" customWidth="1"/>
    <col min="12" max="12" width="3.85546875" style="59" customWidth="1"/>
    <col min="13" max="13" width="37.42578125" style="14" bestFit="1" customWidth="1"/>
    <col min="14" max="14" width="15.28515625" style="14" bestFit="1" customWidth="1"/>
    <col min="15" max="15" width="9" style="14" bestFit="1" customWidth="1"/>
    <col min="16" max="16" width="18.140625" style="14" bestFit="1" customWidth="1"/>
    <col min="17" max="17" width="3.42578125" style="14" customWidth="1"/>
    <col min="18" max="18" width="7.7109375" style="14" bestFit="1" customWidth="1"/>
    <col min="19" max="16384" width="9.42578125" style="14"/>
  </cols>
  <sheetData>
    <row r="1" spans="1:18" ht="18.75" x14ac:dyDescent="0.3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</row>
    <row r="2" spans="1:18" ht="18.75" x14ac:dyDescent="0.3">
      <c r="B2" s="58" t="s">
        <v>43</v>
      </c>
      <c r="C2" s="58"/>
      <c r="D2" s="58"/>
      <c r="E2" s="58"/>
      <c r="F2" s="58"/>
      <c r="G2" s="58"/>
      <c r="H2" s="58"/>
      <c r="I2" s="58"/>
      <c r="J2" s="58"/>
      <c r="K2" s="58"/>
    </row>
    <row r="3" spans="1:18" ht="18.75" x14ac:dyDescent="0.3">
      <c r="B3" s="58" t="s">
        <v>99</v>
      </c>
      <c r="C3" s="58"/>
      <c r="D3" s="58"/>
      <c r="E3" s="58"/>
      <c r="F3" s="58"/>
      <c r="G3" s="58"/>
      <c r="H3" s="58"/>
      <c r="I3" s="58"/>
      <c r="J3" s="58"/>
      <c r="K3" s="58"/>
    </row>
    <row r="4" spans="1:18" ht="18.75" x14ac:dyDescent="0.3"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8" ht="18.75" x14ac:dyDescent="0.3"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8" ht="18.75" x14ac:dyDescent="0.3">
      <c r="A6" s="69"/>
      <c r="B6" s="15"/>
      <c r="C6" s="15"/>
      <c r="D6" s="15"/>
      <c r="E6" s="15"/>
      <c r="F6" s="15"/>
      <c r="G6" s="15"/>
      <c r="H6" s="15"/>
      <c r="I6" s="15"/>
      <c r="J6" s="15"/>
    </row>
    <row r="7" spans="1:18" ht="18.75" x14ac:dyDescent="0.3">
      <c r="A7" s="69"/>
      <c r="B7" s="15"/>
      <c r="C7" s="15"/>
      <c r="D7" s="15"/>
      <c r="E7" s="15"/>
      <c r="F7" s="15"/>
      <c r="G7" s="15"/>
      <c r="H7" s="15"/>
      <c r="I7" s="15"/>
      <c r="J7" s="15"/>
    </row>
    <row r="9" spans="1:18" ht="15.75" x14ac:dyDescent="0.25">
      <c r="B9" s="68" t="s">
        <v>98</v>
      </c>
      <c r="G9" s="186" t="s">
        <v>97</v>
      </c>
      <c r="H9" s="187"/>
      <c r="I9" s="187"/>
    </row>
    <row r="10" spans="1:18" ht="15.75" thickBot="1" x14ac:dyDescent="0.3">
      <c r="B10" s="56" t="s">
        <v>74</v>
      </c>
      <c r="C10" s="67" t="s">
        <v>96</v>
      </c>
      <c r="G10" s="15" t="s">
        <v>7</v>
      </c>
      <c r="I10" s="15" t="s">
        <v>95</v>
      </c>
      <c r="K10" s="15" t="s">
        <v>55</v>
      </c>
    </row>
    <row r="11" spans="1:18" ht="16.5" x14ac:dyDescent="0.25">
      <c r="B11" s="55" t="s">
        <v>71</v>
      </c>
      <c r="C11" s="54" t="s">
        <v>70</v>
      </c>
      <c r="D11" s="52"/>
      <c r="E11" s="11" t="s">
        <v>41</v>
      </c>
      <c r="F11" s="52"/>
      <c r="G11" s="43" t="s">
        <v>116</v>
      </c>
      <c r="H11" s="43"/>
      <c r="I11" s="43" t="s">
        <v>115</v>
      </c>
      <c r="K11" s="66" t="s">
        <v>9</v>
      </c>
      <c r="M11" s="65"/>
      <c r="N11" s="64" t="s">
        <v>52</v>
      </c>
      <c r="O11" s="63"/>
      <c r="P11" s="152" t="s">
        <v>51</v>
      </c>
    </row>
    <row r="12" spans="1:18" x14ac:dyDescent="0.25">
      <c r="G12" s="54"/>
      <c r="H12" s="52"/>
      <c r="I12" s="54"/>
      <c r="M12" s="28"/>
      <c r="N12" s="9"/>
      <c r="O12" s="9"/>
      <c r="P12" s="62"/>
    </row>
    <row r="13" spans="1:18" x14ac:dyDescent="0.25">
      <c r="B13" s="5">
        <v>1000</v>
      </c>
      <c r="C13" s="14">
        <v>300</v>
      </c>
      <c r="E13" s="5">
        <f>ROUND((B$13*C13),0)</f>
        <v>300000</v>
      </c>
      <c r="F13" s="5"/>
      <c r="G13" s="51">
        <f>ROUND(IF($B$13&gt;4400,$B$13*N$13,4400*$N$13)+$E13*N$14,0)</f>
        <v>31837</v>
      </c>
      <c r="H13" s="51"/>
      <c r="I13" s="51">
        <f>ROUND(IF($B$13&gt;4400,$B$13*P$13,4400*$N$13)+$E13*P$14,0)</f>
        <v>32721</v>
      </c>
      <c r="K13" s="4">
        <f>(I13-G13)/G13</f>
        <v>2.7766435279706004E-2</v>
      </c>
      <c r="M13" s="29" t="s">
        <v>94</v>
      </c>
      <c r="N13" s="188">
        <f>SUM(N17)</f>
        <v>3.04</v>
      </c>
      <c r="O13" s="9"/>
      <c r="P13" s="189">
        <f>SUM(P17)</f>
        <v>3.04</v>
      </c>
      <c r="R13" s="8">
        <f>(P13-N13)/N13</f>
        <v>0</v>
      </c>
    </row>
    <row r="14" spans="1:18" x14ac:dyDescent="0.25">
      <c r="C14" s="14">
        <v>500</v>
      </c>
      <c r="E14" s="5">
        <f>ROUND((B$13*C14),0)</f>
        <v>500000</v>
      </c>
      <c r="F14" s="5"/>
      <c r="G14" s="51">
        <f>ROUND(IF($B$13&gt;4400,$B$13*N$13,4400*$N$13)+$E14*N$14,0)</f>
        <v>44145</v>
      </c>
      <c r="H14" s="51"/>
      <c r="I14" s="51">
        <f>ROUND(IF($B$13&gt;4400,$B$13*P$13,4400*$N$13)+$E14*P$14,0)</f>
        <v>45618</v>
      </c>
      <c r="K14" s="4">
        <f>(I14-G14)/G14</f>
        <v>3.3367312266394833E-2</v>
      </c>
      <c r="M14" s="29" t="s">
        <v>93</v>
      </c>
      <c r="N14" s="190">
        <f>SUM(N18,N20:N33)</f>
        <v>6.1538229338682776E-2</v>
      </c>
      <c r="O14" s="9"/>
      <c r="P14" s="191">
        <f>SUM(P18,P20:P33)</f>
        <v>6.4484E-2</v>
      </c>
      <c r="R14" s="8">
        <f>(P14-N14)/N14</f>
        <v>4.7868953867762971E-2</v>
      </c>
    </row>
    <row r="15" spans="1:18" ht="15.75" thickBot="1" x14ac:dyDescent="0.3">
      <c r="C15" s="14">
        <v>700</v>
      </c>
      <c r="E15" s="5">
        <f>ROUND((B$13*C15),0)</f>
        <v>700000</v>
      </c>
      <c r="F15" s="5"/>
      <c r="G15" s="51">
        <f>ROUND(IF($B$13&gt;4400,$B$13*N$13,4400*$N$13)+$E15*N$14,0)</f>
        <v>56453</v>
      </c>
      <c r="H15" s="51"/>
      <c r="I15" s="51">
        <f>ROUND(IF($B$13&gt;4400,$B$13*P$13,4400*$N$13)+$E15*P$14,0)</f>
        <v>58515</v>
      </c>
      <c r="K15" s="4">
        <f>(I15-G15)/G15</f>
        <v>3.6525959647848653E-2</v>
      </c>
      <c r="M15" s="61" t="s">
        <v>6</v>
      </c>
      <c r="N15" s="192" t="s">
        <v>6</v>
      </c>
      <c r="O15" s="193"/>
      <c r="P15" s="194" t="s">
        <v>6</v>
      </c>
    </row>
    <row r="16" spans="1:18" x14ac:dyDescent="0.25">
      <c r="G16" s="51"/>
      <c r="H16" s="51"/>
      <c r="I16" s="51"/>
      <c r="K16" s="4"/>
    </row>
    <row r="17" spans="2:18" x14ac:dyDescent="0.25">
      <c r="B17" s="5">
        <v>2000</v>
      </c>
      <c r="C17" s="14">
        <v>300</v>
      </c>
      <c r="E17" s="5">
        <f>ROUND((B$17*C17),0)</f>
        <v>600000</v>
      </c>
      <c r="F17" s="5"/>
      <c r="G17" s="51">
        <f>ROUND(IF($B$17&gt;4400,$B$17*N$13,4400*$N$13)+$E17*N$14,0)</f>
        <v>50299</v>
      </c>
      <c r="H17" s="51"/>
      <c r="I17" s="51">
        <f>ROUND(IF($B$17&gt;4400,$B$17*P$13,4400*$N$13)+$E17*P$14,0)</f>
        <v>52066</v>
      </c>
      <c r="K17" s="4">
        <f>(I17-G17)/G17</f>
        <v>3.5129923060100599E-2</v>
      </c>
      <c r="M17" s="14" t="str">
        <f>+M13</f>
        <v>Demand ($ per kVa)</v>
      </c>
      <c r="N17" s="71">
        <v>3.04</v>
      </c>
      <c r="P17" s="71">
        <v>3.04</v>
      </c>
      <c r="R17" s="8">
        <f t="shared" ref="R17:R18" si="0">(P17-N17)/N17</f>
        <v>0</v>
      </c>
    </row>
    <row r="18" spans="2:18" x14ac:dyDescent="0.25">
      <c r="C18" s="14">
        <v>500</v>
      </c>
      <c r="E18" s="5">
        <f>ROUND((B$17*C18),0)</f>
        <v>1000000</v>
      </c>
      <c r="F18" s="5"/>
      <c r="G18" s="51">
        <f>ROUND(IF($B$17&gt;4400,$B$17*N$13,4400*$N$13)+$E18*N$14,0)</f>
        <v>74914</v>
      </c>
      <c r="H18" s="51"/>
      <c r="I18" s="51">
        <f>ROUND(IF($B$17&gt;4400,$B$17*P$13,4400*$N$13)+$E18*P$14,0)</f>
        <v>77860</v>
      </c>
      <c r="K18" s="4">
        <f>(I18-G18)/G18</f>
        <v>3.9325092773046424E-2</v>
      </c>
      <c r="M18" s="14" t="str">
        <f>+M14</f>
        <v>Energy ($ per kWh)</v>
      </c>
      <c r="N18" s="73">
        <v>5.2347999999999999E-2</v>
      </c>
      <c r="O18" s="73"/>
      <c r="P18" s="73">
        <v>5.1758999999999999E-2</v>
      </c>
      <c r="R18" s="8">
        <f t="shared" si="0"/>
        <v>-1.1251623748758295E-2</v>
      </c>
    </row>
    <row r="19" spans="2:18" x14ac:dyDescent="0.25">
      <c r="C19" s="14">
        <v>700</v>
      </c>
      <c r="E19" s="5">
        <f>ROUND((B$17*C19),0)</f>
        <v>1400000</v>
      </c>
      <c r="F19" s="5"/>
      <c r="G19" s="51">
        <f>ROUND(IF($B$17&gt;4400,$B$17*N$13,4400*$N$13)+$E19*N$14,0)</f>
        <v>99530</v>
      </c>
      <c r="H19" s="51"/>
      <c r="I19" s="51">
        <f>ROUND(IF($B$17&gt;4400,$B$17*P$13,4400*$N$13)+$E19*P$14,0)</f>
        <v>103654</v>
      </c>
      <c r="K19" s="4">
        <f>(I19-G19)/G19</f>
        <v>4.1434743293479355E-2</v>
      </c>
    </row>
    <row r="20" spans="2:18" x14ac:dyDescent="0.25">
      <c r="G20" s="51"/>
      <c r="H20" s="51"/>
      <c r="I20" s="51"/>
      <c r="K20" s="4"/>
      <c r="M20" s="70" t="str">
        <f>+'Res Bill RY#1'!P23</f>
        <v>Schedule 95 - PCORC</v>
      </c>
      <c r="N20" s="73">
        <v>2.2336941320597399E-3</v>
      </c>
      <c r="P20" s="73">
        <v>0</v>
      </c>
    </row>
    <row r="21" spans="2:18" x14ac:dyDescent="0.25">
      <c r="B21" s="5">
        <v>4000</v>
      </c>
      <c r="C21" s="14">
        <v>300</v>
      </c>
      <c r="E21" s="5">
        <f>ROUND((B$21*C21),0)</f>
        <v>1200000</v>
      </c>
      <c r="F21" s="5"/>
      <c r="G21" s="51">
        <f>ROUND(IF($B$21&gt;4400,$B$21*N$13,4400*$N$13)+$E21*N$14,0)</f>
        <v>87222</v>
      </c>
      <c r="H21" s="51"/>
      <c r="I21" s="51">
        <f>ROUND(IF($B$21&gt;4400,$B$21*P$13,4400*$N$13)+$E21*P$14,0)</f>
        <v>90757</v>
      </c>
      <c r="K21" s="4">
        <f>(I21-G21)/G21</f>
        <v>4.0528765678383892E-2</v>
      </c>
      <c r="M21" s="70" t="str">
        <f>+'Res Bill RY#1'!P24</f>
        <v>Schedule 95 - PCA</v>
      </c>
      <c r="N21" s="73">
        <v>1.8175352066230359E-3</v>
      </c>
      <c r="P21" s="73">
        <v>0</v>
      </c>
    </row>
    <row r="22" spans="2:18" x14ac:dyDescent="0.25">
      <c r="C22" s="14">
        <v>500</v>
      </c>
      <c r="E22" s="5">
        <f>ROUND((B$21*C22),0)</f>
        <v>2000000</v>
      </c>
      <c r="F22" s="5"/>
      <c r="G22" s="51">
        <f>ROUND(IF($B$21&gt;4400,$B$21*N$13,4400*$N$13)+$E22*N$14,0)</f>
        <v>136452</v>
      </c>
      <c r="H22" s="51"/>
      <c r="I22" s="51">
        <f>ROUND(IF($B$21&gt;4400,$B$21*P$13,4400*$N$13)+$E22*P$14,0)</f>
        <v>142344</v>
      </c>
      <c r="K22" s="4">
        <f>(I22-G22)/G22</f>
        <v>4.3180019347462843E-2</v>
      </c>
      <c r="M22" s="70" t="str">
        <f>+'Res Bill RY#1'!P25</f>
        <v>Schedule 95A - Fed Inc Credit</v>
      </c>
      <c r="N22" s="73">
        <v>-9.6900000000000003E-4</v>
      </c>
      <c r="P22" s="73">
        <f t="shared" ref="P22:P26" si="1">+N22</f>
        <v>-9.6900000000000003E-4</v>
      </c>
    </row>
    <row r="23" spans="2:18" x14ac:dyDescent="0.25">
      <c r="C23" s="14">
        <v>700</v>
      </c>
      <c r="E23" s="5">
        <f>ROUND((B$21*C23),0)</f>
        <v>2800000</v>
      </c>
      <c r="F23" s="5"/>
      <c r="G23" s="51">
        <f>ROUND(IF($B$21&gt;4400,$B$21*N$13,4400*$N$13)+$E23*N$14,0)</f>
        <v>185683</v>
      </c>
      <c r="H23" s="51"/>
      <c r="I23" s="51">
        <f>ROUND(IF($B$21&gt;4400,$B$21*P$13,4400*$N$13)+$E23*P$14,0)</f>
        <v>193931</v>
      </c>
      <c r="K23" s="4">
        <f>(I23-G23)/G23</f>
        <v>4.4419790718590285E-2</v>
      </c>
      <c r="M23" s="70" t="str">
        <f>+'Res Bill RY#1'!P26</f>
        <v>Schedule 120 - Conservation</v>
      </c>
      <c r="N23" s="73">
        <v>3.5590000000000001E-3</v>
      </c>
      <c r="P23" s="73">
        <f t="shared" si="1"/>
        <v>3.5590000000000001E-3</v>
      </c>
    </row>
    <row r="24" spans="2:18" x14ac:dyDescent="0.25">
      <c r="G24" s="51"/>
      <c r="H24" s="51"/>
      <c r="I24" s="51"/>
      <c r="K24" s="4"/>
      <c r="M24" s="70" t="str">
        <f>+'Res Bill RY#1'!P27</f>
        <v>Schedule 129 - Low Income</v>
      </c>
      <c r="N24" s="73">
        <v>8.6200000000000003E-4</v>
      </c>
      <c r="P24" s="73">
        <f t="shared" si="1"/>
        <v>8.6200000000000003E-4</v>
      </c>
    </row>
    <row r="25" spans="2:18" x14ac:dyDescent="0.25">
      <c r="B25" s="5">
        <v>6000</v>
      </c>
      <c r="C25" s="14">
        <v>300</v>
      </c>
      <c r="E25" s="5">
        <f>ROUND((B$25*C25),0)</f>
        <v>1800000</v>
      </c>
      <c r="F25" s="5"/>
      <c r="G25" s="51">
        <f>ROUND(IF($B$25&gt;4400,$B$25*N$13,4400*$N$13)+$E25*N$14,0)</f>
        <v>129009</v>
      </c>
      <c r="H25" s="51"/>
      <c r="I25" s="51">
        <f>ROUND(IF($B$25&gt;4400,$B$25*P$13,4400*$N$13)+$E25*P$14,0)</f>
        <v>134311</v>
      </c>
      <c r="K25" s="4">
        <f>(I25-G25)/G25</f>
        <v>4.1097907897898599E-2</v>
      </c>
      <c r="M25" s="70" t="str">
        <f>+'Res Bill RY#1'!P28</f>
        <v>Schedule 137 - REC</v>
      </c>
      <c r="N25" s="73">
        <v>-1.5E-5</v>
      </c>
      <c r="P25" s="73">
        <f t="shared" si="1"/>
        <v>-1.5E-5</v>
      </c>
    </row>
    <row r="26" spans="2:18" x14ac:dyDescent="0.25">
      <c r="C26" s="14">
        <v>500</v>
      </c>
      <c r="E26" s="5">
        <f>ROUND((B$25*C26),0)</f>
        <v>3000000</v>
      </c>
      <c r="F26" s="5"/>
      <c r="G26" s="51">
        <f>ROUND(IF($B$25&gt;4400,$B$25*N$13,4400*$N$13)+$E26*N$14,0)</f>
        <v>202855</v>
      </c>
      <c r="H26" s="51"/>
      <c r="I26" s="51">
        <f>ROUND(IF($B$25&gt;4400,$B$25*P$13,4400*$N$13)+$E26*P$14,0)</f>
        <v>211692</v>
      </c>
      <c r="K26" s="4">
        <f>(I26-G26)/G26</f>
        <v>4.3563136230312292E-2</v>
      </c>
      <c r="M26" s="70" t="str">
        <f>+'Res Bill RY#1'!P29</f>
        <v>Schedule 140 - Property Tax</v>
      </c>
      <c r="N26" s="73">
        <v>1.668E-3</v>
      </c>
      <c r="P26" s="73">
        <f t="shared" si="1"/>
        <v>1.668E-3</v>
      </c>
    </row>
    <row r="27" spans="2:18" x14ac:dyDescent="0.25">
      <c r="C27" s="14">
        <v>700</v>
      </c>
      <c r="E27" s="5">
        <f>ROUND((B$25*C27),0)</f>
        <v>4200000</v>
      </c>
      <c r="F27" s="5"/>
      <c r="G27" s="51">
        <f>ROUND(IF($B$25&gt;4400,$B$25*N$13,4400*$N$13)+$E27*N$14,0)</f>
        <v>276701</v>
      </c>
      <c r="H27" s="51"/>
      <c r="I27" s="51">
        <f>ROUND(IF($B$25&gt;4400,$B$25*P$13,4400*$N$13)+$E27*P$14,0)</f>
        <v>289073</v>
      </c>
      <c r="K27" s="4">
        <f>(I27-G27)/G27</f>
        <v>4.47125236265861E-2</v>
      </c>
      <c r="M27" s="70" t="str">
        <f>+'Res Bill RY#1'!P30</f>
        <v>Schedule 141C - Colstrip</v>
      </c>
      <c r="N27" s="73">
        <v>0</v>
      </c>
      <c r="P27" s="73">
        <v>6.2799999999999998E-4</v>
      </c>
    </row>
    <row r="28" spans="2:18" x14ac:dyDescent="0.25">
      <c r="E28" s="5"/>
      <c r="F28" s="5"/>
      <c r="G28" s="51"/>
      <c r="H28" s="51"/>
      <c r="I28" s="51"/>
      <c r="K28" s="4"/>
      <c r="M28" s="70" t="str">
        <f>+'Res Bill RY#1'!P31</f>
        <v>Schedule 141N - Non Refundable MYRP</v>
      </c>
      <c r="N28" s="73">
        <v>0</v>
      </c>
      <c r="P28" s="73">
        <v>4.9059999999999998E-3</v>
      </c>
    </row>
    <row r="29" spans="2:18" x14ac:dyDescent="0.25">
      <c r="B29" s="5">
        <v>8000</v>
      </c>
      <c r="C29" s="14">
        <v>300</v>
      </c>
      <c r="E29" s="5">
        <f>ROUND((B$29*C29),0)</f>
        <v>2400000</v>
      </c>
      <c r="F29" s="5"/>
      <c r="G29" s="51">
        <f>ROUND(IF($B$29&gt;4400,$B$29*N$13,4400*$N$13)+$E29*N$14,0)</f>
        <v>172012</v>
      </c>
      <c r="H29" s="51"/>
      <c r="I29" s="51">
        <f>ROUND(IF($B$29&gt;4400,$B$29*P$13,4400*$N$13)+$E29*P$14,0)</f>
        <v>179082</v>
      </c>
      <c r="K29" s="4">
        <f>(I29-G29)/G29</f>
        <v>4.1101783596493267E-2</v>
      </c>
      <c r="M29" s="70" t="str">
        <f>+'Res Bill RY#1'!P32</f>
        <v>Schedule 141R - Refundable MYRP</v>
      </c>
      <c r="N29" s="73">
        <v>0</v>
      </c>
      <c r="P29" s="73">
        <v>2.0860000000000002E-3</v>
      </c>
    </row>
    <row r="30" spans="2:18" x14ac:dyDescent="0.25">
      <c r="C30" s="14">
        <v>500</v>
      </c>
      <c r="E30" s="5">
        <f>ROUND((B$29*C30),0)</f>
        <v>4000000</v>
      </c>
      <c r="F30" s="5"/>
      <c r="G30" s="51">
        <f>ROUND(IF($B$29&gt;4400,$B$29*N$13,4400*$N$13)+$E30*N$14,0)</f>
        <v>270473</v>
      </c>
      <c r="H30" s="51"/>
      <c r="I30" s="51">
        <f>ROUND(IF($B$29&gt;4400,$B$29*P$13,4400*$N$13)+$E30*P$14,0)</f>
        <v>282256</v>
      </c>
      <c r="K30" s="4">
        <f>(I30-G30)/G30</f>
        <v>4.3564422326812659E-2</v>
      </c>
      <c r="M30" s="70" t="str">
        <f>+'Res Bill RY#1'!P33</f>
        <v xml:space="preserve">Schedule 141X- Tax Passback </v>
      </c>
      <c r="N30" s="73">
        <v>4.84E-4</v>
      </c>
      <c r="P30" s="73">
        <v>0</v>
      </c>
    </row>
    <row r="31" spans="2:18" x14ac:dyDescent="0.25">
      <c r="C31" s="14">
        <v>700</v>
      </c>
      <c r="E31" s="5">
        <f>ROUND((B$29*C31),0)</f>
        <v>5600000</v>
      </c>
      <c r="F31" s="5"/>
      <c r="G31" s="51">
        <f>ROUND(IF($B$29&gt;4400,$B$29*N$13,4400*$N$13)+$E31*N$14,0)</f>
        <v>368934</v>
      </c>
      <c r="H31" s="51"/>
      <c r="I31" s="51">
        <f>ROUND(IF($B$29&gt;4400,$B$29*P$13,4400*$N$13)+$E31*P$14,0)</f>
        <v>385430</v>
      </c>
      <c r="K31" s="4">
        <f>(I31-G31)/G31</f>
        <v>4.4712604422471228E-2</v>
      </c>
      <c r="M31" s="70" t="str">
        <f>+'Res Bill RY#1'!P34</f>
        <v>Schedule 141Z - Tax</v>
      </c>
      <c r="N31" s="73">
        <v>-4.4999999999999999E-4</v>
      </c>
      <c r="P31" s="73">
        <v>0</v>
      </c>
    </row>
    <row r="32" spans="2:18" x14ac:dyDescent="0.25">
      <c r="E32" s="5"/>
      <c r="F32" s="5"/>
      <c r="G32" s="51"/>
      <c r="H32" s="51"/>
      <c r="I32" s="51"/>
      <c r="K32" s="4"/>
      <c r="M32" s="70" t="str">
        <f>+'Res Bill RY#1'!P35</f>
        <v>Schedule 142 - Decoupling</v>
      </c>
      <c r="N32" s="73">
        <v>0</v>
      </c>
      <c r="P32" s="73">
        <f>+N32</f>
        <v>0</v>
      </c>
    </row>
    <row r="33" spans="2:16" x14ac:dyDescent="0.25">
      <c r="B33" s="5">
        <v>10000</v>
      </c>
      <c r="C33" s="14">
        <v>300</v>
      </c>
      <c r="E33" s="5">
        <f>ROUND((B$33*C33),0)</f>
        <v>3000000</v>
      </c>
      <c r="F33" s="5"/>
      <c r="G33" s="51">
        <f>ROUND(IF($B$33&gt;4400,$B$33*N$13,4400*$N$13)+$E33*N$14,0)</f>
        <v>215015</v>
      </c>
      <c r="H33" s="51"/>
      <c r="I33" s="51">
        <f>ROUND(IF($B$33&gt;4400,$B$33*P$13,4400*$N$13)+$E33*P$14,0)</f>
        <v>223852</v>
      </c>
      <c r="K33" s="4">
        <f>(I33-G33)/G33</f>
        <v>4.1099458177336463E-2</v>
      </c>
      <c r="M33" s="70" t="str">
        <f>+'Res Bill RY#1'!P36</f>
        <v>Schedule 142 - Decoupling Supplemental</v>
      </c>
      <c r="N33" s="73">
        <v>0</v>
      </c>
      <c r="P33" s="73">
        <f>+N33</f>
        <v>0</v>
      </c>
    </row>
    <row r="34" spans="2:16" x14ac:dyDescent="0.25">
      <c r="C34" s="14">
        <v>500</v>
      </c>
      <c r="E34" s="5">
        <f>ROUND((B$33*C34),0)</f>
        <v>5000000</v>
      </c>
      <c r="F34" s="5"/>
      <c r="G34" s="51">
        <f>ROUND(IF($B$33&gt;4400,$B$33*N$13,4400*$N$13)+$E34*N$14,0)</f>
        <v>338091</v>
      </c>
      <c r="H34" s="51"/>
      <c r="I34" s="51">
        <f>ROUND(IF($B$33&gt;4400,$B$33*P$13,4400*$N$13)+$E34*P$14,0)</f>
        <v>352820</v>
      </c>
      <c r="K34" s="4">
        <f>(I34-G34)/G34</f>
        <v>4.3565193986234478E-2</v>
      </c>
    </row>
    <row r="35" spans="2:16" x14ac:dyDescent="0.25">
      <c r="C35" s="14">
        <v>700</v>
      </c>
      <c r="E35" s="5">
        <f>ROUND((B$33*C35),0)</f>
        <v>7000000</v>
      </c>
      <c r="F35" s="5"/>
      <c r="G35" s="51">
        <f>ROUND(IF($B$33&gt;4400,$B$33*N$13,4400*$N$13)+$E35*N$14,0)</f>
        <v>461168</v>
      </c>
      <c r="H35" s="51"/>
      <c r="I35" s="51">
        <f>ROUND(IF($B$33&gt;4400,$B$33*P$13,4400*$N$13)+$E35*P$14,0)</f>
        <v>481788</v>
      </c>
      <c r="K35" s="4">
        <f>(I35-G35)/G35</f>
        <v>4.4712555944905114E-2</v>
      </c>
    </row>
    <row r="36" spans="2:16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M36" s="7" t="s">
        <v>124</v>
      </c>
      <c r="N36" s="6">
        <f>+'Rate Impacts_RY#1'!H17</f>
        <v>-7.8091498675121581E-3</v>
      </c>
    </row>
    <row r="37" spans="2:16" x14ac:dyDescent="0.25">
      <c r="M37" s="60" t="s">
        <v>125</v>
      </c>
      <c r="N37" s="6">
        <f>+'Rate Impacts_RY#1'!AM17</f>
        <v>1.5233768160074565E-2</v>
      </c>
    </row>
    <row r="39" spans="2:16" ht="16.5" x14ac:dyDescent="0.25">
      <c r="B39" s="181" t="s">
        <v>285</v>
      </c>
      <c r="C39" s="181"/>
      <c r="D39" s="181"/>
      <c r="E39" s="181"/>
      <c r="F39" s="181"/>
      <c r="G39" s="181"/>
      <c r="H39" s="181"/>
      <c r="I39" s="181"/>
      <c r="J39" s="181"/>
      <c r="K39" s="181"/>
    </row>
    <row r="40" spans="2:16" x14ac:dyDescent="0.25">
      <c r="B40" s="181" t="s">
        <v>136</v>
      </c>
      <c r="C40" s="181"/>
      <c r="D40" s="181"/>
      <c r="E40" s="181"/>
      <c r="F40" s="181"/>
      <c r="G40" s="181"/>
      <c r="H40" s="181"/>
      <c r="I40" s="181"/>
      <c r="J40" s="181"/>
      <c r="K40" s="181"/>
    </row>
    <row r="41" spans="2:16" x14ac:dyDescent="0.25">
      <c r="B41" s="181" t="s">
        <v>137</v>
      </c>
      <c r="C41" s="181"/>
      <c r="D41" s="181"/>
      <c r="E41" s="181"/>
      <c r="F41" s="181"/>
      <c r="G41" s="181"/>
      <c r="H41" s="181"/>
      <c r="I41" s="181"/>
      <c r="J41" s="181"/>
      <c r="K41" s="181"/>
    </row>
    <row r="42" spans="2:16" x14ac:dyDescent="0.25">
      <c r="B42" s="151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15" x14ac:dyDescent="0.25">
      <c r="B49" s="2"/>
    </row>
    <row r="50" spans="2:15" x14ac:dyDescent="0.25">
      <c r="B50" s="2"/>
    </row>
    <row r="51" spans="2:15" x14ac:dyDescent="0.25">
      <c r="B51" s="2"/>
    </row>
    <row r="52" spans="2:15" x14ac:dyDescent="0.25">
      <c r="B52" s="2"/>
    </row>
    <row r="54" spans="2:15" x14ac:dyDescent="0.25">
      <c r="O54" s="1"/>
    </row>
  </sheetData>
  <mergeCells count="4">
    <mergeCell ref="G9:I9"/>
    <mergeCell ref="B39:K39"/>
    <mergeCell ref="B40:K40"/>
    <mergeCell ref="B41:K41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Normal="10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activeCell="C12" sqref="C12"/>
    </sheetView>
  </sheetViews>
  <sheetFormatPr defaultColWidth="9.42578125" defaultRowHeight="15" x14ac:dyDescent="0.25"/>
  <cols>
    <col min="1" max="1" width="2.28515625" style="14" customWidth="1"/>
    <col min="2" max="2" width="12.42578125" style="14" customWidth="1"/>
    <col min="3" max="3" width="13.140625" style="14" bestFit="1" customWidth="1"/>
    <col min="4" max="4" width="3.5703125" style="14" customWidth="1"/>
    <col min="5" max="5" width="10.5703125" style="14" bestFit="1" customWidth="1"/>
    <col min="6" max="6" width="4.140625" style="14" customWidth="1"/>
    <col min="7" max="7" width="13.28515625" style="14" bestFit="1" customWidth="1"/>
    <col min="8" max="8" width="3.85546875" style="14" customWidth="1"/>
    <col min="9" max="9" width="13.28515625" style="14" bestFit="1" customWidth="1"/>
    <col min="10" max="10" width="3.28515625" style="14" customWidth="1"/>
    <col min="11" max="11" width="10.28515625" style="14" bestFit="1" customWidth="1"/>
    <col min="12" max="12" width="3.85546875" style="59" customWidth="1"/>
    <col min="13" max="13" width="35.7109375" style="14" bestFit="1" customWidth="1"/>
    <col min="14" max="14" width="16.28515625" style="14" bestFit="1" customWidth="1"/>
    <col min="15" max="15" width="2.42578125" style="14" customWidth="1"/>
    <col min="16" max="16" width="18" style="14" bestFit="1" customWidth="1"/>
    <col min="17" max="17" width="3.42578125" style="14" customWidth="1"/>
    <col min="18" max="18" width="6.140625" style="14" bestFit="1" customWidth="1"/>
    <col min="19" max="16384" width="9.42578125" style="14"/>
  </cols>
  <sheetData>
    <row r="1" spans="1:18" ht="18.75" x14ac:dyDescent="0.3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</row>
    <row r="2" spans="1:18" ht="18.75" x14ac:dyDescent="0.3">
      <c r="B2" s="58" t="s">
        <v>43</v>
      </c>
      <c r="C2" s="58"/>
      <c r="D2" s="58"/>
      <c r="E2" s="58"/>
      <c r="F2" s="58"/>
      <c r="G2" s="58"/>
      <c r="H2" s="58"/>
      <c r="I2" s="58"/>
      <c r="J2" s="58"/>
      <c r="K2" s="58"/>
    </row>
    <row r="3" spans="1:18" ht="18.75" x14ac:dyDescent="0.3">
      <c r="B3" s="58" t="s">
        <v>100</v>
      </c>
      <c r="C3" s="58"/>
      <c r="D3" s="58"/>
      <c r="E3" s="58"/>
      <c r="F3" s="58"/>
      <c r="G3" s="58"/>
      <c r="H3" s="58"/>
      <c r="I3" s="58"/>
      <c r="J3" s="58"/>
      <c r="K3" s="58"/>
    </row>
    <row r="4" spans="1:18" ht="18.75" x14ac:dyDescent="0.3"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8" ht="18.75" x14ac:dyDescent="0.3"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8" ht="18.75" x14ac:dyDescent="0.3">
      <c r="A6" s="69"/>
      <c r="B6" s="15"/>
      <c r="C6" s="15"/>
      <c r="D6" s="15"/>
      <c r="E6" s="15"/>
      <c r="F6" s="15"/>
      <c r="G6" s="15"/>
      <c r="H6" s="15"/>
      <c r="I6" s="15"/>
      <c r="J6" s="15"/>
    </row>
    <row r="7" spans="1:18" ht="18.75" x14ac:dyDescent="0.3">
      <c r="A7" s="69"/>
      <c r="B7" s="15"/>
      <c r="C7" s="15"/>
      <c r="D7" s="15"/>
      <c r="E7" s="15"/>
      <c r="F7" s="15"/>
      <c r="G7" s="15"/>
      <c r="H7" s="15"/>
      <c r="I7" s="15"/>
      <c r="J7" s="15"/>
    </row>
    <row r="9" spans="1:18" ht="15.75" x14ac:dyDescent="0.25">
      <c r="B9" s="68" t="s">
        <v>98</v>
      </c>
      <c r="G9" s="186" t="s">
        <v>97</v>
      </c>
      <c r="H9" s="187"/>
      <c r="I9" s="187"/>
    </row>
    <row r="10" spans="1:18" ht="15.75" thickBot="1" x14ac:dyDescent="0.3">
      <c r="B10" s="56" t="s">
        <v>74</v>
      </c>
      <c r="C10" s="67" t="s">
        <v>96</v>
      </c>
      <c r="G10" s="15" t="s">
        <v>7</v>
      </c>
      <c r="I10" s="15" t="s">
        <v>95</v>
      </c>
      <c r="K10" s="15" t="s">
        <v>55</v>
      </c>
    </row>
    <row r="11" spans="1:18" ht="16.5" x14ac:dyDescent="0.25">
      <c r="B11" s="55" t="s">
        <v>71</v>
      </c>
      <c r="C11" s="54" t="s">
        <v>70</v>
      </c>
      <c r="D11" s="52"/>
      <c r="E11" s="11" t="s">
        <v>41</v>
      </c>
      <c r="F11" s="52"/>
      <c r="G11" s="43" t="s">
        <v>117</v>
      </c>
      <c r="H11" s="43"/>
      <c r="I11" s="43" t="s">
        <v>118</v>
      </c>
      <c r="K11" s="66" t="s">
        <v>9</v>
      </c>
      <c r="M11" s="65"/>
      <c r="N11" s="64" t="s">
        <v>52</v>
      </c>
      <c r="O11" s="63"/>
      <c r="P11" s="152" t="s">
        <v>51</v>
      </c>
    </row>
    <row r="12" spans="1:18" x14ac:dyDescent="0.25">
      <c r="G12" s="54"/>
      <c r="H12" s="52"/>
      <c r="I12" s="54"/>
      <c r="M12" s="28"/>
      <c r="N12" s="9"/>
      <c r="O12" s="9"/>
      <c r="P12" s="62"/>
    </row>
    <row r="13" spans="1:18" x14ac:dyDescent="0.25">
      <c r="B13" s="5">
        <v>1000</v>
      </c>
      <c r="C13" s="14">
        <v>300</v>
      </c>
      <c r="E13" s="5">
        <f>ROUND((B$13*C13),0)</f>
        <v>300000</v>
      </c>
      <c r="F13" s="5"/>
      <c r="G13" s="51">
        <f>ROUND(IF($B$13&gt;4400,$B$13*N$13,4400*$N$13)+$E13*N$14,0)</f>
        <v>44296</v>
      </c>
      <c r="H13" s="51"/>
      <c r="I13" s="51">
        <f>ROUND(IF($B$13&gt;4400,$B$13*P$13,4400*$N$13)+$E13*P$14,0)</f>
        <v>45401</v>
      </c>
      <c r="K13" s="4">
        <f>(I13-G13)/G13</f>
        <v>2.4945819035578833E-2</v>
      </c>
      <c r="M13" s="29" t="s">
        <v>94</v>
      </c>
      <c r="N13" s="188">
        <f>SUM(N17)</f>
        <v>5.65</v>
      </c>
      <c r="O13" s="9"/>
      <c r="P13" s="189">
        <f>SUM(P17)</f>
        <v>5.65</v>
      </c>
      <c r="R13" s="8">
        <f>(P13-N13)/N13</f>
        <v>0</v>
      </c>
    </row>
    <row r="14" spans="1:18" x14ac:dyDescent="0.25">
      <c r="C14" s="14">
        <v>500</v>
      </c>
      <c r="E14" s="5">
        <f>ROUND((B$13*C14),0)</f>
        <v>500000</v>
      </c>
      <c r="F14" s="5"/>
      <c r="G14" s="51">
        <f>ROUND(IF($B$13&gt;4400,$B$13*N$13,4400*$N$13)+$E14*N$14,0)</f>
        <v>57253</v>
      </c>
      <c r="H14" s="51"/>
      <c r="I14" s="51">
        <f>ROUND(IF($B$13&gt;4400,$B$13*P$13,4400*$N$13)+$E14*P$14,0)</f>
        <v>59095</v>
      </c>
      <c r="K14" s="4">
        <f>(I14-G14)/G14</f>
        <v>3.2172986568389426E-2</v>
      </c>
      <c r="M14" s="29" t="s">
        <v>93</v>
      </c>
      <c r="N14" s="190">
        <f>SUM(N18,N20:N33)</f>
        <v>6.478517951131213E-2</v>
      </c>
      <c r="O14" s="9"/>
      <c r="P14" s="191">
        <f>SUM(P18,P20:P33)</f>
        <v>6.8470000000000003E-2</v>
      </c>
      <c r="R14" s="8">
        <f>(P14-N14)/N14</f>
        <v>5.6877522243254222E-2</v>
      </c>
    </row>
    <row r="15" spans="1:18" ht="15.75" thickBot="1" x14ac:dyDescent="0.3">
      <c r="C15" s="14">
        <v>700</v>
      </c>
      <c r="E15" s="5">
        <f>ROUND((B$13*C15),0)</f>
        <v>700000</v>
      </c>
      <c r="F15" s="5"/>
      <c r="G15" s="51">
        <f>ROUND(IF($B$13&gt;4400,$B$13*N$13,4400*$N$13)+$E15*N$14,0)</f>
        <v>70210</v>
      </c>
      <c r="H15" s="51"/>
      <c r="I15" s="51">
        <f>ROUND(IF($B$13&gt;4400,$B$13*P$13,4400*$N$13)+$E15*P$14,0)</f>
        <v>72789</v>
      </c>
      <c r="K15" s="4">
        <f>(I15-G15)/G15</f>
        <v>3.6732659165361059E-2</v>
      </c>
      <c r="M15" s="61" t="s">
        <v>6</v>
      </c>
      <c r="N15" s="192" t="s">
        <v>6</v>
      </c>
      <c r="O15" s="193"/>
      <c r="P15" s="194" t="s">
        <v>6</v>
      </c>
    </row>
    <row r="16" spans="1:18" x14ac:dyDescent="0.25">
      <c r="G16" s="51"/>
      <c r="H16" s="51"/>
      <c r="I16" s="51"/>
      <c r="K16" s="4"/>
    </row>
    <row r="17" spans="2:18" x14ac:dyDescent="0.25">
      <c r="B17" s="5">
        <v>2000</v>
      </c>
      <c r="C17" s="14">
        <v>300</v>
      </c>
      <c r="E17" s="5">
        <f>ROUND((B$17*C17),0)</f>
        <v>600000</v>
      </c>
      <c r="F17" s="5"/>
      <c r="G17" s="51">
        <f>ROUND(IF($B$17&gt;4400,$B$17*N$13,4400*$N$13)+$E17*N$14,0)</f>
        <v>63731</v>
      </c>
      <c r="H17" s="51"/>
      <c r="I17" s="51">
        <f>ROUND(IF($B$17&gt;4400,$B$17*P$13,4400*$N$13)+$E17*P$14,0)</f>
        <v>65942</v>
      </c>
      <c r="K17" s="4">
        <f>(I17-G17)/G17</f>
        <v>3.4692692724106008E-2</v>
      </c>
      <c r="M17" s="14" t="str">
        <f>+M13</f>
        <v>Demand ($ per kVa)</v>
      </c>
      <c r="N17" s="71">
        <v>5.65</v>
      </c>
      <c r="P17" s="71">
        <v>5.65</v>
      </c>
      <c r="R17" s="8">
        <f t="shared" ref="R17:R18" si="0">(P17-N17)/N17</f>
        <v>0</v>
      </c>
    </row>
    <row r="18" spans="2:18" x14ac:dyDescent="0.25">
      <c r="C18" s="14">
        <v>500</v>
      </c>
      <c r="E18" s="5">
        <f>ROUND((B$17*C18),0)</f>
        <v>1000000</v>
      </c>
      <c r="F18" s="5"/>
      <c r="G18" s="51">
        <f>ROUND(IF($B$17&gt;4400,$B$17*N$13,4400*$N$13)+$E18*N$14,0)</f>
        <v>89645</v>
      </c>
      <c r="H18" s="51"/>
      <c r="I18" s="51">
        <f>ROUND(IF($B$17&gt;4400,$B$17*P$13,4400*$N$13)+$E18*P$14,0)</f>
        <v>93330</v>
      </c>
      <c r="K18" s="4">
        <f>(I18-G18)/G18</f>
        <v>4.110658709353561E-2</v>
      </c>
      <c r="M18" s="14" t="str">
        <f>+M14</f>
        <v>Energy ($ per kWh)</v>
      </c>
      <c r="N18" s="73">
        <v>5.2347999999999999E-2</v>
      </c>
      <c r="P18" s="73">
        <v>5.1758999999999999E-2</v>
      </c>
      <c r="R18" s="8">
        <f t="shared" si="0"/>
        <v>-1.1251623748758295E-2</v>
      </c>
    </row>
    <row r="19" spans="2:18" x14ac:dyDescent="0.25">
      <c r="C19" s="14">
        <v>700</v>
      </c>
      <c r="E19" s="5">
        <f>ROUND((B$17*C19),0)</f>
        <v>1400000</v>
      </c>
      <c r="F19" s="5"/>
      <c r="G19" s="51">
        <f>ROUND(IF($B$17&gt;4400,$B$17*N$13,4400*$N$13)+$E19*N$14,0)</f>
        <v>115559</v>
      </c>
      <c r="H19" s="51"/>
      <c r="I19" s="51">
        <f>ROUND(IF($B$17&gt;4400,$B$17*P$13,4400*$N$13)+$E19*P$14,0)</f>
        <v>120718</v>
      </c>
      <c r="K19" s="4">
        <f>(I19-G19)/G19</f>
        <v>4.4643861577202987E-2</v>
      </c>
    </row>
    <row r="20" spans="2:18" x14ac:dyDescent="0.25">
      <c r="G20" s="51"/>
      <c r="H20" s="51"/>
      <c r="I20" s="51"/>
      <c r="K20" s="4"/>
      <c r="M20" s="70" t="str">
        <f>+'Res Bill RY#1'!P23</f>
        <v>Schedule 95 - PCORC</v>
      </c>
      <c r="N20" s="73">
        <v>2.7772155560288891E-3</v>
      </c>
      <c r="P20" s="73">
        <v>0</v>
      </c>
    </row>
    <row r="21" spans="2:18" x14ac:dyDescent="0.25">
      <c r="B21" s="5">
        <v>4000</v>
      </c>
      <c r="C21" s="14">
        <v>300</v>
      </c>
      <c r="E21" s="5">
        <f>ROUND((B$21*C21),0)</f>
        <v>1200000</v>
      </c>
      <c r="F21" s="5"/>
      <c r="G21" s="51">
        <f>ROUND(IF($B$21&gt;4400,$B$21*N$13,4400*$N$13)+$E21*N$14,0)</f>
        <v>102602</v>
      </c>
      <c r="H21" s="51"/>
      <c r="I21" s="51">
        <f>ROUND(IF($B$21&gt;4400,$B$21*P$13,4400*$N$13)+$E21*P$14,0)</f>
        <v>107024</v>
      </c>
      <c r="K21" s="4">
        <f>(I21-G21)/G21</f>
        <v>4.309857507650923E-2</v>
      </c>
      <c r="M21" s="70" t="str">
        <f>+'Res Bill RY#1'!P24</f>
        <v>Schedule 95 - PCA</v>
      </c>
      <c r="N21" s="73">
        <v>1.9669639552832604E-3</v>
      </c>
      <c r="P21" s="73">
        <v>0</v>
      </c>
    </row>
    <row r="22" spans="2:18" x14ac:dyDescent="0.25">
      <c r="C22" s="14">
        <v>500</v>
      </c>
      <c r="E22" s="5">
        <f>ROUND((B$21*C22),0)</f>
        <v>2000000</v>
      </c>
      <c r="F22" s="5"/>
      <c r="G22" s="51">
        <f>ROUND(IF($B$21&gt;4400,$B$21*N$13,4400*$N$13)+$E22*N$14,0)</f>
        <v>154430</v>
      </c>
      <c r="H22" s="51"/>
      <c r="I22" s="51">
        <f>ROUND(IF($B$21&gt;4400,$B$21*P$13,4400*$N$13)+$E22*P$14,0)</f>
        <v>161800</v>
      </c>
      <c r="K22" s="4">
        <f>(I22-G22)/G22</f>
        <v>4.7723887845625847E-2</v>
      </c>
      <c r="M22" s="70" t="str">
        <f>+'Res Bill RY#1'!P25</f>
        <v>Schedule 95A - Fed Inc Credit</v>
      </c>
      <c r="N22" s="73">
        <v>-9.6900000000000003E-4</v>
      </c>
      <c r="P22" s="73">
        <f t="shared" ref="P22:P26" si="1">+N22</f>
        <v>-9.6900000000000003E-4</v>
      </c>
    </row>
    <row r="23" spans="2:18" x14ac:dyDescent="0.25">
      <c r="C23" s="14">
        <v>700</v>
      </c>
      <c r="E23" s="5">
        <f>ROUND((B$21*C23),0)</f>
        <v>2800000</v>
      </c>
      <c r="F23" s="5"/>
      <c r="G23" s="51">
        <f>ROUND(IF($B$21&gt;4400,$B$21*N$13,4400*$N$13)+$E23*N$14,0)</f>
        <v>206259</v>
      </c>
      <c r="H23" s="51"/>
      <c r="I23" s="51">
        <f>ROUND(IF($B$21&gt;4400,$B$21*P$13,4400*$N$13)+$E23*P$14,0)</f>
        <v>216576</v>
      </c>
      <c r="K23" s="4">
        <f>(I23-G23)/G23</f>
        <v>5.001963550681425E-2</v>
      </c>
      <c r="M23" s="70" t="str">
        <f>+'Res Bill RY#1'!P26</f>
        <v>Schedule 120 - Conservation</v>
      </c>
      <c r="N23" s="73">
        <v>3.49E-3</v>
      </c>
      <c r="P23" s="73">
        <f t="shared" si="1"/>
        <v>3.49E-3</v>
      </c>
    </row>
    <row r="24" spans="2:18" x14ac:dyDescent="0.25">
      <c r="G24" s="51"/>
      <c r="H24" s="51"/>
      <c r="I24" s="51"/>
      <c r="K24" s="4"/>
      <c r="M24" s="70" t="str">
        <f>+'Res Bill RY#1'!P27</f>
        <v>Schedule 129 - Low Income</v>
      </c>
      <c r="N24" s="73">
        <v>3.49E-3</v>
      </c>
      <c r="P24" s="73">
        <f t="shared" si="1"/>
        <v>3.49E-3</v>
      </c>
    </row>
    <row r="25" spans="2:18" x14ac:dyDescent="0.25">
      <c r="B25" s="5">
        <v>6000</v>
      </c>
      <c r="C25" s="14">
        <v>300</v>
      </c>
      <c r="E25" s="5">
        <f>ROUND((B$25*C25),0)</f>
        <v>1800000</v>
      </c>
      <c r="F25" s="5"/>
      <c r="G25" s="51">
        <f>ROUND(IF($B$25&gt;4400,$B$25*N$13,4400*$N$13)+$E25*N$14,0)</f>
        <v>150513</v>
      </c>
      <c r="H25" s="51"/>
      <c r="I25" s="51">
        <f>ROUND(IF($B$25&gt;4400,$B$25*P$13,4400*$N$13)+$E25*P$14,0)</f>
        <v>157146</v>
      </c>
      <c r="K25" s="4">
        <f>(I25-G25)/G25</f>
        <v>4.4069283051962289E-2</v>
      </c>
      <c r="M25" s="70" t="str">
        <f>+'Res Bill RY#1'!P28</f>
        <v>Schedule 137 - REC</v>
      </c>
      <c r="N25" s="73">
        <v>-2.0000000000000002E-5</v>
      </c>
      <c r="P25" s="73">
        <f t="shared" si="1"/>
        <v>-2.0000000000000002E-5</v>
      </c>
    </row>
    <row r="26" spans="2:18" x14ac:dyDescent="0.25">
      <c r="C26" s="14">
        <v>500</v>
      </c>
      <c r="E26" s="5">
        <f>ROUND((B$25*C26),0)</f>
        <v>3000000</v>
      </c>
      <c r="F26" s="5"/>
      <c r="G26" s="51">
        <f>ROUND(IF($B$25&gt;4400,$B$25*N$13,4400*$N$13)+$E26*N$14,0)</f>
        <v>228256</v>
      </c>
      <c r="H26" s="51"/>
      <c r="I26" s="51">
        <f>ROUND(IF($B$25&gt;4400,$B$25*P$13,4400*$N$13)+$E26*P$14,0)</f>
        <v>239310</v>
      </c>
      <c r="K26" s="4">
        <f>(I26-G26)/G26</f>
        <v>4.842808075143698E-2</v>
      </c>
      <c r="M26" s="70" t="str">
        <f>+'Res Bill RY#1'!P29</f>
        <v>Schedule 140 - Property Tax</v>
      </c>
      <c r="N26" s="73">
        <v>1.668E-3</v>
      </c>
      <c r="P26" s="73">
        <f t="shared" si="1"/>
        <v>1.668E-3</v>
      </c>
    </row>
    <row r="27" spans="2:18" x14ac:dyDescent="0.25">
      <c r="C27" s="14">
        <v>700</v>
      </c>
      <c r="E27" s="5">
        <f>ROUND((B$25*C27),0)</f>
        <v>4200000</v>
      </c>
      <c r="F27" s="5"/>
      <c r="G27" s="51">
        <f>ROUND(IF($B$25&gt;4400,$B$25*N$13,4400*$N$13)+$E27*N$14,0)</f>
        <v>305998</v>
      </c>
      <c r="H27" s="51"/>
      <c r="I27" s="51">
        <f>ROUND(IF($B$25&gt;4400,$B$25*P$13,4400*$N$13)+$E27*P$14,0)</f>
        <v>321474</v>
      </c>
      <c r="K27" s="4">
        <f>(I27-G27)/G27</f>
        <v>5.0575493957476847E-2</v>
      </c>
      <c r="M27" s="70" t="str">
        <f>+'Res Bill RY#1'!P30</f>
        <v>Schedule 141C - Colstrip</v>
      </c>
      <c r="N27" s="73">
        <v>0</v>
      </c>
      <c r="P27" s="73">
        <v>2.0600000000000002E-3</v>
      </c>
    </row>
    <row r="28" spans="2:18" x14ac:dyDescent="0.25">
      <c r="E28" s="5"/>
      <c r="F28" s="5"/>
      <c r="G28" s="51"/>
      <c r="H28" s="51"/>
      <c r="I28" s="51"/>
      <c r="K28" s="4"/>
      <c r="M28" s="70" t="str">
        <f>+'Res Bill RY#1'!P31</f>
        <v>Schedule 141N - Non Refundable MYRP</v>
      </c>
      <c r="N28" s="73">
        <v>0</v>
      </c>
      <c r="P28" s="73">
        <v>4.9059999999999998E-3</v>
      </c>
    </row>
    <row r="29" spans="2:18" x14ac:dyDescent="0.25">
      <c r="B29" s="5">
        <v>8000</v>
      </c>
      <c r="C29" s="14">
        <v>300</v>
      </c>
      <c r="E29" s="5">
        <f>ROUND((B$29*C29),0)</f>
        <v>2400000</v>
      </c>
      <c r="F29" s="5"/>
      <c r="G29" s="51">
        <f>ROUND(IF($B$29&gt;4400,$B$29*N$13,4400*$N$13)+$E29*N$14,0)</f>
        <v>200684</v>
      </c>
      <c r="H29" s="51"/>
      <c r="I29" s="51">
        <f>ROUND(IF($B$29&gt;4400,$B$29*P$13,4400*$N$13)+$E29*P$14,0)</f>
        <v>209528</v>
      </c>
      <c r="K29" s="4">
        <f>(I29-G29)/G29</f>
        <v>4.4069283051962289E-2</v>
      </c>
      <c r="M29" s="70" t="str">
        <f>+'Res Bill RY#1'!P32</f>
        <v>Schedule 141R - Refundable MYRP</v>
      </c>
      <c r="N29" s="73">
        <v>0</v>
      </c>
      <c r="P29" s="73">
        <v>2.0860000000000002E-3</v>
      </c>
    </row>
    <row r="30" spans="2:18" x14ac:dyDescent="0.25">
      <c r="C30" s="14">
        <v>500</v>
      </c>
      <c r="E30" s="5">
        <f>ROUND((B$29*C30),0)</f>
        <v>4000000</v>
      </c>
      <c r="F30" s="5"/>
      <c r="G30" s="51">
        <f>ROUND(IF($B$29&gt;4400,$B$29*N$13,4400*$N$13)+$E30*N$14,0)</f>
        <v>304341</v>
      </c>
      <c r="H30" s="51"/>
      <c r="I30" s="51">
        <f>ROUND(IF($B$29&gt;4400,$B$29*P$13,4400*$N$13)+$E30*P$14,0)</f>
        <v>319080</v>
      </c>
      <c r="K30" s="4">
        <f>(I30-G30)/G30</f>
        <v>4.8429229055565959E-2</v>
      </c>
      <c r="M30" s="70" t="str">
        <f>+'Res Bill RY#1'!P33</f>
        <v xml:space="preserve">Schedule 141X- Tax Passback </v>
      </c>
      <c r="N30" s="73">
        <v>4.84E-4</v>
      </c>
      <c r="P30" s="73">
        <v>0</v>
      </c>
    </row>
    <row r="31" spans="2:18" x14ac:dyDescent="0.25">
      <c r="C31" s="14">
        <v>700</v>
      </c>
      <c r="E31" s="5">
        <f>ROUND((B$29*C31),0)</f>
        <v>5600000</v>
      </c>
      <c r="F31" s="5"/>
      <c r="G31" s="51">
        <f>ROUND(IF($B$29&gt;4400,$B$29*N$13,4400*$N$13)+$E31*N$14,0)</f>
        <v>407997</v>
      </c>
      <c r="H31" s="51"/>
      <c r="I31" s="51">
        <f>ROUND(IF($B$29&gt;4400,$B$29*P$13,4400*$N$13)+$E31*P$14,0)</f>
        <v>428632</v>
      </c>
      <c r="K31" s="4">
        <f>(I31-G31)/G31</f>
        <v>5.0576352277100077E-2</v>
      </c>
      <c r="M31" s="70" t="str">
        <f>+'Res Bill RY#1'!P34</f>
        <v>Schedule 141Z - Tax</v>
      </c>
      <c r="N31" s="73">
        <v>-4.4999999999999999E-4</v>
      </c>
      <c r="P31" s="73">
        <v>0</v>
      </c>
    </row>
    <row r="32" spans="2:18" x14ac:dyDescent="0.25">
      <c r="E32" s="5"/>
      <c r="F32" s="5"/>
      <c r="G32" s="51"/>
      <c r="H32" s="51"/>
      <c r="I32" s="51"/>
      <c r="K32" s="4"/>
      <c r="M32" s="70" t="str">
        <f>+'Res Bill RY#1'!P35</f>
        <v>Schedule 142 - Decoupling</v>
      </c>
      <c r="N32" s="73">
        <v>0</v>
      </c>
      <c r="P32" s="73">
        <f>+N32</f>
        <v>0</v>
      </c>
    </row>
    <row r="33" spans="2:16" x14ac:dyDescent="0.25">
      <c r="B33" s="5">
        <v>10000</v>
      </c>
      <c r="C33" s="14">
        <v>300</v>
      </c>
      <c r="E33" s="5">
        <f>ROUND((B$33*C33),0)</f>
        <v>3000000</v>
      </c>
      <c r="F33" s="5"/>
      <c r="G33" s="51">
        <f>ROUND(IF($B$33&gt;4400,$B$33*N$13,4400*$N$13)+$E33*N$14,0)</f>
        <v>250856</v>
      </c>
      <c r="H33" s="51"/>
      <c r="I33" s="51">
        <f>ROUND(IF($B$33&gt;4400,$B$33*P$13,4400*$N$13)+$E33*P$14,0)</f>
        <v>261910</v>
      </c>
      <c r="K33" s="4">
        <f>(I33-G33)/G33</f>
        <v>4.406512102560832E-2</v>
      </c>
      <c r="M33" s="70" t="str">
        <f>+'Res Bill RY#1'!P36</f>
        <v>Schedule 142 - Decoupling Supplemental</v>
      </c>
      <c r="N33" s="73">
        <v>0</v>
      </c>
      <c r="P33" s="73">
        <f>+N33</f>
        <v>0</v>
      </c>
    </row>
    <row r="34" spans="2:16" x14ac:dyDescent="0.25">
      <c r="C34" s="14">
        <v>500</v>
      </c>
      <c r="E34" s="5">
        <f>ROUND((B$33*C34),0)</f>
        <v>5000000</v>
      </c>
      <c r="F34" s="5"/>
      <c r="G34" s="51">
        <f>ROUND(IF($B$33&gt;4400,$B$33*N$13,4400*$N$13)+$E34*N$14,0)</f>
        <v>380426</v>
      </c>
      <c r="H34" s="51"/>
      <c r="I34" s="51">
        <f>ROUND(IF($B$33&gt;4400,$B$33*P$13,4400*$N$13)+$E34*P$14,0)</f>
        <v>398850</v>
      </c>
      <c r="K34" s="4">
        <f>(I34-G34)/G34</f>
        <v>4.8429918039250737E-2</v>
      </c>
      <c r="P34" s="73"/>
    </row>
    <row r="35" spans="2:16" x14ac:dyDescent="0.25">
      <c r="C35" s="14">
        <v>700</v>
      </c>
      <c r="E35" s="5">
        <f>ROUND((B$33*C35),0)</f>
        <v>7000000</v>
      </c>
      <c r="F35" s="5"/>
      <c r="G35" s="51">
        <f>ROUND(IF($B$33&gt;4400,$B$33*N$13,4400*$N$13)+$E35*N$14,0)</f>
        <v>509996</v>
      </c>
      <c r="H35" s="51"/>
      <c r="I35" s="51">
        <f>ROUND(IF($B$33&gt;4400,$B$33*P$13,4400*$N$13)+$E35*P$14,0)</f>
        <v>535790</v>
      </c>
      <c r="K35" s="4">
        <f>(I35-G35)/G35</f>
        <v>5.0576867269547215E-2</v>
      </c>
      <c r="P35" s="73"/>
    </row>
    <row r="36" spans="2:16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M36" s="7" t="s">
        <v>124</v>
      </c>
      <c r="N36" s="6">
        <f>+'Rate Impacts_RY#1'!H18</f>
        <v>-7.6487616415761026E-3</v>
      </c>
      <c r="P36" s="73"/>
    </row>
    <row r="37" spans="2:16" x14ac:dyDescent="0.25">
      <c r="M37" s="60" t="s">
        <v>125</v>
      </c>
      <c r="N37" s="6">
        <f>+'Rate Impacts_RY#1'!AM18</f>
        <v>1.5533425710505807E-2</v>
      </c>
    </row>
    <row r="39" spans="2:16" ht="16.5" x14ac:dyDescent="0.25">
      <c r="B39" s="181" t="s">
        <v>285</v>
      </c>
      <c r="C39" s="181"/>
      <c r="D39" s="181"/>
      <c r="E39" s="181"/>
      <c r="F39" s="181"/>
      <c r="G39" s="181"/>
      <c r="H39" s="181"/>
      <c r="I39" s="181"/>
      <c r="J39" s="181"/>
      <c r="K39" s="181"/>
    </row>
    <row r="40" spans="2:16" x14ac:dyDescent="0.25">
      <c r="B40" s="181" t="s">
        <v>136</v>
      </c>
      <c r="C40" s="181"/>
      <c r="D40" s="181"/>
      <c r="E40" s="181"/>
      <c r="F40" s="181"/>
      <c r="G40" s="181"/>
      <c r="H40" s="181"/>
      <c r="I40" s="181"/>
      <c r="J40" s="181"/>
      <c r="K40" s="181"/>
    </row>
    <row r="41" spans="2:16" x14ac:dyDescent="0.25">
      <c r="B41" s="181" t="s">
        <v>137</v>
      </c>
      <c r="C41" s="181"/>
      <c r="D41" s="181"/>
      <c r="E41" s="181"/>
      <c r="F41" s="181"/>
      <c r="G41" s="181"/>
      <c r="H41" s="181"/>
      <c r="I41" s="181"/>
      <c r="J41" s="181"/>
      <c r="K41" s="181"/>
    </row>
    <row r="42" spans="2:16" x14ac:dyDescent="0.25">
      <c r="B42" s="2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15" x14ac:dyDescent="0.25">
      <c r="B49" s="2"/>
    </row>
    <row r="50" spans="2:15" x14ac:dyDescent="0.25">
      <c r="B50" s="2"/>
    </row>
    <row r="51" spans="2:15" x14ac:dyDescent="0.25">
      <c r="B51" s="2"/>
    </row>
    <row r="52" spans="2:15" x14ac:dyDescent="0.25">
      <c r="B52" s="2"/>
    </row>
    <row r="54" spans="2:15" x14ac:dyDescent="0.25">
      <c r="O54" s="1"/>
    </row>
  </sheetData>
  <mergeCells count="4">
    <mergeCell ref="G9:I9"/>
    <mergeCell ref="B39:K39"/>
    <mergeCell ref="B40:K40"/>
    <mergeCell ref="B41:K41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zoomScale="90" zoomScaleNormal="90" workbookViewId="0">
      <pane xSplit="5" ySplit="7" topLeftCell="F8" activePane="bottomRight" state="frozen"/>
      <selection sqref="A1:XFD1048576"/>
      <selection pane="topRight" sqref="A1:XFD1048576"/>
      <selection pane="bottomLeft" sqref="A1:XFD1048576"/>
      <selection pane="bottomRight" activeCell="F8" sqref="F8"/>
    </sheetView>
  </sheetViews>
  <sheetFormatPr defaultColWidth="6.28515625" defaultRowHeight="12.75" x14ac:dyDescent="0.2"/>
  <cols>
    <col min="1" max="1" width="4.85546875" style="85" bestFit="1" customWidth="1"/>
    <col min="2" max="2" width="32.42578125" style="85" bestFit="1" customWidth="1"/>
    <col min="3" max="3" width="15.5703125" style="85" bestFit="1" customWidth="1"/>
    <col min="4" max="5" width="11" style="85" bestFit="1" customWidth="1"/>
    <col min="6" max="6" width="2.140625" style="85" customWidth="1"/>
    <col min="7" max="7" width="11.28515625" style="85" customWidth="1"/>
    <col min="8" max="8" width="12" style="85" customWidth="1"/>
    <col min="9" max="9" width="2.140625" style="85" customWidth="1"/>
    <col min="10" max="11" width="9.7109375" style="85" customWidth="1"/>
    <col min="12" max="12" width="2.140625" style="85" customWidth="1"/>
    <col min="13" max="14" width="9.7109375" style="85" customWidth="1"/>
    <col min="15" max="15" width="2.140625" style="85" customWidth="1"/>
    <col min="16" max="16" width="11" style="85" bestFit="1" customWidth="1"/>
    <col min="17" max="17" width="9.7109375" style="85" customWidth="1"/>
    <col min="18" max="18" width="9.5703125" style="85" bestFit="1" customWidth="1"/>
    <col min="19" max="20" width="9.7109375" style="85" customWidth="1"/>
    <col min="21" max="21" width="6.28515625" style="85"/>
    <col min="22" max="23" width="9.7109375" style="85" customWidth="1"/>
    <col min="24" max="24" width="6.28515625" style="85"/>
    <col min="25" max="26" width="9.7109375" style="85" customWidth="1"/>
    <col min="27" max="27" width="6.28515625" style="85"/>
    <col min="28" max="29" width="9.7109375" style="85" customWidth="1"/>
    <col min="30" max="30" width="6.28515625" style="85"/>
    <col min="31" max="32" width="9.7109375" style="85" customWidth="1"/>
    <col min="33" max="33" width="6.28515625" style="85"/>
    <col min="34" max="35" width="9.5703125" style="85" customWidth="1"/>
    <col min="36" max="36" width="6.28515625" style="85"/>
    <col min="37" max="39" width="9.5703125" style="85" customWidth="1"/>
    <col min="40" max="16384" width="6.28515625" style="85"/>
  </cols>
  <sheetData>
    <row r="1" spans="1:37" x14ac:dyDescent="0.2">
      <c r="A1" s="172" t="s">
        <v>0</v>
      </c>
      <c r="B1" s="172"/>
      <c r="C1" s="148"/>
      <c r="D1" s="108"/>
      <c r="E1" s="108"/>
    </row>
    <row r="2" spans="1:37" x14ac:dyDescent="0.2">
      <c r="A2" s="172" t="s">
        <v>12</v>
      </c>
      <c r="B2" s="172"/>
      <c r="C2" s="148"/>
      <c r="D2" s="108"/>
      <c r="E2" s="108"/>
    </row>
    <row r="3" spans="1:37" x14ac:dyDescent="0.2">
      <c r="A3" s="173" t="s">
        <v>149</v>
      </c>
      <c r="B3" s="172"/>
      <c r="C3" s="148"/>
      <c r="D3" s="108"/>
      <c r="E3" s="108"/>
    </row>
    <row r="4" spans="1:37" x14ac:dyDescent="0.2">
      <c r="A4" s="172" t="s">
        <v>25</v>
      </c>
      <c r="B4" s="172"/>
      <c r="C4" s="148"/>
      <c r="D4" s="108"/>
      <c r="E4" s="108"/>
    </row>
    <row r="5" spans="1:37" x14ac:dyDescent="0.2">
      <c r="A5" s="173" t="s">
        <v>150</v>
      </c>
      <c r="B5" s="172"/>
      <c r="C5" s="148"/>
      <c r="D5" s="109"/>
      <c r="E5" s="109"/>
    </row>
    <row r="6" spans="1:37" x14ac:dyDescent="0.2">
      <c r="A6" s="110"/>
      <c r="B6" s="109"/>
      <c r="C6" s="109"/>
      <c r="D6" s="109"/>
      <c r="E6" s="109"/>
    </row>
    <row r="7" spans="1:37" ht="89.25" x14ac:dyDescent="0.2">
      <c r="A7" s="111" t="s">
        <v>1</v>
      </c>
      <c r="B7" s="111" t="s">
        <v>166</v>
      </c>
      <c r="C7" s="111" t="s">
        <v>127</v>
      </c>
      <c r="D7" s="112" t="s">
        <v>151</v>
      </c>
      <c r="E7" s="113" t="s">
        <v>187</v>
      </c>
      <c r="G7" s="114" t="s">
        <v>171</v>
      </c>
      <c r="H7" s="114" t="s">
        <v>172</v>
      </c>
      <c r="J7" s="114" t="s">
        <v>169</v>
      </c>
      <c r="K7" s="114" t="s">
        <v>170</v>
      </c>
      <c r="M7" s="114" t="s">
        <v>173</v>
      </c>
      <c r="N7" s="114" t="s">
        <v>174</v>
      </c>
      <c r="P7" s="114" t="s">
        <v>214</v>
      </c>
      <c r="Q7" s="114" t="s">
        <v>185</v>
      </c>
      <c r="R7" s="114" t="s">
        <v>186</v>
      </c>
      <c r="AK7" s="129" t="s">
        <v>213</v>
      </c>
    </row>
    <row r="8" spans="1:37" s="118" customFormat="1" ht="25.5" customHeight="1" x14ac:dyDescent="0.2">
      <c r="A8" s="115"/>
      <c r="B8" s="115" t="s">
        <v>18</v>
      </c>
      <c r="C8" s="115" t="s">
        <v>19</v>
      </c>
      <c r="D8" s="116" t="s">
        <v>121</v>
      </c>
      <c r="E8" s="117" t="s">
        <v>122</v>
      </c>
      <c r="F8" s="130"/>
      <c r="G8" s="130" t="s">
        <v>217</v>
      </c>
      <c r="H8" s="130" t="s">
        <v>216</v>
      </c>
      <c r="I8" s="130"/>
      <c r="J8" s="130" t="s">
        <v>218</v>
      </c>
      <c r="K8" s="130" t="s">
        <v>219</v>
      </c>
      <c r="L8" s="130"/>
      <c r="M8" s="130" t="s">
        <v>220</v>
      </c>
      <c r="N8" s="131" t="s">
        <v>221</v>
      </c>
      <c r="O8" s="130"/>
      <c r="P8" s="131" t="s">
        <v>266</v>
      </c>
      <c r="Q8" s="131" t="s">
        <v>233</v>
      </c>
      <c r="R8" s="118" t="s">
        <v>234</v>
      </c>
    </row>
    <row r="9" spans="1:37" x14ac:dyDescent="0.2">
      <c r="A9" s="109">
        <v>1</v>
      </c>
      <c r="B9" s="119" t="s">
        <v>2</v>
      </c>
      <c r="C9" s="119">
        <v>7</v>
      </c>
      <c r="D9" s="120">
        <v>10953273</v>
      </c>
      <c r="E9" s="123">
        <v>1415080.8588307844</v>
      </c>
      <c r="F9" s="121"/>
      <c r="G9" s="123">
        <v>2104</v>
      </c>
      <c r="H9" s="122">
        <f>+G9/$E9</f>
        <v>1.4868408309461818E-3</v>
      </c>
      <c r="I9" s="121"/>
      <c r="J9" s="123">
        <v>-34919</v>
      </c>
      <c r="K9" s="122">
        <f>+J9/$E9</f>
        <v>-2.4676328410555951E-2</v>
      </c>
      <c r="M9" s="123">
        <v>70791</v>
      </c>
      <c r="N9" s="122">
        <f>+M9/$E9</f>
        <v>5.0026116570109865E-2</v>
      </c>
      <c r="P9" s="123">
        <f>SUM(E9,G9,J9,M9)</f>
        <v>1453056.8588307844</v>
      </c>
      <c r="Q9" s="123">
        <f t="shared" ref="Q9:Q22" si="0">+P9-E9</f>
        <v>37976</v>
      </c>
      <c r="R9" s="122">
        <f>+Q9/$E9</f>
        <v>2.6836628990500093E-2</v>
      </c>
    </row>
    <row r="10" spans="1:37" x14ac:dyDescent="0.2">
      <c r="A10" s="109">
        <f>+A9+1</f>
        <v>2</v>
      </c>
      <c r="B10" s="119" t="s">
        <v>155</v>
      </c>
      <c r="C10" s="119" t="s">
        <v>13</v>
      </c>
      <c r="D10" s="120">
        <v>2730372</v>
      </c>
      <c r="E10" s="123">
        <v>346832.39831200003</v>
      </c>
      <c r="F10" s="121"/>
      <c r="G10" s="123">
        <v>441</v>
      </c>
      <c r="H10" s="122">
        <f t="shared" ref="H10:H23" si="1">+G10/$E10</f>
        <v>1.271507512407447E-3</v>
      </c>
      <c r="I10" s="121"/>
      <c r="J10" s="123">
        <v>-6796</v>
      </c>
      <c r="K10" s="122">
        <f t="shared" ref="K10:K23" si="2">+J10/$E10</f>
        <v>-1.959447858122678E-2</v>
      </c>
      <c r="M10" s="123">
        <v>13622</v>
      </c>
      <c r="N10" s="122">
        <f t="shared" ref="N10:N23" si="3">+M10/$E10</f>
        <v>3.9275454272141144E-2</v>
      </c>
      <c r="P10" s="123">
        <f t="shared" ref="P10:P22" si="4">SUM(E10,G10,J10,M10)</f>
        <v>354099.39831200003</v>
      </c>
      <c r="Q10" s="123">
        <f t="shared" si="0"/>
        <v>7267</v>
      </c>
      <c r="R10" s="122">
        <f t="shared" ref="R10:R23" si="5">+Q10/$E10</f>
        <v>2.0952483203321808E-2</v>
      </c>
    </row>
    <row r="11" spans="1:37" x14ac:dyDescent="0.2">
      <c r="A11" s="109">
        <f>+A10+1</f>
        <v>3</v>
      </c>
      <c r="B11" s="124" t="s">
        <v>157</v>
      </c>
      <c r="C11" s="119" t="s">
        <v>23</v>
      </c>
      <c r="D11" s="120">
        <v>2948172</v>
      </c>
      <c r="E11" s="123">
        <v>349335.21287653234</v>
      </c>
      <c r="F11" s="121"/>
      <c r="G11" s="123">
        <v>471</v>
      </c>
      <c r="H11" s="122">
        <f t="shared" si="1"/>
        <v>1.3482751885263522E-3</v>
      </c>
      <c r="I11" s="121"/>
      <c r="J11" s="123">
        <v>-7406</v>
      </c>
      <c r="K11" s="122">
        <f t="shared" si="2"/>
        <v>-2.1200267614068288E-2</v>
      </c>
      <c r="M11" s="123">
        <v>14823</v>
      </c>
      <c r="N11" s="122">
        <f t="shared" si="3"/>
        <v>4.2432023608335707E-2</v>
      </c>
      <c r="P11" s="123">
        <f t="shared" si="4"/>
        <v>357223.21287653234</v>
      </c>
      <c r="Q11" s="123">
        <f t="shared" si="0"/>
        <v>7888</v>
      </c>
      <c r="R11" s="122">
        <f t="shared" si="5"/>
        <v>2.258003118279377E-2</v>
      </c>
    </row>
    <row r="12" spans="1:37" x14ac:dyDescent="0.2">
      <c r="A12" s="109">
        <f t="shared" ref="A12:A23" si="6">+A11+1</f>
        <v>4</v>
      </c>
      <c r="B12" s="124" t="s">
        <v>156</v>
      </c>
      <c r="C12" s="119" t="s">
        <v>14</v>
      </c>
      <c r="D12" s="120">
        <v>1853862</v>
      </c>
      <c r="E12" s="123">
        <v>198806.43818655092</v>
      </c>
      <c r="F12" s="121"/>
      <c r="G12" s="123">
        <v>272</v>
      </c>
      <c r="H12" s="122">
        <f t="shared" si="1"/>
        <v>1.3681649471772516E-3</v>
      </c>
      <c r="I12" s="121"/>
      <c r="J12" s="123">
        <v>-4056</v>
      </c>
      <c r="K12" s="122">
        <f t="shared" si="2"/>
        <v>-2.0401753771143137E-2</v>
      </c>
      <c r="M12" s="123">
        <v>8127</v>
      </c>
      <c r="N12" s="122">
        <f t="shared" si="3"/>
        <v>4.0878957815108544E-2</v>
      </c>
      <c r="P12" s="123">
        <f t="shared" si="4"/>
        <v>203149.43818655092</v>
      </c>
      <c r="Q12" s="123">
        <f t="shared" si="0"/>
        <v>4343</v>
      </c>
      <c r="R12" s="122">
        <f t="shared" si="5"/>
        <v>2.1845368991142661E-2</v>
      </c>
    </row>
    <row r="13" spans="1:37" x14ac:dyDescent="0.2">
      <c r="A13" s="109">
        <f t="shared" si="6"/>
        <v>5</v>
      </c>
      <c r="B13" s="119" t="s">
        <v>158</v>
      </c>
      <c r="C13" s="119">
        <v>29</v>
      </c>
      <c r="D13" s="120">
        <v>14778</v>
      </c>
      <c r="E13" s="123">
        <v>1557.9802984580135</v>
      </c>
      <c r="F13" s="121"/>
      <c r="G13" s="123">
        <v>3</v>
      </c>
      <c r="H13" s="122">
        <f t="shared" si="1"/>
        <v>1.9255699208579227E-3</v>
      </c>
      <c r="I13" s="121"/>
      <c r="J13" s="123">
        <v>-38</v>
      </c>
      <c r="K13" s="122">
        <f t="shared" si="2"/>
        <v>-2.4390552330867021E-2</v>
      </c>
      <c r="M13" s="123">
        <v>74</v>
      </c>
      <c r="N13" s="122">
        <f t="shared" si="3"/>
        <v>4.7497391381162095E-2</v>
      </c>
      <c r="P13" s="123">
        <f t="shared" si="4"/>
        <v>1596.9802984580135</v>
      </c>
      <c r="Q13" s="123">
        <f t="shared" si="0"/>
        <v>39</v>
      </c>
      <c r="R13" s="122">
        <f t="shared" si="5"/>
        <v>2.5032408971152997E-2</v>
      </c>
    </row>
    <row r="14" spans="1:37" x14ac:dyDescent="0.2">
      <c r="A14" s="109">
        <f t="shared" si="6"/>
        <v>6</v>
      </c>
      <c r="B14" s="124" t="s">
        <v>159</v>
      </c>
      <c r="C14" s="119" t="s">
        <v>15</v>
      </c>
      <c r="D14" s="120">
        <v>1335448</v>
      </c>
      <c r="E14" s="123">
        <v>141459.62990960327</v>
      </c>
      <c r="F14" s="121"/>
      <c r="G14" s="123">
        <v>219</v>
      </c>
      <c r="H14" s="122">
        <f t="shared" si="1"/>
        <v>1.5481448674787798E-3</v>
      </c>
      <c r="I14" s="121"/>
      <c r="J14" s="123">
        <v>-2804</v>
      </c>
      <c r="K14" s="122">
        <f t="shared" si="2"/>
        <v>-1.9821909627445199E-2</v>
      </c>
      <c r="M14" s="123">
        <v>5904</v>
      </c>
      <c r="N14" s="122">
        <f t="shared" si="3"/>
        <v>4.1736289030112859E-2</v>
      </c>
      <c r="P14" s="123">
        <f t="shared" si="4"/>
        <v>144778.62990960327</v>
      </c>
      <c r="Q14" s="123">
        <f t="shared" si="0"/>
        <v>3319</v>
      </c>
      <c r="R14" s="122">
        <f t="shared" si="5"/>
        <v>2.3462524270146438E-2</v>
      </c>
    </row>
    <row r="15" spans="1:37" x14ac:dyDescent="0.2">
      <c r="A15" s="109">
        <f t="shared" si="6"/>
        <v>7</v>
      </c>
      <c r="B15" s="124" t="s">
        <v>160</v>
      </c>
      <c r="C15" s="119">
        <v>35</v>
      </c>
      <c r="D15" s="120">
        <v>4695</v>
      </c>
      <c r="E15" s="123">
        <v>384.08723693641753</v>
      </c>
      <c r="F15" s="121"/>
      <c r="G15" s="123">
        <v>1</v>
      </c>
      <c r="H15" s="122">
        <f t="shared" si="1"/>
        <v>2.6035751877002407E-3</v>
      </c>
      <c r="I15" s="121"/>
      <c r="J15" s="123">
        <v>-14</v>
      </c>
      <c r="K15" s="122">
        <f t="shared" si="2"/>
        <v>-3.6450052627803368E-2</v>
      </c>
      <c r="M15" s="123">
        <v>29</v>
      </c>
      <c r="N15" s="122">
        <f t="shared" si="3"/>
        <v>7.5503680443306978E-2</v>
      </c>
      <c r="P15" s="123">
        <f t="shared" si="4"/>
        <v>400.08723693641753</v>
      </c>
      <c r="Q15" s="123">
        <f t="shared" si="0"/>
        <v>16</v>
      </c>
      <c r="R15" s="122">
        <f t="shared" si="5"/>
        <v>4.1657203003203851E-2</v>
      </c>
    </row>
    <row r="16" spans="1:37" x14ac:dyDescent="0.2">
      <c r="A16" s="109">
        <f t="shared" si="6"/>
        <v>8</v>
      </c>
      <c r="B16" s="119" t="s">
        <v>161</v>
      </c>
      <c r="C16" s="119">
        <v>43</v>
      </c>
      <c r="D16" s="120">
        <v>119782</v>
      </c>
      <c r="E16" s="123">
        <v>13377.38773630361</v>
      </c>
      <c r="F16" s="121"/>
      <c r="G16" s="123">
        <v>3</v>
      </c>
      <c r="H16" s="122">
        <f t="shared" si="1"/>
        <v>2.2425903017362557E-4</v>
      </c>
      <c r="I16" s="121"/>
      <c r="J16" s="123">
        <v>-249</v>
      </c>
      <c r="K16" s="122">
        <f t="shared" si="2"/>
        <v>-1.8613499504410921E-2</v>
      </c>
      <c r="M16" s="123">
        <v>497</v>
      </c>
      <c r="N16" s="122">
        <f t="shared" si="3"/>
        <v>3.7152245998763968E-2</v>
      </c>
      <c r="P16" s="123">
        <f t="shared" si="4"/>
        <v>13628.38773630361</v>
      </c>
      <c r="Q16" s="123">
        <f t="shared" si="0"/>
        <v>251</v>
      </c>
      <c r="R16" s="122">
        <f t="shared" si="5"/>
        <v>1.8763005524526675E-2</v>
      </c>
    </row>
    <row r="17" spans="1:18" x14ac:dyDescent="0.2">
      <c r="A17" s="109">
        <f t="shared" si="6"/>
        <v>9</v>
      </c>
      <c r="B17" s="119" t="s">
        <v>162</v>
      </c>
      <c r="C17" s="119">
        <v>46</v>
      </c>
      <c r="D17" s="120">
        <v>77611</v>
      </c>
      <c r="E17" s="123">
        <v>5940.1761360706068</v>
      </c>
      <c r="F17" s="121"/>
      <c r="G17" s="123">
        <v>4</v>
      </c>
      <c r="H17" s="122">
        <f t="shared" si="1"/>
        <v>6.7338070595428126E-4</v>
      </c>
      <c r="I17" s="121"/>
      <c r="J17" s="123">
        <v>-85</v>
      </c>
      <c r="K17" s="122">
        <f t="shared" si="2"/>
        <v>-1.4309340001528477E-2</v>
      </c>
      <c r="M17" s="123">
        <v>191</v>
      </c>
      <c r="N17" s="122">
        <f t="shared" si="3"/>
        <v>3.215392870931693E-2</v>
      </c>
      <c r="P17" s="123">
        <f t="shared" si="4"/>
        <v>6050.1761360706068</v>
      </c>
      <c r="Q17" s="123">
        <f t="shared" si="0"/>
        <v>110</v>
      </c>
      <c r="R17" s="122">
        <f t="shared" si="5"/>
        <v>1.8517969413742733E-2</v>
      </c>
    </row>
    <row r="18" spans="1:18" x14ac:dyDescent="0.2">
      <c r="A18" s="109">
        <f t="shared" si="6"/>
        <v>10</v>
      </c>
      <c r="B18" s="124" t="s">
        <v>163</v>
      </c>
      <c r="C18" s="119">
        <v>49</v>
      </c>
      <c r="D18" s="120">
        <v>499683</v>
      </c>
      <c r="E18" s="123">
        <v>39090.010283939228</v>
      </c>
      <c r="F18" s="121"/>
      <c r="G18" s="123">
        <v>91</v>
      </c>
      <c r="H18" s="122">
        <f t="shared" si="1"/>
        <v>2.3279605029264687E-3</v>
      </c>
      <c r="I18" s="121"/>
      <c r="J18" s="123">
        <v>-547</v>
      </c>
      <c r="K18" s="122">
        <f t="shared" si="2"/>
        <v>-1.3993345001107455E-2</v>
      </c>
      <c r="M18" s="123">
        <v>1229</v>
      </c>
      <c r="N18" s="122">
        <f t="shared" si="3"/>
        <v>3.144025778128165E-2</v>
      </c>
      <c r="P18" s="123">
        <f t="shared" si="4"/>
        <v>39863.010283939228</v>
      </c>
      <c r="Q18" s="123">
        <f t="shared" si="0"/>
        <v>773</v>
      </c>
      <c r="R18" s="122">
        <f t="shared" si="5"/>
        <v>1.9774873283100663E-2</v>
      </c>
    </row>
    <row r="19" spans="1:18" x14ac:dyDescent="0.2">
      <c r="A19" s="109">
        <f t="shared" si="6"/>
        <v>11</v>
      </c>
      <c r="B19" s="119" t="s">
        <v>164</v>
      </c>
      <c r="C19" s="119" t="s">
        <v>3</v>
      </c>
      <c r="D19" s="120">
        <v>61382</v>
      </c>
      <c r="E19" s="123">
        <v>20285.240985607321</v>
      </c>
      <c r="F19" s="121"/>
      <c r="G19" s="123">
        <v>9</v>
      </c>
      <c r="H19" s="122">
        <f t="shared" si="1"/>
        <v>4.4367232345850037E-4</v>
      </c>
      <c r="I19" s="121"/>
      <c r="J19" s="123">
        <v>-593</v>
      </c>
      <c r="K19" s="122">
        <f t="shared" si="2"/>
        <v>-2.9233076423432303E-2</v>
      </c>
      <c r="M19" s="123">
        <v>1417</v>
      </c>
      <c r="N19" s="122">
        <f t="shared" si="3"/>
        <v>6.9853742482299447E-2</v>
      </c>
      <c r="P19" s="123">
        <f t="shared" si="4"/>
        <v>21118.240985607321</v>
      </c>
      <c r="Q19" s="123">
        <f t="shared" si="0"/>
        <v>833</v>
      </c>
      <c r="R19" s="122">
        <f t="shared" si="5"/>
        <v>4.1064338382325642E-2</v>
      </c>
    </row>
    <row r="20" spans="1:18" x14ac:dyDescent="0.2">
      <c r="A20" s="109">
        <f t="shared" si="6"/>
        <v>12</v>
      </c>
      <c r="B20" s="119" t="s">
        <v>20</v>
      </c>
      <c r="C20" s="119" t="s">
        <v>4</v>
      </c>
      <c r="D20" s="120">
        <v>1895104</v>
      </c>
      <c r="E20" s="123">
        <v>11667.850999999999</v>
      </c>
      <c r="F20" s="121"/>
      <c r="G20" s="123">
        <v>0</v>
      </c>
      <c r="H20" s="122">
        <f t="shared" si="1"/>
        <v>0</v>
      </c>
      <c r="I20" s="121"/>
      <c r="J20" s="123">
        <v>-38.159999999999997</v>
      </c>
      <c r="K20" s="122">
        <f t="shared" si="2"/>
        <v>-3.2705251378338652E-3</v>
      </c>
      <c r="M20" s="123">
        <v>81.599999999999994</v>
      </c>
      <c r="N20" s="122">
        <f t="shared" si="3"/>
        <v>6.993575766437196E-3</v>
      </c>
      <c r="P20" s="123">
        <f t="shared" si="4"/>
        <v>11711.290999999999</v>
      </c>
      <c r="Q20" s="123">
        <f t="shared" si="0"/>
        <v>43.440000000000509</v>
      </c>
      <c r="R20" s="122">
        <f t="shared" si="5"/>
        <v>3.7230506286033745E-3</v>
      </c>
    </row>
    <row r="21" spans="1:18" x14ac:dyDescent="0.2">
      <c r="A21" s="109">
        <f t="shared" si="6"/>
        <v>13</v>
      </c>
      <c r="B21" s="119" t="s">
        <v>120</v>
      </c>
      <c r="C21" s="119" t="s">
        <v>120</v>
      </c>
      <c r="D21" s="120">
        <v>289426</v>
      </c>
      <c r="E21" s="123">
        <v>5713.0150859514597</v>
      </c>
      <c r="F21" s="121"/>
      <c r="G21" s="123">
        <v>0</v>
      </c>
      <c r="H21" s="122">
        <f t="shared" si="1"/>
        <v>0</v>
      </c>
      <c r="I21" s="121"/>
      <c r="J21" s="123">
        <v>-160</v>
      </c>
      <c r="K21" s="122">
        <f t="shared" si="2"/>
        <v>-2.8006227463576391E-2</v>
      </c>
      <c r="M21" s="123">
        <v>341</v>
      </c>
      <c r="N21" s="122">
        <f t="shared" si="3"/>
        <v>5.9688272281747182E-2</v>
      </c>
      <c r="P21" s="123">
        <f t="shared" si="4"/>
        <v>5894.0150859514597</v>
      </c>
      <c r="Q21" s="123">
        <f t="shared" si="0"/>
        <v>181</v>
      </c>
      <c r="R21" s="122">
        <f t="shared" si="5"/>
        <v>3.1682044818170794E-2</v>
      </c>
    </row>
    <row r="22" spans="1:18" x14ac:dyDescent="0.2">
      <c r="A22" s="109">
        <f t="shared" si="6"/>
        <v>14</v>
      </c>
      <c r="B22" s="119" t="s">
        <v>16</v>
      </c>
      <c r="C22" s="119">
        <v>5</v>
      </c>
      <c r="D22" s="120">
        <v>7552</v>
      </c>
      <c r="E22" s="123">
        <v>662.3814219176636</v>
      </c>
      <c r="F22" s="121"/>
      <c r="G22" s="123">
        <v>2</v>
      </c>
      <c r="H22" s="122">
        <f t="shared" si="1"/>
        <v>3.0194083557020523E-3</v>
      </c>
      <c r="I22" s="121"/>
      <c r="J22" s="123">
        <v>-14</v>
      </c>
      <c r="K22" s="122">
        <f t="shared" si="2"/>
        <v>-2.1135858489914366E-2</v>
      </c>
      <c r="M22" s="123">
        <v>31</v>
      </c>
      <c r="N22" s="122">
        <f t="shared" si="3"/>
        <v>4.6800829513381811E-2</v>
      </c>
      <c r="P22" s="123">
        <f t="shared" si="4"/>
        <v>681.3814219176636</v>
      </c>
      <c r="Q22" s="123">
        <f t="shared" si="0"/>
        <v>19</v>
      </c>
      <c r="R22" s="122">
        <f t="shared" si="5"/>
        <v>2.8684379379169497E-2</v>
      </c>
    </row>
    <row r="23" spans="1:18" ht="13.5" thickBot="1" x14ac:dyDescent="0.25">
      <c r="A23" s="109">
        <f t="shared" si="6"/>
        <v>15</v>
      </c>
      <c r="B23" s="119"/>
      <c r="C23" s="119" t="s">
        <v>5</v>
      </c>
      <c r="D23" s="125">
        <f>SUM(D9:D22)</f>
        <v>22791140</v>
      </c>
      <c r="E23" s="126">
        <f>SUM(E9:E22)</f>
        <v>2550192.6683006547</v>
      </c>
      <c r="F23" s="123"/>
      <c r="G23" s="126">
        <f>SUM(G9:G22)</f>
        <v>3620</v>
      </c>
      <c r="H23" s="127">
        <f t="shared" si="1"/>
        <v>1.419500591071898E-3</v>
      </c>
      <c r="I23" s="123"/>
      <c r="J23" s="126">
        <f>SUM(J9:J22)</f>
        <v>-57719.16</v>
      </c>
      <c r="K23" s="127">
        <f t="shared" si="2"/>
        <v>-2.2633254623252337E-2</v>
      </c>
      <c r="M23" s="126">
        <f>SUM(M9:M22)</f>
        <v>117157.6</v>
      </c>
      <c r="N23" s="127">
        <f t="shared" si="3"/>
        <v>4.5940685759272099E-2</v>
      </c>
      <c r="P23" s="126">
        <f>SUM(P9:P22)</f>
        <v>2613251.1083006551</v>
      </c>
      <c r="Q23" s="126">
        <f>SUM(Q9:Q22)</f>
        <v>63058.44</v>
      </c>
      <c r="R23" s="127">
        <f t="shared" si="5"/>
        <v>2.4726931727091662E-2</v>
      </c>
    </row>
    <row r="24" spans="1:18" ht="13.5" thickTop="1" x14ac:dyDescent="0.2">
      <c r="E24" s="123"/>
    </row>
    <row r="25" spans="1:18" x14ac:dyDescent="0.2">
      <c r="D25" s="120">
        <v>22791140</v>
      </c>
      <c r="E25" s="123">
        <v>2550192.6683006547</v>
      </c>
      <c r="P25" s="123">
        <v>2613251.1083006551</v>
      </c>
    </row>
    <row r="26" spans="1:18" x14ac:dyDescent="0.2">
      <c r="D26" s="120">
        <f>+D25-D23</f>
        <v>0</v>
      </c>
      <c r="E26" s="123">
        <f>+E25-E23</f>
        <v>0</v>
      </c>
      <c r="P26" s="123">
        <f>+P25-P23</f>
        <v>0</v>
      </c>
    </row>
    <row r="27" spans="1:18" ht="12.75" customHeight="1" x14ac:dyDescent="0.2"/>
    <row r="28" spans="1:18" x14ac:dyDescent="0.2">
      <c r="B28" s="124" t="s">
        <v>188</v>
      </c>
    </row>
  </sheetData>
  <mergeCells count="5">
    <mergeCell ref="A1:B1"/>
    <mergeCell ref="A2:B2"/>
    <mergeCell ref="A3:B3"/>
    <mergeCell ref="A4:B4"/>
    <mergeCell ref="A5:B5"/>
  </mergeCells>
  <printOptions horizontalCentered="1"/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No.___(BDJ-7)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zoomScaleNormal="100" workbookViewId="0">
      <pane xSplit="5" ySplit="7" topLeftCell="F8" activePane="bottomRight" state="frozen"/>
      <selection sqref="A1:XFD1048576"/>
      <selection pane="topRight" sqref="A1:XFD1048576"/>
      <selection pane="bottomLeft" sqref="A1:XFD1048576"/>
      <selection pane="bottomRight" activeCell="F8" sqref="F8"/>
    </sheetView>
  </sheetViews>
  <sheetFormatPr defaultColWidth="6.28515625" defaultRowHeight="12.75" x14ac:dyDescent="0.2"/>
  <cols>
    <col min="1" max="1" width="4.85546875" style="85" bestFit="1" customWidth="1"/>
    <col min="2" max="2" width="32.42578125" style="85" bestFit="1" customWidth="1"/>
    <col min="3" max="3" width="15.5703125" style="85" bestFit="1" customWidth="1"/>
    <col min="4" max="4" width="13.28515625" style="85" customWidth="1"/>
    <col min="5" max="5" width="11" style="85" bestFit="1" customWidth="1"/>
    <col min="6" max="6" width="2.140625" style="85" customWidth="1"/>
    <col min="7" max="7" width="10.7109375" style="85" bestFit="1" customWidth="1"/>
    <col min="8" max="8" width="9.7109375" style="85" customWidth="1"/>
    <col min="9" max="9" width="2.140625" style="85" customWidth="1"/>
    <col min="10" max="10" width="10.7109375" style="85" bestFit="1" customWidth="1"/>
    <col min="11" max="11" width="9.7109375" style="85" customWidth="1"/>
    <col min="12" max="12" width="2.140625" style="85" customWidth="1"/>
    <col min="13" max="14" width="9.7109375" style="85" customWidth="1"/>
    <col min="15" max="15" width="2.140625" style="85" customWidth="1"/>
    <col min="16" max="16" width="12" style="85" bestFit="1" customWidth="1"/>
    <col min="17" max="17" width="9.7109375" style="85" customWidth="1"/>
    <col min="18" max="18" width="9.5703125" style="85" bestFit="1" customWidth="1"/>
    <col min="19" max="20" width="9.7109375" style="85" customWidth="1"/>
    <col min="21" max="21" width="6.28515625" style="85"/>
    <col min="22" max="23" width="9.7109375" style="85" customWidth="1"/>
    <col min="24" max="24" width="6.28515625" style="85"/>
    <col min="25" max="26" width="9.7109375" style="85" customWidth="1"/>
    <col min="27" max="27" width="6.28515625" style="85"/>
    <col min="28" max="29" width="9.7109375" style="85" customWidth="1"/>
    <col min="30" max="30" width="6.28515625" style="85"/>
    <col min="31" max="32" width="9.7109375" style="85" customWidth="1"/>
    <col min="33" max="33" width="6.28515625" style="85"/>
    <col min="34" max="35" width="9.5703125" style="85" customWidth="1"/>
    <col min="36" max="36" width="6.28515625" style="85"/>
    <col min="37" max="39" width="9.5703125" style="85" customWidth="1"/>
    <col min="40" max="16384" width="6.28515625" style="85"/>
  </cols>
  <sheetData>
    <row r="1" spans="1:37" x14ac:dyDescent="0.2">
      <c r="A1" s="172" t="s">
        <v>0</v>
      </c>
      <c r="B1" s="172"/>
      <c r="C1" s="148"/>
      <c r="D1" s="108"/>
      <c r="E1" s="108"/>
    </row>
    <row r="2" spans="1:37" x14ac:dyDescent="0.2">
      <c r="A2" s="172" t="s">
        <v>12</v>
      </c>
      <c r="B2" s="172"/>
      <c r="C2" s="148"/>
      <c r="D2" s="108"/>
      <c r="E2" s="108"/>
    </row>
    <row r="3" spans="1:37" x14ac:dyDescent="0.2">
      <c r="A3" s="173" t="s">
        <v>152</v>
      </c>
      <c r="B3" s="172"/>
      <c r="C3" s="148"/>
      <c r="D3" s="108"/>
      <c r="E3" s="108"/>
    </row>
    <row r="4" spans="1:37" x14ac:dyDescent="0.2">
      <c r="A4" s="172" t="s">
        <v>25</v>
      </c>
      <c r="B4" s="172"/>
      <c r="C4" s="148"/>
      <c r="D4" s="108"/>
      <c r="E4" s="108"/>
    </row>
    <row r="5" spans="1:37" x14ac:dyDescent="0.2">
      <c r="A5" s="173" t="s">
        <v>153</v>
      </c>
      <c r="B5" s="172"/>
      <c r="C5" s="148"/>
      <c r="D5" s="109"/>
      <c r="E5" s="109"/>
    </row>
    <row r="6" spans="1:37" x14ac:dyDescent="0.2">
      <c r="A6" s="110"/>
      <c r="B6" s="109"/>
      <c r="C6" s="109"/>
      <c r="D6" s="109"/>
      <c r="E6" s="109"/>
    </row>
    <row r="7" spans="1:37" ht="89.25" x14ac:dyDescent="0.2">
      <c r="A7" s="111" t="s">
        <v>1</v>
      </c>
      <c r="B7" s="111" t="s">
        <v>166</v>
      </c>
      <c r="C7" s="111" t="s">
        <v>127</v>
      </c>
      <c r="D7" s="112" t="s">
        <v>154</v>
      </c>
      <c r="E7" s="113" t="s">
        <v>190</v>
      </c>
      <c r="G7" s="114" t="s">
        <v>171</v>
      </c>
      <c r="H7" s="114" t="s">
        <v>172</v>
      </c>
      <c r="J7" s="114" t="s">
        <v>169</v>
      </c>
      <c r="K7" s="114" t="s">
        <v>170</v>
      </c>
      <c r="M7" s="114" t="s">
        <v>173</v>
      </c>
      <c r="N7" s="114" t="s">
        <v>174</v>
      </c>
      <c r="P7" s="114" t="s">
        <v>215</v>
      </c>
      <c r="Q7" s="114" t="s">
        <v>185</v>
      </c>
      <c r="R7" s="114" t="s">
        <v>186</v>
      </c>
      <c r="AK7" s="129"/>
    </row>
    <row r="8" spans="1:37" s="118" customFormat="1" x14ac:dyDescent="0.2">
      <c r="A8" s="115"/>
      <c r="B8" s="115" t="s">
        <v>18</v>
      </c>
      <c r="C8" s="115" t="s">
        <v>19</v>
      </c>
      <c r="D8" s="116" t="s">
        <v>121</v>
      </c>
      <c r="E8" s="117" t="s">
        <v>122</v>
      </c>
      <c r="F8" s="130"/>
      <c r="G8" s="130" t="s">
        <v>217</v>
      </c>
      <c r="H8" s="130" t="s">
        <v>216</v>
      </c>
      <c r="I8" s="130"/>
      <c r="J8" s="130" t="s">
        <v>218</v>
      </c>
      <c r="K8" s="130" t="s">
        <v>219</v>
      </c>
      <c r="L8" s="130"/>
      <c r="M8" s="130" t="s">
        <v>220</v>
      </c>
      <c r="N8" s="131" t="s">
        <v>221</v>
      </c>
      <c r="O8" s="130"/>
      <c r="P8" s="131" t="s">
        <v>266</v>
      </c>
      <c r="Q8" s="131" t="s">
        <v>233</v>
      </c>
      <c r="R8" s="118" t="s">
        <v>234</v>
      </c>
    </row>
    <row r="9" spans="1:37" x14ac:dyDescent="0.2">
      <c r="A9" s="109">
        <v>1</v>
      </c>
      <c r="B9" s="119" t="s">
        <v>2</v>
      </c>
      <c r="C9" s="119">
        <v>7</v>
      </c>
      <c r="D9" s="120">
        <v>11003417</v>
      </c>
      <c r="E9" s="123">
        <v>1460466.897983127</v>
      </c>
      <c r="F9" s="121"/>
      <c r="G9" s="123">
        <v>12965</v>
      </c>
      <c r="H9" s="122">
        <f>+G9/$E9</f>
        <v>8.8772980872790629E-3</v>
      </c>
      <c r="J9" s="123">
        <v>-63468</v>
      </c>
      <c r="K9" s="122">
        <f>+J9/$E9</f>
        <v>-4.3457335518968576E-2</v>
      </c>
      <c r="M9" s="123">
        <v>68463</v>
      </c>
      <c r="N9" s="122">
        <f>+M9/$E9</f>
        <v>4.6877474658649172E-2</v>
      </c>
      <c r="P9" s="123">
        <f>SUM(E9,G9,J9,M9)</f>
        <v>1478426.897983127</v>
      </c>
      <c r="Q9" s="123">
        <f t="shared" ref="Q9:Q22" si="0">+P9-E9</f>
        <v>17960</v>
      </c>
      <c r="R9" s="122">
        <f>+Q9/$E9</f>
        <v>1.2297437226959659E-2</v>
      </c>
    </row>
    <row r="10" spans="1:37" x14ac:dyDescent="0.2">
      <c r="A10" s="109">
        <f>+A9+1</f>
        <v>2</v>
      </c>
      <c r="B10" s="119" t="s">
        <v>155</v>
      </c>
      <c r="C10" s="119" t="s">
        <v>13</v>
      </c>
      <c r="D10" s="120">
        <v>2726800</v>
      </c>
      <c r="E10" s="123">
        <v>353962.55495800008</v>
      </c>
      <c r="F10" s="121"/>
      <c r="G10" s="123">
        <v>2847</v>
      </c>
      <c r="H10" s="122">
        <f t="shared" ref="H10:H23" si="1">+G10/$E10</f>
        <v>8.0432236690624378E-3</v>
      </c>
      <c r="J10" s="123">
        <v>-12110</v>
      </c>
      <c r="K10" s="122">
        <f t="shared" ref="K10:K23" si="2">+J10/$E10</f>
        <v>-3.4212658458850055E-2</v>
      </c>
      <c r="M10" s="123">
        <v>13354</v>
      </c>
      <c r="N10" s="122">
        <f t="shared" ref="N10:N23" si="3">+M10/$E10</f>
        <v>3.7727154505324829E-2</v>
      </c>
      <c r="P10" s="123">
        <f t="shared" ref="P10:P22" si="4">SUM(E10,G10,J10,M10)</f>
        <v>358053.55495800008</v>
      </c>
      <c r="Q10" s="123">
        <f t="shared" si="0"/>
        <v>4091</v>
      </c>
      <c r="R10" s="122">
        <f t="shared" ref="R10:R23" si="5">+Q10/$E10</f>
        <v>1.1557719715537209E-2</v>
      </c>
    </row>
    <row r="11" spans="1:37" x14ac:dyDescent="0.2">
      <c r="A11" s="109">
        <f>+A10+1</f>
        <v>3</v>
      </c>
      <c r="B11" s="124" t="s">
        <v>157</v>
      </c>
      <c r="C11" s="119" t="s">
        <v>23</v>
      </c>
      <c r="D11" s="120">
        <v>2946456</v>
      </c>
      <c r="E11" s="123">
        <v>357242.89706357266</v>
      </c>
      <c r="F11" s="121"/>
      <c r="G11" s="123">
        <v>3054</v>
      </c>
      <c r="H11" s="122">
        <f t="shared" si="1"/>
        <v>8.5488053789255034E-3</v>
      </c>
      <c r="J11" s="123">
        <v>-13200</v>
      </c>
      <c r="K11" s="122">
        <f t="shared" si="2"/>
        <v>-3.6949649967850898E-2</v>
      </c>
      <c r="M11" s="123">
        <v>14511</v>
      </c>
      <c r="N11" s="122">
        <f t="shared" si="3"/>
        <v>4.0619422021476094E-2</v>
      </c>
      <c r="P11" s="123">
        <f t="shared" si="4"/>
        <v>361607.89706357266</v>
      </c>
      <c r="Q11" s="123">
        <f t="shared" si="0"/>
        <v>4365</v>
      </c>
      <c r="R11" s="122">
        <f t="shared" si="5"/>
        <v>1.2218577432550696E-2</v>
      </c>
    </row>
    <row r="12" spans="1:37" x14ac:dyDescent="0.2">
      <c r="A12" s="109">
        <f t="shared" ref="A12:A23" si="6">+A11+1</f>
        <v>4</v>
      </c>
      <c r="B12" s="124" t="s">
        <v>156</v>
      </c>
      <c r="C12" s="119" t="s">
        <v>14</v>
      </c>
      <c r="D12" s="120">
        <v>1858617</v>
      </c>
      <c r="E12" s="123">
        <v>203713.20905265876</v>
      </c>
      <c r="F12" s="121"/>
      <c r="G12" s="123">
        <v>1749</v>
      </c>
      <c r="H12" s="122">
        <f t="shared" si="1"/>
        <v>8.5855993734205664E-3</v>
      </c>
      <c r="J12" s="123">
        <v>-7277</v>
      </c>
      <c r="K12" s="122">
        <f t="shared" si="2"/>
        <v>-3.5721787673174077E-2</v>
      </c>
      <c r="M12" s="123">
        <v>7907</v>
      </c>
      <c r="N12" s="122">
        <f t="shared" si="3"/>
        <v>3.8814370637871028E-2</v>
      </c>
      <c r="P12" s="123">
        <f t="shared" si="4"/>
        <v>206092.20905265876</v>
      </c>
      <c r="Q12" s="123">
        <f t="shared" si="0"/>
        <v>2379</v>
      </c>
      <c r="R12" s="122">
        <f t="shared" si="5"/>
        <v>1.1678182338117512E-2</v>
      </c>
    </row>
    <row r="13" spans="1:37" x14ac:dyDescent="0.2">
      <c r="A13" s="109">
        <f t="shared" si="6"/>
        <v>5</v>
      </c>
      <c r="B13" s="119" t="s">
        <v>158</v>
      </c>
      <c r="C13" s="119">
        <v>29</v>
      </c>
      <c r="D13" s="120">
        <v>14768.999999999998</v>
      </c>
      <c r="E13" s="123">
        <v>1597.7849550632397</v>
      </c>
      <c r="F13" s="121"/>
      <c r="G13" s="123">
        <v>16</v>
      </c>
      <c r="H13" s="122">
        <f t="shared" si="1"/>
        <v>1.0013863223143646E-2</v>
      </c>
      <c r="J13" s="123">
        <v>-66</v>
      </c>
      <c r="K13" s="122">
        <f t="shared" si="2"/>
        <v>-4.1307185795467542E-2</v>
      </c>
      <c r="M13" s="123">
        <v>73</v>
      </c>
      <c r="N13" s="122">
        <f t="shared" si="3"/>
        <v>4.5688250955592889E-2</v>
      </c>
      <c r="P13" s="123">
        <f t="shared" si="4"/>
        <v>1620.7849550632397</v>
      </c>
      <c r="Q13" s="123">
        <f t="shared" si="0"/>
        <v>23</v>
      </c>
      <c r="R13" s="122">
        <f t="shared" si="5"/>
        <v>1.4394928383268991E-2</v>
      </c>
    </row>
    <row r="14" spans="1:37" x14ac:dyDescent="0.2">
      <c r="A14" s="109">
        <f t="shared" si="6"/>
        <v>6</v>
      </c>
      <c r="B14" s="124" t="s">
        <v>159</v>
      </c>
      <c r="C14" s="119" t="s">
        <v>15</v>
      </c>
      <c r="D14" s="120">
        <v>1324706</v>
      </c>
      <c r="E14" s="123">
        <v>143627.74254820991</v>
      </c>
      <c r="F14" s="121"/>
      <c r="G14" s="123">
        <v>1255</v>
      </c>
      <c r="H14" s="122">
        <f t="shared" si="1"/>
        <v>8.7378662209269785E-3</v>
      </c>
      <c r="J14" s="123">
        <v>-5142</v>
      </c>
      <c r="K14" s="122">
        <f t="shared" si="2"/>
        <v>-3.5800882954586874E-2</v>
      </c>
      <c r="M14" s="123">
        <v>5812</v>
      </c>
      <c r="N14" s="122">
        <f t="shared" si="3"/>
        <v>4.0465719901217216E-2</v>
      </c>
      <c r="P14" s="123">
        <f t="shared" si="4"/>
        <v>145552.74254820991</v>
      </c>
      <c r="Q14" s="123">
        <f t="shared" si="0"/>
        <v>1925</v>
      </c>
      <c r="R14" s="122">
        <f t="shared" si="5"/>
        <v>1.3402703167557319E-2</v>
      </c>
    </row>
    <row r="15" spans="1:37" x14ac:dyDescent="0.2">
      <c r="A15" s="109">
        <f t="shared" si="6"/>
        <v>7</v>
      </c>
      <c r="B15" s="124" t="s">
        <v>160</v>
      </c>
      <c r="C15" s="119">
        <v>35</v>
      </c>
      <c r="D15" s="120">
        <v>4694</v>
      </c>
      <c r="E15" s="123">
        <v>400.05473713085001</v>
      </c>
      <c r="F15" s="121"/>
      <c r="G15" s="123">
        <v>3</v>
      </c>
      <c r="H15" s="122">
        <f t="shared" si="1"/>
        <v>7.4989738192220408E-3</v>
      </c>
      <c r="J15" s="123">
        <v>-25</v>
      </c>
      <c r="K15" s="122">
        <f t="shared" si="2"/>
        <v>-6.249144849351701E-2</v>
      </c>
      <c r="M15" s="123">
        <v>28</v>
      </c>
      <c r="N15" s="122">
        <f t="shared" si="3"/>
        <v>6.9990422312739053E-2</v>
      </c>
      <c r="P15" s="123">
        <f t="shared" si="4"/>
        <v>406.05473713085001</v>
      </c>
      <c r="Q15" s="123">
        <f t="shared" si="0"/>
        <v>6</v>
      </c>
      <c r="R15" s="122">
        <f t="shared" si="5"/>
        <v>1.4997947638444082E-2</v>
      </c>
    </row>
    <row r="16" spans="1:37" x14ac:dyDescent="0.2">
      <c r="A16" s="109">
        <f t="shared" si="6"/>
        <v>8</v>
      </c>
      <c r="B16" s="119" t="s">
        <v>161</v>
      </c>
      <c r="C16" s="119">
        <v>43</v>
      </c>
      <c r="D16" s="120">
        <v>119354</v>
      </c>
      <c r="E16" s="123">
        <v>13607.17735711464</v>
      </c>
      <c r="F16" s="121"/>
      <c r="G16" s="123">
        <v>23</v>
      </c>
      <c r="H16" s="122">
        <f t="shared" si="1"/>
        <v>1.6902844283112274E-3</v>
      </c>
      <c r="J16" s="123">
        <v>-440</v>
      </c>
      <c r="K16" s="122">
        <f t="shared" si="2"/>
        <v>-3.2335876019866962E-2</v>
      </c>
      <c r="M16" s="123">
        <v>490</v>
      </c>
      <c r="N16" s="122">
        <f t="shared" si="3"/>
        <v>3.6010407385760931E-2</v>
      </c>
      <c r="P16" s="123">
        <f t="shared" si="4"/>
        <v>13680.17735711464</v>
      </c>
      <c r="Q16" s="123">
        <f t="shared" si="0"/>
        <v>73</v>
      </c>
      <c r="R16" s="122">
        <f t="shared" si="5"/>
        <v>5.3648157942052001E-3</v>
      </c>
    </row>
    <row r="17" spans="1:18" x14ac:dyDescent="0.2">
      <c r="A17" s="109">
        <f t="shared" si="6"/>
        <v>9</v>
      </c>
      <c r="B17" s="119" t="s">
        <v>162</v>
      </c>
      <c r="C17" s="119">
        <v>46</v>
      </c>
      <c r="D17" s="120">
        <v>76484</v>
      </c>
      <c r="E17" s="123">
        <v>5963.688943179176</v>
      </c>
      <c r="F17" s="121"/>
      <c r="G17" s="123">
        <v>21</v>
      </c>
      <c r="H17" s="122">
        <f t="shared" si="1"/>
        <v>3.5213104171065526E-3</v>
      </c>
      <c r="J17" s="123">
        <v>-161</v>
      </c>
      <c r="K17" s="122">
        <f t="shared" si="2"/>
        <v>-2.6996713197816904E-2</v>
      </c>
      <c r="M17" s="123">
        <v>191</v>
      </c>
      <c r="N17" s="122">
        <f t="shared" si="3"/>
        <v>3.2027156650826262E-2</v>
      </c>
      <c r="P17" s="123">
        <f t="shared" si="4"/>
        <v>6014.688943179176</v>
      </c>
      <c r="Q17" s="123">
        <f t="shared" si="0"/>
        <v>51</v>
      </c>
      <c r="R17" s="122">
        <f t="shared" si="5"/>
        <v>8.5517538701159138E-3</v>
      </c>
    </row>
    <row r="18" spans="1:18" x14ac:dyDescent="0.2">
      <c r="A18" s="109">
        <f t="shared" si="6"/>
        <v>10</v>
      </c>
      <c r="B18" s="124" t="s">
        <v>163</v>
      </c>
      <c r="C18" s="119">
        <v>49</v>
      </c>
      <c r="D18" s="120">
        <v>489052</v>
      </c>
      <c r="E18" s="123">
        <v>39087.602338119505</v>
      </c>
      <c r="F18" s="121"/>
      <c r="G18" s="123">
        <v>458</v>
      </c>
      <c r="H18" s="122">
        <f t="shared" si="1"/>
        <v>1.1717270249481214E-2</v>
      </c>
      <c r="J18" s="123">
        <v>-1034</v>
      </c>
      <c r="K18" s="122">
        <f t="shared" si="2"/>
        <v>-2.6453400519571124E-2</v>
      </c>
      <c r="M18" s="123">
        <v>1223</v>
      </c>
      <c r="N18" s="122">
        <f t="shared" si="3"/>
        <v>3.1288693264444375E-2</v>
      </c>
      <c r="P18" s="123">
        <f t="shared" si="4"/>
        <v>39734.602338119505</v>
      </c>
      <c r="Q18" s="123">
        <f t="shared" si="0"/>
        <v>647</v>
      </c>
      <c r="R18" s="122">
        <f t="shared" si="5"/>
        <v>1.6552562994354467E-2</v>
      </c>
    </row>
    <row r="19" spans="1:18" x14ac:dyDescent="0.2">
      <c r="A19" s="109">
        <f t="shared" si="6"/>
        <v>11</v>
      </c>
      <c r="B19" s="119" t="s">
        <v>164</v>
      </c>
      <c r="C19" s="119" t="s">
        <v>3</v>
      </c>
      <c r="D19" s="120">
        <v>60001</v>
      </c>
      <c r="E19" s="123">
        <v>20642.924593161268</v>
      </c>
      <c r="F19" s="121"/>
      <c r="G19" s="123">
        <v>36</v>
      </c>
      <c r="H19" s="122">
        <f t="shared" si="1"/>
        <v>1.7439389383772845E-3</v>
      </c>
      <c r="J19" s="123">
        <v>-1178</v>
      </c>
      <c r="K19" s="122">
        <f t="shared" si="2"/>
        <v>-5.7065557483567814E-2</v>
      </c>
      <c r="M19" s="123">
        <v>1405</v>
      </c>
      <c r="N19" s="122">
        <f t="shared" si="3"/>
        <v>6.8062061345002353E-2</v>
      </c>
      <c r="P19" s="123">
        <f t="shared" si="4"/>
        <v>20905.924593161268</v>
      </c>
      <c r="Q19" s="123">
        <f t="shared" si="0"/>
        <v>263</v>
      </c>
      <c r="R19" s="122">
        <f t="shared" si="5"/>
        <v>1.2740442799811829E-2</v>
      </c>
    </row>
    <row r="20" spans="1:18" x14ac:dyDescent="0.2">
      <c r="A20" s="109">
        <f t="shared" si="6"/>
        <v>12</v>
      </c>
      <c r="B20" s="119" t="s">
        <v>20</v>
      </c>
      <c r="C20" s="119" t="s">
        <v>4</v>
      </c>
      <c r="D20" s="120">
        <v>1883722</v>
      </c>
      <c r="E20" s="123">
        <v>11697.290999999999</v>
      </c>
      <c r="F20" s="121"/>
      <c r="G20" s="123">
        <v>0</v>
      </c>
      <c r="H20" s="122">
        <f t="shared" si="1"/>
        <v>0</v>
      </c>
      <c r="J20" s="123">
        <v>-72</v>
      </c>
      <c r="K20" s="122">
        <f t="shared" si="2"/>
        <v>-6.1552713359016211E-3</v>
      </c>
      <c r="M20" s="123">
        <v>78.960000000000008</v>
      </c>
      <c r="N20" s="122">
        <f t="shared" si="3"/>
        <v>6.7502808983721111E-3</v>
      </c>
      <c r="P20" s="123">
        <f t="shared" si="4"/>
        <v>11704.250999999998</v>
      </c>
      <c r="Q20" s="123">
        <f t="shared" si="0"/>
        <v>6.9599999999991269</v>
      </c>
      <c r="R20" s="122">
        <f t="shared" si="5"/>
        <v>5.9500956247041537E-4</v>
      </c>
    </row>
    <row r="21" spans="1:18" x14ac:dyDescent="0.2">
      <c r="A21" s="109">
        <f t="shared" si="6"/>
        <v>13</v>
      </c>
      <c r="B21" s="119" t="s">
        <v>120</v>
      </c>
      <c r="C21" s="119" t="s">
        <v>120</v>
      </c>
      <c r="D21" s="120">
        <v>289426</v>
      </c>
      <c r="E21" s="123">
        <v>5905.186575992404</v>
      </c>
      <c r="F21" s="121"/>
      <c r="G21" s="123">
        <v>0</v>
      </c>
      <c r="H21" s="122">
        <f t="shared" si="1"/>
        <v>0</v>
      </c>
      <c r="J21" s="123">
        <v>-301</v>
      </c>
      <c r="K21" s="122">
        <f t="shared" si="2"/>
        <v>-5.0972140528754595E-2</v>
      </c>
      <c r="M21" s="123">
        <v>329</v>
      </c>
      <c r="N21" s="122">
        <f t="shared" si="3"/>
        <v>5.5713734996545722E-2</v>
      </c>
      <c r="P21" s="123">
        <f t="shared" si="4"/>
        <v>5933.186575992404</v>
      </c>
      <c r="Q21" s="123">
        <f t="shared" si="0"/>
        <v>28</v>
      </c>
      <c r="R21" s="122">
        <f t="shared" si="5"/>
        <v>4.7415944677911253E-3</v>
      </c>
    </row>
    <row r="22" spans="1:18" x14ac:dyDescent="0.2">
      <c r="A22" s="109">
        <f t="shared" si="6"/>
        <v>14</v>
      </c>
      <c r="B22" s="119" t="s">
        <v>16</v>
      </c>
      <c r="C22" s="119">
        <v>5</v>
      </c>
      <c r="D22" s="120">
        <v>7521</v>
      </c>
      <c r="E22" s="123">
        <v>679.33894462930073</v>
      </c>
      <c r="F22" s="121"/>
      <c r="G22" s="123">
        <v>7</v>
      </c>
      <c r="H22" s="122">
        <f t="shared" si="1"/>
        <v>1.0304134711163563E-2</v>
      </c>
      <c r="J22" s="123">
        <v>-27</v>
      </c>
      <c r="K22" s="122">
        <f t="shared" si="2"/>
        <v>-3.9744519600202317E-2</v>
      </c>
      <c r="M22" s="123">
        <v>29</v>
      </c>
      <c r="N22" s="122">
        <f t="shared" si="3"/>
        <v>4.2688558089106196E-2</v>
      </c>
      <c r="P22" s="123">
        <f t="shared" si="4"/>
        <v>688.33894462930073</v>
      </c>
      <c r="Q22" s="123">
        <f t="shared" si="0"/>
        <v>9</v>
      </c>
      <c r="R22" s="122">
        <f t="shared" si="5"/>
        <v>1.3248173200067439E-2</v>
      </c>
    </row>
    <row r="23" spans="1:18" ht="13.5" thickBot="1" x14ac:dyDescent="0.25">
      <c r="A23" s="109">
        <f t="shared" si="6"/>
        <v>15</v>
      </c>
      <c r="B23" s="119"/>
      <c r="C23" s="119" t="s">
        <v>5</v>
      </c>
      <c r="D23" s="125">
        <f>SUM(D9:D22)</f>
        <v>22805019</v>
      </c>
      <c r="E23" s="126">
        <f>SUM(E9:E22)</f>
        <v>2618594.3510499597</v>
      </c>
      <c r="F23" s="123"/>
      <c r="G23" s="126">
        <f>SUM(G9:G22)</f>
        <v>22434</v>
      </c>
      <c r="H23" s="127">
        <f t="shared" si="1"/>
        <v>8.5671917802025328E-3</v>
      </c>
      <c r="J23" s="126">
        <f>SUM(J9:J22)</f>
        <v>-104501</v>
      </c>
      <c r="K23" s="127">
        <f t="shared" si="2"/>
        <v>-3.9907288411471196E-2</v>
      </c>
      <c r="M23" s="126">
        <f>SUM(M9:M22)</f>
        <v>113893.96</v>
      </c>
      <c r="N23" s="127">
        <f t="shared" si="3"/>
        <v>4.3494312112272268E-2</v>
      </c>
      <c r="P23" s="126">
        <f>SUM(P9:P22)</f>
        <v>2650421.3110499596</v>
      </c>
      <c r="Q23" s="126">
        <f>SUM(Q9:Q22)</f>
        <v>31826.959999999999</v>
      </c>
      <c r="R23" s="127">
        <f t="shared" si="5"/>
        <v>1.2154215481003601E-2</v>
      </c>
    </row>
    <row r="24" spans="1:18" ht="13.5" thickTop="1" x14ac:dyDescent="0.2">
      <c r="E24" s="123"/>
    </row>
    <row r="25" spans="1:18" x14ac:dyDescent="0.2">
      <c r="D25" s="120">
        <v>22805019</v>
      </c>
      <c r="E25" s="123">
        <v>2618594.3510499597</v>
      </c>
      <c r="P25" s="123">
        <v>2650421.3110499596</v>
      </c>
    </row>
    <row r="26" spans="1:18" x14ac:dyDescent="0.2">
      <c r="D26" s="120">
        <f>+D25-D23</f>
        <v>0</v>
      </c>
      <c r="E26" s="123">
        <f>+E25-E23</f>
        <v>0</v>
      </c>
      <c r="P26" s="123">
        <f>+P25-P23</f>
        <v>0</v>
      </c>
    </row>
    <row r="27" spans="1:18" ht="12.75" customHeight="1" x14ac:dyDescent="0.2"/>
    <row r="28" spans="1:18" x14ac:dyDescent="0.2">
      <c r="B28" s="124" t="s">
        <v>189</v>
      </c>
    </row>
  </sheetData>
  <mergeCells count="5">
    <mergeCell ref="A1:B1"/>
    <mergeCell ref="A2:B2"/>
    <mergeCell ref="A3:B3"/>
    <mergeCell ref="A4:B4"/>
    <mergeCell ref="A5:B5"/>
  </mergeCells>
  <printOptions horizontalCentered="1"/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No.___(BDJ-7)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Normal="100" zoomScaleSheetLayoutView="75" workbookViewId="0">
      <pane xSplit="3" ySplit="7" topLeftCell="D8" activePane="bottomRight" state="frozen"/>
      <selection sqref="A1:XFD1048576"/>
      <selection pane="topRight" sqref="A1:XFD1048576"/>
      <selection pane="bottomLeft" sqref="A1:XFD1048576"/>
      <selection pane="bottomRight" activeCell="D8" sqref="D8"/>
    </sheetView>
  </sheetViews>
  <sheetFormatPr defaultColWidth="9.42578125" defaultRowHeight="15" x14ac:dyDescent="0.25"/>
  <cols>
    <col min="1" max="1" width="1.5703125" style="74" customWidth="1"/>
    <col min="2" max="2" width="6.140625" style="74" bestFit="1" customWidth="1"/>
    <col min="3" max="3" width="1.5703125" style="74" customWidth="1"/>
    <col min="4" max="4" width="7" style="74" bestFit="1" customWidth="1"/>
    <col min="5" max="5" width="9.85546875" style="74" bestFit="1" customWidth="1"/>
    <col min="6" max="6" width="9.5703125" style="74" bestFit="1" customWidth="1"/>
    <col min="7" max="7" width="1.5703125" style="74" customWidth="1"/>
    <col min="8" max="8" width="8.28515625" style="74" bestFit="1" customWidth="1"/>
    <col min="9" max="11" width="11" style="74" bestFit="1" customWidth="1"/>
    <col min="12" max="12" width="1.5703125" style="74" customWidth="1"/>
    <col min="13" max="15" width="11" style="74" bestFit="1" customWidth="1"/>
    <col min="16" max="16" width="1.5703125" style="74" customWidth="1"/>
    <col min="17" max="19" width="11" style="74" bestFit="1" customWidth="1"/>
    <col min="20" max="16384" width="9.42578125" style="74"/>
  </cols>
  <sheetData>
    <row r="1" spans="1:19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1:19" x14ac:dyDescent="0.25">
      <c r="A2" s="175" t="s">
        <v>191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x14ac:dyDescent="0.25">
      <c r="A3" s="176" t="s">
        <v>199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x14ac:dyDescent="0.25">
      <c r="A4" s="176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</row>
    <row r="6" spans="1:19" x14ac:dyDescent="0.25">
      <c r="D6" s="174" t="s">
        <v>138</v>
      </c>
      <c r="E6" s="174"/>
      <c r="F6" s="174"/>
      <c r="H6" s="177" t="s">
        <v>203</v>
      </c>
      <c r="I6" s="177"/>
      <c r="J6" s="177"/>
      <c r="K6" s="177"/>
      <c r="M6" s="177" t="s">
        <v>197</v>
      </c>
      <c r="N6" s="177"/>
      <c r="O6" s="177"/>
      <c r="Q6" s="177" t="s">
        <v>198</v>
      </c>
      <c r="R6" s="177"/>
      <c r="S6" s="177"/>
    </row>
    <row r="7" spans="1:19" ht="60" x14ac:dyDescent="0.25">
      <c r="B7" s="149" t="s">
        <v>41</v>
      </c>
      <c r="D7" s="75" t="s">
        <v>139</v>
      </c>
      <c r="E7" s="76" t="s">
        <v>196</v>
      </c>
      <c r="F7" s="76" t="s">
        <v>140</v>
      </c>
      <c r="H7" s="77" t="s">
        <v>204</v>
      </c>
      <c r="I7" s="77" t="s">
        <v>200</v>
      </c>
      <c r="J7" s="77" t="s">
        <v>201</v>
      </c>
      <c r="K7" s="77" t="s">
        <v>202</v>
      </c>
      <c r="L7" s="75"/>
      <c r="M7" s="78" t="str">
        <f>+I7</f>
        <v>Proposed
Bill
Effective
Jan. 1, 2023</v>
      </c>
      <c r="N7" s="78" t="str">
        <f t="shared" ref="N7:O7" si="0">+J7</f>
        <v>Proposed
Bill
Effective
Jan. 1, 2024</v>
      </c>
      <c r="O7" s="78" t="str">
        <f t="shared" si="0"/>
        <v>Proposed
Bill
Effective
Jan. 1, 2025</v>
      </c>
      <c r="P7" s="79"/>
      <c r="Q7" s="75" t="str">
        <f>+M7</f>
        <v>Proposed
Bill
Effective
Jan. 1, 2023</v>
      </c>
      <c r="R7" s="75" t="str">
        <f t="shared" ref="R7:S7" si="1">+N7</f>
        <v>Proposed
Bill
Effective
Jan. 1, 2024</v>
      </c>
      <c r="S7" s="75" t="str">
        <f t="shared" si="1"/>
        <v>Proposed
Bill
Effective
Jan. 1, 2025</v>
      </c>
    </row>
    <row r="8" spans="1:19" x14ac:dyDescent="0.25">
      <c r="B8" s="80">
        <f>+'Res Bill RY#1'!B9</f>
        <v>0</v>
      </c>
      <c r="D8" s="81">
        <f>+'Res Bill RY#1'!D9</f>
        <v>7.5359358627560668E-3</v>
      </c>
      <c r="E8" s="81">
        <f>+'Res Bill RY#1'!E9</f>
        <v>5.9446959245949491E-3</v>
      </c>
      <c r="F8" s="81">
        <f>+'Res Bill RY#1'!F9</f>
        <v>9.1285877834498055E-3</v>
      </c>
      <c r="H8" s="82">
        <f>+'Res Bill RY#1'!H9</f>
        <v>7.49</v>
      </c>
      <c r="I8" s="82">
        <f>+'Res Bill RY#1'!J9</f>
        <v>8.24</v>
      </c>
      <c r="J8" s="82">
        <f>+'Res Bill RY#2'!J9</f>
        <v>8.24</v>
      </c>
      <c r="K8" s="82">
        <f>+'Res Bill RY#3'!J9</f>
        <v>8.24</v>
      </c>
      <c r="L8" s="82"/>
      <c r="M8" s="82">
        <f>+I8-H8</f>
        <v>0.75</v>
      </c>
      <c r="N8" s="82">
        <f t="shared" ref="N8:O8" si="2">+J8-I8</f>
        <v>0</v>
      </c>
      <c r="O8" s="82">
        <f t="shared" si="2"/>
        <v>0</v>
      </c>
      <c r="Q8" s="83">
        <f>+M8/H8</f>
        <v>0.10013351134846461</v>
      </c>
      <c r="R8" s="83">
        <f t="shared" ref="R8:S8" si="3">+N8/I8</f>
        <v>0</v>
      </c>
      <c r="S8" s="83">
        <f t="shared" si="3"/>
        <v>0</v>
      </c>
    </row>
    <row r="9" spans="1:19" x14ac:dyDescent="0.25">
      <c r="B9" s="80">
        <f>+'Res Bill RY#1'!B10</f>
        <v>50</v>
      </c>
      <c r="D9" s="81">
        <f>+'Res Bill RY#1'!D10</f>
        <v>7.8933022933853902E-3</v>
      </c>
      <c r="E9" s="81">
        <f>+'Res Bill RY#1'!E10</f>
        <v>6.4115153656511877E-3</v>
      </c>
      <c r="F9" s="81">
        <f>+'Res Bill RY#1'!F10</f>
        <v>9.3764040808141328E-3</v>
      </c>
      <c r="H9" s="82">
        <f>+'Res Bill RY#1'!H10</f>
        <v>12.33</v>
      </c>
      <c r="I9" s="82">
        <f>+'Res Bill RY#1'!J10</f>
        <v>13.78</v>
      </c>
      <c r="J9" s="82">
        <f>+'Res Bill RY#2'!J10</f>
        <v>13.95</v>
      </c>
      <c r="K9" s="82">
        <f>+'Res Bill RY#3'!J10</f>
        <v>14.03</v>
      </c>
      <c r="L9" s="82"/>
      <c r="M9" s="82">
        <f t="shared" ref="M9:M30" si="4">+I9-H9</f>
        <v>1.4499999999999993</v>
      </c>
      <c r="N9" s="82">
        <f t="shared" ref="N9:N30" si="5">+J9-I9</f>
        <v>0.16999999999999993</v>
      </c>
      <c r="O9" s="82">
        <f t="shared" ref="O9:O30" si="6">+K9-J9</f>
        <v>8.0000000000000071E-2</v>
      </c>
      <c r="Q9" s="83">
        <f t="shared" ref="Q9:Q30" si="7">+M9/H9</f>
        <v>0.11759935117599345</v>
      </c>
      <c r="R9" s="83">
        <f t="shared" ref="R9:R30" si="8">+N9/I9</f>
        <v>1.233671988388969E-2</v>
      </c>
      <c r="S9" s="83">
        <f t="shared" ref="S9:S30" si="9">+O9/J9</f>
        <v>5.7347670250896109E-3</v>
      </c>
    </row>
    <row r="10" spans="1:19" x14ac:dyDescent="0.25">
      <c r="B10" s="80">
        <f>+'Res Bill RY#1'!B11</f>
        <v>100</v>
      </c>
      <c r="D10" s="81">
        <f>+'Res Bill RY#1'!D11</f>
        <v>1.2025178197555365E-2</v>
      </c>
      <c r="E10" s="81">
        <f>+'Res Bill RY#1'!E11</f>
        <v>8.7286517287615776E-3</v>
      </c>
      <c r="F10" s="81">
        <f>+'Res Bill RY#1'!F11</f>
        <v>1.5324629830355306E-2</v>
      </c>
      <c r="H10" s="82">
        <f>+'Res Bill RY#1'!H11</f>
        <v>17.170000000000002</v>
      </c>
      <c r="I10" s="82">
        <f>+'Res Bill RY#1'!J11</f>
        <v>19.32</v>
      </c>
      <c r="J10" s="82">
        <f>+'Res Bill RY#2'!J11</f>
        <v>19.670000000000002</v>
      </c>
      <c r="K10" s="82">
        <f>+'Res Bill RY#3'!J11</f>
        <v>19.829999999999998</v>
      </c>
      <c r="L10" s="82"/>
      <c r="M10" s="82">
        <f t="shared" si="4"/>
        <v>2.1499999999999986</v>
      </c>
      <c r="N10" s="82">
        <f t="shared" si="5"/>
        <v>0.35000000000000142</v>
      </c>
      <c r="O10" s="82">
        <f t="shared" si="6"/>
        <v>0.15999999999999659</v>
      </c>
      <c r="Q10" s="83">
        <f t="shared" si="7"/>
        <v>0.12521840419336042</v>
      </c>
      <c r="R10" s="83">
        <f t="shared" si="8"/>
        <v>1.8115942028985581E-2</v>
      </c>
      <c r="S10" s="83">
        <f t="shared" si="9"/>
        <v>8.1342145399083167E-3</v>
      </c>
    </row>
    <row r="11" spans="1:19" x14ac:dyDescent="0.25">
      <c r="B11" s="80">
        <f>+'Res Bill RY#1'!B12</f>
        <v>150</v>
      </c>
      <c r="D11" s="81">
        <f>+'Res Bill RY#1'!D12</f>
        <v>1.4632121509343898E-2</v>
      </c>
      <c r="E11" s="81">
        <f>+'Res Bill RY#1'!E12</f>
        <v>9.8047933876175396E-3</v>
      </c>
      <c r="F11" s="81">
        <f>+'Res Bill RY#1'!F12</f>
        <v>1.9463733147857168E-2</v>
      </c>
      <c r="H11" s="82">
        <f>+'Res Bill RY#1'!H12</f>
        <v>22.01</v>
      </c>
      <c r="I11" s="82">
        <f>+'Res Bill RY#1'!J12</f>
        <v>24.86</v>
      </c>
      <c r="J11" s="82">
        <f>+'Res Bill RY#2'!J12</f>
        <v>25.38</v>
      </c>
      <c r="K11" s="82">
        <f>+'Res Bill RY#3'!J12</f>
        <v>25.62</v>
      </c>
      <c r="M11" s="82">
        <f t="shared" si="4"/>
        <v>2.8499999999999979</v>
      </c>
      <c r="N11" s="82">
        <f t="shared" si="5"/>
        <v>0.51999999999999957</v>
      </c>
      <c r="O11" s="82">
        <f t="shared" si="6"/>
        <v>0.24000000000000199</v>
      </c>
      <c r="Q11" s="83">
        <f t="shared" si="7"/>
        <v>0.12948659700136292</v>
      </c>
      <c r="R11" s="83">
        <f t="shared" si="8"/>
        <v>2.0917135961383733E-2</v>
      </c>
      <c r="S11" s="83">
        <f t="shared" si="9"/>
        <v>9.4562647754137912E-3</v>
      </c>
    </row>
    <row r="12" spans="1:19" x14ac:dyDescent="0.25">
      <c r="B12" s="80">
        <f>+'Res Bill RY#1'!B13</f>
        <v>200</v>
      </c>
      <c r="D12" s="81">
        <f>+'Res Bill RY#1'!D13</f>
        <v>1.9470008218555698E-2</v>
      </c>
      <c r="E12" s="81">
        <f>+'Res Bill RY#1'!E13</f>
        <v>1.2564655285149008E-2</v>
      </c>
      <c r="F12" s="81">
        <f>+'Res Bill RY#1'!F13</f>
        <v>2.6381488598546481E-2</v>
      </c>
      <c r="H12" s="82">
        <f>+'Res Bill RY#1'!H13</f>
        <v>26.85</v>
      </c>
      <c r="I12" s="82">
        <f>+'Res Bill RY#1'!J13</f>
        <v>30.4</v>
      </c>
      <c r="J12" s="82">
        <f>+'Res Bill RY#2'!J13</f>
        <v>31.09</v>
      </c>
      <c r="K12" s="82">
        <f>+'Res Bill RY#3'!J13</f>
        <v>31.42</v>
      </c>
      <c r="L12" s="82"/>
      <c r="M12" s="82">
        <f t="shared" si="4"/>
        <v>3.5499999999999972</v>
      </c>
      <c r="N12" s="82">
        <f t="shared" si="5"/>
        <v>0.69000000000000128</v>
      </c>
      <c r="O12" s="82">
        <f t="shared" si="6"/>
        <v>0.33000000000000185</v>
      </c>
      <c r="Q12" s="83">
        <f t="shared" si="7"/>
        <v>0.13221601489757903</v>
      </c>
      <c r="R12" s="83">
        <f t="shared" si="8"/>
        <v>2.2697368421052674E-2</v>
      </c>
      <c r="S12" s="83">
        <f t="shared" si="9"/>
        <v>1.0614345448697389E-2</v>
      </c>
    </row>
    <row r="13" spans="1:19" x14ac:dyDescent="0.25">
      <c r="B13" s="80">
        <f>+'Res Bill RY#1'!B14</f>
        <v>300</v>
      </c>
      <c r="D13" s="81">
        <f>+'Res Bill RY#1'!D14</f>
        <v>5.9231245894191153E-2</v>
      </c>
      <c r="E13" s="81">
        <f>+'Res Bill RY#1'!E14</f>
        <v>3.9079523999512415E-2</v>
      </c>
      <c r="F13" s="81">
        <f>+'Res Bill RY#1'!F14</f>
        <v>7.9400849365767967E-2</v>
      </c>
      <c r="H13" s="82">
        <f>+'Res Bill RY#1'!H14</f>
        <v>36.53</v>
      </c>
      <c r="I13" s="82">
        <f>+'Res Bill RY#1'!J14</f>
        <v>41.48</v>
      </c>
      <c r="J13" s="82">
        <f>+'Res Bill RY#2'!J14</f>
        <v>42.52</v>
      </c>
      <c r="K13" s="82">
        <f>+'Res Bill RY#3'!J14</f>
        <v>43.01</v>
      </c>
      <c r="L13" s="82"/>
      <c r="M13" s="82">
        <f t="shared" si="4"/>
        <v>4.9499999999999957</v>
      </c>
      <c r="N13" s="82">
        <f t="shared" si="5"/>
        <v>1.0400000000000063</v>
      </c>
      <c r="O13" s="82">
        <f t="shared" si="6"/>
        <v>0.48999999999999488</v>
      </c>
      <c r="Q13" s="83">
        <f t="shared" si="7"/>
        <v>0.13550506433068699</v>
      </c>
      <c r="R13" s="83">
        <f t="shared" si="8"/>
        <v>2.5072324011571993E-2</v>
      </c>
      <c r="S13" s="83">
        <f t="shared" si="9"/>
        <v>1.1523988711194611E-2</v>
      </c>
    </row>
    <row r="14" spans="1:19" x14ac:dyDescent="0.25">
      <c r="B14" s="80">
        <f>+'Res Bill RY#1'!B15</f>
        <v>400</v>
      </c>
      <c r="D14" s="81">
        <f>+'Res Bill RY#1'!D15</f>
        <v>8.3788115881238898E-2</v>
      </c>
      <c r="E14" s="81">
        <f>+'Res Bill RY#1'!E15</f>
        <v>6.2044821323868231E-2</v>
      </c>
      <c r="F14" s="81">
        <f>+'Res Bill RY#1'!F15</f>
        <v>0.10555070429328249</v>
      </c>
      <c r="H14" s="82">
        <f>+'Res Bill RY#1'!H15</f>
        <v>46.21</v>
      </c>
      <c r="I14" s="82">
        <f>+'Res Bill RY#1'!J15</f>
        <v>52.56</v>
      </c>
      <c r="J14" s="82">
        <f>+'Res Bill RY#2'!J15</f>
        <v>53.94</v>
      </c>
      <c r="K14" s="82">
        <f>+'Res Bill RY#3'!J15</f>
        <v>54.6</v>
      </c>
      <c r="L14" s="82"/>
      <c r="M14" s="82">
        <f t="shared" si="4"/>
        <v>6.3500000000000014</v>
      </c>
      <c r="N14" s="82">
        <f t="shared" si="5"/>
        <v>1.3799999999999955</v>
      </c>
      <c r="O14" s="82">
        <f t="shared" si="6"/>
        <v>0.66000000000000369</v>
      </c>
      <c r="Q14" s="83">
        <f t="shared" si="7"/>
        <v>0.13741614369184163</v>
      </c>
      <c r="R14" s="83">
        <f t="shared" si="8"/>
        <v>2.6255707762556989E-2</v>
      </c>
      <c r="S14" s="83">
        <f t="shared" si="9"/>
        <v>1.2235817575083494E-2</v>
      </c>
    </row>
    <row r="15" spans="1:19" x14ac:dyDescent="0.25">
      <c r="B15" s="80">
        <f>+'Res Bill RY#1'!B16</f>
        <v>500</v>
      </c>
      <c r="D15" s="81">
        <f>+'Res Bill RY#1'!D16</f>
        <v>9.6756306938673237E-2</v>
      </c>
      <c r="E15" s="81">
        <f>+'Res Bill RY#1'!E16</f>
        <v>7.9512269584185141E-2</v>
      </c>
      <c r="F15" s="81">
        <f>+'Res Bill RY#1'!F16</f>
        <v>0.11401564574390581</v>
      </c>
      <c r="H15" s="82">
        <f>+'Res Bill RY#1'!H16</f>
        <v>55.89</v>
      </c>
      <c r="I15" s="82">
        <f>+'Res Bill RY#1'!J16</f>
        <v>63.64</v>
      </c>
      <c r="J15" s="82">
        <f>+'Res Bill RY#2'!J16</f>
        <v>65.37</v>
      </c>
      <c r="K15" s="82">
        <f>+'Res Bill RY#3'!J16</f>
        <v>66.19</v>
      </c>
      <c r="L15" s="84"/>
      <c r="M15" s="82">
        <f t="shared" si="4"/>
        <v>7.75</v>
      </c>
      <c r="N15" s="82">
        <f t="shared" si="5"/>
        <v>1.730000000000004</v>
      </c>
      <c r="O15" s="82">
        <f t="shared" si="6"/>
        <v>0.81999999999999318</v>
      </c>
      <c r="Q15" s="83">
        <f t="shared" si="7"/>
        <v>0.13866523528359276</v>
      </c>
      <c r="R15" s="83">
        <f t="shared" si="8"/>
        <v>2.7184160905091199E-2</v>
      </c>
      <c r="S15" s="83">
        <f t="shared" si="9"/>
        <v>1.254398041915241E-2</v>
      </c>
    </row>
    <row r="16" spans="1:19" x14ac:dyDescent="0.25">
      <c r="B16" s="80">
        <f>+'Res Bill RY#1'!B17</f>
        <v>600</v>
      </c>
      <c r="D16" s="81">
        <f>+'Res Bill RY#1'!D17</f>
        <v>9.7298660252519389E-2</v>
      </c>
      <c r="E16" s="81">
        <f>+'Res Bill RY#1'!E17</f>
        <v>8.5504202246788494E-2</v>
      </c>
      <c r="F16" s="81">
        <f>+'Res Bill RY#1'!F17</f>
        <v>0.1091035840392343</v>
      </c>
      <c r="H16" s="82">
        <f>+'Res Bill RY#1'!H17</f>
        <v>65.569999999999993</v>
      </c>
      <c r="I16" s="82">
        <f>+'Res Bill RY#1'!J17</f>
        <v>74.72</v>
      </c>
      <c r="J16" s="82">
        <f>+'Res Bill RY#2'!J17</f>
        <v>76.8</v>
      </c>
      <c r="K16" s="82">
        <f>+'Res Bill RY#3'!J17</f>
        <v>77.78</v>
      </c>
      <c r="L16" s="82"/>
      <c r="M16" s="82">
        <f t="shared" si="4"/>
        <v>9.1500000000000057</v>
      </c>
      <c r="N16" s="82">
        <f t="shared" si="5"/>
        <v>2.0799999999999983</v>
      </c>
      <c r="O16" s="82">
        <f t="shared" si="6"/>
        <v>0.98000000000000398</v>
      </c>
      <c r="Q16" s="83">
        <f t="shared" si="7"/>
        <v>0.13954552386762248</v>
      </c>
      <c r="R16" s="83">
        <f t="shared" si="8"/>
        <v>2.7837259100642376E-2</v>
      </c>
      <c r="S16" s="83">
        <f t="shared" si="9"/>
        <v>1.2760416666666718E-2</v>
      </c>
    </row>
    <row r="17" spans="1:19" x14ac:dyDescent="0.25">
      <c r="B17" s="80">
        <f>+'Res Bill RY#1'!B18</f>
        <v>700</v>
      </c>
      <c r="D17" s="81">
        <f>+'Res Bill RY#1'!D18</f>
        <v>8.9579402626369709E-2</v>
      </c>
      <c r="E17" s="81">
        <f>+'Res Bill RY#1'!E18</f>
        <v>8.2524800476298496E-2</v>
      </c>
      <c r="F17" s="81">
        <f>+'Res Bill RY#1'!F18</f>
        <v>9.6640264658921005E-2</v>
      </c>
      <c r="H17" s="82">
        <f>+'Res Bill RY#1'!H18</f>
        <v>77.239999999999995</v>
      </c>
      <c r="I17" s="82">
        <f>+'Res Bill RY#1'!J18</f>
        <v>87.75</v>
      </c>
      <c r="J17" s="82">
        <f>+'Res Bill RY#2'!J18</f>
        <v>90.18</v>
      </c>
      <c r="K17" s="82">
        <f>+'Res Bill RY#3'!J18</f>
        <v>91.32</v>
      </c>
      <c r="L17" s="82"/>
      <c r="M17" s="82">
        <f t="shared" si="4"/>
        <v>10.510000000000005</v>
      </c>
      <c r="N17" s="82">
        <f t="shared" si="5"/>
        <v>2.4300000000000068</v>
      </c>
      <c r="O17" s="82">
        <f t="shared" si="6"/>
        <v>1.1399999999999864</v>
      </c>
      <c r="Q17" s="83">
        <f t="shared" si="7"/>
        <v>0.13606939409632324</v>
      </c>
      <c r="R17" s="83">
        <f t="shared" si="8"/>
        <v>2.7692307692307769E-2</v>
      </c>
      <c r="S17" s="83">
        <f t="shared" si="9"/>
        <v>1.2641383898868777E-2</v>
      </c>
    </row>
    <row r="18" spans="1:19" x14ac:dyDescent="0.25">
      <c r="B18" s="80">
        <f>+'Res Bill RY#1'!B19</f>
        <v>800</v>
      </c>
      <c r="C18" s="74" t="s">
        <v>31</v>
      </c>
      <c r="D18" s="81">
        <f>+'Res Bill RY#1'!D19</f>
        <v>7.886594239240452E-2</v>
      </c>
      <c r="E18" s="81">
        <f>+'Res Bill RY#1'!E19</f>
        <v>7.5491440401899049E-2</v>
      </c>
      <c r="F18" s="81">
        <f>+'Res Bill RY#1'!F19</f>
        <v>8.2243438738288224E-2</v>
      </c>
      <c r="H18" s="82">
        <f>+'Res Bill RY#1'!H19</f>
        <v>88.9</v>
      </c>
      <c r="I18" s="82">
        <f>+'Res Bill RY#1'!J19</f>
        <v>100.78</v>
      </c>
      <c r="J18" s="82">
        <f>+'Res Bill RY#2'!J19</f>
        <v>103.56</v>
      </c>
      <c r="K18" s="82">
        <f>+'Res Bill RY#3'!J19</f>
        <v>104.86</v>
      </c>
      <c r="L18" s="82"/>
      <c r="M18" s="82">
        <f t="shared" si="4"/>
        <v>11.879999999999995</v>
      </c>
      <c r="N18" s="82">
        <f t="shared" si="5"/>
        <v>2.7800000000000011</v>
      </c>
      <c r="O18" s="82">
        <f t="shared" si="6"/>
        <v>1.2999999999999972</v>
      </c>
      <c r="Q18" s="83">
        <f t="shared" si="7"/>
        <v>0.13363329583802019</v>
      </c>
      <c r="R18" s="83">
        <f t="shared" si="8"/>
        <v>2.7584838261559844E-2</v>
      </c>
      <c r="S18" s="83">
        <f t="shared" si="9"/>
        <v>1.2553109308613336E-2</v>
      </c>
    </row>
    <row r="19" spans="1:19" x14ac:dyDescent="0.25">
      <c r="B19" s="80">
        <f>+'Res Bill RY#1'!B20</f>
        <v>900</v>
      </c>
      <c r="D19" s="81">
        <f>+'Res Bill RY#1'!D20</f>
        <v>6.7448374347481174E-2</v>
      </c>
      <c r="E19" s="81">
        <f>+'Res Bill RY#1'!E20</f>
        <v>6.7289050318063343E-2</v>
      </c>
      <c r="F19" s="81">
        <f>+'Res Bill RY#1'!F20</f>
        <v>6.7607839752653318E-2</v>
      </c>
      <c r="H19" s="82">
        <f>+'Res Bill RY#1'!H20</f>
        <v>100.56</v>
      </c>
      <c r="I19" s="82">
        <f>+'Res Bill RY#1'!J20</f>
        <v>113.82</v>
      </c>
      <c r="J19" s="82">
        <f>+'Res Bill RY#2'!J20</f>
        <v>116.94</v>
      </c>
      <c r="K19" s="82">
        <f>+'Res Bill RY#3'!J20</f>
        <v>118.4</v>
      </c>
      <c r="L19" s="82"/>
      <c r="M19" s="82">
        <f t="shared" si="4"/>
        <v>13.259999999999991</v>
      </c>
      <c r="N19" s="82">
        <f t="shared" si="5"/>
        <v>3.1200000000000045</v>
      </c>
      <c r="O19" s="82">
        <f t="shared" si="6"/>
        <v>1.460000000000008</v>
      </c>
      <c r="Q19" s="83">
        <f t="shared" si="7"/>
        <v>0.13186157517899752</v>
      </c>
      <c r="R19" s="83">
        <f t="shared" si="8"/>
        <v>2.7411702688455497E-2</v>
      </c>
      <c r="S19" s="83">
        <f t="shared" si="9"/>
        <v>1.2485035060714965E-2</v>
      </c>
    </row>
    <row r="20" spans="1:19" x14ac:dyDescent="0.25">
      <c r="B20" s="80">
        <f>+'Res Bill RY#1'!B21</f>
        <v>1000</v>
      </c>
      <c r="D20" s="81">
        <f>+'Res Bill RY#1'!D21</f>
        <v>5.7105680794151147E-2</v>
      </c>
      <c r="E20" s="81">
        <f>+'Res Bill RY#1'!E21</f>
        <v>5.9308894820428275E-2</v>
      </c>
      <c r="F20" s="81">
        <f>+'Res Bill RY#1'!F21</f>
        <v>5.4900511751759778E-2</v>
      </c>
      <c r="H20" s="82">
        <f>+'Res Bill RY#1'!H21</f>
        <v>112.23</v>
      </c>
      <c r="I20" s="82">
        <f>+'Res Bill RY#1'!J21</f>
        <v>126.85</v>
      </c>
      <c r="J20" s="82">
        <f>+'Res Bill RY#2'!J21</f>
        <v>130.32</v>
      </c>
      <c r="K20" s="82">
        <f>+'Res Bill RY#3'!J21</f>
        <v>131.94999999999999</v>
      </c>
      <c r="L20" s="84"/>
      <c r="M20" s="82">
        <f t="shared" si="4"/>
        <v>14.61999999999999</v>
      </c>
      <c r="N20" s="82">
        <f t="shared" si="5"/>
        <v>3.4699999999999989</v>
      </c>
      <c r="O20" s="82">
        <f t="shared" si="6"/>
        <v>1.6299999999999955</v>
      </c>
      <c r="Q20" s="83">
        <f t="shared" si="7"/>
        <v>0.13026819923371638</v>
      </c>
      <c r="R20" s="83">
        <f t="shared" si="8"/>
        <v>2.7355143870713434E-2</v>
      </c>
      <c r="S20" s="83">
        <f t="shared" si="9"/>
        <v>1.2507673419275596E-2</v>
      </c>
    </row>
    <row r="21" spans="1:19" x14ac:dyDescent="0.25">
      <c r="B21" s="80">
        <f>+'Res Bill RY#1'!B22</f>
        <v>1100</v>
      </c>
      <c r="D21" s="81">
        <f>+'Res Bill RY#1'!D22</f>
        <v>4.7810902649562448E-2</v>
      </c>
      <c r="E21" s="81">
        <f>+'Res Bill RY#1'!E22</f>
        <v>5.1692208585388089E-2</v>
      </c>
      <c r="F21" s="81">
        <f>+'Res Bill RY#1'!F22</f>
        <v>4.3926152647223826E-2</v>
      </c>
      <c r="H21" s="82">
        <f>+'Res Bill RY#1'!H22</f>
        <v>123.89</v>
      </c>
      <c r="I21" s="82">
        <f>+'Res Bill RY#1'!J22</f>
        <v>139.88</v>
      </c>
      <c r="J21" s="82">
        <f>+'Res Bill RY#2'!J22</f>
        <v>143.69999999999999</v>
      </c>
      <c r="K21" s="82">
        <f>+'Res Bill RY#3'!J22</f>
        <v>145.49</v>
      </c>
      <c r="L21" s="82"/>
      <c r="M21" s="82">
        <f t="shared" si="4"/>
        <v>15.989999999999995</v>
      </c>
      <c r="N21" s="82">
        <f t="shared" si="5"/>
        <v>3.8199999999999932</v>
      </c>
      <c r="O21" s="82">
        <f t="shared" si="6"/>
        <v>1.7900000000000205</v>
      </c>
      <c r="Q21" s="83">
        <f t="shared" si="7"/>
        <v>0.12906610703043017</v>
      </c>
      <c r="R21" s="83">
        <f t="shared" si="8"/>
        <v>2.730912210466109E-2</v>
      </c>
      <c r="S21" s="83">
        <f t="shared" si="9"/>
        <v>1.2456506610995273E-2</v>
      </c>
    </row>
    <row r="22" spans="1:19" x14ac:dyDescent="0.25">
      <c r="B22" s="80">
        <f>+'Res Bill RY#1'!B23</f>
        <v>1200</v>
      </c>
      <c r="D22" s="81">
        <f>+'Res Bill RY#1'!D23</f>
        <v>3.9855515174197303E-2</v>
      </c>
      <c r="E22" s="81">
        <f>+'Res Bill RY#1'!E23</f>
        <v>4.5103951733564511E-2</v>
      </c>
      <c r="F22" s="81">
        <f>+'Res Bill RY#1'!F23</f>
        <v>3.4602421428589561E-2</v>
      </c>
      <c r="H22" s="82">
        <f>+'Res Bill RY#1'!H23</f>
        <v>135.55000000000001</v>
      </c>
      <c r="I22" s="82">
        <f>+'Res Bill RY#1'!J23</f>
        <v>152.91</v>
      </c>
      <c r="J22" s="82">
        <f>+'Res Bill RY#2'!J23</f>
        <v>157.08000000000001</v>
      </c>
      <c r="K22" s="82">
        <f>+'Res Bill RY#3'!J23</f>
        <v>159.03</v>
      </c>
      <c r="L22" s="82"/>
      <c r="M22" s="82">
        <f t="shared" si="4"/>
        <v>17.359999999999985</v>
      </c>
      <c r="N22" s="82">
        <f t="shared" si="5"/>
        <v>4.1700000000000159</v>
      </c>
      <c r="O22" s="82">
        <f t="shared" si="6"/>
        <v>1.9499999999999886</v>
      </c>
      <c r="Q22" s="83">
        <f t="shared" si="7"/>
        <v>0.12807082257469557</v>
      </c>
      <c r="R22" s="83">
        <f t="shared" si="8"/>
        <v>2.7270943692368165E-2</v>
      </c>
      <c r="S22" s="83">
        <f t="shared" si="9"/>
        <v>1.2414056531703518E-2</v>
      </c>
    </row>
    <row r="23" spans="1:19" x14ac:dyDescent="0.25">
      <c r="B23" s="80">
        <f>+'Res Bill RY#1'!B24</f>
        <v>1300</v>
      </c>
      <c r="D23" s="81">
        <f>+'Res Bill RY#1'!D24</f>
        <v>3.3341169968691783E-2</v>
      </c>
      <c r="E23" s="81">
        <f>+'Res Bill RY#1'!E24</f>
        <v>3.9494985376425283E-2</v>
      </c>
      <c r="F23" s="81">
        <f>+'Res Bill RY#1'!F24</f>
        <v>2.7181893989201428E-2</v>
      </c>
      <c r="H23" s="82">
        <f>+'Res Bill RY#1'!H24</f>
        <v>147.22</v>
      </c>
      <c r="I23" s="82">
        <f>+'Res Bill RY#1'!J24</f>
        <v>165.95</v>
      </c>
      <c r="J23" s="82">
        <f>+'Res Bill RY#2'!J24</f>
        <v>170.46</v>
      </c>
      <c r="K23" s="82">
        <f>+'Res Bill RY#3'!J24</f>
        <v>172.58</v>
      </c>
      <c r="L23" s="82"/>
      <c r="M23" s="82">
        <f t="shared" si="4"/>
        <v>18.72999999999999</v>
      </c>
      <c r="N23" s="82">
        <f t="shared" si="5"/>
        <v>4.5100000000000193</v>
      </c>
      <c r="O23" s="82">
        <f t="shared" si="6"/>
        <v>2.1200000000000045</v>
      </c>
      <c r="Q23" s="83">
        <f t="shared" si="7"/>
        <v>0.12722456188017925</v>
      </c>
      <c r="R23" s="83">
        <f t="shared" si="8"/>
        <v>2.7176860500150765E-2</v>
      </c>
      <c r="S23" s="83">
        <f t="shared" si="9"/>
        <v>1.2436935351402115E-2</v>
      </c>
    </row>
    <row r="24" spans="1:19" x14ac:dyDescent="0.25">
      <c r="B24" s="80">
        <f>+'Res Bill RY#1'!B25</f>
        <v>1400</v>
      </c>
      <c r="D24" s="81">
        <f>+'Res Bill RY#1'!D25</f>
        <v>2.7930957788816026E-2</v>
      </c>
      <c r="E24" s="81">
        <f>+'Res Bill RY#1'!E25</f>
        <v>3.4446043836009896E-2</v>
      </c>
      <c r="F24" s="81">
        <f>+'Res Bill RY#1'!F25</f>
        <v>2.1410090597322948E-2</v>
      </c>
      <c r="H24" s="82">
        <f>+'Res Bill RY#1'!H25</f>
        <v>158.88</v>
      </c>
      <c r="I24" s="82">
        <f>+'Res Bill RY#1'!J25</f>
        <v>178.98</v>
      </c>
      <c r="J24" s="82">
        <f>+'Res Bill RY#2'!J25</f>
        <v>183.83</v>
      </c>
      <c r="K24" s="82">
        <f>+'Res Bill RY#3'!J25</f>
        <v>186.12</v>
      </c>
      <c r="L24" s="82"/>
      <c r="M24" s="82">
        <f t="shared" si="4"/>
        <v>20.099999999999994</v>
      </c>
      <c r="N24" s="82">
        <f t="shared" si="5"/>
        <v>4.8500000000000227</v>
      </c>
      <c r="O24" s="82">
        <f t="shared" si="6"/>
        <v>2.289999999999992</v>
      </c>
      <c r="Q24" s="83">
        <f t="shared" si="7"/>
        <v>0.12651057401812685</v>
      </c>
      <c r="R24" s="83">
        <f t="shared" si="8"/>
        <v>2.7097999776511471E-2</v>
      </c>
      <c r="S24" s="83">
        <f t="shared" si="9"/>
        <v>1.2457161507914876E-2</v>
      </c>
    </row>
    <row r="25" spans="1:19" x14ac:dyDescent="0.25">
      <c r="B25" s="80">
        <f>+'Res Bill RY#1'!B26</f>
        <v>1600</v>
      </c>
      <c r="D25" s="81">
        <f>+'Res Bill RY#1'!D26</f>
        <v>4.2917670529083893E-2</v>
      </c>
      <c r="E25" s="81">
        <f>+'Res Bill RY#1'!E26</f>
        <v>5.5946685257017785E-2</v>
      </c>
      <c r="F25" s="81">
        <f>+'Res Bill RY#1'!F26</f>
        <v>2.9877094539537647E-2</v>
      </c>
      <c r="H25" s="82">
        <f>+'Res Bill RY#1'!H26</f>
        <v>182.21</v>
      </c>
      <c r="I25" s="82">
        <f>+'Res Bill RY#1'!J26</f>
        <v>205.05</v>
      </c>
      <c r="J25" s="82">
        <f>+'Res Bill RY#2'!J26</f>
        <v>210.59</v>
      </c>
      <c r="K25" s="82">
        <f>+'Res Bill RY#3'!J26</f>
        <v>213.21</v>
      </c>
      <c r="L25" s="82"/>
      <c r="M25" s="82">
        <f t="shared" si="4"/>
        <v>22.840000000000003</v>
      </c>
      <c r="N25" s="82">
        <f t="shared" si="5"/>
        <v>5.539999999999992</v>
      </c>
      <c r="O25" s="82">
        <f t="shared" si="6"/>
        <v>2.6200000000000045</v>
      </c>
      <c r="Q25" s="83">
        <f t="shared" si="7"/>
        <v>0.12534987102793482</v>
      </c>
      <c r="R25" s="83">
        <f t="shared" si="8"/>
        <v>2.7017800536454483E-2</v>
      </c>
      <c r="S25" s="83">
        <f t="shared" si="9"/>
        <v>1.2441236525950921E-2</v>
      </c>
    </row>
    <row r="26" spans="1:19" x14ac:dyDescent="0.25">
      <c r="B26" s="80">
        <f>+'Res Bill RY#1'!B27</f>
        <v>2000</v>
      </c>
      <c r="D26" s="81">
        <f>+'Res Bill RY#1'!D27</f>
        <v>5.238284593558127E-2</v>
      </c>
      <c r="E26" s="81">
        <f>+'Res Bill RY#1'!E27</f>
        <v>7.5129397752197027E-2</v>
      </c>
      <c r="F26" s="81">
        <f>+'Res Bill RY#1'!F27</f>
        <v>2.9616110026628353E-2</v>
      </c>
      <c r="H26" s="82">
        <f>+'Res Bill RY#1'!H27</f>
        <v>228.86</v>
      </c>
      <c r="I26" s="82">
        <f>+'Res Bill RY#1'!J27</f>
        <v>257.18</v>
      </c>
      <c r="J26" s="82">
        <f>+'Res Bill RY#2'!J27</f>
        <v>264.11</v>
      </c>
      <c r="K26" s="82">
        <f>+'Res Bill RY#3'!J27</f>
        <v>267.38</v>
      </c>
      <c r="L26" s="84"/>
      <c r="M26" s="82">
        <f t="shared" si="4"/>
        <v>28.319999999999993</v>
      </c>
      <c r="N26" s="82">
        <f t="shared" si="5"/>
        <v>6.9300000000000068</v>
      </c>
      <c r="O26" s="82">
        <f t="shared" si="6"/>
        <v>3.2699999999999818</v>
      </c>
      <c r="Q26" s="83">
        <f t="shared" si="7"/>
        <v>0.12374377348597392</v>
      </c>
      <c r="R26" s="83">
        <f t="shared" si="8"/>
        <v>2.6946107784431163E-2</v>
      </c>
      <c r="S26" s="83">
        <f t="shared" si="9"/>
        <v>1.2381204801029805E-2</v>
      </c>
    </row>
    <row r="27" spans="1:19" x14ac:dyDescent="0.25">
      <c r="B27" s="80">
        <f>+'Res Bill RY#1'!B28</f>
        <v>2500</v>
      </c>
      <c r="D27" s="81">
        <f>+'Res Bill RY#1'!D28</f>
        <v>3.2286911246338222E-2</v>
      </c>
      <c r="E27" s="81">
        <f>+'Res Bill RY#1'!E28</f>
        <v>5.0830375885550137E-2</v>
      </c>
      <c r="F27" s="81">
        <f>+'Res Bill RY#1'!F28</f>
        <v>1.3726992113032155E-2</v>
      </c>
      <c r="H27" s="82">
        <f>+'Res Bill RY#1'!H28</f>
        <v>287.18</v>
      </c>
      <c r="I27" s="82">
        <f>+'Res Bill RY#1'!J28</f>
        <v>322.33999999999997</v>
      </c>
      <c r="J27" s="82">
        <f>+'Res Bill RY#2'!J28</f>
        <v>331.01</v>
      </c>
      <c r="K27" s="82">
        <f>+'Res Bill RY#3'!J28</f>
        <v>335.09</v>
      </c>
      <c r="L27" s="82"/>
      <c r="M27" s="82">
        <f t="shared" si="4"/>
        <v>35.159999999999968</v>
      </c>
      <c r="N27" s="82">
        <f t="shared" si="5"/>
        <v>8.6700000000000159</v>
      </c>
      <c r="O27" s="82">
        <f t="shared" si="6"/>
        <v>4.0799999999999841</v>
      </c>
      <c r="Q27" s="83">
        <f t="shared" si="7"/>
        <v>0.12243192422870662</v>
      </c>
      <c r="R27" s="83">
        <f t="shared" si="8"/>
        <v>2.6897065210647195E-2</v>
      </c>
      <c r="S27" s="83">
        <f t="shared" si="9"/>
        <v>1.2325911603878989E-2</v>
      </c>
    </row>
    <row r="28" spans="1:19" x14ac:dyDescent="0.25">
      <c r="B28" s="80">
        <f>+'Res Bill RY#1'!B29</f>
        <v>3000</v>
      </c>
      <c r="D28" s="81">
        <f>+'Res Bill RY#1'!D29</f>
        <v>1.5207222179713211E-2</v>
      </c>
      <c r="E28" s="81">
        <f>+'Res Bill RY#1'!E29</f>
        <v>2.5348850443256552E-2</v>
      </c>
      <c r="F28" s="81">
        <f>+'Res Bill RY#1'!F29</f>
        <v>5.0565947692674789E-3</v>
      </c>
      <c r="H28" s="82">
        <f>+'Res Bill RY#1'!H29</f>
        <v>345.5</v>
      </c>
      <c r="I28" s="82">
        <f>+'Res Bill RY#1'!J29</f>
        <v>387.51</v>
      </c>
      <c r="J28" s="82">
        <f>+'Res Bill RY#2'!J29</f>
        <v>397.91</v>
      </c>
      <c r="K28" s="82">
        <f>+'Res Bill RY#3'!J29</f>
        <v>402.81</v>
      </c>
      <c r="L28" s="82"/>
      <c r="M28" s="82">
        <f t="shared" si="4"/>
        <v>42.009999999999991</v>
      </c>
      <c r="N28" s="82">
        <f t="shared" si="5"/>
        <v>10.400000000000034</v>
      </c>
      <c r="O28" s="82">
        <f t="shared" si="6"/>
        <v>4.8999999999999773</v>
      </c>
      <c r="Q28" s="83">
        <f t="shared" si="7"/>
        <v>0.12159189580318376</v>
      </c>
      <c r="R28" s="83">
        <f t="shared" si="8"/>
        <v>2.6838017083430192E-2</v>
      </c>
      <c r="S28" s="83">
        <f t="shared" si="9"/>
        <v>1.2314342439244997E-2</v>
      </c>
    </row>
    <row r="29" spans="1:19" x14ac:dyDescent="0.25">
      <c r="B29" s="80">
        <f>+'Res Bill RY#1'!B30</f>
        <v>4000</v>
      </c>
      <c r="D29" s="81">
        <f>+'Res Bill RY#1'!D30</f>
        <v>1.1190080960504547E-2</v>
      </c>
      <c r="E29" s="81">
        <f>+'Res Bill RY#1'!E30</f>
        <v>1.9212829878473187E-2</v>
      </c>
      <c r="F29" s="81">
        <f>+'Res Bill RY#1'!F30</f>
        <v>3.1602130775928374E-3</v>
      </c>
      <c r="H29" s="82">
        <f>+'Res Bill RY#1'!H30</f>
        <v>462.13</v>
      </c>
      <c r="I29" s="82">
        <f>+'Res Bill RY#1'!J30</f>
        <v>517.84</v>
      </c>
      <c r="J29" s="82">
        <f>+'Res Bill RY#2'!J30</f>
        <v>531.71</v>
      </c>
      <c r="K29" s="82">
        <f>+'Res Bill RY#3'!J30</f>
        <v>538.24</v>
      </c>
      <c r="L29" s="82"/>
      <c r="M29" s="82">
        <f t="shared" si="4"/>
        <v>55.710000000000036</v>
      </c>
      <c r="N29" s="82">
        <f t="shared" si="5"/>
        <v>13.870000000000005</v>
      </c>
      <c r="O29" s="82">
        <f t="shared" si="6"/>
        <v>6.5299999999999727</v>
      </c>
      <c r="Q29" s="83">
        <f t="shared" si="7"/>
        <v>0.12055049444961383</v>
      </c>
      <c r="R29" s="83">
        <f t="shared" si="8"/>
        <v>2.6784334929708026E-2</v>
      </c>
      <c r="S29" s="83">
        <f t="shared" si="9"/>
        <v>1.228113069154233E-2</v>
      </c>
    </row>
    <row r="30" spans="1:19" x14ac:dyDescent="0.25">
      <c r="B30" s="80">
        <f>+'Res Bill RY#1'!B31</f>
        <v>5000</v>
      </c>
      <c r="D30" s="81">
        <f>+'Res Bill RY#1'!D31</f>
        <v>3.0145805027948242E-3</v>
      </c>
      <c r="E30" s="81">
        <f>+'Res Bill RY#1'!E31</f>
        <v>5.1053720059556331E-3</v>
      </c>
      <c r="F30" s="81">
        <f>+'Res Bill RY#1'!F31</f>
        <v>9.2193374134705449E-4</v>
      </c>
      <c r="H30" s="82">
        <f>+'Res Bill RY#1'!H31</f>
        <v>578.77</v>
      </c>
      <c r="I30" s="82">
        <f>+'Res Bill RY#1'!J31</f>
        <v>648.16999999999996</v>
      </c>
      <c r="J30" s="82">
        <f>+'Res Bill RY#2'!J31</f>
        <v>665.51</v>
      </c>
      <c r="K30" s="82">
        <f>+'Res Bill RY#3'!J31</f>
        <v>673.67</v>
      </c>
      <c r="L30" s="82"/>
      <c r="M30" s="82">
        <f t="shared" si="4"/>
        <v>69.399999999999977</v>
      </c>
      <c r="N30" s="82">
        <f t="shared" si="5"/>
        <v>17.340000000000032</v>
      </c>
      <c r="O30" s="82">
        <f t="shared" si="6"/>
        <v>8.1599999999999682</v>
      </c>
      <c r="Q30" s="83">
        <f t="shared" si="7"/>
        <v>0.11990946317189899</v>
      </c>
      <c r="R30" s="83">
        <f t="shared" si="8"/>
        <v>2.6752240924448882E-2</v>
      </c>
      <c r="S30" s="83">
        <f t="shared" si="9"/>
        <v>1.22612733091914E-2</v>
      </c>
    </row>
    <row r="31" spans="1:19" x14ac:dyDescent="0.25">
      <c r="A31" s="82"/>
      <c r="B31" s="80" t="str">
        <f>+'Res Bill RY#1'!B32</f>
        <v>&gt;5000</v>
      </c>
      <c r="D31" s="81">
        <f>+'Res Bill RY#1'!D32</f>
        <v>2.4318678560908301E-3</v>
      </c>
      <c r="E31" s="81">
        <f>+'Res Bill RY#1'!E32</f>
        <v>3.4799843833441995E-3</v>
      </c>
      <c r="F31" s="81">
        <f>+'Res Bill RY#1'!F32</f>
        <v>1.3828212854209133E-3</v>
      </c>
      <c r="H31" s="82"/>
      <c r="I31" s="82"/>
      <c r="J31" s="82"/>
      <c r="K31" s="82"/>
      <c r="L31" s="82"/>
      <c r="M31" s="82"/>
      <c r="N31" s="82"/>
      <c r="O31" s="82"/>
      <c r="Q31" s="82"/>
      <c r="S31" s="82"/>
    </row>
    <row r="32" spans="1:19" x14ac:dyDescent="0.25">
      <c r="B32" s="85"/>
    </row>
    <row r="33" spans="1:19" x14ac:dyDescent="0.25">
      <c r="A33" s="86" t="s">
        <v>27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</row>
    <row r="34" spans="1:19" x14ac:dyDescent="0.25">
      <c r="A34" s="87" t="s">
        <v>26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</row>
    <row r="35" spans="1:19" ht="15.75" x14ac:dyDescent="0.25">
      <c r="A35" s="88" t="s">
        <v>282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</row>
    <row r="36" spans="1:19" x14ac:dyDescent="0.25">
      <c r="A36" s="89" t="s">
        <v>205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spans="1:19" x14ac:dyDescent="0.25">
      <c r="A37" s="88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</row>
  </sheetData>
  <mergeCells count="8">
    <mergeCell ref="D6:F6"/>
    <mergeCell ref="A1:S1"/>
    <mergeCell ref="A2:S2"/>
    <mergeCell ref="A3:S3"/>
    <mergeCell ref="A4:S4"/>
    <mergeCell ref="H6:K6"/>
    <mergeCell ref="M6:O6"/>
    <mergeCell ref="Q6:S6"/>
  </mergeCells>
  <printOptions horizontalCentered="1"/>
  <pageMargins left="0.7" right="0.7" top="0.75" bottom="0.71" header="0.3" footer="0.3"/>
  <pageSetup scale="84" orientation="landscape" r:id="rId1"/>
  <headerFooter alignWithMargins="0">
    <oddFooter>&amp;L&amp;"Times New Roman,Regular"&amp;A&amp;R&amp;"Times New Roman,Regular"Exhibit No.___(BDJ-7)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3.28515625" style="74" customWidth="1"/>
    <col min="2" max="2" width="6.140625" style="74" bestFit="1" customWidth="1"/>
    <col min="3" max="3" width="2" style="74" bestFit="1" customWidth="1"/>
    <col min="4" max="4" width="7" style="74" bestFit="1" customWidth="1"/>
    <col min="5" max="5" width="16.28515625" style="74" bestFit="1" customWidth="1"/>
    <col min="6" max="6" width="17.42578125" style="74" bestFit="1" customWidth="1"/>
    <col min="7" max="7" width="1.28515625" style="74" customWidth="1"/>
    <col min="8" max="8" width="8.28515625" style="74" bestFit="1" customWidth="1"/>
    <col min="9" max="9" width="1.28515625" style="74" bestFit="1" customWidth="1"/>
    <col min="10" max="10" width="10.140625" style="74" bestFit="1" customWidth="1"/>
    <col min="11" max="11" width="1.42578125" style="74" bestFit="1" customWidth="1"/>
    <col min="12" max="12" width="8" style="74" bestFit="1" customWidth="1"/>
    <col min="13" max="13" width="2" style="74" customWidth="1"/>
    <col min="14" max="14" width="7.140625" style="74" bestFit="1" customWidth="1"/>
    <col min="15" max="15" width="9.42578125" style="74"/>
    <col min="16" max="16" width="36" style="74" bestFit="1" customWidth="1"/>
    <col min="17" max="17" width="14.28515625" style="74" bestFit="1" customWidth="1"/>
    <col min="18" max="18" width="1.5703125" style="74" bestFit="1" customWidth="1"/>
    <col min="19" max="19" width="15.7109375" style="74" bestFit="1" customWidth="1"/>
    <col min="20" max="20" width="1.5703125" style="74" bestFit="1" customWidth="1"/>
    <col min="21" max="21" width="6.140625" style="74" bestFit="1" customWidth="1"/>
    <col min="22" max="22" width="5.140625" style="74" customWidth="1"/>
    <col min="23" max="16384" width="9.42578125" style="74"/>
  </cols>
  <sheetData>
    <row r="1" spans="1:22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22" x14ac:dyDescent="0.25">
      <c r="A2" s="175" t="s">
        <v>191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22" x14ac:dyDescent="0.25">
      <c r="A3" s="176" t="s">
        <v>192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V3" s="90"/>
    </row>
    <row r="4" spans="1:22" x14ac:dyDescent="0.25">
      <c r="A4" s="176" t="s">
        <v>193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V4" s="90"/>
    </row>
    <row r="6" spans="1:22" x14ac:dyDescent="0.25">
      <c r="H6" s="177" t="s">
        <v>206</v>
      </c>
      <c r="I6" s="174"/>
      <c r="J6" s="174"/>
      <c r="K6" s="174"/>
      <c r="L6" s="174"/>
      <c r="M6" s="174"/>
      <c r="N6" s="174"/>
      <c r="O6" s="90"/>
    </row>
    <row r="7" spans="1:22" ht="15.75" thickBot="1" x14ac:dyDescent="0.3">
      <c r="D7" s="91" t="s">
        <v>138</v>
      </c>
      <c r="E7" s="91"/>
      <c r="F7" s="91"/>
      <c r="H7" s="92" t="s">
        <v>6</v>
      </c>
      <c r="I7" s="93"/>
      <c r="J7" s="93" t="s">
        <v>6</v>
      </c>
      <c r="L7" s="174" t="s">
        <v>42</v>
      </c>
      <c r="M7" s="174"/>
      <c r="N7" s="174"/>
      <c r="O7" s="93"/>
    </row>
    <row r="8" spans="1:22" ht="17.25" x14ac:dyDescent="0.25">
      <c r="B8" s="149" t="s">
        <v>41</v>
      </c>
      <c r="D8" s="79" t="s">
        <v>139</v>
      </c>
      <c r="E8" s="93" t="s">
        <v>141</v>
      </c>
      <c r="F8" s="93" t="s">
        <v>140</v>
      </c>
      <c r="H8" s="79" t="s">
        <v>207</v>
      </c>
      <c r="I8" s="79"/>
      <c r="J8" s="79" t="s">
        <v>208</v>
      </c>
      <c r="K8" s="94" t="s">
        <v>6</v>
      </c>
      <c r="L8" s="149" t="s">
        <v>40</v>
      </c>
      <c r="N8" s="95" t="s">
        <v>11</v>
      </c>
      <c r="P8" s="202"/>
      <c r="Q8" s="203" t="s">
        <v>39</v>
      </c>
      <c r="R8" s="204"/>
      <c r="S8" s="205" t="s">
        <v>38</v>
      </c>
      <c r="U8" s="96"/>
    </row>
    <row r="9" spans="1:22" x14ac:dyDescent="0.25">
      <c r="B9" s="80">
        <v>0</v>
      </c>
      <c r="D9" s="81">
        <v>7.5359358627560668E-3</v>
      </c>
      <c r="E9" s="81">
        <v>5.9446959245949491E-3</v>
      </c>
      <c r="F9" s="81">
        <v>9.1285877834498055E-3</v>
      </c>
      <c r="H9" s="82">
        <f t="shared" ref="H9:H17" si="0">ROUND((($B9*Q$11+$Q$9)),2)</f>
        <v>7.49</v>
      </c>
      <c r="J9" s="82">
        <f t="shared" ref="J9:J17" si="1">ROUND((($B9*S$11+$S$9)),2)</f>
        <v>8.24</v>
      </c>
      <c r="L9" s="82">
        <f t="shared" ref="L9:L31" si="2">J9-H9</f>
        <v>0.75</v>
      </c>
      <c r="N9" s="97">
        <f t="shared" ref="N9:N31" si="3">(J9-H9)/H9</f>
        <v>0.10013351134846461</v>
      </c>
      <c r="P9" s="206" t="s">
        <v>37</v>
      </c>
      <c r="Q9" s="134">
        <f>SUM(Q17)</f>
        <v>7.49</v>
      </c>
      <c r="R9" s="99"/>
      <c r="S9" s="207">
        <f>SUM(S17)</f>
        <v>8.24</v>
      </c>
      <c r="T9" s="98"/>
      <c r="U9" s="96">
        <f>(S9-Q9)/Q9</f>
        <v>0.10013351134846461</v>
      </c>
    </row>
    <row r="10" spans="1:22" x14ac:dyDescent="0.25">
      <c r="B10" s="80">
        <v>50</v>
      </c>
      <c r="D10" s="81">
        <v>7.8933022933853902E-3</v>
      </c>
      <c r="E10" s="81">
        <v>6.4115153656511877E-3</v>
      </c>
      <c r="F10" s="81">
        <v>9.3764040808141328E-3</v>
      </c>
      <c r="H10" s="82">
        <f t="shared" si="0"/>
        <v>12.33</v>
      </c>
      <c r="J10" s="82">
        <f t="shared" si="1"/>
        <v>13.78</v>
      </c>
      <c r="L10" s="82">
        <f t="shared" si="2"/>
        <v>1.4499999999999993</v>
      </c>
      <c r="N10" s="97">
        <f t="shared" si="3"/>
        <v>0.11759935117599345</v>
      </c>
      <c r="P10" s="206"/>
      <c r="Q10" s="208"/>
      <c r="R10" s="99"/>
      <c r="S10" s="209"/>
      <c r="U10" s="96"/>
    </row>
    <row r="11" spans="1:22" x14ac:dyDescent="0.25">
      <c r="B11" s="80">
        <v>100</v>
      </c>
      <c r="D11" s="81">
        <v>1.2025178197555365E-2</v>
      </c>
      <c r="E11" s="81">
        <v>8.7286517287615776E-3</v>
      </c>
      <c r="F11" s="81">
        <v>1.5324629830355306E-2</v>
      </c>
      <c r="H11" s="82">
        <f t="shared" si="0"/>
        <v>17.170000000000002</v>
      </c>
      <c r="J11" s="82">
        <f t="shared" si="1"/>
        <v>19.32</v>
      </c>
      <c r="L11" s="82">
        <f t="shared" si="2"/>
        <v>2.1499999999999986</v>
      </c>
      <c r="N11" s="97">
        <f t="shared" si="3"/>
        <v>0.12521840419336042</v>
      </c>
      <c r="P11" s="206" t="s">
        <v>36</v>
      </c>
      <c r="Q11" s="208">
        <f>SUM(Q18,Q23:Q37)</f>
        <v>9.6803737056077949E-2</v>
      </c>
      <c r="R11" s="99"/>
      <c r="S11" s="209">
        <f>SUM(S18,S23:S37)</f>
        <v>0.11079386400000002</v>
      </c>
      <c r="U11" s="96">
        <f>(S11-Q11)/Q11</f>
        <v>0.14452052544022817</v>
      </c>
    </row>
    <row r="12" spans="1:22" x14ac:dyDescent="0.25">
      <c r="B12" s="80">
        <v>150</v>
      </c>
      <c r="D12" s="81">
        <v>1.4632121509343898E-2</v>
      </c>
      <c r="E12" s="81">
        <v>9.8047933876175396E-3</v>
      </c>
      <c r="F12" s="81">
        <v>1.9463733147857168E-2</v>
      </c>
      <c r="H12" s="82">
        <f t="shared" si="0"/>
        <v>22.01</v>
      </c>
      <c r="J12" s="82">
        <f t="shared" si="1"/>
        <v>24.86</v>
      </c>
      <c r="L12" s="82">
        <f t="shared" si="2"/>
        <v>2.8499999999999979</v>
      </c>
      <c r="N12" s="97">
        <f t="shared" si="3"/>
        <v>0.12948659700136292</v>
      </c>
      <c r="P12" s="206" t="s">
        <v>35</v>
      </c>
      <c r="Q12" s="208">
        <f>SUM(Q19,Q23:Q37)</f>
        <v>0.11663473705607795</v>
      </c>
      <c r="R12" s="99"/>
      <c r="S12" s="209">
        <f>SUM(S19,S23:S37)</f>
        <v>0.13033086400000002</v>
      </c>
      <c r="U12" s="96">
        <f>(S12-Q12)/Q12</f>
        <v>0.11742751164549695</v>
      </c>
    </row>
    <row r="13" spans="1:22" ht="15.75" thickBot="1" x14ac:dyDescent="0.3">
      <c r="B13" s="80">
        <v>200</v>
      </c>
      <c r="D13" s="81">
        <v>1.9470008218555698E-2</v>
      </c>
      <c r="E13" s="81">
        <v>1.2564655285149008E-2</v>
      </c>
      <c r="F13" s="81">
        <v>2.6381488598546481E-2</v>
      </c>
      <c r="H13" s="82">
        <f t="shared" si="0"/>
        <v>26.85</v>
      </c>
      <c r="J13" s="82">
        <f t="shared" si="1"/>
        <v>30.4</v>
      </c>
      <c r="L13" s="82">
        <f t="shared" si="2"/>
        <v>3.5499999999999972</v>
      </c>
      <c r="N13" s="97">
        <f t="shared" si="3"/>
        <v>0.13221601489757903</v>
      </c>
      <c r="P13" s="210"/>
      <c r="Q13" s="211"/>
      <c r="R13" s="212"/>
      <c r="S13" s="213"/>
      <c r="U13" s="96"/>
    </row>
    <row r="14" spans="1:22" x14ac:dyDescent="0.25">
      <c r="B14" s="80">
        <v>300</v>
      </c>
      <c r="D14" s="81">
        <v>5.9231245894191153E-2</v>
      </c>
      <c r="E14" s="81">
        <v>3.9079523999512415E-2</v>
      </c>
      <c r="F14" s="81">
        <v>7.9400849365767967E-2</v>
      </c>
      <c r="H14" s="82">
        <f t="shared" si="0"/>
        <v>36.53</v>
      </c>
      <c r="J14" s="82">
        <f t="shared" si="1"/>
        <v>41.48</v>
      </c>
      <c r="L14" s="82">
        <f t="shared" si="2"/>
        <v>4.9499999999999957</v>
      </c>
      <c r="N14" s="97">
        <f t="shared" si="3"/>
        <v>0.13550506433068699</v>
      </c>
      <c r="T14" s="99"/>
      <c r="U14" s="96"/>
    </row>
    <row r="15" spans="1:22" x14ac:dyDescent="0.25">
      <c r="B15" s="80">
        <v>400</v>
      </c>
      <c r="D15" s="81">
        <v>8.3788115881238898E-2</v>
      </c>
      <c r="E15" s="81">
        <v>6.2044821323868231E-2</v>
      </c>
      <c r="F15" s="81">
        <v>0.10555070429328249</v>
      </c>
      <c r="H15" s="82">
        <f t="shared" si="0"/>
        <v>46.21</v>
      </c>
      <c r="J15" s="82">
        <f t="shared" si="1"/>
        <v>52.56</v>
      </c>
      <c r="L15" s="82">
        <f t="shared" si="2"/>
        <v>6.3500000000000014</v>
      </c>
      <c r="N15" s="97">
        <f t="shared" si="3"/>
        <v>0.13741614369184163</v>
      </c>
    </row>
    <row r="16" spans="1:22" x14ac:dyDescent="0.25">
      <c r="B16" s="80">
        <v>500</v>
      </c>
      <c r="D16" s="81">
        <v>9.6756306938673237E-2</v>
      </c>
      <c r="E16" s="81">
        <v>7.9512269584185141E-2</v>
      </c>
      <c r="F16" s="81">
        <v>0.11401564574390581</v>
      </c>
      <c r="H16" s="82">
        <f t="shared" si="0"/>
        <v>55.89</v>
      </c>
      <c r="J16" s="82">
        <f t="shared" si="1"/>
        <v>63.64</v>
      </c>
      <c r="L16" s="82">
        <f t="shared" si="2"/>
        <v>7.75</v>
      </c>
      <c r="N16" s="97">
        <f t="shared" si="3"/>
        <v>0.13866523528359276</v>
      </c>
      <c r="U16" s="74" t="s">
        <v>6</v>
      </c>
    </row>
    <row r="17" spans="2:21" x14ac:dyDescent="0.25">
      <c r="B17" s="80">
        <v>600</v>
      </c>
      <c r="D17" s="81">
        <v>9.7298660252519389E-2</v>
      </c>
      <c r="E17" s="81">
        <v>8.5504202246788494E-2</v>
      </c>
      <c r="F17" s="81">
        <v>0.1091035840392343</v>
      </c>
      <c r="H17" s="82">
        <f t="shared" si="0"/>
        <v>65.569999999999993</v>
      </c>
      <c r="J17" s="82">
        <f t="shared" si="1"/>
        <v>74.72</v>
      </c>
      <c r="L17" s="82">
        <f t="shared" si="2"/>
        <v>9.1500000000000057</v>
      </c>
      <c r="N17" s="97">
        <f t="shared" si="3"/>
        <v>0.13954552386762248</v>
      </c>
      <c r="P17" s="74" t="str">
        <f>+P9</f>
        <v>Basic 1 Phase</v>
      </c>
      <c r="Q17" s="133">
        <v>7.49</v>
      </c>
      <c r="R17" s="133"/>
      <c r="S17" s="133">
        <v>8.24</v>
      </c>
      <c r="U17" s="96">
        <f t="shared" ref="U17:U19" si="4">(S17-Q17)/Q17</f>
        <v>0.10013351134846461</v>
      </c>
    </row>
    <row r="18" spans="2:21" x14ac:dyDescent="0.25">
      <c r="B18" s="80">
        <v>700</v>
      </c>
      <c r="D18" s="81">
        <v>8.9579402626369709E-2</v>
      </c>
      <c r="E18" s="81">
        <v>8.2524800476298496E-2</v>
      </c>
      <c r="F18" s="81">
        <v>9.6640264658921005E-2</v>
      </c>
      <c r="H18" s="82">
        <f t="shared" ref="H18:H31" si="5">ROUND((((600*Q$11)+(($B18-600)*Q$12)+$Q$9)),2)</f>
        <v>77.239999999999995</v>
      </c>
      <c r="J18" s="82">
        <f t="shared" ref="J18:J31" si="6">ROUND((((600*S$11)+(($B18-600)*S$12)+$S$9)),2)</f>
        <v>87.75</v>
      </c>
      <c r="L18" s="82">
        <f t="shared" si="2"/>
        <v>10.510000000000005</v>
      </c>
      <c r="N18" s="97">
        <f t="shared" si="3"/>
        <v>0.13606939409632324</v>
      </c>
      <c r="P18" s="74" t="str">
        <f>+P11</f>
        <v>Energy - First 600</v>
      </c>
      <c r="Q18" s="100">
        <v>9.1343999999999995E-2</v>
      </c>
      <c r="R18" s="100"/>
      <c r="S18" s="100">
        <v>8.9991000000000002E-2</v>
      </c>
      <c r="T18" s="74" t="s">
        <v>6</v>
      </c>
      <c r="U18" s="96">
        <f t="shared" si="4"/>
        <v>-1.4812138728323624E-2</v>
      </c>
    </row>
    <row r="19" spans="2:21" x14ac:dyDescent="0.25">
      <c r="B19" s="80">
        <v>800</v>
      </c>
      <c r="C19" s="74" t="s">
        <v>31</v>
      </c>
      <c r="D19" s="81">
        <v>7.886594239240452E-2</v>
      </c>
      <c r="E19" s="81">
        <v>7.5491440401899049E-2</v>
      </c>
      <c r="F19" s="81">
        <v>8.2243438738288224E-2</v>
      </c>
      <c r="H19" s="82">
        <f t="shared" si="5"/>
        <v>88.9</v>
      </c>
      <c r="J19" s="82">
        <f t="shared" si="6"/>
        <v>100.78</v>
      </c>
      <c r="L19" s="82">
        <f t="shared" si="2"/>
        <v>11.879999999999995</v>
      </c>
      <c r="N19" s="97">
        <f t="shared" si="3"/>
        <v>0.13363329583802019</v>
      </c>
      <c r="P19" s="74" t="str">
        <f>+P12</f>
        <v>Energy - Over 600</v>
      </c>
      <c r="Q19" s="100">
        <v>0.111175</v>
      </c>
      <c r="R19" s="100"/>
      <c r="S19" s="100">
        <v>0.109528</v>
      </c>
      <c r="U19" s="96">
        <f t="shared" si="4"/>
        <v>-1.4814481673037965E-2</v>
      </c>
    </row>
    <row r="20" spans="2:21" x14ac:dyDescent="0.25">
      <c r="B20" s="80">
        <v>900</v>
      </c>
      <c r="D20" s="81">
        <v>6.7448374347481174E-2</v>
      </c>
      <c r="E20" s="81">
        <v>6.7289050318063343E-2</v>
      </c>
      <c r="F20" s="81">
        <v>6.7607839752653318E-2</v>
      </c>
      <c r="H20" s="82">
        <f t="shared" si="5"/>
        <v>100.56</v>
      </c>
      <c r="J20" s="82">
        <f t="shared" si="6"/>
        <v>113.82</v>
      </c>
      <c r="L20" s="82">
        <f t="shared" si="2"/>
        <v>13.259999999999991</v>
      </c>
      <c r="N20" s="97">
        <f t="shared" si="3"/>
        <v>0.13186157517899752</v>
      </c>
      <c r="Q20" s="133"/>
      <c r="S20" s="214"/>
    </row>
    <row r="21" spans="2:21" x14ac:dyDescent="0.25">
      <c r="B21" s="80">
        <v>1000</v>
      </c>
      <c r="D21" s="81">
        <v>5.7105680794151147E-2</v>
      </c>
      <c r="E21" s="81">
        <v>5.9308894820428275E-2</v>
      </c>
      <c r="F21" s="81">
        <v>5.4900511751759778E-2</v>
      </c>
      <c r="H21" s="82">
        <f t="shared" si="5"/>
        <v>112.23</v>
      </c>
      <c r="J21" s="82">
        <f t="shared" si="6"/>
        <v>126.85</v>
      </c>
      <c r="L21" s="82">
        <f t="shared" si="2"/>
        <v>14.61999999999999</v>
      </c>
      <c r="N21" s="97">
        <f t="shared" si="3"/>
        <v>0.13026819923371638</v>
      </c>
    </row>
    <row r="22" spans="2:21" x14ac:dyDescent="0.25">
      <c r="B22" s="80">
        <v>1100</v>
      </c>
      <c r="D22" s="81">
        <v>4.7810902649562448E-2</v>
      </c>
      <c r="E22" s="81">
        <v>5.1692208585388089E-2</v>
      </c>
      <c r="F22" s="81">
        <v>4.3926152647223826E-2</v>
      </c>
      <c r="H22" s="82">
        <f t="shared" si="5"/>
        <v>123.89</v>
      </c>
      <c r="J22" s="82">
        <f t="shared" si="6"/>
        <v>139.88</v>
      </c>
      <c r="L22" s="82">
        <f t="shared" si="2"/>
        <v>15.989999999999995</v>
      </c>
      <c r="N22" s="97">
        <f t="shared" si="3"/>
        <v>0.12906610703043017</v>
      </c>
    </row>
    <row r="23" spans="2:21" x14ac:dyDescent="0.25">
      <c r="B23" s="80">
        <v>1200</v>
      </c>
      <c r="D23" s="81">
        <v>3.9855515174197303E-2</v>
      </c>
      <c r="E23" s="81">
        <v>4.5103951733564511E-2</v>
      </c>
      <c r="F23" s="81">
        <v>3.4602421428589561E-2</v>
      </c>
      <c r="H23" s="82">
        <f t="shared" si="5"/>
        <v>135.55000000000001</v>
      </c>
      <c r="J23" s="82">
        <f t="shared" si="6"/>
        <v>152.91</v>
      </c>
      <c r="L23" s="82">
        <f t="shared" si="2"/>
        <v>17.359999999999985</v>
      </c>
      <c r="N23" s="97">
        <f t="shared" si="3"/>
        <v>0.12807082257469557</v>
      </c>
      <c r="P23" s="101" t="s">
        <v>128</v>
      </c>
      <c r="Q23" s="100">
        <v>3.3142467321893932E-3</v>
      </c>
      <c r="S23" s="100">
        <v>0</v>
      </c>
    </row>
    <row r="24" spans="2:21" x14ac:dyDescent="0.25">
      <c r="B24" s="80">
        <v>1300</v>
      </c>
      <c r="D24" s="81">
        <v>3.3341169968691783E-2</v>
      </c>
      <c r="E24" s="81">
        <v>3.9494985376425283E-2</v>
      </c>
      <c r="F24" s="81">
        <v>2.7181893989201428E-2</v>
      </c>
      <c r="H24" s="82">
        <f t="shared" si="5"/>
        <v>147.22</v>
      </c>
      <c r="J24" s="82">
        <f t="shared" si="6"/>
        <v>165.95</v>
      </c>
      <c r="L24" s="82">
        <f t="shared" si="2"/>
        <v>18.72999999999999</v>
      </c>
      <c r="N24" s="97">
        <f t="shared" si="3"/>
        <v>0.12722456188017925</v>
      </c>
      <c r="P24" s="101" t="s">
        <v>34</v>
      </c>
      <c r="Q24" s="100">
        <v>2.1346263238885407E-3</v>
      </c>
      <c r="S24" s="100">
        <v>0</v>
      </c>
    </row>
    <row r="25" spans="2:21" x14ac:dyDescent="0.25">
      <c r="B25" s="80">
        <v>1400</v>
      </c>
      <c r="D25" s="81">
        <v>2.7930957788816026E-2</v>
      </c>
      <c r="E25" s="81">
        <v>3.4446043836009896E-2</v>
      </c>
      <c r="F25" s="81">
        <v>2.1410090597322948E-2</v>
      </c>
      <c r="H25" s="82">
        <f t="shared" si="5"/>
        <v>158.88</v>
      </c>
      <c r="J25" s="82">
        <f t="shared" si="6"/>
        <v>178.98</v>
      </c>
      <c r="L25" s="82">
        <f t="shared" si="2"/>
        <v>20.099999999999994</v>
      </c>
      <c r="N25" s="97">
        <f t="shared" si="3"/>
        <v>0.12651057401812685</v>
      </c>
      <c r="P25" s="101" t="s">
        <v>33</v>
      </c>
      <c r="Q25" s="100">
        <v>-1.3910000000000001E-3</v>
      </c>
      <c r="S25" s="100">
        <f t="shared" ref="S25:S29" si="7">+Q25</f>
        <v>-1.3910000000000001E-3</v>
      </c>
    </row>
    <row r="26" spans="2:21" x14ac:dyDescent="0.25">
      <c r="B26" s="80">
        <v>1600</v>
      </c>
      <c r="C26" s="74" t="s">
        <v>6</v>
      </c>
      <c r="D26" s="81">
        <v>4.2917670529083893E-2</v>
      </c>
      <c r="E26" s="81">
        <v>5.5946685257017785E-2</v>
      </c>
      <c r="F26" s="81">
        <v>2.9877094539537647E-2</v>
      </c>
      <c r="H26" s="82">
        <f t="shared" si="5"/>
        <v>182.21</v>
      </c>
      <c r="J26" s="82">
        <f t="shared" si="6"/>
        <v>205.05</v>
      </c>
      <c r="L26" s="82">
        <f t="shared" si="2"/>
        <v>22.840000000000003</v>
      </c>
      <c r="N26" s="97">
        <f t="shared" si="3"/>
        <v>0.12534987102793482</v>
      </c>
      <c r="P26" s="101" t="s">
        <v>32</v>
      </c>
      <c r="Q26" s="100">
        <v>3.8249999999999998E-3</v>
      </c>
      <c r="S26" s="100">
        <f t="shared" si="7"/>
        <v>3.8249999999999998E-3</v>
      </c>
    </row>
    <row r="27" spans="2:21" x14ac:dyDescent="0.25">
      <c r="B27" s="80">
        <v>2000</v>
      </c>
      <c r="D27" s="81">
        <v>5.238284593558127E-2</v>
      </c>
      <c r="E27" s="81">
        <v>7.5129397752197027E-2</v>
      </c>
      <c r="F27" s="81">
        <v>2.9616110026628353E-2</v>
      </c>
      <c r="H27" s="82">
        <f t="shared" si="5"/>
        <v>228.86</v>
      </c>
      <c r="J27" s="82">
        <f t="shared" si="6"/>
        <v>257.18</v>
      </c>
      <c r="L27" s="82">
        <f t="shared" si="2"/>
        <v>28.319999999999993</v>
      </c>
      <c r="N27" s="97">
        <f t="shared" si="3"/>
        <v>0.12374377348597392</v>
      </c>
      <c r="P27" s="101" t="s">
        <v>21</v>
      </c>
      <c r="Q27" s="100">
        <v>1.3519999999999999E-3</v>
      </c>
      <c r="R27" s="74" t="s">
        <v>6</v>
      </c>
      <c r="S27" s="100">
        <f t="shared" si="7"/>
        <v>1.3519999999999999E-3</v>
      </c>
    </row>
    <row r="28" spans="2:21" x14ac:dyDescent="0.25">
      <c r="B28" s="80">
        <v>2500</v>
      </c>
      <c r="D28" s="81">
        <v>3.2286911246338222E-2</v>
      </c>
      <c r="E28" s="81">
        <v>5.0830375885550137E-2</v>
      </c>
      <c r="F28" s="81">
        <v>1.3726992113032155E-2</v>
      </c>
      <c r="H28" s="82">
        <f t="shared" si="5"/>
        <v>287.18</v>
      </c>
      <c r="J28" s="82">
        <f t="shared" si="6"/>
        <v>322.33999999999997</v>
      </c>
      <c r="L28" s="82">
        <f t="shared" si="2"/>
        <v>35.159999999999968</v>
      </c>
      <c r="N28" s="97">
        <f t="shared" si="3"/>
        <v>0.12243192422870662</v>
      </c>
      <c r="P28" s="74" t="s">
        <v>30</v>
      </c>
      <c r="Q28" s="100">
        <v>-2.0999999999999999E-5</v>
      </c>
      <c r="S28" s="100">
        <f t="shared" si="7"/>
        <v>-2.0999999999999999E-5</v>
      </c>
    </row>
    <row r="29" spans="2:21" x14ac:dyDescent="0.25">
      <c r="B29" s="80">
        <v>3000</v>
      </c>
      <c r="D29" s="81">
        <v>1.5207222179713211E-2</v>
      </c>
      <c r="E29" s="81">
        <v>2.5348850443256552E-2</v>
      </c>
      <c r="F29" s="81">
        <v>5.0565947692674789E-3</v>
      </c>
      <c r="H29" s="82">
        <f t="shared" si="5"/>
        <v>345.5</v>
      </c>
      <c r="J29" s="82">
        <f t="shared" si="6"/>
        <v>387.51</v>
      </c>
      <c r="L29" s="82">
        <f t="shared" si="2"/>
        <v>42.009999999999991</v>
      </c>
      <c r="N29" s="97">
        <f t="shared" si="3"/>
        <v>0.12159189580318376</v>
      </c>
      <c r="P29" s="101" t="s">
        <v>22</v>
      </c>
      <c r="Q29" s="100">
        <v>3.0720000000000001E-3</v>
      </c>
      <c r="S29" s="100">
        <f t="shared" si="7"/>
        <v>3.0720000000000001E-3</v>
      </c>
    </row>
    <row r="30" spans="2:21" x14ac:dyDescent="0.25">
      <c r="B30" s="80">
        <v>4000</v>
      </c>
      <c r="D30" s="81">
        <v>1.1190080960504547E-2</v>
      </c>
      <c r="E30" s="81">
        <v>1.9212829878473187E-2</v>
      </c>
      <c r="F30" s="81">
        <v>3.1602130775928374E-3</v>
      </c>
      <c r="H30" s="82">
        <f t="shared" si="5"/>
        <v>462.13</v>
      </c>
      <c r="J30" s="82">
        <f t="shared" si="6"/>
        <v>517.84</v>
      </c>
      <c r="L30" s="82">
        <f t="shared" si="2"/>
        <v>55.710000000000036</v>
      </c>
      <c r="N30" s="97">
        <f t="shared" si="3"/>
        <v>0.12055049444961383</v>
      </c>
      <c r="P30" s="74" t="s">
        <v>142</v>
      </c>
      <c r="Q30" s="100">
        <v>0</v>
      </c>
      <c r="S30" s="100">
        <v>2.892E-3</v>
      </c>
    </row>
    <row r="31" spans="2:21" x14ac:dyDescent="0.25">
      <c r="B31" s="80">
        <v>5000</v>
      </c>
      <c r="D31" s="81">
        <v>3.0145805027948242E-3</v>
      </c>
      <c r="E31" s="81">
        <v>5.1053720059556331E-3</v>
      </c>
      <c r="F31" s="81">
        <v>9.2193374134705449E-4</v>
      </c>
      <c r="H31" s="82">
        <f t="shared" si="5"/>
        <v>578.77</v>
      </c>
      <c r="J31" s="82">
        <f t="shared" si="6"/>
        <v>648.16999999999996</v>
      </c>
      <c r="L31" s="82">
        <f t="shared" si="2"/>
        <v>69.399999999999977</v>
      </c>
      <c r="N31" s="97">
        <f t="shared" si="3"/>
        <v>0.11990946317189899</v>
      </c>
      <c r="P31" s="74" t="s">
        <v>143</v>
      </c>
      <c r="Q31" s="100">
        <v>0</v>
      </c>
      <c r="S31" s="100">
        <v>1.3376000000000001E-2</v>
      </c>
    </row>
    <row r="32" spans="2:21" x14ac:dyDescent="0.25">
      <c r="B32" s="80" t="s">
        <v>28</v>
      </c>
      <c r="D32" s="81">
        <v>2.4318678560908301E-3</v>
      </c>
      <c r="E32" s="81">
        <v>3.4799843833441995E-3</v>
      </c>
      <c r="F32" s="81">
        <v>1.3828212854209133E-3</v>
      </c>
      <c r="H32" s="82"/>
      <c r="J32" s="82"/>
      <c r="L32" s="82"/>
      <c r="N32" s="97"/>
      <c r="P32" s="101" t="s">
        <v>144</v>
      </c>
      <c r="Q32" s="100">
        <v>0</v>
      </c>
      <c r="S32" s="100">
        <v>5.6880000000000003E-3</v>
      </c>
    </row>
    <row r="33" spans="1:19" x14ac:dyDescent="0.25">
      <c r="B33" s="102"/>
      <c r="C33" s="103"/>
      <c r="D33" s="104"/>
      <c r="E33" s="104"/>
      <c r="F33" s="104"/>
      <c r="G33" s="103"/>
      <c r="H33" s="104"/>
      <c r="I33" s="103"/>
      <c r="J33" s="104"/>
      <c r="K33" s="103"/>
      <c r="L33" s="103"/>
      <c r="M33" s="103"/>
      <c r="N33" s="105"/>
      <c r="P33" s="101" t="s">
        <v>145</v>
      </c>
      <c r="Q33" s="100">
        <v>8.4999999999999995E-4</v>
      </c>
      <c r="S33" s="100">
        <v>0</v>
      </c>
    </row>
    <row r="34" spans="1:19" x14ac:dyDescent="0.25">
      <c r="B34" s="85"/>
      <c r="P34" s="101" t="s">
        <v>146</v>
      </c>
      <c r="Q34" s="100">
        <v>-8.8400000000000002E-4</v>
      </c>
      <c r="S34" s="100">
        <f t="shared" ref="S34:S35" si="8">+Q34</f>
        <v>-8.8400000000000002E-4</v>
      </c>
    </row>
    <row r="35" spans="1:19" x14ac:dyDescent="0.25">
      <c r="A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P35" s="101" t="s">
        <v>24</v>
      </c>
      <c r="Q35" s="100">
        <v>-4.17E-4</v>
      </c>
      <c r="S35" s="100">
        <f t="shared" si="8"/>
        <v>-4.17E-4</v>
      </c>
    </row>
    <row r="36" spans="1:19" x14ac:dyDescent="0.25">
      <c r="A36" s="87" t="s">
        <v>26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P36" s="101" t="s">
        <v>129</v>
      </c>
      <c r="Q36" s="100">
        <v>3.1400000000000004E-4</v>
      </c>
      <c r="S36" s="100">
        <v>0</v>
      </c>
    </row>
    <row r="37" spans="1:19" ht="15.75" x14ac:dyDescent="0.25">
      <c r="A37" s="88" t="s">
        <v>283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P37" s="101" t="s">
        <v>29</v>
      </c>
      <c r="Q37" s="100">
        <v>-6.689136E-3</v>
      </c>
      <c r="S37" s="100">
        <f>+Q37</f>
        <v>-6.689136E-3</v>
      </c>
    </row>
    <row r="38" spans="1:19" x14ac:dyDescent="0.25">
      <c r="A38" s="89" t="s">
        <v>205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9" x14ac:dyDescent="0.25">
      <c r="A39" s="88" t="s">
        <v>209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P39" s="106" t="s">
        <v>123</v>
      </c>
      <c r="Q39" s="107">
        <f>+'Rate Impacts_RY#1'!H9</f>
        <v>-4.9511365454001175E-3</v>
      </c>
    </row>
    <row r="40" spans="1:19" x14ac:dyDescent="0.25">
      <c r="P40" s="106" t="s">
        <v>125</v>
      </c>
      <c r="Q40" s="107">
        <f>+'Rate Impacts_RY#1'!AM9</f>
        <v>0.12918476017087385</v>
      </c>
    </row>
  </sheetData>
  <mergeCells count="6">
    <mergeCell ref="L7:N7"/>
    <mergeCell ref="H6:N6"/>
    <mergeCell ref="A1:N1"/>
    <mergeCell ref="A2:N2"/>
    <mergeCell ref="A3:N3"/>
    <mergeCell ref="A4:N4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3.28515625" style="74" customWidth="1"/>
    <col min="2" max="2" width="6.140625" style="74" bestFit="1" customWidth="1"/>
    <col min="3" max="3" width="2" style="74" bestFit="1" customWidth="1"/>
    <col min="4" max="4" width="7" style="74" bestFit="1" customWidth="1"/>
    <col min="5" max="5" width="16.28515625" style="74" bestFit="1" customWidth="1"/>
    <col min="6" max="6" width="17.42578125" style="74" bestFit="1" customWidth="1"/>
    <col min="7" max="7" width="1.28515625" style="74" customWidth="1"/>
    <col min="8" max="8" width="8.28515625" style="74" bestFit="1" customWidth="1"/>
    <col min="9" max="9" width="1.28515625" style="74" bestFit="1" customWidth="1"/>
    <col min="10" max="10" width="10.140625" style="74" bestFit="1" customWidth="1"/>
    <col min="11" max="11" width="1.42578125" style="74" bestFit="1" customWidth="1"/>
    <col min="12" max="12" width="8" style="74" bestFit="1" customWidth="1"/>
    <col min="13" max="13" width="2" style="74" customWidth="1"/>
    <col min="14" max="14" width="7.140625" style="74" bestFit="1" customWidth="1"/>
    <col min="15" max="15" width="9.42578125" style="74"/>
    <col min="16" max="16" width="36" style="74" bestFit="1" customWidth="1"/>
    <col min="17" max="17" width="14.28515625" style="74" bestFit="1" customWidth="1"/>
    <col min="18" max="18" width="1.5703125" style="74" bestFit="1" customWidth="1"/>
    <col min="19" max="19" width="15.7109375" style="74" bestFit="1" customWidth="1"/>
    <col min="20" max="20" width="1.5703125" style="74" bestFit="1" customWidth="1"/>
    <col min="21" max="21" width="6.140625" style="74" bestFit="1" customWidth="1"/>
    <col min="22" max="22" width="5.140625" style="74" customWidth="1"/>
    <col min="23" max="16384" width="9.42578125" style="74"/>
  </cols>
  <sheetData>
    <row r="1" spans="1:22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22" x14ac:dyDescent="0.25">
      <c r="A2" s="175" t="s">
        <v>191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22" x14ac:dyDescent="0.25">
      <c r="A3" s="176" t="s">
        <v>192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V3" s="90"/>
    </row>
    <row r="4" spans="1:22" x14ac:dyDescent="0.25">
      <c r="A4" s="176" t="s">
        <v>193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V4" s="90"/>
    </row>
    <row r="6" spans="1:22" x14ac:dyDescent="0.25">
      <c r="H6" s="177" t="s">
        <v>206</v>
      </c>
      <c r="I6" s="174"/>
      <c r="J6" s="174"/>
      <c r="K6" s="174"/>
      <c r="L6" s="174"/>
      <c r="M6" s="174"/>
      <c r="N6" s="174"/>
      <c r="O6" s="90"/>
    </row>
    <row r="7" spans="1:22" ht="15.75" thickBot="1" x14ac:dyDescent="0.3">
      <c r="D7" s="91" t="s">
        <v>138</v>
      </c>
      <c r="E7" s="91"/>
      <c r="F7" s="91"/>
      <c r="H7" s="92" t="s">
        <v>6</v>
      </c>
      <c r="I7" s="93"/>
      <c r="J7" s="93" t="s">
        <v>6</v>
      </c>
      <c r="L7" s="174" t="s">
        <v>42</v>
      </c>
      <c r="M7" s="174"/>
      <c r="N7" s="174"/>
      <c r="O7" s="93"/>
    </row>
    <row r="8" spans="1:22" ht="17.25" x14ac:dyDescent="0.25">
      <c r="B8" s="149" t="s">
        <v>41</v>
      </c>
      <c r="D8" s="79" t="s">
        <v>139</v>
      </c>
      <c r="E8" s="93" t="s">
        <v>141</v>
      </c>
      <c r="F8" s="93" t="s">
        <v>140</v>
      </c>
      <c r="H8" s="79" t="s">
        <v>207</v>
      </c>
      <c r="I8" s="79"/>
      <c r="J8" s="79" t="s">
        <v>208</v>
      </c>
      <c r="K8" s="94" t="s">
        <v>6</v>
      </c>
      <c r="L8" s="149" t="s">
        <v>40</v>
      </c>
      <c r="N8" s="95" t="s">
        <v>11</v>
      </c>
      <c r="P8" s="202"/>
      <c r="Q8" s="203" t="s">
        <v>39</v>
      </c>
      <c r="R8" s="204"/>
      <c r="S8" s="205" t="s">
        <v>38</v>
      </c>
      <c r="U8" s="96"/>
    </row>
    <row r="9" spans="1:22" x14ac:dyDescent="0.25">
      <c r="B9" s="80">
        <v>0</v>
      </c>
      <c r="D9" s="81">
        <v>7.5359358627560668E-3</v>
      </c>
      <c r="E9" s="81">
        <v>5.9446959245949491E-3</v>
      </c>
      <c r="F9" s="81">
        <v>9.1285877834498055E-3</v>
      </c>
      <c r="H9" s="82">
        <f t="shared" ref="H9:H17" si="0">ROUND((($B9*Q$11+$Q$9)),2)</f>
        <v>8.24</v>
      </c>
      <c r="J9" s="82">
        <f t="shared" ref="J9:J17" si="1">ROUND((($B9*S$11+$S$9)),2)</f>
        <v>8.24</v>
      </c>
      <c r="L9" s="82">
        <f t="shared" ref="L9:L31" si="2">J9-H9</f>
        <v>0</v>
      </c>
      <c r="N9" s="97">
        <f t="shared" ref="N9:N31" si="3">(J9-H9)/H9</f>
        <v>0</v>
      </c>
      <c r="P9" s="206" t="s">
        <v>37</v>
      </c>
      <c r="Q9" s="134">
        <f>SUM(Q17)</f>
        <v>8.24</v>
      </c>
      <c r="R9" s="99"/>
      <c r="S9" s="207">
        <f>SUM(S17)</f>
        <v>8.24</v>
      </c>
      <c r="T9" s="98"/>
      <c r="U9" s="96">
        <f>(S9-Q9)/Q9</f>
        <v>0</v>
      </c>
    </row>
    <row r="10" spans="1:22" x14ac:dyDescent="0.25">
      <c r="B10" s="80">
        <v>50</v>
      </c>
      <c r="D10" s="81">
        <v>7.8933022933853902E-3</v>
      </c>
      <c r="E10" s="81">
        <v>6.4115153656511877E-3</v>
      </c>
      <c r="F10" s="81">
        <v>9.3764040808141328E-3</v>
      </c>
      <c r="H10" s="82">
        <f t="shared" si="0"/>
        <v>13.78</v>
      </c>
      <c r="J10" s="82">
        <f t="shared" si="1"/>
        <v>13.95</v>
      </c>
      <c r="L10" s="82">
        <f t="shared" si="2"/>
        <v>0.16999999999999993</v>
      </c>
      <c r="N10" s="97">
        <f t="shared" si="3"/>
        <v>1.233671988388969E-2</v>
      </c>
      <c r="P10" s="206"/>
      <c r="Q10" s="208"/>
      <c r="R10" s="99"/>
      <c r="S10" s="209"/>
      <c r="U10" s="96"/>
    </row>
    <row r="11" spans="1:22" x14ac:dyDescent="0.25">
      <c r="B11" s="80">
        <v>100</v>
      </c>
      <c r="D11" s="81">
        <v>1.2025178197555365E-2</v>
      </c>
      <c r="E11" s="81">
        <v>8.7286517287615776E-3</v>
      </c>
      <c r="F11" s="81">
        <v>1.5324629830355306E-2</v>
      </c>
      <c r="H11" s="82">
        <f t="shared" si="0"/>
        <v>19.32</v>
      </c>
      <c r="J11" s="82">
        <f t="shared" si="1"/>
        <v>19.670000000000002</v>
      </c>
      <c r="L11" s="82">
        <f t="shared" si="2"/>
        <v>0.35000000000000142</v>
      </c>
      <c r="N11" s="97">
        <f t="shared" si="3"/>
        <v>1.8115942028985581E-2</v>
      </c>
      <c r="P11" s="206" t="s">
        <v>36</v>
      </c>
      <c r="Q11" s="208">
        <f>SUM(Q18,Q23:Q37)</f>
        <v>0.11079386400000002</v>
      </c>
      <c r="R11" s="99"/>
      <c r="S11" s="209">
        <f>SUM(S18,S23:S37)</f>
        <v>0.1142609358613431</v>
      </c>
      <c r="U11" s="96">
        <f>(S11-Q11)/Q11</f>
        <v>3.1292995263195095E-2</v>
      </c>
    </row>
    <row r="12" spans="1:22" x14ac:dyDescent="0.25">
      <c r="B12" s="80">
        <v>150</v>
      </c>
      <c r="D12" s="81">
        <v>1.4632121509343898E-2</v>
      </c>
      <c r="E12" s="81">
        <v>9.8047933876175396E-3</v>
      </c>
      <c r="F12" s="81">
        <v>1.9463733147857168E-2</v>
      </c>
      <c r="H12" s="82">
        <f t="shared" si="0"/>
        <v>24.86</v>
      </c>
      <c r="J12" s="82">
        <f t="shared" si="1"/>
        <v>25.38</v>
      </c>
      <c r="L12" s="82">
        <f t="shared" si="2"/>
        <v>0.51999999999999957</v>
      </c>
      <c r="N12" s="97">
        <f t="shared" si="3"/>
        <v>2.0917135961383733E-2</v>
      </c>
      <c r="P12" s="206" t="s">
        <v>35</v>
      </c>
      <c r="Q12" s="208">
        <f>SUM(Q19,Q23:Q37)</f>
        <v>0.13033086400000002</v>
      </c>
      <c r="R12" s="99"/>
      <c r="S12" s="209">
        <f>SUM(S19,S23:S37)</f>
        <v>0.13379793586134309</v>
      </c>
      <c r="U12" s="96">
        <f>(S12-Q12)/Q12</f>
        <v>2.660207839443977E-2</v>
      </c>
    </row>
    <row r="13" spans="1:22" ht="15.75" thickBot="1" x14ac:dyDescent="0.3">
      <c r="B13" s="80">
        <v>200</v>
      </c>
      <c r="D13" s="81">
        <v>1.9470008218555698E-2</v>
      </c>
      <c r="E13" s="81">
        <v>1.2564655285149008E-2</v>
      </c>
      <c r="F13" s="81">
        <v>2.6381488598546481E-2</v>
      </c>
      <c r="H13" s="82">
        <f t="shared" si="0"/>
        <v>30.4</v>
      </c>
      <c r="J13" s="82">
        <f t="shared" si="1"/>
        <v>31.09</v>
      </c>
      <c r="L13" s="82">
        <f t="shared" si="2"/>
        <v>0.69000000000000128</v>
      </c>
      <c r="N13" s="97">
        <f t="shared" si="3"/>
        <v>2.2697368421052674E-2</v>
      </c>
      <c r="P13" s="210"/>
      <c r="Q13" s="211"/>
      <c r="R13" s="212"/>
      <c r="S13" s="213"/>
      <c r="U13" s="96"/>
    </row>
    <row r="14" spans="1:22" x14ac:dyDescent="0.25">
      <c r="B14" s="80">
        <v>300</v>
      </c>
      <c r="D14" s="81">
        <v>5.9231245894191153E-2</v>
      </c>
      <c r="E14" s="81">
        <v>3.9079523999512415E-2</v>
      </c>
      <c r="F14" s="81">
        <v>7.9400849365767967E-2</v>
      </c>
      <c r="H14" s="82">
        <f t="shared" si="0"/>
        <v>41.48</v>
      </c>
      <c r="J14" s="82">
        <f t="shared" si="1"/>
        <v>42.52</v>
      </c>
      <c r="L14" s="82">
        <f t="shared" si="2"/>
        <v>1.0400000000000063</v>
      </c>
      <c r="N14" s="97">
        <f t="shared" si="3"/>
        <v>2.5072324011571993E-2</v>
      </c>
      <c r="T14" s="99"/>
      <c r="U14" s="96"/>
    </row>
    <row r="15" spans="1:22" x14ac:dyDescent="0.25">
      <c r="B15" s="80">
        <v>400</v>
      </c>
      <c r="D15" s="81">
        <v>8.3788115881238898E-2</v>
      </c>
      <c r="E15" s="81">
        <v>6.2044821323868231E-2</v>
      </c>
      <c r="F15" s="81">
        <v>0.10555070429328249</v>
      </c>
      <c r="H15" s="82">
        <f t="shared" si="0"/>
        <v>52.56</v>
      </c>
      <c r="J15" s="82">
        <f t="shared" si="1"/>
        <v>53.94</v>
      </c>
      <c r="L15" s="82">
        <f t="shared" si="2"/>
        <v>1.3799999999999955</v>
      </c>
      <c r="N15" s="97">
        <f t="shared" si="3"/>
        <v>2.6255707762556989E-2</v>
      </c>
    </row>
    <row r="16" spans="1:22" x14ac:dyDescent="0.25">
      <c r="B16" s="80">
        <v>500</v>
      </c>
      <c r="D16" s="81">
        <v>9.6756306938673237E-2</v>
      </c>
      <c r="E16" s="81">
        <v>7.9512269584185141E-2</v>
      </c>
      <c r="F16" s="81">
        <v>0.11401564574390581</v>
      </c>
      <c r="H16" s="82">
        <f t="shared" si="0"/>
        <v>63.64</v>
      </c>
      <c r="J16" s="82">
        <f t="shared" si="1"/>
        <v>65.37</v>
      </c>
      <c r="L16" s="82">
        <f t="shared" si="2"/>
        <v>1.730000000000004</v>
      </c>
      <c r="N16" s="97">
        <f t="shared" si="3"/>
        <v>2.7184160905091199E-2</v>
      </c>
      <c r="U16" s="74" t="s">
        <v>6</v>
      </c>
    </row>
    <row r="17" spans="2:21" x14ac:dyDescent="0.25">
      <c r="B17" s="80">
        <v>600</v>
      </c>
      <c r="D17" s="81">
        <v>9.7298660252519389E-2</v>
      </c>
      <c r="E17" s="81">
        <v>8.5504202246788494E-2</v>
      </c>
      <c r="F17" s="81">
        <v>0.1091035840392343</v>
      </c>
      <c r="H17" s="82">
        <f t="shared" si="0"/>
        <v>74.72</v>
      </c>
      <c r="J17" s="82">
        <f t="shared" si="1"/>
        <v>76.8</v>
      </c>
      <c r="L17" s="82">
        <f t="shared" si="2"/>
        <v>2.0799999999999983</v>
      </c>
      <c r="N17" s="97">
        <f t="shared" si="3"/>
        <v>2.7837259100642376E-2</v>
      </c>
      <c r="P17" s="74" t="str">
        <f>+P9</f>
        <v>Basic 1 Phase</v>
      </c>
      <c r="Q17" s="133">
        <f>+'Res Bill RY#1'!S17</f>
        <v>8.24</v>
      </c>
      <c r="R17" s="133"/>
      <c r="S17" s="133">
        <f>+Q17</f>
        <v>8.24</v>
      </c>
      <c r="U17" s="96">
        <f t="shared" ref="U17:U19" si="4">(S17-Q17)/Q17</f>
        <v>0</v>
      </c>
    </row>
    <row r="18" spans="2:21" x14ac:dyDescent="0.25">
      <c r="B18" s="80">
        <v>700</v>
      </c>
      <c r="D18" s="81">
        <v>8.9579402626369709E-2</v>
      </c>
      <c r="E18" s="81">
        <v>8.2524800476298496E-2</v>
      </c>
      <c r="F18" s="81">
        <v>9.6640264658921005E-2</v>
      </c>
      <c r="H18" s="82">
        <f t="shared" ref="H18:H31" si="5">ROUND((((600*Q$11)+(($B18-600)*Q$12)+$Q$9)),2)</f>
        <v>87.75</v>
      </c>
      <c r="J18" s="82">
        <f t="shared" ref="J18:J31" si="6">ROUND((((600*S$11)+(($B18-600)*S$12)+$S$9)),2)</f>
        <v>90.18</v>
      </c>
      <c r="L18" s="82">
        <f t="shared" si="2"/>
        <v>2.4300000000000068</v>
      </c>
      <c r="N18" s="97">
        <f t="shared" si="3"/>
        <v>2.7692307692307769E-2</v>
      </c>
      <c r="P18" s="74" t="str">
        <f>+P11</f>
        <v>Energy - First 600</v>
      </c>
      <c r="Q18" s="100">
        <f>+'Res Bill RY#1'!S18</f>
        <v>8.9991000000000002E-2</v>
      </c>
      <c r="R18" s="100"/>
      <c r="S18" s="100">
        <f t="shared" ref="S18:S19" si="7">+Q18</f>
        <v>8.9991000000000002E-2</v>
      </c>
      <c r="T18" s="74" t="s">
        <v>6</v>
      </c>
      <c r="U18" s="96">
        <f t="shared" si="4"/>
        <v>0</v>
      </c>
    </row>
    <row r="19" spans="2:21" x14ac:dyDescent="0.25">
      <c r="B19" s="80">
        <v>800</v>
      </c>
      <c r="C19" s="74" t="s">
        <v>31</v>
      </c>
      <c r="D19" s="81">
        <v>7.886594239240452E-2</v>
      </c>
      <c r="E19" s="81">
        <v>7.5491440401899049E-2</v>
      </c>
      <c r="F19" s="81">
        <v>8.2243438738288224E-2</v>
      </c>
      <c r="H19" s="82">
        <f t="shared" si="5"/>
        <v>100.78</v>
      </c>
      <c r="J19" s="82">
        <f t="shared" si="6"/>
        <v>103.56</v>
      </c>
      <c r="L19" s="82">
        <f t="shared" si="2"/>
        <v>2.7800000000000011</v>
      </c>
      <c r="N19" s="97">
        <f t="shared" si="3"/>
        <v>2.7584838261559844E-2</v>
      </c>
      <c r="P19" s="74" t="str">
        <f>+P12</f>
        <v>Energy - Over 600</v>
      </c>
      <c r="Q19" s="100">
        <f>+'Res Bill RY#1'!S19</f>
        <v>0.109528</v>
      </c>
      <c r="R19" s="100"/>
      <c r="S19" s="100">
        <f t="shared" si="7"/>
        <v>0.109528</v>
      </c>
      <c r="U19" s="96">
        <f t="shared" si="4"/>
        <v>0</v>
      </c>
    </row>
    <row r="20" spans="2:21" x14ac:dyDescent="0.25">
      <c r="B20" s="80">
        <v>900</v>
      </c>
      <c r="D20" s="81">
        <v>6.7448374347481174E-2</v>
      </c>
      <c r="E20" s="81">
        <v>6.7289050318063343E-2</v>
      </c>
      <c r="F20" s="81">
        <v>6.7607839752653318E-2</v>
      </c>
      <c r="H20" s="82">
        <f t="shared" si="5"/>
        <v>113.82</v>
      </c>
      <c r="J20" s="82">
        <f t="shared" si="6"/>
        <v>116.94</v>
      </c>
      <c r="L20" s="82">
        <f t="shared" si="2"/>
        <v>3.1200000000000045</v>
      </c>
      <c r="N20" s="97">
        <f t="shared" si="3"/>
        <v>2.7411702688455497E-2</v>
      </c>
      <c r="S20" s="214"/>
    </row>
    <row r="21" spans="2:21" x14ac:dyDescent="0.25">
      <c r="B21" s="80">
        <v>1000</v>
      </c>
      <c r="D21" s="81">
        <v>5.7105680794151147E-2</v>
      </c>
      <c r="E21" s="81">
        <v>5.9308894820428275E-2</v>
      </c>
      <c r="F21" s="81">
        <v>5.4900511751759778E-2</v>
      </c>
      <c r="H21" s="82">
        <f t="shared" si="5"/>
        <v>126.85</v>
      </c>
      <c r="J21" s="82">
        <f t="shared" si="6"/>
        <v>130.32</v>
      </c>
      <c r="L21" s="82">
        <f t="shared" si="2"/>
        <v>3.4699999999999989</v>
      </c>
      <c r="N21" s="97">
        <f t="shared" si="3"/>
        <v>2.7355143870713434E-2</v>
      </c>
    </row>
    <row r="22" spans="2:21" x14ac:dyDescent="0.25">
      <c r="B22" s="80">
        <v>1100</v>
      </c>
      <c r="D22" s="81">
        <v>4.7810902649562448E-2</v>
      </c>
      <c r="E22" s="81">
        <v>5.1692208585388089E-2</v>
      </c>
      <c r="F22" s="81">
        <v>4.3926152647223826E-2</v>
      </c>
      <c r="H22" s="82">
        <f t="shared" si="5"/>
        <v>139.88</v>
      </c>
      <c r="J22" s="82">
        <f t="shared" si="6"/>
        <v>143.69999999999999</v>
      </c>
      <c r="L22" s="82">
        <f t="shared" si="2"/>
        <v>3.8199999999999932</v>
      </c>
      <c r="N22" s="97">
        <f t="shared" si="3"/>
        <v>2.730912210466109E-2</v>
      </c>
    </row>
    <row r="23" spans="2:21" x14ac:dyDescent="0.25">
      <c r="B23" s="80">
        <v>1200</v>
      </c>
      <c r="D23" s="81">
        <v>3.9855515174197303E-2</v>
      </c>
      <c r="E23" s="81">
        <v>4.5103951733564511E-2</v>
      </c>
      <c r="F23" s="81">
        <v>3.4602421428589561E-2</v>
      </c>
      <c r="H23" s="82">
        <f t="shared" si="5"/>
        <v>152.91</v>
      </c>
      <c r="J23" s="82">
        <f t="shared" si="6"/>
        <v>157.08000000000001</v>
      </c>
      <c r="L23" s="82">
        <f t="shared" si="2"/>
        <v>4.1700000000000159</v>
      </c>
      <c r="N23" s="97">
        <f t="shared" si="3"/>
        <v>2.7270943692368165E-2</v>
      </c>
      <c r="P23" s="101" t="s">
        <v>128</v>
      </c>
      <c r="Q23" s="100">
        <f>+'Res Bill RY#1'!S23</f>
        <v>0</v>
      </c>
      <c r="S23" s="100">
        <f t="shared" ref="S23:S29" si="8">+Q23</f>
        <v>0</v>
      </c>
    </row>
    <row r="24" spans="2:21" x14ac:dyDescent="0.25">
      <c r="B24" s="80">
        <v>1300</v>
      </c>
      <c r="D24" s="81">
        <v>3.3341169968691783E-2</v>
      </c>
      <c r="E24" s="81">
        <v>3.9494985376425283E-2</v>
      </c>
      <c r="F24" s="81">
        <v>2.7181893989201428E-2</v>
      </c>
      <c r="H24" s="82">
        <f t="shared" si="5"/>
        <v>165.95</v>
      </c>
      <c r="J24" s="82">
        <f t="shared" si="6"/>
        <v>170.46</v>
      </c>
      <c r="L24" s="82">
        <f t="shared" si="2"/>
        <v>4.5100000000000193</v>
      </c>
      <c r="N24" s="97">
        <f t="shared" si="3"/>
        <v>2.7176860500150765E-2</v>
      </c>
      <c r="P24" s="101" t="s">
        <v>34</v>
      </c>
      <c r="Q24" s="100">
        <f>+'Res Bill RY#1'!S24</f>
        <v>0</v>
      </c>
      <c r="S24" s="100">
        <f t="shared" si="8"/>
        <v>0</v>
      </c>
    </row>
    <row r="25" spans="2:21" x14ac:dyDescent="0.25">
      <c r="B25" s="80">
        <v>1400</v>
      </c>
      <c r="D25" s="81">
        <v>2.7930957788816026E-2</v>
      </c>
      <c r="E25" s="81">
        <v>3.4446043836009896E-2</v>
      </c>
      <c r="F25" s="81">
        <v>2.1410090597322948E-2</v>
      </c>
      <c r="H25" s="82">
        <f t="shared" si="5"/>
        <v>178.98</v>
      </c>
      <c r="J25" s="82">
        <f t="shared" si="6"/>
        <v>183.83</v>
      </c>
      <c r="L25" s="82">
        <f t="shared" si="2"/>
        <v>4.8500000000000227</v>
      </c>
      <c r="N25" s="97">
        <f t="shared" si="3"/>
        <v>2.7097999776511471E-2</v>
      </c>
      <c r="P25" s="101" t="s">
        <v>33</v>
      </c>
      <c r="Q25" s="100">
        <f>+'Res Bill RY#1'!S25</f>
        <v>-1.3910000000000001E-3</v>
      </c>
      <c r="S25" s="100">
        <f t="shared" si="8"/>
        <v>-1.3910000000000001E-3</v>
      </c>
    </row>
    <row r="26" spans="2:21" x14ac:dyDescent="0.25">
      <c r="B26" s="80">
        <v>1600</v>
      </c>
      <c r="C26" s="74" t="s">
        <v>6</v>
      </c>
      <c r="D26" s="81">
        <v>4.2917670529083893E-2</v>
      </c>
      <c r="E26" s="81">
        <v>5.5946685257017785E-2</v>
      </c>
      <c r="F26" s="81">
        <v>2.9877094539537647E-2</v>
      </c>
      <c r="H26" s="82">
        <f t="shared" si="5"/>
        <v>205.05</v>
      </c>
      <c r="J26" s="82">
        <f t="shared" si="6"/>
        <v>210.59</v>
      </c>
      <c r="L26" s="82">
        <f t="shared" si="2"/>
        <v>5.539999999999992</v>
      </c>
      <c r="N26" s="97">
        <f t="shared" si="3"/>
        <v>2.7017800536454483E-2</v>
      </c>
      <c r="P26" s="101" t="s">
        <v>32</v>
      </c>
      <c r="Q26" s="100">
        <f>+'Res Bill RY#1'!S26</f>
        <v>3.8249999999999998E-3</v>
      </c>
      <c r="S26" s="100">
        <f t="shared" si="8"/>
        <v>3.8249999999999998E-3</v>
      </c>
    </row>
    <row r="27" spans="2:21" x14ac:dyDescent="0.25">
      <c r="B27" s="80">
        <v>2000</v>
      </c>
      <c r="D27" s="81">
        <v>5.238284593558127E-2</v>
      </c>
      <c r="E27" s="81">
        <v>7.5129397752197027E-2</v>
      </c>
      <c r="F27" s="81">
        <v>2.9616110026628353E-2</v>
      </c>
      <c r="H27" s="82">
        <f t="shared" si="5"/>
        <v>257.18</v>
      </c>
      <c r="J27" s="82">
        <f t="shared" si="6"/>
        <v>264.11</v>
      </c>
      <c r="L27" s="82">
        <f t="shared" si="2"/>
        <v>6.9300000000000068</v>
      </c>
      <c r="N27" s="97">
        <f t="shared" si="3"/>
        <v>2.6946107784431163E-2</v>
      </c>
      <c r="P27" s="101" t="s">
        <v>21</v>
      </c>
      <c r="Q27" s="100">
        <f>+'Res Bill RY#1'!S27</f>
        <v>1.3519999999999999E-3</v>
      </c>
      <c r="R27" s="74" t="s">
        <v>6</v>
      </c>
      <c r="S27" s="100">
        <f t="shared" si="8"/>
        <v>1.3519999999999999E-3</v>
      </c>
    </row>
    <row r="28" spans="2:21" x14ac:dyDescent="0.25">
      <c r="B28" s="80">
        <v>2500</v>
      </c>
      <c r="D28" s="81">
        <v>3.2286911246338222E-2</v>
      </c>
      <c r="E28" s="81">
        <v>5.0830375885550137E-2</v>
      </c>
      <c r="F28" s="81">
        <v>1.3726992113032155E-2</v>
      </c>
      <c r="H28" s="82">
        <f t="shared" si="5"/>
        <v>322.33999999999997</v>
      </c>
      <c r="J28" s="82">
        <f t="shared" si="6"/>
        <v>331.01</v>
      </c>
      <c r="L28" s="82">
        <f t="shared" si="2"/>
        <v>8.6700000000000159</v>
      </c>
      <c r="N28" s="97">
        <f t="shared" si="3"/>
        <v>2.6897065210647195E-2</v>
      </c>
      <c r="P28" s="74" t="s">
        <v>30</v>
      </c>
      <c r="Q28" s="100">
        <f>+'Res Bill RY#1'!S28</f>
        <v>-2.0999999999999999E-5</v>
      </c>
      <c r="S28" s="100">
        <f t="shared" si="8"/>
        <v>-2.0999999999999999E-5</v>
      </c>
    </row>
    <row r="29" spans="2:21" x14ac:dyDescent="0.25">
      <c r="B29" s="80">
        <v>3000</v>
      </c>
      <c r="D29" s="81">
        <v>1.5207222179713211E-2</v>
      </c>
      <c r="E29" s="81">
        <v>2.5348850443256552E-2</v>
      </c>
      <c r="F29" s="81">
        <v>5.0565947692674789E-3</v>
      </c>
      <c r="H29" s="82">
        <f t="shared" si="5"/>
        <v>387.51</v>
      </c>
      <c r="J29" s="82">
        <f t="shared" si="6"/>
        <v>397.91</v>
      </c>
      <c r="L29" s="82">
        <f t="shared" si="2"/>
        <v>10.400000000000034</v>
      </c>
      <c r="N29" s="97">
        <f t="shared" si="3"/>
        <v>2.6838017083430192E-2</v>
      </c>
      <c r="P29" s="101" t="s">
        <v>22</v>
      </c>
      <c r="Q29" s="100">
        <f>+'Res Bill RY#1'!S29</f>
        <v>3.0720000000000001E-3</v>
      </c>
      <c r="S29" s="100">
        <f t="shared" si="8"/>
        <v>3.0720000000000001E-3</v>
      </c>
    </row>
    <row r="30" spans="2:21" x14ac:dyDescent="0.25">
      <c r="B30" s="80">
        <v>4000</v>
      </c>
      <c r="D30" s="81">
        <v>1.1190080960504547E-2</v>
      </c>
      <c r="E30" s="81">
        <v>1.9212829878473187E-2</v>
      </c>
      <c r="F30" s="81">
        <v>3.1602130775928374E-3</v>
      </c>
      <c r="H30" s="82">
        <f t="shared" si="5"/>
        <v>517.84</v>
      </c>
      <c r="J30" s="82">
        <f t="shared" si="6"/>
        <v>531.71</v>
      </c>
      <c r="L30" s="82">
        <f t="shared" si="2"/>
        <v>13.870000000000005</v>
      </c>
      <c r="N30" s="97">
        <f t="shared" si="3"/>
        <v>2.6784334929708026E-2</v>
      </c>
      <c r="P30" s="74" t="s">
        <v>142</v>
      </c>
      <c r="Q30" s="100">
        <f>+'Res Bill RY#1'!S30</f>
        <v>2.892E-3</v>
      </c>
      <c r="S30" s="100">
        <v>3.0840718613430909E-3</v>
      </c>
    </row>
    <row r="31" spans="2:21" x14ac:dyDescent="0.25">
      <c r="B31" s="80">
        <v>5000</v>
      </c>
      <c r="D31" s="81">
        <v>3.0145805027948242E-3</v>
      </c>
      <c r="E31" s="81">
        <v>5.1053720059556331E-3</v>
      </c>
      <c r="F31" s="81">
        <v>9.2193374134705449E-4</v>
      </c>
      <c r="H31" s="82">
        <f t="shared" si="5"/>
        <v>648.16999999999996</v>
      </c>
      <c r="J31" s="82">
        <f t="shared" si="6"/>
        <v>665.51</v>
      </c>
      <c r="L31" s="82">
        <f t="shared" si="2"/>
        <v>17.340000000000032</v>
      </c>
      <c r="N31" s="97">
        <f t="shared" si="3"/>
        <v>2.6752240924448882E-2</v>
      </c>
      <c r="P31" s="74" t="s">
        <v>143</v>
      </c>
      <c r="Q31" s="100">
        <f>+'Res Bill RY#1'!S31</f>
        <v>1.3376000000000001E-2</v>
      </c>
      <c r="S31" s="100">
        <v>1.0187999999999999E-2</v>
      </c>
    </row>
    <row r="32" spans="2:21" x14ac:dyDescent="0.25">
      <c r="B32" s="80" t="s">
        <v>28</v>
      </c>
      <c r="D32" s="81">
        <v>2.4318678560908301E-3</v>
      </c>
      <c r="E32" s="81">
        <v>3.4799843833441995E-3</v>
      </c>
      <c r="F32" s="81">
        <v>1.3828212854209133E-3</v>
      </c>
      <c r="H32" s="82"/>
      <c r="J32" s="82"/>
      <c r="L32" s="82"/>
      <c r="N32" s="97"/>
      <c r="P32" s="101" t="s">
        <v>144</v>
      </c>
      <c r="Q32" s="100">
        <f>+'Res Bill RY#1'!S32</f>
        <v>5.6880000000000003E-3</v>
      </c>
      <c r="S32" s="100">
        <v>1.2151E-2</v>
      </c>
    </row>
    <row r="33" spans="1:19" x14ac:dyDescent="0.25">
      <c r="B33" s="102"/>
      <c r="C33" s="103"/>
      <c r="D33" s="104"/>
      <c r="E33" s="104"/>
      <c r="F33" s="104"/>
      <c r="G33" s="103"/>
      <c r="H33" s="104"/>
      <c r="I33" s="103"/>
      <c r="J33" s="104"/>
      <c r="K33" s="103"/>
      <c r="L33" s="103"/>
      <c r="M33" s="103"/>
      <c r="N33" s="105"/>
      <c r="P33" s="101" t="s">
        <v>145</v>
      </c>
      <c r="Q33" s="100">
        <f>+'Res Bill RY#1'!S33</f>
        <v>0</v>
      </c>
      <c r="S33" s="100">
        <f t="shared" ref="S33:S37" si="9">+Q33</f>
        <v>0</v>
      </c>
    </row>
    <row r="34" spans="1:19" x14ac:dyDescent="0.25">
      <c r="B34" s="85"/>
      <c r="P34" s="101" t="s">
        <v>146</v>
      </c>
      <c r="Q34" s="100">
        <f>+'Res Bill RY#1'!S34</f>
        <v>-8.8400000000000002E-4</v>
      </c>
      <c r="S34" s="100">
        <f t="shared" si="9"/>
        <v>-8.8400000000000002E-4</v>
      </c>
    </row>
    <row r="35" spans="1:19" x14ac:dyDescent="0.25">
      <c r="A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P35" s="101" t="s">
        <v>24</v>
      </c>
      <c r="Q35" s="100">
        <f>+'Res Bill RY#1'!S35</f>
        <v>-4.17E-4</v>
      </c>
      <c r="S35" s="100">
        <f t="shared" si="9"/>
        <v>-4.17E-4</v>
      </c>
    </row>
    <row r="36" spans="1:19" x14ac:dyDescent="0.25">
      <c r="A36" s="87" t="s">
        <v>26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P36" s="101" t="s">
        <v>129</v>
      </c>
      <c r="Q36" s="100">
        <f>+'Res Bill RY#1'!S36</f>
        <v>0</v>
      </c>
      <c r="S36" s="100">
        <f t="shared" si="9"/>
        <v>0</v>
      </c>
    </row>
    <row r="37" spans="1:19" ht="15.75" x14ac:dyDescent="0.25">
      <c r="A37" s="88" t="s">
        <v>283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P37" s="101" t="s">
        <v>29</v>
      </c>
      <c r="Q37" s="100">
        <f>+'Res Bill RY#1'!S37</f>
        <v>-6.689136E-3</v>
      </c>
      <c r="S37" s="100">
        <f t="shared" si="9"/>
        <v>-6.689136E-3</v>
      </c>
    </row>
    <row r="38" spans="1:19" x14ac:dyDescent="0.25">
      <c r="A38" s="89" t="s">
        <v>205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9" x14ac:dyDescent="0.25">
      <c r="A39" s="88" t="s">
        <v>209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P39" s="106" t="s">
        <v>125</v>
      </c>
      <c r="Q39" s="107">
        <f>+'Rate Impacts_RY#1'!H9</f>
        <v>-4.9511365454001175E-3</v>
      </c>
    </row>
    <row r="40" spans="1:19" x14ac:dyDescent="0.25">
      <c r="P40" s="106"/>
      <c r="Q40" s="107"/>
    </row>
  </sheetData>
  <mergeCells count="6">
    <mergeCell ref="L7:N7"/>
    <mergeCell ref="A1:N1"/>
    <mergeCell ref="A2:N2"/>
    <mergeCell ref="A3:N3"/>
    <mergeCell ref="A4:N4"/>
    <mergeCell ref="H6:N6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Roman,Regular"&amp;A&amp;R&amp;"Times New Roman,Regular"Exhibit No.___(BDJ-7)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Normal="10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3.28515625" style="74" customWidth="1"/>
    <col min="2" max="2" width="6.140625" style="74" bestFit="1" customWidth="1"/>
    <col min="3" max="3" width="2" style="74" bestFit="1" customWidth="1"/>
    <col min="4" max="4" width="7" style="74" bestFit="1" customWidth="1"/>
    <col min="5" max="5" width="16.28515625" style="74" bestFit="1" customWidth="1"/>
    <col min="6" max="6" width="17.42578125" style="74" bestFit="1" customWidth="1"/>
    <col min="7" max="7" width="1.28515625" style="74" customWidth="1"/>
    <col min="8" max="8" width="8.28515625" style="74" bestFit="1" customWidth="1"/>
    <col min="9" max="9" width="1.28515625" style="74" bestFit="1" customWidth="1"/>
    <col min="10" max="10" width="11.28515625" style="74" bestFit="1" customWidth="1"/>
    <col min="11" max="11" width="1.42578125" style="74" bestFit="1" customWidth="1"/>
    <col min="12" max="12" width="8" style="74" bestFit="1" customWidth="1"/>
    <col min="13" max="13" width="2" style="74" customWidth="1"/>
    <col min="14" max="14" width="7.140625" style="74" bestFit="1" customWidth="1"/>
    <col min="15" max="15" width="9.42578125" style="74"/>
    <col min="16" max="16" width="36" style="74" bestFit="1" customWidth="1"/>
    <col min="17" max="17" width="14.28515625" style="74" bestFit="1" customWidth="1"/>
    <col min="18" max="18" width="1.5703125" style="74" bestFit="1" customWidth="1"/>
    <col min="19" max="19" width="15.7109375" style="74" bestFit="1" customWidth="1"/>
    <col min="20" max="20" width="1.5703125" style="74" bestFit="1" customWidth="1"/>
    <col min="21" max="21" width="6.140625" style="74" bestFit="1" customWidth="1"/>
    <col min="22" max="22" width="5.140625" style="74" customWidth="1"/>
    <col min="23" max="16384" width="9.42578125" style="74"/>
  </cols>
  <sheetData>
    <row r="1" spans="1:22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22" x14ac:dyDescent="0.25">
      <c r="A2" s="175" t="s">
        <v>191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22" x14ac:dyDescent="0.25">
      <c r="A3" s="176" t="s">
        <v>192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V3" s="90"/>
    </row>
    <row r="4" spans="1:22" x14ac:dyDescent="0.25">
      <c r="A4" s="176" t="s">
        <v>195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V4" s="90"/>
    </row>
    <row r="6" spans="1:22" x14ac:dyDescent="0.25">
      <c r="H6" s="177" t="s">
        <v>206</v>
      </c>
      <c r="I6" s="174"/>
      <c r="J6" s="174"/>
      <c r="K6" s="174"/>
      <c r="L6" s="174"/>
      <c r="M6" s="174"/>
      <c r="N6" s="174"/>
      <c r="O6" s="90"/>
    </row>
    <row r="7" spans="1:22" ht="15.75" thickBot="1" x14ac:dyDescent="0.3">
      <c r="D7" s="91" t="s">
        <v>138</v>
      </c>
      <c r="E7" s="91"/>
      <c r="F7" s="91"/>
      <c r="H7" s="92" t="s">
        <v>6</v>
      </c>
      <c r="I7" s="93"/>
      <c r="J7" s="93" t="s">
        <v>6</v>
      </c>
      <c r="L7" s="174" t="s">
        <v>42</v>
      </c>
      <c r="M7" s="174"/>
      <c r="N7" s="174"/>
      <c r="O7" s="93"/>
    </row>
    <row r="8" spans="1:22" ht="17.25" x14ac:dyDescent="0.25">
      <c r="B8" s="149" t="s">
        <v>41</v>
      </c>
      <c r="D8" s="79" t="s">
        <v>139</v>
      </c>
      <c r="E8" s="93" t="s">
        <v>141</v>
      </c>
      <c r="F8" s="93" t="s">
        <v>140</v>
      </c>
      <c r="H8" s="79" t="s">
        <v>207</v>
      </c>
      <c r="I8" s="79"/>
      <c r="J8" s="79" t="s">
        <v>210</v>
      </c>
      <c r="K8" s="94" t="s">
        <v>6</v>
      </c>
      <c r="L8" s="149" t="s">
        <v>40</v>
      </c>
      <c r="N8" s="95" t="s">
        <v>11</v>
      </c>
      <c r="P8" s="202"/>
      <c r="Q8" s="203" t="s">
        <v>39</v>
      </c>
      <c r="R8" s="204"/>
      <c r="S8" s="205" t="s">
        <v>38</v>
      </c>
      <c r="U8" s="96"/>
    </row>
    <row r="9" spans="1:22" x14ac:dyDescent="0.25">
      <c r="B9" s="80">
        <v>0</v>
      </c>
      <c r="D9" s="81">
        <v>7.5359358627560668E-3</v>
      </c>
      <c r="E9" s="81">
        <v>5.9446959245949491E-3</v>
      </c>
      <c r="F9" s="81">
        <v>9.1285877834498055E-3</v>
      </c>
      <c r="H9" s="82">
        <f t="shared" ref="H9:H17" si="0">ROUND((($B9*Q$11+$Q$9)),2)</f>
        <v>8.24</v>
      </c>
      <c r="J9" s="82">
        <f t="shared" ref="J9:J17" si="1">ROUND((($B9*S$11+$S$9)),2)</f>
        <v>8.24</v>
      </c>
      <c r="L9" s="82">
        <f t="shared" ref="L9:L31" si="2">J9-H9</f>
        <v>0</v>
      </c>
      <c r="N9" s="97">
        <f t="shared" ref="N9:N31" si="3">(J9-H9)/H9</f>
        <v>0</v>
      </c>
      <c r="P9" s="206" t="s">
        <v>37</v>
      </c>
      <c r="Q9" s="134">
        <f>SUM(Q17)</f>
        <v>8.24</v>
      </c>
      <c r="R9" s="99"/>
      <c r="S9" s="207">
        <f>SUM(S17)</f>
        <v>8.24</v>
      </c>
      <c r="T9" s="98"/>
      <c r="U9" s="96">
        <f>(S9-Q9)/Q9</f>
        <v>0</v>
      </c>
    </row>
    <row r="10" spans="1:22" x14ac:dyDescent="0.25">
      <c r="B10" s="80">
        <v>50</v>
      </c>
      <c r="D10" s="81">
        <v>7.8933022933853902E-3</v>
      </c>
      <c r="E10" s="81">
        <v>6.4115153656511877E-3</v>
      </c>
      <c r="F10" s="81">
        <v>9.3764040808141328E-3</v>
      </c>
      <c r="H10" s="82">
        <f t="shared" si="0"/>
        <v>13.95</v>
      </c>
      <c r="J10" s="82">
        <f t="shared" si="1"/>
        <v>14.03</v>
      </c>
      <c r="L10" s="82">
        <f t="shared" si="2"/>
        <v>8.0000000000000071E-2</v>
      </c>
      <c r="N10" s="97">
        <f t="shared" si="3"/>
        <v>5.7347670250896109E-3</v>
      </c>
      <c r="P10" s="206"/>
      <c r="Q10" s="208"/>
      <c r="R10" s="99"/>
      <c r="S10" s="209"/>
      <c r="U10" s="96"/>
    </row>
    <row r="11" spans="1:22" x14ac:dyDescent="0.25">
      <c r="B11" s="80">
        <v>100</v>
      </c>
      <c r="D11" s="81">
        <v>1.2025178197555365E-2</v>
      </c>
      <c r="E11" s="81">
        <v>8.7286517287615776E-3</v>
      </c>
      <c r="F11" s="81">
        <v>1.5324629830355306E-2</v>
      </c>
      <c r="H11" s="82">
        <f t="shared" si="0"/>
        <v>19.670000000000002</v>
      </c>
      <c r="J11" s="82">
        <f t="shared" si="1"/>
        <v>19.829999999999998</v>
      </c>
      <c r="L11" s="82">
        <f t="shared" si="2"/>
        <v>0.15999999999999659</v>
      </c>
      <c r="N11" s="97">
        <f t="shared" si="3"/>
        <v>8.1342145399083167E-3</v>
      </c>
      <c r="P11" s="206" t="s">
        <v>36</v>
      </c>
      <c r="Q11" s="208">
        <f>SUM(Q18,Q23:Q37)</f>
        <v>0.1142609358613431</v>
      </c>
      <c r="R11" s="99"/>
      <c r="S11" s="209">
        <f>SUM(S18,S23:S37)</f>
        <v>0.11589321189079545</v>
      </c>
      <c r="U11" s="96">
        <f>(S11-Q11)/Q11</f>
        <v>1.4285512517008702E-2</v>
      </c>
    </row>
    <row r="12" spans="1:22" x14ac:dyDescent="0.25">
      <c r="B12" s="80">
        <v>150</v>
      </c>
      <c r="D12" s="81">
        <v>1.4632121509343898E-2</v>
      </c>
      <c r="E12" s="81">
        <v>9.8047933876175396E-3</v>
      </c>
      <c r="F12" s="81">
        <v>1.9463733147857168E-2</v>
      </c>
      <c r="H12" s="82">
        <f t="shared" si="0"/>
        <v>25.38</v>
      </c>
      <c r="J12" s="82">
        <f t="shared" si="1"/>
        <v>25.62</v>
      </c>
      <c r="L12" s="82">
        <f t="shared" si="2"/>
        <v>0.24000000000000199</v>
      </c>
      <c r="N12" s="97">
        <f t="shared" si="3"/>
        <v>9.4562647754137912E-3</v>
      </c>
      <c r="P12" s="206" t="s">
        <v>35</v>
      </c>
      <c r="Q12" s="208">
        <f>SUM(Q19,Q23:Q37)</f>
        <v>0.13379793586134309</v>
      </c>
      <c r="R12" s="99"/>
      <c r="S12" s="209">
        <f>SUM(S19,S23:S37)</f>
        <v>0.13543021189079543</v>
      </c>
      <c r="U12" s="96">
        <f>(S12-Q12)/Q12</f>
        <v>1.2199560620605529E-2</v>
      </c>
    </row>
    <row r="13" spans="1:22" ht="15.75" thickBot="1" x14ac:dyDescent="0.3">
      <c r="B13" s="80">
        <v>200</v>
      </c>
      <c r="D13" s="81">
        <v>1.9470008218555698E-2</v>
      </c>
      <c r="E13" s="81">
        <v>1.2564655285149008E-2</v>
      </c>
      <c r="F13" s="81">
        <v>2.6381488598546481E-2</v>
      </c>
      <c r="H13" s="82">
        <f t="shared" si="0"/>
        <v>31.09</v>
      </c>
      <c r="J13" s="82">
        <f t="shared" si="1"/>
        <v>31.42</v>
      </c>
      <c r="L13" s="82">
        <f t="shared" si="2"/>
        <v>0.33000000000000185</v>
      </c>
      <c r="N13" s="97">
        <f t="shared" si="3"/>
        <v>1.0614345448697389E-2</v>
      </c>
      <c r="P13" s="210"/>
      <c r="Q13" s="211"/>
      <c r="R13" s="212"/>
      <c r="S13" s="213"/>
      <c r="U13" s="96"/>
    </row>
    <row r="14" spans="1:22" x14ac:dyDescent="0.25">
      <c r="B14" s="80">
        <v>300</v>
      </c>
      <c r="D14" s="81">
        <v>5.9231245894191153E-2</v>
      </c>
      <c r="E14" s="81">
        <v>3.9079523999512415E-2</v>
      </c>
      <c r="F14" s="81">
        <v>7.9400849365767967E-2</v>
      </c>
      <c r="H14" s="82">
        <f t="shared" si="0"/>
        <v>42.52</v>
      </c>
      <c r="J14" s="82">
        <f t="shared" si="1"/>
        <v>43.01</v>
      </c>
      <c r="L14" s="82">
        <f t="shared" si="2"/>
        <v>0.48999999999999488</v>
      </c>
      <c r="N14" s="97">
        <f t="shared" si="3"/>
        <v>1.1523988711194611E-2</v>
      </c>
      <c r="T14" s="99"/>
      <c r="U14" s="96"/>
    </row>
    <row r="15" spans="1:22" x14ac:dyDescent="0.25">
      <c r="B15" s="80">
        <v>400</v>
      </c>
      <c r="D15" s="81">
        <v>8.3788115881238898E-2</v>
      </c>
      <c r="E15" s="81">
        <v>6.2044821323868231E-2</v>
      </c>
      <c r="F15" s="81">
        <v>0.10555070429328249</v>
      </c>
      <c r="H15" s="82">
        <f t="shared" si="0"/>
        <v>53.94</v>
      </c>
      <c r="J15" s="82">
        <f t="shared" si="1"/>
        <v>54.6</v>
      </c>
      <c r="L15" s="82">
        <f t="shared" si="2"/>
        <v>0.66000000000000369</v>
      </c>
      <c r="N15" s="97">
        <f t="shared" si="3"/>
        <v>1.2235817575083494E-2</v>
      </c>
    </row>
    <row r="16" spans="1:22" x14ac:dyDescent="0.25">
      <c r="B16" s="80">
        <v>500</v>
      </c>
      <c r="D16" s="81">
        <v>9.6756306938673237E-2</v>
      </c>
      <c r="E16" s="81">
        <v>7.9512269584185141E-2</v>
      </c>
      <c r="F16" s="81">
        <v>0.11401564574390581</v>
      </c>
      <c r="H16" s="82">
        <f t="shared" si="0"/>
        <v>65.37</v>
      </c>
      <c r="J16" s="82">
        <f t="shared" si="1"/>
        <v>66.19</v>
      </c>
      <c r="L16" s="82">
        <f t="shared" si="2"/>
        <v>0.81999999999999318</v>
      </c>
      <c r="N16" s="97">
        <f t="shared" si="3"/>
        <v>1.254398041915241E-2</v>
      </c>
      <c r="U16" s="74" t="s">
        <v>6</v>
      </c>
    </row>
    <row r="17" spans="2:21" x14ac:dyDescent="0.25">
      <c r="B17" s="80">
        <v>600</v>
      </c>
      <c r="D17" s="81">
        <v>9.7298660252519389E-2</v>
      </c>
      <c r="E17" s="81">
        <v>8.5504202246788494E-2</v>
      </c>
      <c r="F17" s="81">
        <v>0.1091035840392343</v>
      </c>
      <c r="H17" s="82">
        <f t="shared" si="0"/>
        <v>76.8</v>
      </c>
      <c r="J17" s="82">
        <f t="shared" si="1"/>
        <v>77.78</v>
      </c>
      <c r="L17" s="82">
        <f t="shared" si="2"/>
        <v>0.98000000000000398</v>
      </c>
      <c r="N17" s="97">
        <f t="shared" si="3"/>
        <v>1.2760416666666718E-2</v>
      </c>
      <c r="P17" s="74" t="str">
        <f>+P9</f>
        <v>Basic 1 Phase</v>
      </c>
      <c r="Q17" s="133">
        <f>+'Res Bill RY#2'!S17</f>
        <v>8.24</v>
      </c>
      <c r="R17" s="133"/>
      <c r="S17" s="133">
        <f>+Q17</f>
        <v>8.24</v>
      </c>
      <c r="U17" s="96">
        <f t="shared" ref="U17:U19" si="4">(S17-Q17)/Q17</f>
        <v>0</v>
      </c>
    </row>
    <row r="18" spans="2:21" x14ac:dyDescent="0.25">
      <c r="B18" s="80">
        <v>700</v>
      </c>
      <c r="D18" s="81">
        <v>8.9579402626369709E-2</v>
      </c>
      <c r="E18" s="81">
        <v>8.2524800476298496E-2</v>
      </c>
      <c r="F18" s="81">
        <v>9.6640264658921005E-2</v>
      </c>
      <c r="H18" s="82">
        <f t="shared" ref="H18:H31" si="5">ROUND((((600*Q$11)+(($B18-600)*Q$12)+$Q$9)),2)</f>
        <v>90.18</v>
      </c>
      <c r="J18" s="82">
        <f t="shared" ref="J18:J31" si="6">ROUND((((600*S$11)+(($B18-600)*S$12)+$S$9)),2)</f>
        <v>91.32</v>
      </c>
      <c r="L18" s="82">
        <f t="shared" si="2"/>
        <v>1.1399999999999864</v>
      </c>
      <c r="N18" s="97">
        <f t="shared" si="3"/>
        <v>1.2641383898868777E-2</v>
      </c>
      <c r="P18" s="74" t="str">
        <f>+P11</f>
        <v>Energy - First 600</v>
      </c>
      <c r="Q18" s="100">
        <f>+'Res Bill RY#2'!S18</f>
        <v>8.9991000000000002E-2</v>
      </c>
      <c r="R18" s="100"/>
      <c r="S18" s="100">
        <f>+Q18</f>
        <v>8.9991000000000002E-2</v>
      </c>
      <c r="T18" s="74" t="s">
        <v>6</v>
      </c>
      <c r="U18" s="96">
        <f t="shared" si="4"/>
        <v>0</v>
      </c>
    </row>
    <row r="19" spans="2:21" x14ac:dyDescent="0.25">
      <c r="B19" s="80">
        <v>800</v>
      </c>
      <c r="C19" s="74" t="s">
        <v>31</v>
      </c>
      <c r="D19" s="81">
        <v>7.886594239240452E-2</v>
      </c>
      <c r="E19" s="81">
        <v>7.5491440401899049E-2</v>
      </c>
      <c r="F19" s="81">
        <v>8.2243438738288224E-2</v>
      </c>
      <c r="H19" s="82">
        <f t="shared" si="5"/>
        <v>103.56</v>
      </c>
      <c r="J19" s="82">
        <f t="shared" si="6"/>
        <v>104.86</v>
      </c>
      <c r="L19" s="82">
        <f t="shared" si="2"/>
        <v>1.2999999999999972</v>
      </c>
      <c r="N19" s="97">
        <f t="shared" si="3"/>
        <v>1.2553109308613336E-2</v>
      </c>
      <c r="P19" s="74" t="str">
        <f>+P12</f>
        <v>Energy - Over 600</v>
      </c>
      <c r="Q19" s="100">
        <f>+'Res Bill RY#2'!S19</f>
        <v>0.109528</v>
      </c>
      <c r="R19" s="100"/>
      <c r="S19" s="100">
        <f>+Q19</f>
        <v>0.109528</v>
      </c>
      <c r="U19" s="96">
        <f t="shared" si="4"/>
        <v>0</v>
      </c>
    </row>
    <row r="20" spans="2:21" x14ac:dyDescent="0.25">
      <c r="B20" s="80">
        <v>900</v>
      </c>
      <c r="D20" s="81">
        <v>6.7448374347481174E-2</v>
      </c>
      <c r="E20" s="81">
        <v>6.7289050318063343E-2</v>
      </c>
      <c r="F20" s="81">
        <v>6.7607839752653318E-2</v>
      </c>
      <c r="H20" s="82">
        <f t="shared" si="5"/>
        <v>116.94</v>
      </c>
      <c r="J20" s="82">
        <f t="shared" si="6"/>
        <v>118.4</v>
      </c>
      <c r="L20" s="82">
        <f t="shared" si="2"/>
        <v>1.460000000000008</v>
      </c>
      <c r="N20" s="97">
        <f t="shared" si="3"/>
        <v>1.2485035060714965E-2</v>
      </c>
      <c r="S20" s="214"/>
    </row>
    <row r="21" spans="2:21" x14ac:dyDescent="0.25">
      <c r="B21" s="80">
        <v>1000</v>
      </c>
      <c r="D21" s="81">
        <v>5.7105680794151147E-2</v>
      </c>
      <c r="E21" s="81">
        <v>5.9308894820428275E-2</v>
      </c>
      <c r="F21" s="81">
        <v>5.4900511751759778E-2</v>
      </c>
      <c r="H21" s="82">
        <f t="shared" si="5"/>
        <v>130.32</v>
      </c>
      <c r="J21" s="82">
        <f t="shared" si="6"/>
        <v>131.94999999999999</v>
      </c>
      <c r="L21" s="82">
        <f t="shared" si="2"/>
        <v>1.6299999999999955</v>
      </c>
      <c r="N21" s="97">
        <f t="shared" si="3"/>
        <v>1.2507673419275596E-2</v>
      </c>
    </row>
    <row r="22" spans="2:21" x14ac:dyDescent="0.25">
      <c r="B22" s="80">
        <v>1100</v>
      </c>
      <c r="D22" s="81">
        <v>4.7810902649562448E-2</v>
      </c>
      <c r="E22" s="81">
        <v>5.1692208585388089E-2</v>
      </c>
      <c r="F22" s="81">
        <v>4.3926152647223826E-2</v>
      </c>
      <c r="H22" s="82">
        <f t="shared" si="5"/>
        <v>143.69999999999999</v>
      </c>
      <c r="J22" s="82">
        <f t="shared" si="6"/>
        <v>145.49</v>
      </c>
      <c r="L22" s="82">
        <f t="shared" si="2"/>
        <v>1.7900000000000205</v>
      </c>
      <c r="N22" s="97">
        <f t="shared" si="3"/>
        <v>1.2456506610995273E-2</v>
      </c>
    </row>
    <row r="23" spans="2:21" x14ac:dyDescent="0.25">
      <c r="B23" s="80">
        <v>1200</v>
      </c>
      <c r="D23" s="81">
        <v>3.9855515174197303E-2</v>
      </c>
      <c r="E23" s="81">
        <v>4.5103951733564511E-2</v>
      </c>
      <c r="F23" s="81">
        <v>3.4602421428589561E-2</v>
      </c>
      <c r="H23" s="82">
        <f t="shared" si="5"/>
        <v>157.08000000000001</v>
      </c>
      <c r="J23" s="82">
        <f t="shared" si="6"/>
        <v>159.03</v>
      </c>
      <c r="L23" s="82">
        <f t="shared" si="2"/>
        <v>1.9499999999999886</v>
      </c>
      <c r="N23" s="97">
        <f t="shared" si="3"/>
        <v>1.2414056531703518E-2</v>
      </c>
      <c r="P23" s="101" t="s">
        <v>128</v>
      </c>
      <c r="Q23" s="100">
        <f>+'Res Bill RY#2'!S23</f>
        <v>0</v>
      </c>
      <c r="S23" s="100">
        <f t="shared" ref="S23:S29" si="7">+Q23</f>
        <v>0</v>
      </c>
    </row>
    <row r="24" spans="2:21" x14ac:dyDescent="0.25">
      <c r="B24" s="80">
        <v>1300</v>
      </c>
      <c r="D24" s="81">
        <v>3.3341169968691783E-2</v>
      </c>
      <c r="E24" s="81">
        <v>3.9494985376425283E-2</v>
      </c>
      <c r="F24" s="81">
        <v>2.7181893989201428E-2</v>
      </c>
      <c r="H24" s="82">
        <f t="shared" si="5"/>
        <v>170.46</v>
      </c>
      <c r="J24" s="82">
        <f t="shared" si="6"/>
        <v>172.58</v>
      </c>
      <c r="L24" s="82">
        <f t="shared" si="2"/>
        <v>2.1200000000000045</v>
      </c>
      <c r="N24" s="97">
        <f t="shared" si="3"/>
        <v>1.2436935351402115E-2</v>
      </c>
      <c r="P24" s="101" t="s">
        <v>34</v>
      </c>
      <c r="Q24" s="100">
        <f>+'Res Bill RY#2'!S24</f>
        <v>0</v>
      </c>
      <c r="S24" s="100">
        <f t="shared" si="7"/>
        <v>0</v>
      </c>
    </row>
    <row r="25" spans="2:21" x14ac:dyDescent="0.25">
      <c r="B25" s="80">
        <v>1400</v>
      </c>
      <c r="D25" s="81">
        <v>2.7930957788816026E-2</v>
      </c>
      <c r="E25" s="81">
        <v>3.4446043836009896E-2</v>
      </c>
      <c r="F25" s="81">
        <v>2.1410090597322948E-2</v>
      </c>
      <c r="H25" s="82">
        <f t="shared" si="5"/>
        <v>183.83</v>
      </c>
      <c r="J25" s="82">
        <f t="shared" si="6"/>
        <v>186.12</v>
      </c>
      <c r="L25" s="82">
        <f t="shared" si="2"/>
        <v>2.289999999999992</v>
      </c>
      <c r="N25" s="97">
        <f t="shared" si="3"/>
        <v>1.2457161507914876E-2</v>
      </c>
      <c r="P25" s="101" t="s">
        <v>33</v>
      </c>
      <c r="Q25" s="100">
        <f>+'Res Bill RY#2'!S25</f>
        <v>-1.3910000000000001E-3</v>
      </c>
      <c r="S25" s="100">
        <f t="shared" si="7"/>
        <v>-1.3910000000000001E-3</v>
      </c>
    </row>
    <row r="26" spans="2:21" x14ac:dyDescent="0.25">
      <c r="B26" s="80">
        <v>1600</v>
      </c>
      <c r="C26" s="74" t="s">
        <v>6</v>
      </c>
      <c r="D26" s="81">
        <v>4.2917670529083893E-2</v>
      </c>
      <c r="E26" s="81">
        <v>5.5946685257017785E-2</v>
      </c>
      <c r="F26" s="81">
        <v>2.9877094539537647E-2</v>
      </c>
      <c r="H26" s="82">
        <f t="shared" si="5"/>
        <v>210.59</v>
      </c>
      <c r="J26" s="82">
        <f t="shared" si="6"/>
        <v>213.21</v>
      </c>
      <c r="L26" s="82">
        <f t="shared" si="2"/>
        <v>2.6200000000000045</v>
      </c>
      <c r="N26" s="97">
        <f t="shared" si="3"/>
        <v>1.2441236525950921E-2</v>
      </c>
      <c r="P26" s="101" t="s">
        <v>32</v>
      </c>
      <c r="Q26" s="100">
        <f>+'Res Bill RY#2'!S26</f>
        <v>3.8249999999999998E-3</v>
      </c>
      <c r="S26" s="100">
        <f t="shared" si="7"/>
        <v>3.8249999999999998E-3</v>
      </c>
    </row>
    <row r="27" spans="2:21" x14ac:dyDescent="0.25">
      <c r="B27" s="80">
        <v>2000</v>
      </c>
      <c r="D27" s="81">
        <v>5.238284593558127E-2</v>
      </c>
      <c r="E27" s="81">
        <v>7.5129397752197027E-2</v>
      </c>
      <c r="F27" s="81">
        <v>2.9616110026628353E-2</v>
      </c>
      <c r="H27" s="82">
        <f t="shared" si="5"/>
        <v>264.11</v>
      </c>
      <c r="J27" s="82">
        <f t="shared" si="6"/>
        <v>267.38</v>
      </c>
      <c r="L27" s="82">
        <f t="shared" si="2"/>
        <v>3.2699999999999818</v>
      </c>
      <c r="N27" s="97">
        <f t="shared" si="3"/>
        <v>1.2381204801029805E-2</v>
      </c>
      <c r="P27" s="101" t="s">
        <v>21</v>
      </c>
      <c r="Q27" s="100">
        <f>+'Res Bill RY#2'!S27</f>
        <v>1.3519999999999999E-3</v>
      </c>
      <c r="R27" s="74" t="s">
        <v>6</v>
      </c>
      <c r="S27" s="100">
        <f t="shared" si="7"/>
        <v>1.3519999999999999E-3</v>
      </c>
    </row>
    <row r="28" spans="2:21" x14ac:dyDescent="0.25">
      <c r="B28" s="80">
        <v>2500</v>
      </c>
      <c r="D28" s="81">
        <v>3.2286911246338222E-2</v>
      </c>
      <c r="E28" s="81">
        <v>5.0830375885550137E-2</v>
      </c>
      <c r="F28" s="81">
        <v>1.3726992113032155E-2</v>
      </c>
      <c r="H28" s="82">
        <f t="shared" si="5"/>
        <v>331.01</v>
      </c>
      <c r="J28" s="82">
        <f t="shared" si="6"/>
        <v>335.09</v>
      </c>
      <c r="L28" s="82">
        <f t="shared" si="2"/>
        <v>4.0799999999999841</v>
      </c>
      <c r="N28" s="97">
        <f t="shared" si="3"/>
        <v>1.2325911603878989E-2</v>
      </c>
      <c r="P28" s="74" t="s">
        <v>30</v>
      </c>
      <c r="Q28" s="100">
        <f>+'Res Bill RY#2'!S28</f>
        <v>-2.0999999999999999E-5</v>
      </c>
      <c r="S28" s="100">
        <f t="shared" si="7"/>
        <v>-2.0999999999999999E-5</v>
      </c>
    </row>
    <row r="29" spans="2:21" x14ac:dyDescent="0.25">
      <c r="B29" s="80">
        <v>3000</v>
      </c>
      <c r="D29" s="81">
        <v>1.5207222179713211E-2</v>
      </c>
      <c r="E29" s="81">
        <v>2.5348850443256552E-2</v>
      </c>
      <c r="F29" s="81">
        <v>5.0565947692674789E-3</v>
      </c>
      <c r="H29" s="82">
        <f t="shared" si="5"/>
        <v>397.91</v>
      </c>
      <c r="J29" s="82">
        <f t="shared" si="6"/>
        <v>402.81</v>
      </c>
      <c r="L29" s="82">
        <f t="shared" si="2"/>
        <v>4.8999999999999773</v>
      </c>
      <c r="N29" s="97">
        <f t="shared" si="3"/>
        <v>1.2314342439244997E-2</v>
      </c>
      <c r="P29" s="101" t="s">
        <v>22</v>
      </c>
      <c r="Q29" s="100">
        <f>+'Res Bill RY#2'!S29</f>
        <v>3.0720000000000001E-3</v>
      </c>
      <c r="S29" s="100">
        <f t="shared" si="7"/>
        <v>3.0720000000000001E-3</v>
      </c>
    </row>
    <row r="30" spans="2:21" x14ac:dyDescent="0.25">
      <c r="B30" s="80">
        <v>4000</v>
      </c>
      <c r="D30" s="81">
        <v>1.1190080960504547E-2</v>
      </c>
      <c r="E30" s="81">
        <v>1.9212829878473187E-2</v>
      </c>
      <c r="F30" s="81">
        <v>3.1602130775928374E-3</v>
      </c>
      <c r="H30" s="82">
        <f t="shared" si="5"/>
        <v>531.71</v>
      </c>
      <c r="J30" s="82">
        <f t="shared" si="6"/>
        <v>538.24</v>
      </c>
      <c r="L30" s="82">
        <f t="shared" si="2"/>
        <v>6.5299999999999727</v>
      </c>
      <c r="N30" s="97">
        <f t="shared" si="3"/>
        <v>1.228113069154233E-2</v>
      </c>
      <c r="P30" s="74" t="s">
        <v>142</v>
      </c>
      <c r="Q30" s="100">
        <f>+'Res Bill RY#2'!S30</f>
        <v>3.0840718613430909E-3</v>
      </c>
      <c r="S30" s="100">
        <v>4.2623478907954397E-3</v>
      </c>
    </row>
    <row r="31" spans="2:21" x14ac:dyDescent="0.25">
      <c r="B31" s="80">
        <v>5000</v>
      </c>
      <c r="D31" s="81">
        <v>3.0145805027948242E-3</v>
      </c>
      <c r="E31" s="81">
        <v>5.1053720059556331E-3</v>
      </c>
      <c r="F31" s="81">
        <v>9.2193374134705449E-4</v>
      </c>
      <c r="H31" s="82">
        <f t="shared" si="5"/>
        <v>665.51</v>
      </c>
      <c r="J31" s="82">
        <f t="shared" si="6"/>
        <v>673.67</v>
      </c>
      <c r="L31" s="82">
        <f t="shared" si="2"/>
        <v>8.1599999999999682</v>
      </c>
      <c r="N31" s="97">
        <f t="shared" si="3"/>
        <v>1.22612733091914E-2</v>
      </c>
      <c r="P31" s="74" t="s">
        <v>143</v>
      </c>
      <c r="Q31" s="100">
        <f>+'Res Bill RY#2'!S31</f>
        <v>1.0187999999999999E-2</v>
      </c>
      <c r="S31" s="100">
        <v>4.4200000000000003E-3</v>
      </c>
    </row>
    <row r="32" spans="2:21" x14ac:dyDescent="0.25">
      <c r="B32" s="80" t="s">
        <v>28</v>
      </c>
      <c r="D32" s="81">
        <v>2.4318678560908301E-3</v>
      </c>
      <c r="E32" s="81">
        <v>3.4799843833441995E-3</v>
      </c>
      <c r="F32" s="81">
        <v>1.3828212854209133E-3</v>
      </c>
      <c r="H32" s="82"/>
      <c r="J32" s="82"/>
      <c r="L32" s="82"/>
      <c r="N32" s="97"/>
      <c r="P32" s="101" t="s">
        <v>144</v>
      </c>
      <c r="Q32" s="100">
        <f>+'Res Bill RY#2'!S32</f>
        <v>1.2151E-2</v>
      </c>
      <c r="S32" s="100">
        <v>1.8373E-2</v>
      </c>
    </row>
    <row r="33" spans="1:19" x14ac:dyDescent="0.25">
      <c r="B33" s="102"/>
      <c r="C33" s="103"/>
      <c r="D33" s="104"/>
      <c r="E33" s="104"/>
      <c r="F33" s="104"/>
      <c r="G33" s="103"/>
      <c r="H33" s="104"/>
      <c r="I33" s="103"/>
      <c r="J33" s="104"/>
      <c r="K33" s="103"/>
      <c r="L33" s="103"/>
      <c r="M33" s="103"/>
      <c r="N33" s="105"/>
      <c r="P33" s="101" t="s">
        <v>145</v>
      </c>
      <c r="Q33" s="100">
        <f>+'Res Bill RY#2'!S33</f>
        <v>0</v>
      </c>
      <c r="S33" s="100">
        <f t="shared" ref="S33:S37" si="8">+Q33</f>
        <v>0</v>
      </c>
    </row>
    <row r="34" spans="1:19" x14ac:dyDescent="0.25">
      <c r="B34" s="85"/>
      <c r="P34" s="101" t="s">
        <v>146</v>
      </c>
      <c r="Q34" s="100">
        <f>+'Res Bill RY#2'!S34</f>
        <v>-8.8400000000000002E-4</v>
      </c>
      <c r="S34" s="100">
        <f t="shared" si="8"/>
        <v>-8.8400000000000002E-4</v>
      </c>
    </row>
    <row r="35" spans="1:19" x14ac:dyDescent="0.25">
      <c r="A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P35" s="101" t="s">
        <v>24</v>
      </c>
      <c r="Q35" s="100">
        <f>+'Res Bill RY#2'!S35</f>
        <v>-4.17E-4</v>
      </c>
      <c r="S35" s="100">
        <f t="shared" si="8"/>
        <v>-4.17E-4</v>
      </c>
    </row>
    <row r="36" spans="1:19" x14ac:dyDescent="0.25">
      <c r="A36" s="87" t="s">
        <v>26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P36" s="101" t="s">
        <v>129</v>
      </c>
      <c r="Q36" s="100">
        <f>+'Res Bill RY#2'!S36</f>
        <v>0</v>
      </c>
      <c r="S36" s="100">
        <f t="shared" si="8"/>
        <v>0</v>
      </c>
    </row>
    <row r="37" spans="1:19" ht="15.75" x14ac:dyDescent="0.25">
      <c r="A37" s="88" t="s">
        <v>283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P37" s="101" t="s">
        <v>29</v>
      </c>
      <c r="Q37" s="100">
        <f>+'Res Bill RY#2'!S37</f>
        <v>-6.689136E-3</v>
      </c>
      <c r="S37" s="100">
        <f t="shared" si="8"/>
        <v>-6.689136E-3</v>
      </c>
    </row>
    <row r="38" spans="1:19" x14ac:dyDescent="0.25">
      <c r="A38" s="88" t="s">
        <v>211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9" x14ac:dyDescent="0.25">
      <c r="A39" s="88" t="s">
        <v>212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P39" s="106"/>
      <c r="Q39" s="107"/>
    </row>
    <row r="40" spans="1:19" x14ac:dyDescent="0.25">
      <c r="P40" s="106" t="s">
        <v>125</v>
      </c>
      <c r="Q40" s="107">
        <f>+'Rate Impacts_RY#3'!R9</f>
        <v>1.2297437226959659E-2</v>
      </c>
    </row>
  </sheetData>
  <mergeCells count="6">
    <mergeCell ref="L7:N7"/>
    <mergeCell ref="A1:N1"/>
    <mergeCell ref="A2:N2"/>
    <mergeCell ref="A3:N3"/>
    <mergeCell ref="A4:N4"/>
    <mergeCell ref="H6:N6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Roman,Regular"&amp;A&amp;R&amp;"Times New Roman,Regular"Exhibit No.___(BDJ-7)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workbookViewId="0">
      <pane xSplit="4" ySplit="7" topLeftCell="E8" activePane="bottomRight" state="frozen"/>
      <selection sqref="A1:XFD1048576"/>
      <selection pane="topRight" sqref="A1:XFD1048576"/>
      <selection pane="bottomLeft" sqref="A1:XFD1048576"/>
      <selection pane="bottomRight" activeCell="E8" sqref="E8"/>
    </sheetView>
  </sheetViews>
  <sheetFormatPr defaultRowHeight="12.75" x14ac:dyDescent="0.2"/>
  <cols>
    <col min="1" max="1" width="4.7109375" style="199" bestFit="1" customWidth="1"/>
    <col min="2" max="2" width="53.5703125" style="199" bestFit="1" customWidth="1"/>
    <col min="3" max="3" width="11.7109375" style="199" bestFit="1" customWidth="1"/>
    <col min="4" max="4" width="8" style="199" bestFit="1" customWidth="1"/>
    <col min="5" max="5" width="2" style="199" customWidth="1"/>
    <col min="6" max="6" width="11.7109375" style="199" bestFit="1" customWidth="1"/>
    <col min="7" max="7" width="8" style="199" bestFit="1" customWidth="1"/>
    <col min="8" max="8" width="2" style="199" customWidth="1"/>
    <col min="9" max="9" width="11.7109375" style="199" bestFit="1" customWidth="1"/>
    <col min="10" max="10" width="8" style="199" bestFit="1" customWidth="1"/>
    <col min="11" max="11" width="2" style="199" customWidth="1"/>
    <col min="12" max="12" width="11.7109375" style="199" bestFit="1" customWidth="1"/>
    <col min="13" max="13" width="8" style="199" bestFit="1" customWidth="1"/>
    <col min="14" max="14" width="2" style="199" customWidth="1"/>
    <col min="15" max="15" width="11.7109375" style="199" bestFit="1" customWidth="1"/>
    <col min="16" max="16" width="8" style="199" bestFit="1" customWidth="1"/>
    <col min="17" max="17" width="2" style="199" customWidth="1"/>
    <col min="18" max="18" width="11.7109375" style="199" bestFit="1" customWidth="1"/>
    <col min="19" max="19" width="8" style="199" bestFit="1" customWidth="1"/>
    <col min="20" max="20" width="2" style="199" customWidth="1"/>
    <col min="21" max="21" width="11.7109375" style="199" bestFit="1" customWidth="1"/>
    <col min="22" max="22" width="8" style="199" bestFit="1" customWidth="1"/>
    <col min="23" max="23" width="2" style="199" customWidth="1"/>
    <col min="24" max="24" width="11.7109375" style="199" bestFit="1" customWidth="1"/>
    <col min="25" max="25" width="8" style="199" bestFit="1" customWidth="1"/>
    <col min="26" max="26" width="2" style="199" customWidth="1"/>
    <col min="27" max="27" width="11.7109375" style="199" bestFit="1" customWidth="1"/>
    <col min="28" max="28" width="8" style="199" bestFit="1" customWidth="1"/>
    <col min="29" max="29" width="2" style="199" customWidth="1"/>
    <col min="30" max="30" width="11.7109375" style="199" bestFit="1" customWidth="1"/>
    <col min="31" max="31" width="11.7109375" style="199" customWidth="1"/>
    <col min="32" max="16384" width="9.140625" style="199"/>
  </cols>
  <sheetData>
    <row r="1" spans="1:32" ht="1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</row>
    <row r="2" spans="1:32" ht="15" x14ac:dyDescent="0.25">
      <c r="A2" s="180" t="s">
        <v>191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</row>
    <row r="3" spans="1:32" ht="15" x14ac:dyDescent="0.25">
      <c r="A3" s="180" t="s">
        <v>244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</row>
    <row r="4" spans="1:32" ht="15" x14ac:dyDescent="0.25">
      <c r="A4" s="179" t="s">
        <v>193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</row>
    <row r="5" spans="1:32" ht="15" x14ac:dyDescent="0.25">
      <c r="A5" s="74"/>
      <c r="B5" s="74"/>
      <c r="C5" s="74"/>
      <c r="D5" s="74"/>
      <c r="E5" s="74"/>
      <c r="F5" s="99"/>
      <c r="G5" s="74"/>
      <c r="H5" s="74"/>
      <c r="I5" s="155"/>
      <c r="J5" s="74"/>
      <c r="K5" s="74"/>
      <c r="L5" s="155"/>
      <c r="M5" s="74"/>
      <c r="N5" s="74"/>
      <c r="O5" s="155"/>
      <c r="P5" s="74"/>
      <c r="Q5" s="74"/>
      <c r="R5" s="155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2" s="201" customFormat="1" ht="30" x14ac:dyDescent="0.25">
      <c r="A6" s="164"/>
      <c r="B6" s="164"/>
      <c r="C6" s="165" t="s">
        <v>235</v>
      </c>
      <c r="D6" s="165"/>
      <c r="F6" s="178" t="s">
        <v>236</v>
      </c>
      <c r="G6" s="178"/>
      <c r="I6" s="178" t="s">
        <v>259</v>
      </c>
      <c r="J6" s="178"/>
      <c r="L6" s="178" t="s">
        <v>260</v>
      </c>
      <c r="M6" s="178"/>
      <c r="O6" s="178" t="s">
        <v>257</v>
      </c>
      <c r="P6" s="178"/>
      <c r="R6" s="178" t="s">
        <v>237</v>
      </c>
      <c r="S6" s="178"/>
      <c r="U6" s="178" t="s">
        <v>238</v>
      </c>
      <c r="V6" s="178"/>
      <c r="X6" s="178" t="s">
        <v>239</v>
      </c>
      <c r="Y6" s="178"/>
      <c r="AA6" s="178" t="s">
        <v>258</v>
      </c>
      <c r="AB6" s="178"/>
      <c r="AD6" s="178" t="s">
        <v>240</v>
      </c>
      <c r="AE6" s="178"/>
    </row>
    <row r="7" spans="1:32" ht="17.25" x14ac:dyDescent="0.25">
      <c r="A7" s="149" t="s">
        <v>10</v>
      </c>
      <c r="B7" s="149"/>
      <c r="C7" s="149" t="s">
        <v>241</v>
      </c>
      <c r="D7" s="149" t="s">
        <v>242</v>
      </c>
      <c r="F7" s="149" t="s">
        <v>243</v>
      </c>
      <c r="G7" s="149" t="s">
        <v>242</v>
      </c>
      <c r="I7" s="149" t="s">
        <v>243</v>
      </c>
      <c r="J7" s="149" t="s">
        <v>242</v>
      </c>
      <c r="L7" s="149" t="s">
        <v>243</v>
      </c>
      <c r="M7" s="149" t="s">
        <v>242</v>
      </c>
      <c r="O7" s="149" t="s">
        <v>243</v>
      </c>
      <c r="P7" s="149" t="s">
        <v>242</v>
      </c>
      <c r="R7" s="149" t="s">
        <v>243</v>
      </c>
      <c r="S7" s="149" t="s">
        <v>242</v>
      </c>
      <c r="U7" s="149" t="s">
        <v>243</v>
      </c>
      <c r="V7" s="149" t="s">
        <v>242</v>
      </c>
      <c r="X7" s="149" t="s">
        <v>243</v>
      </c>
      <c r="Y7" s="149" t="s">
        <v>242</v>
      </c>
      <c r="AA7" s="149" t="s">
        <v>243</v>
      </c>
      <c r="AB7" s="149" t="s">
        <v>242</v>
      </c>
      <c r="AD7" s="149" t="s">
        <v>243</v>
      </c>
      <c r="AE7" s="149" t="s">
        <v>242</v>
      </c>
    </row>
    <row r="8" spans="1:32" ht="15" x14ac:dyDescent="0.25">
      <c r="A8" s="200">
        <v>1</v>
      </c>
      <c r="B8" s="101" t="s">
        <v>249</v>
      </c>
      <c r="C8" s="132">
        <v>800</v>
      </c>
      <c r="D8" s="156"/>
      <c r="E8" s="99"/>
      <c r="F8" s="74">
        <f>+$C$8</f>
        <v>800</v>
      </c>
      <c r="G8" s="156"/>
      <c r="H8" s="155"/>
      <c r="I8" s="74">
        <f>+$C$8</f>
        <v>800</v>
      </c>
      <c r="J8" s="156"/>
      <c r="K8" s="74"/>
      <c r="L8" s="74">
        <f>+$C$8</f>
        <v>800</v>
      </c>
      <c r="M8" s="156"/>
      <c r="N8" s="74"/>
      <c r="O8" s="74">
        <f>+$C$8</f>
        <v>800</v>
      </c>
      <c r="P8" s="156"/>
      <c r="Q8" s="74"/>
      <c r="R8" s="74">
        <f>+$C$8</f>
        <v>800</v>
      </c>
      <c r="S8" s="156"/>
      <c r="T8" s="74"/>
      <c r="U8" s="74">
        <f>+$C$8</f>
        <v>800</v>
      </c>
      <c r="V8" s="156"/>
      <c r="W8" s="156"/>
      <c r="X8" s="74">
        <f>+$C$8</f>
        <v>800</v>
      </c>
      <c r="Y8" s="156"/>
      <c r="Z8" s="156"/>
      <c r="AA8" s="74">
        <f>+$C$8</f>
        <v>800</v>
      </c>
      <c r="AB8" s="156"/>
      <c r="AC8" s="74"/>
      <c r="AD8" s="74">
        <f>+$C$8</f>
        <v>800</v>
      </c>
      <c r="AE8" s="156"/>
    </row>
    <row r="9" spans="1:32" ht="15" x14ac:dyDescent="0.25">
      <c r="A9" s="150">
        <f>+A8+1</f>
        <v>2</v>
      </c>
      <c r="B9" s="74"/>
      <c r="C9" s="74"/>
      <c r="D9" s="156"/>
      <c r="E9" s="99"/>
      <c r="F9" s="74"/>
      <c r="G9" s="156"/>
      <c r="H9" s="155"/>
      <c r="I9" s="74"/>
      <c r="J9" s="156"/>
      <c r="K9" s="74"/>
      <c r="L9" s="74"/>
      <c r="M9" s="156"/>
      <c r="N9" s="74"/>
      <c r="O9" s="74"/>
      <c r="P9" s="156"/>
      <c r="Q9" s="74"/>
      <c r="R9" s="74"/>
      <c r="S9" s="156"/>
      <c r="T9" s="74"/>
      <c r="U9" s="74"/>
      <c r="V9" s="156"/>
      <c r="W9" s="156"/>
      <c r="X9" s="74"/>
      <c r="Y9" s="156"/>
      <c r="Z9" s="156"/>
      <c r="AA9" s="74"/>
      <c r="AB9" s="156"/>
      <c r="AC9" s="74"/>
      <c r="AD9" s="74"/>
      <c r="AE9" s="156"/>
    </row>
    <row r="10" spans="1:32" ht="15" x14ac:dyDescent="0.25">
      <c r="A10" s="150">
        <f t="shared" ref="A10:A40" si="0">+A9+1</f>
        <v>3</v>
      </c>
      <c r="B10" s="74" t="s">
        <v>245</v>
      </c>
      <c r="C10" s="74"/>
      <c r="D10" s="156"/>
      <c r="E10" s="99"/>
      <c r="F10" s="74"/>
      <c r="G10" s="156"/>
      <c r="H10" s="155"/>
      <c r="I10" s="74"/>
      <c r="J10" s="156"/>
      <c r="K10" s="74"/>
      <c r="L10" s="74"/>
      <c r="M10" s="156"/>
      <c r="N10" s="74"/>
      <c r="O10" s="74"/>
      <c r="P10" s="156"/>
      <c r="Q10" s="74"/>
      <c r="R10" s="74"/>
      <c r="S10" s="156"/>
      <c r="T10" s="74"/>
      <c r="U10" s="74"/>
      <c r="V10" s="156"/>
      <c r="W10" s="156"/>
      <c r="X10" s="74"/>
      <c r="Y10" s="156"/>
      <c r="Z10" s="156"/>
      <c r="AA10" s="74"/>
      <c r="AB10" s="156"/>
      <c r="AC10" s="74"/>
      <c r="AD10" s="74"/>
      <c r="AE10" s="156"/>
    </row>
    <row r="11" spans="1:32" ht="15" x14ac:dyDescent="0.25">
      <c r="A11" s="150">
        <f t="shared" si="0"/>
        <v>4</v>
      </c>
      <c r="B11" s="136" t="s">
        <v>250</v>
      </c>
      <c r="C11" s="134">
        <f>+'Res Bill RY#1'!Q17</f>
        <v>7.49</v>
      </c>
      <c r="D11" s="156">
        <f>C11</f>
        <v>7.49</v>
      </c>
      <c r="E11" s="134"/>
      <c r="F11" s="134">
        <f>+'Res Bill RY#1'!S17</f>
        <v>8.24</v>
      </c>
      <c r="G11" s="156">
        <f>F11</f>
        <v>8.24</v>
      </c>
      <c r="H11" s="74"/>
      <c r="I11" s="161">
        <f>+$C$11</f>
        <v>7.49</v>
      </c>
      <c r="J11" s="156">
        <f>+$C$11</f>
        <v>7.49</v>
      </c>
      <c r="K11" s="74"/>
      <c r="L11" s="161">
        <f>+$C$11</f>
        <v>7.49</v>
      </c>
      <c r="M11" s="156">
        <f>L11</f>
        <v>7.49</v>
      </c>
      <c r="N11" s="74"/>
      <c r="O11" s="161">
        <f>+$C$11</f>
        <v>7.49</v>
      </c>
      <c r="P11" s="156">
        <f>O11</f>
        <v>7.49</v>
      </c>
      <c r="Q11" s="74"/>
      <c r="R11" s="161">
        <f>+$C$11</f>
        <v>7.49</v>
      </c>
      <c r="S11" s="156">
        <f>R11</f>
        <v>7.49</v>
      </c>
      <c r="T11" s="74"/>
      <c r="U11" s="161">
        <f>+$C$11</f>
        <v>7.49</v>
      </c>
      <c r="V11" s="156">
        <f>U11</f>
        <v>7.49</v>
      </c>
      <c r="W11" s="156"/>
      <c r="X11" s="161">
        <f>+$C$11</f>
        <v>7.49</v>
      </c>
      <c r="Y11" s="156">
        <f>X11</f>
        <v>7.49</v>
      </c>
      <c r="Z11" s="156"/>
      <c r="AA11" s="161">
        <f>+$C$11</f>
        <v>7.49</v>
      </c>
      <c r="AB11" s="156">
        <f>AA11</f>
        <v>7.49</v>
      </c>
      <c r="AC11" s="74"/>
      <c r="AD11" s="133">
        <f>+F11</f>
        <v>8.24</v>
      </c>
      <c r="AE11" s="156">
        <f>AD11</f>
        <v>8.24</v>
      </c>
    </row>
    <row r="12" spans="1:32" ht="15" x14ac:dyDescent="0.25">
      <c r="A12" s="150">
        <f t="shared" si="0"/>
        <v>5</v>
      </c>
      <c r="B12" s="157" t="s">
        <v>17</v>
      </c>
      <c r="C12" s="134"/>
      <c r="D12" s="158">
        <f>SUM(D11:D11)</f>
        <v>7.49</v>
      </c>
      <c r="E12" s="134"/>
      <c r="F12" s="134"/>
      <c r="G12" s="158">
        <f>SUM(G11:G11)</f>
        <v>8.24</v>
      </c>
      <c r="H12" s="74"/>
      <c r="I12" s="134"/>
      <c r="J12" s="158">
        <f>SUM(J11:J11)</f>
        <v>7.49</v>
      </c>
      <c r="K12" s="74"/>
      <c r="L12" s="134"/>
      <c r="M12" s="158">
        <f>SUM(M11:M11)</f>
        <v>7.49</v>
      </c>
      <c r="N12" s="74"/>
      <c r="O12" s="134"/>
      <c r="P12" s="158">
        <f>SUM(P11:P11)</f>
        <v>7.49</v>
      </c>
      <c r="Q12" s="74"/>
      <c r="R12" s="134"/>
      <c r="S12" s="158">
        <f>SUM(S11:S11)</f>
        <v>7.49</v>
      </c>
      <c r="T12" s="74"/>
      <c r="U12" s="134"/>
      <c r="V12" s="158">
        <f>SUM(V11:V11)</f>
        <v>7.49</v>
      </c>
      <c r="W12" s="134"/>
      <c r="X12" s="134"/>
      <c r="Y12" s="158">
        <f>SUM(Y11:Y11)</f>
        <v>7.49</v>
      </c>
      <c r="Z12" s="134"/>
      <c r="AA12" s="134"/>
      <c r="AB12" s="158">
        <f>SUM(AB11:AB11)</f>
        <v>7.49</v>
      </c>
      <c r="AC12" s="74"/>
      <c r="AD12" s="158">
        <f>SUM(AD11:AD11)</f>
        <v>8.24</v>
      </c>
      <c r="AE12" s="158">
        <f>SUM(AE11:AE11)</f>
        <v>8.24</v>
      </c>
    </row>
    <row r="13" spans="1:32" ht="15" x14ac:dyDescent="0.25">
      <c r="A13" s="150">
        <f t="shared" si="0"/>
        <v>6</v>
      </c>
      <c r="B13" s="74"/>
      <c r="C13" s="133"/>
      <c r="D13" s="156"/>
      <c r="E13" s="134"/>
      <c r="F13" s="133"/>
      <c r="G13" s="156"/>
      <c r="H13" s="74"/>
      <c r="I13" s="133"/>
      <c r="J13" s="156"/>
      <c r="K13" s="74"/>
      <c r="L13" s="133"/>
      <c r="M13" s="156"/>
      <c r="N13" s="74"/>
      <c r="O13" s="133"/>
      <c r="P13" s="156"/>
      <c r="Q13" s="74"/>
      <c r="R13" s="133"/>
      <c r="S13" s="156"/>
      <c r="T13" s="74"/>
      <c r="U13" s="133"/>
      <c r="V13" s="156"/>
      <c r="W13" s="156"/>
      <c r="X13" s="133"/>
      <c r="Y13" s="156"/>
      <c r="Z13" s="156"/>
      <c r="AA13" s="133"/>
      <c r="AB13" s="156"/>
      <c r="AC13" s="74"/>
      <c r="AD13" s="133"/>
      <c r="AE13" s="156"/>
    </row>
    <row r="14" spans="1:32" ht="15" x14ac:dyDescent="0.25">
      <c r="A14" s="150">
        <f t="shared" si="0"/>
        <v>7</v>
      </c>
      <c r="B14" s="101" t="s">
        <v>256</v>
      </c>
      <c r="C14" s="74"/>
      <c r="D14" s="156"/>
      <c r="E14" s="99"/>
      <c r="F14" s="74"/>
      <c r="G14" s="156"/>
      <c r="H14" s="74"/>
      <c r="I14" s="74"/>
      <c r="J14" s="156"/>
      <c r="K14" s="74"/>
      <c r="L14" s="74"/>
      <c r="M14" s="156"/>
      <c r="N14" s="74"/>
      <c r="O14" s="74"/>
      <c r="P14" s="156"/>
      <c r="Q14" s="74"/>
      <c r="R14" s="74"/>
      <c r="S14" s="156"/>
      <c r="T14" s="74"/>
      <c r="U14" s="74"/>
      <c r="V14" s="156"/>
      <c r="W14" s="156"/>
      <c r="X14" s="74"/>
      <c r="Y14" s="156"/>
      <c r="Z14" s="156"/>
      <c r="AA14" s="74"/>
      <c r="AB14" s="156"/>
      <c r="AC14" s="74"/>
      <c r="AD14" s="74"/>
      <c r="AE14" s="156"/>
    </row>
    <row r="15" spans="1:32" ht="15" x14ac:dyDescent="0.25">
      <c r="A15" s="150">
        <f t="shared" si="0"/>
        <v>8</v>
      </c>
      <c r="B15" s="136" t="s">
        <v>251</v>
      </c>
      <c r="C15" s="100">
        <f>+'Res Bill RY#1'!Q18</f>
        <v>9.1343999999999995E-2</v>
      </c>
      <c r="D15" s="156"/>
      <c r="E15" s="162"/>
      <c r="F15" s="100">
        <f>+'Res Bill RY#1'!S18</f>
        <v>8.9991000000000002E-2</v>
      </c>
      <c r="G15" s="156"/>
      <c r="H15" s="74"/>
      <c r="I15" s="100">
        <f>+$C$15</f>
        <v>9.1343999999999995E-2</v>
      </c>
      <c r="J15" s="156"/>
      <c r="K15" s="74"/>
      <c r="L15" s="100">
        <f>+$C$15</f>
        <v>9.1343999999999995E-2</v>
      </c>
      <c r="M15" s="156"/>
      <c r="N15" s="74"/>
      <c r="O15" s="100">
        <f>+$C$15</f>
        <v>9.1343999999999995E-2</v>
      </c>
      <c r="P15" s="156"/>
      <c r="Q15" s="74"/>
      <c r="R15" s="100">
        <f>+$C$15</f>
        <v>9.1343999999999995E-2</v>
      </c>
      <c r="S15" s="156"/>
      <c r="T15" s="74"/>
      <c r="U15" s="100">
        <f>+$C$15</f>
        <v>9.1343999999999995E-2</v>
      </c>
      <c r="V15" s="156"/>
      <c r="W15" s="156"/>
      <c r="X15" s="100">
        <f>+$C$15</f>
        <v>9.1343999999999995E-2</v>
      </c>
      <c r="Y15" s="156"/>
      <c r="Z15" s="156"/>
      <c r="AA15" s="100">
        <f>+$C$15</f>
        <v>9.1343999999999995E-2</v>
      </c>
      <c r="AB15" s="156"/>
      <c r="AC15" s="74"/>
      <c r="AD15" s="100">
        <f>+F15</f>
        <v>8.9991000000000002E-2</v>
      </c>
      <c r="AE15" s="156"/>
    </row>
    <row r="16" spans="1:32" ht="15" x14ac:dyDescent="0.25">
      <c r="A16" s="150">
        <f t="shared" si="0"/>
        <v>9</v>
      </c>
      <c r="B16" s="136" t="s">
        <v>252</v>
      </c>
      <c r="C16" s="100">
        <f>+'Res Bill RY#1'!Q19</f>
        <v>0.111175</v>
      </c>
      <c r="D16" s="156"/>
      <c r="E16" s="162"/>
      <c r="F16" s="100">
        <f>+'Res Bill RY#1'!S19</f>
        <v>0.109528</v>
      </c>
      <c r="G16" s="156"/>
      <c r="H16" s="74"/>
      <c r="I16" s="100">
        <f>+$C$16</f>
        <v>0.111175</v>
      </c>
      <c r="J16" s="156"/>
      <c r="K16" s="74"/>
      <c r="L16" s="100">
        <f>+$C$16</f>
        <v>0.111175</v>
      </c>
      <c r="M16" s="156"/>
      <c r="N16" s="74"/>
      <c r="O16" s="100">
        <f>+$C$16</f>
        <v>0.111175</v>
      </c>
      <c r="P16" s="156"/>
      <c r="Q16" s="74"/>
      <c r="R16" s="100">
        <f>+$C$16</f>
        <v>0.111175</v>
      </c>
      <c r="S16" s="156"/>
      <c r="T16" s="74"/>
      <c r="U16" s="100">
        <f>+$C$16</f>
        <v>0.111175</v>
      </c>
      <c r="V16" s="156"/>
      <c r="W16" s="156"/>
      <c r="X16" s="100">
        <f>+$C$16</f>
        <v>0.111175</v>
      </c>
      <c r="Y16" s="156"/>
      <c r="Z16" s="156"/>
      <c r="AA16" s="100">
        <f>+$C$16</f>
        <v>0.111175</v>
      </c>
      <c r="AB16" s="156"/>
      <c r="AC16" s="74"/>
      <c r="AD16" s="100">
        <f>+F16</f>
        <v>0.109528</v>
      </c>
      <c r="AE16" s="156"/>
    </row>
    <row r="17" spans="1:31" ht="15" x14ac:dyDescent="0.25">
      <c r="A17" s="150">
        <f t="shared" si="0"/>
        <v>10</v>
      </c>
      <c r="B17" s="136"/>
      <c r="C17" s="100"/>
      <c r="D17" s="156"/>
      <c r="E17" s="162"/>
      <c r="F17" s="159"/>
      <c r="G17" s="156"/>
      <c r="H17" s="74"/>
      <c r="I17" s="159"/>
      <c r="J17" s="156"/>
      <c r="K17" s="74"/>
      <c r="L17" s="159"/>
      <c r="M17" s="156"/>
      <c r="N17" s="74"/>
      <c r="O17" s="159"/>
      <c r="P17" s="156"/>
      <c r="Q17" s="74"/>
      <c r="R17" s="159"/>
      <c r="S17" s="156"/>
      <c r="T17" s="74"/>
      <c r="U17" s="159"/>
      <c r="V17" s="156"/>
      <c r="W17" s="156"/>
      <c r="X17" s="159"/>
      <c r="Y17" s="156"/>
      <c r="Z17" s="156"/>
      <c r="AA17" s="159"/>
      <c r="AB17" s="156"/>
      <c r="AC17" s="74"/>
      <c r="AD17" s="159"/>
      <c r="AE17" s="156"/>
    </row>
    <row r="18" spans="1:31" ht="15" x14ac:dyDescent="0.25">
      <c r="A18" s="150">
        <f t="shared" si="0"/>
        <v>11</v>
      </c>
      <c r="B18" s="136" t="s">
        <v>128</v>
      </c>
      <c r="C18" s="100">
        <f>+'Res Bill RY#1'!Q23</f>
        <v>3.3142467321893932E-3</v>
      </c>
      <c r="D18" s="156"/>
      <c r="E18" s="162"/>
      <c r="F18" s="100">
        <f>+C18</f>
        <v>3.3142467321893932E-3</v>
      </c>
      <c r="G18" s="156"/>
      <c r="H18" s="74"/>
      <c r="I18" s="100">
        <v>0</v>
      </c>
      <c r="J18" s="156"/>
      <c r="K18" s="74"/>
      <c r="L18" s="100">
        <f>+$C18</f>
        <v>3.3142467321893932E-3</v>
      </c>
      <c r="M18" s="156"/>
      <c r="N18" s="74"/>
      <c r="O18" s="100">
        <f t="shared" ref="O18:O24" si="1">+$C18</f>
        <v>3.3142467321893932E-3</v>
      </c>
      <c r="P18" s="156"/>
      <c r="Q18" s="74"/>
      <c r="R18" s="100">
        <f t="shared" ref="R18:R25" si="2">+$C18</f>
        <v>3.3142467321893932E-3</v>
      </c>
      <c r="S18" s="156"/>
      <c r="T18" s="74"/>
      <c r="U18" s="100">
        <f t="shared" ref="U18:U26" si="3">+$C18</f>
        <v>3.3142467321893932E-3</v>
      </c>
      <c r="V18" s="156"/>
      <c r="W18" s="156"/>
      <c r="X18" s="100">
        <f t="shared" ref="X18:X27" si="4">+$C18</f>
        <v>3.3142467321893932E-3</v>
      </c>
      <c r="Y18" s="156"/>
      <c r="Z18" s="156"/>
      <c r="AA18" s="100">
        <f t="shared" ref="AA18:AA30" si="5">+$C18</f>
        <v>3.3142467321893932E-3</v>
      </c>
      <c r="AB18" s="156"/>
      <c r="AC18" s="74"/>
      <c r="AD18" s="100">
        <f>+I18</f>
        <v>0</v>
      </c>
      <c r="AE18" s="156"/>
    </row>
    <row r="19" spans="1:31" ht="15" x14ac:dyDescent="0.25">
      <c r="A19" s="150">
        <f t="shared" si="0"/>
        <v>12</v>
      </c>
      <c r="B19" s="136" t="s">
        <v>34</v>
      </c>
      <c r="C19" s="100">
        <f>+'Res Bill RY#1'!Q24</f>
        <v>2.1346263238885407E-3</v>
      </c>
      <c r="D19" s="156"/>
      <c r="E19" s="162"/>
      <c r="F19" s="100">
        <f t="shared" ref="F19:F32" si="6">+C19</f>
        <v>2.1346263238885407E-3</v>
      </c>
      <c r="G19" s="156"/>
      <c r="H19" s="74"/>
      <c r="I19" s="100">
        <f>+$C19</f>
        <v>2.1346263238885407E-3</v>
      </c>
      <c r="J19" s="156"/>
      <c r="K19" s="74"/>
      <c r="L19" s="100">
        <v>0</v>
      </c>
      <c r="M19" s="156"/>
      <c r="N19" s="74"/>
      <c r="O19" s="100">
        <f t="shared" si="1"/>
        <v>2.1346263238885407E-3</v>
      </c>
      <c r="P19" s="156"/>
      <c r="Q19" s="74"/>
      <c r="R19" s="100">
        <f t="shared" si="2"/>
        <v>2.1346263238885407E-3</v>
      </c>
      <c r="S19" s="156"/>
      <c r="T19" s="74"/>
      <c r="U19" s="100">
        <f t="shared" si="3"/>
        <v>2.1346263238885407E-3</v>
      </c>
      <c r="V19" s="156"/>
      <c r="W19" s="156"/>
      <c r="X19" s="100">
        <f t="shared" si="4"/>
        <v>2.1346263238885407E-3</v>
      </c>
      <c r="Y19" s="156"/>
      <c r="Z19" s="156"/>
      <c r="AA19" s="100">
        <f t="shared" si="5"/>
        <v>2.1346263238885407E-3</v>
      </c>
      <c r="AB19" s="156"/>
      <c r="AC19" s="74"/>
      <c r="AD19" s="100">
        <f>+L19</f>
        <v>0</v>
      </c>
      <c r="AE19" s="156"/>
    </row>
    <row r="20" spans="1:31" ht="15" x14ac:dyDescent="0.25">
      <c r="A20" s="150">
        <f t="shared" si="0"/>
        <v>13</v>
      </c>
      <c r="B20" s="136" t="s">
        <v>33</v>
      </c>
      <c r="C20" s="100">
        <f>+'Res Bill RY#1'!Q25</f>
        <v>-1.3910000000000001E-3</v>
      </c>
      <c r="D20" s="156"/>
      <c r="E20" s="162"/>
      <c r="F20" s="100">
        <f t="shared" si="6"/>
        <v>-1.3910000000000001E-3</v>
      </c>
      <c r="G20" s="156"/>
      <c r="H20" s="74"/>
      <c r="I20" s="100">
        <f t="shared" ref="I20:I32" si="7">+$C20</f>
        <v>-1.3910000000000001E-3</v>
      </c>
      <c r="J20" s="156"/>
      <c r="K20" s="74"/>
      <c r="L20" s="100">
        <f t="shared" ref="L20:L32" si="8">+$C20</f>
        <v>-1.3910000000000001E-3</v>
      </c>
      <c r="M20" s="156"/>
      <c r="N20" s="74"/>
      <c r="O20" s="100">
        <f t="shared" si="1"/>
        <v>-1.3910000000000001E-3</v>
      </c>
      <c r="P20" s="156"/>
      <c r="Q20" s="74"/>
      <c r="R20" s="100">
        <f t="shared" si="2"/>
        <v>-1.3910000000000001E-3</v>
      </c>
      <c r="S20" s="156"/>
      <c r="T20" s="74"/>
      <c r="U20" s="100">
        <f t="shared" si="3"/>
        <v>-1.3910000000000001E-3</v>
      </c>
      <c r="V20" s="156"/>
      <c r="W20" s="156"/>
      <c r="X20" s="100">
        <f t="shared" si="4"/>
        <v>-1.3910000000000001E-3</v>
      </c>
      <c r="Y20" s="156"/>
      <c r="Z20" s="156"/>
      <c r="AA20" s="100">
        <f t="shared" si="5"/>
        <v>-1.3910000000000001E-3</v>
      </c>
      <c r="AB20" s="156"/>
      <c r="AC20" s="74"/>
      <c r="AD20" s="100">
        <f>+C20</f>
        <v>-1.3910000000000001E-3</v>
      </c>
      <c r="AE20" s="156"/>
    </row>
    <row r="21" spans="1:31" ht="15" x14ac:dyDescent="0.25">
      <c r="A21" s="150">
        <f t="shared" si="0"/>
        <v>14</v>
      </c>
      <c r="B21" s="136" t="s">
        <v>32</v>
      </c>
      <c r="C21" s="100">
        <f>+'Res Bill RY#1'!Q26</f>
        <v>3.8249999999999998E-3</v>
      </c>
      <c r="D21" s="156"/>
      <c r="E21" s="162"/>
      <c r="F21" s="100">
        <f t="shared" si="6"/>
        <v>3.8249999999999998E-3</v>
      </c>
      <c r="G21" s="156"/>
      <c r="H21" s="74"/>
      <c r="I21" s="100">
        <f t="shared" si="7"/>
        <v>3.8249999999999998E-3</v>
      </c>
      <c r="J21" s="156"/>
      <c r="K21" s="74"/>
      <c r="L21" s="100">
        <f t="shared" si="8"/>
        <v>3.8249999999999998E-3</v>
      </c>
      <c r="M21" s="156"/>
      <c r="N21" s="74"/>
      <c r="O21" s="100">
        <f t="shared" si="1"/>
        <v>3.8249999999999998E-3</v>
      </c>
      <c r="P21" s="156"/>
      <c r="Q21" s="74"/>
      <c r="R21" s="100">
        <f t="shared" si="2"/>
        <v>3.8249999999999998E-3</v>
      </c>
      <c r="S21" s="156"/>
      <c r="T21" s="74"/>
      <c r="U21" s="100">
        <f t="shared" si="3"/>
        <v>3.8249999999999998E-3</v>
      </c>
      <c r="V21" s="156"/>
      <c r="W21" s="156"/>
      <c r="X21" s="100">
        <f t="shared" si="4"/>
        <v>3.8249999999999998E-3</v>
      </c>
      <c r="Y21" s="156"/>
      <c r="Z21" s="156"/>
      <c r="AA21" s="100">
        <f t="shared" si="5"/>
        <v>3.8249999999999998E-3</v>
      </c>
      <c r="AB21" s="156"/>
      <c r="AC21" s="74"/>
      <c r="AD21" s="100">
        <f t="shared" ref="AD21:AD24" si="9">+C21</f>
        <v>3.8249999999999998E-3</v>
      </c>
      <c r="AE21" s="156"/>
    </row>
    <row r="22" spans="1:31" ht="15" x14ac:dyDescent="0.25">
      <c r="A22" s="150">
        <f t="shared" si="0"/>
        <v>15</v>
      </c>
      <c r="B22" s="136" t="s">
        <v>21</v>
      </c>
      <c r="C22" s="100">
        <f>+'Res Bill RY#1'!Q27</f>
        <v>1.3519999999999999E-3</v>
      </c>
      <c r="D22" s="156"/>
      <c r="E22" s="162"/>
      <c r="F22" s="100">
        <f t="shared" si="6"/>
        <v>1.3519999999999999E-3</v>
      </c>
      <c r="G22" s="156"/>
      <c r="H22" s="74"/>
      <c r="I22" s="100">
        <f t="shared" si="7"/>
        <v>1.3519999999999999E-3</v>
      </c>
      <c r="J22" s="156"/>
      <c r="K22" s="74"/>
      <c r="L22" s="100">
        <f t="shared" si="8"/>
        <v>1.3519999999999999E-3</v>
      </c>
      <c r="M22" s="156"/>
      <c r="N22" s="74"/>
      <c r="O22" s="100">
        <f t="shared" si="1"/>
        <v>1.3519999999999999E-3</v>
      </c>
      <c r="P22" s="156"/>
      <c r="Q22" s="74"/>
      <c r="R22" s="100">
        <f t="shared" si="2"/>
        <v>1.3519999999999999E-3</v>
      </c>
      <c r="S22" s="156"/>
      <c r="T22" s="74"/>
      <c r="U22" s="100">
        <f t="shared" si="3"/>
        <v>1.3519999999999999E-3</v>
      </c>
      <c r="V22" s="156"/>
      <c r="W22" s="156"/>
      <c r="X22" s="100">
        <f t="shared" si="4"/>
        <v>1.3519999999999999E-3</v>
      </c>
      <c r="Y22" s="156"/>
      <c r="Z22" s="156"/>
      <c r="AA22" s="100">
        <f t="shared" si="5"/>
        <v>1.3519999999999999E-3</v>
      </c>
      <c r="AB22" s="156"/>
      <c r="AC22" s="74"/>
      <c r="AD22" s="100">
        <f t="shared" si="9"/>
        <v>1.3519999999999999E-3</v>
      </c>
      <c r="AE22" s="156"/>
    </row>
    <row r="23" spans="1:31" ht="15" x14ac:dyDescent="0.25">
      <c r="A23" s="150">
        <f t="shared" si="0"/>
        <v>16</v>
      </c>
      <c r="B23" s="135" t="s">
        <v>30</v>
      </c>
      <c r="C23" s="100">
        <f>+'Res Bill RY#1'!Q28</f>
        <v>-2.0999999999999999E-5</v>
      </c>
      <c r="D23" s="156"/>
      <c r="E23" s="162"/>
      <c r="F23" s="100">
        <f t="shared" si="6"/>
        <v>-2.0999999999999999E-5</v>
      </c>
      <c r="G23" s="156"/>
      <c r="H23" s="74"/>
      <c r="I23" s="100">
        <f t="shared" si="7"/>
        <v>-2.0999999999999999E-5</v>
      </c>
      <c r="J23" s="156"/>
      <c r="K23" s="74"/>
      <c r="L23" s="100">
        <f t="shared" si="8"/>
        <v>-2.0999999999999999E-5</v>
      </c>
      <c r="M23" s="156"/>
      <c r="N23" s="74"/>
      <c r="O23" s="100">
        <f t="shared" si="1"/>
        <v>-2.0999999999999999E-5</v>
      </c>
      <c r="P23" s="156"/>
      <c r="Q23" s="74"/>
      <c r="R23" s="100">
        <f t="shared" si="2"/>
        <v>-2.0999999999999999E-5</v>
      </c>
      <c r="S23" s="156"/>
      <c r="T23" s="74"/>
      <c r="U23" s="100">
        <f t="shared" si="3"/>
        <v>-2.0999999999999999E-5</v>
      </c>
      <c r="V23" s="156"/>
      <c r="W23" s="156"/>
      <c r="X23" s="100">
        <f t="shared" si="4"/>
        <v>-2.0999999999999999E-5</v>
      </c>
      <c r="Y23" s="156"/>
      <c r="Z23" s="156"/>
      <c r="AA23" s="100">
        <f t="shared" si="5"/>
        <v>-2.0999999999999999E-5</v>
      </c>
      <c r="AB23" s="156"/>
      <c r="AC23" s="74"/>
      <c r="AD23" s="100">
        <f t="shared" si="9"/>
        <v>-2.0999999999999999E-5</v>
      </c>
      <c r="AE23" s="156"/>
    </row>
    <row r="24" spans="1:31" ht="15" x14ac:dyDescent="0.25">
      <c r="A24" s="150">
        <f t="shared" si="0"/>
        <v>17</v>
      </c>
      <c r="B24" s="136" t="s">
        <v>22</v>
      </c>
      <c r="C24" s="100">
        <f>+'Res Bill RY#1'!Q29</f>
        <v>3.0720000000000001E-3</v>
      </c>
      <c r="D24" s="156"/>
      <c r="E24" s="162"/>
      <c r="F24" s="100">
        <f t="shared" si="6"/>
        <v>3.0720000000000001E-3</v>
      </c>
      <c r="G24" s="156"/>
      <c r="H24" s="74"/>
      <c r="I24" s="100">
        <f t="shared" si="7"/>
        <v>3.0720000000000001E-3</v>
      </c>
      <c r="J24" s="156"/>
      <c r="K24" s="74"/>
      <c r="L24" s="100">
        <f t="shared" si="8"/>
        <v>3.0720000000000001E-3</v>
      </c>
      <c r="M24" s="156"/>
      <c r="N24" s="74"/>
      <c r="O24" s="100">
        <f t="shared" si="1"/>
        <v>3.0720000000000001E-3</v>
      </c>
      <c r="P24" s="156"/>
      <c r="Q24" s="74"/>
      <c r="R24" s="100">
        <f t="shared" si="2"/>
        <v>3.0720000000000001E-3</v>
      </c>
      <c r="S24" s="156"/>
      <c r="T24" s="74"/>
      <c r="U24" s="100">
        <f t="shared" si="3"/>
        <v>3.0720000000000001E-3</v>
      </c>
      <c r="V24" s="156"/>
      <c r="W24" s="156"/>
      <c r="X24" s="100">
        <f t="shared" si="4"/>
        <v>3.0720000000000001E-3</v>
      </c>
      <c r="Y24" s="156"/>
      <c r="Z24" s="156"/>
      <c r="AA24" s="100">
        <f t="shared" si="5"/>
        <v>3.0720000000000001E-3</v>
      </c>
      <c r="AB24" s="156"/>
      <c r="AC24" s="74"/>
      <c r="AD24" s="100">
        <f t="shared" si="9"/>
        <v>3.0720000000000001E-3</v>
      </c>
      <c r="AE24" s="156"/>
    </row>
    <row r="25" spans="1:31" ht="15" x14ac:dyDescent="0.25">
      <c r="A25" s="150">
        <f t="shared" si="0"/>
        <v>18</v>
      </c>
      <c r="B25" s="135" t="s">
        <v>142</v>
      </c>
      <c r="C25" s="100">
        <f>+'Res Bill RY#1'!Q30</f>
        <v>0</v>
      </c>
      <c r="D25" s="156"/>
      <c r="E25" s="162"/>
      <c r="F25" s="100">
        <f t="shared" si="6"/>
        <v>0</v>
      </c>
      <c r="G25" s="156"/>
      <c r="H25" s="74"/>
      <c r="I25" s="100">
        <f t="shared" si="7"/>
        <v>0</v>
      </c>
      <c r="J25" s="156"/>
      <c r="K25" s="74"/>
      <c r="L25" s="100">
        <f t="shared" si="8"/>
        <v>0</v>
      </c>
      <c r="M25" s="156"/>
      <c r="N25" s="74"/>
      <c r="O25" s="100">
        <f>+'Res Bill RY#1'!S30</f>
        <v>2.892E-3</v>
      </c>
      <c r="P25" s="156"/>
      <c r="Q25" s="74"/>
      <c r="R25" s="100">
        <f t="shared" si="2"/>
        <v>0</v>
      </c>
      <c r="S25" s="156"/>
      <c r="T25" s="74"/>
      <c r="U25" s="100">
        <f t="shared" si="3"/>
        <v>0</v>
      </c>
      <c r="V25" s="156"/>
      <c r="W25" s="156"/>
      <c r="X25" s="100">
        <f t="shared" si="4"/>
        <v>0</v>
      </c>
      <c r="Y25" s="156"/>
      <c r="Z25" s="156"/>
      <c r="AA25" s="100">
        <f t="shared" si="5"/>
        <v>0</v>
      </c>
      <c r="AB25" s="156"/>
      <c r="AC25" s="74"/>
      <c r="AD25" s="100">
        <f>+O25</f>
        <v>2.892E-3</v>
      </c>
      <c r="AE25" s="156"/>
    </row>
    <row r="26" spans="1:31" ht="15" x14ac:dyDescent="0.25">
      <c r="A26" s="150">
        <f t="shared" si="0"/>
        <v>19</v>
      </c>
      <c r="B26" s="135" t="s">
        <v>143</v>
      </c>
      <c r="C26" s="100">
        <f>+'Res Bill RY#1'!Q31</f>
        <v>0</v>
      </c>
      <c r="D26" s="156"/>
      <c r="E26" s="162"/>
      <c r="F26" s="100">
        <f t="shared" si="6"/>
        <v>0</v>
      </c>
      <c r="G26" s="156"/>
      <c r="H26" s="74"/>
      <c r="I26" s="100">
        <f t="shared" si="7"/>
        <v>0</v>
      </c>
      <c r="J26" s="156"/>
      <c r="K26" s="74"/>
      <c r="L26" s="100">
        <f t="shared" si="8"/>
        <v>0</v>
      </c>
      <c r="M26" s="156"/>
      <c r="N26" s="74"/>
      <c r="O26" s="100">
        <f t="shared" ref="O26:O32" si="10">+$C26</f>
        <v>0</v>
      </c>
      <c r="P26" s="156"/>
      <c r="Q26" s="74"/>
      <c r="R26" s="100">
        <f>+'Res Bill RY#1'!S31</f>
        <v>1.3376000000000001E-2</v>
      </c>
      <c r="S26" s="156"/>
      <c r="T26" s="74"/>
      <c r="U26" s="100">
        <f t="shared" si="3"/>
        <v>0</v>
      </c>
      <c r="V26" s="156"/>
      <c r="W26" s="156"/>
      <c r="X26" s="100">
        <f t="shared" si="4"/>
        <v>0</v>
      </c>
      <c r="Y26" s="156"/>
      <c r="Z26" s="156"/>
      <c r="AA26" s="100">
        <f t="shared" si="5"/>
        <v>0</v>
      </c>
      <c r="AB26" s="156"/>
      <c r="AC26" s="74"/>
      <c r="AD26" s="100">
        <f>+R26</f>
        <v>1.3376000000000001E-2</v>
      </c>
      <c r="AE26" s="156"/>
    </row>
    <row r="27" spans="1:31" ht="15" x14ac:dyDescent="0.25">
      <c r="A27" s="150">
        <f t="shared" si="0"/>
        <v>20</v>
      </c>
      <c r="B27" s="136" t="s">
        <v>144</v>
      </c>
      <c r="C27" s="100">
        <f>+'Res Bill RY#1'!Q32</f>
        <v>0</v>
      </c>
      <c r="D27" s="156"/>
      <c r="E27" s="99"/>
      <c r="F27" s="100">
        <f t="shared" si="6"/>
        <v>0</v>
      </c>
      <c r="G27" s="156"/>
      <c r="H27" s="74"/>
      <c r="I27" s="100">
        <f t="shared" si="7"/>
        <v>0</v>
      </c>
      <c r="J27" s="74"/>
      <c r="K27" s="74"/>
      <c r="L27" s="100">
        <f t="shared" si="8"/>
        <v>0</v>
      </c>
      <c r="M27" s="74"/>
      <c r="N27" s="74"/>
      <c r="O27" s="100">
        <f t="shared" si="10"/>
        <v>0</v>
      </c>
      <c r="P27" s="74"/>
      <c r="Q27" s="74"/>
      <c r="R27" s="100">
        <f t="shared" ref="R27:R32" si="11">+$C27</f>
        <v>0</v>
      </c>
      <c r="S27" s="74"/>
      <c r="T27" s="74"/>
      <c r="U27" s="100">
        <f>+'Res Bill RY#1'!S32</f>
        <v>5.6880000000000003E-3</v>
      </c>
      <c r="V27" s="74"/>
      <c r="W27" s="74"/>
      <c r="X27" s="100">
        <f t="shared" si="4"/>
        <v>0</v>
      </c>
      <c r="Y27" s="74"/>
      <c r="Z27" s="74"/>
      <c r="AA27" s="100">
        <f t="shared" si="5"/>
        <v>0</v>
      </c>
      <c r="AB27" s="74"/>
      <c r="AC27" s="74"/>
      <c r="AD27" s="100">
        <f>+U27</f>
        <v>5.6880000000000003E-3</v>
      </c>
      <c r="AE27" s="74"/>
    </row>
    <row r="28" spans="1:31" ht="15" x14ac:dyDescent="0.25">
      <c r="A28" s="150">
        <f t="shared" si="0"/>
        <v>21</v>
      </c>
      <c r="B28" s="136" t="s">
        <v>145</v>
      </c>
      <c r="C28" s="100">
        <f>+'Res Bill RY#1'!Q33</f>
        <v>8.4999999999999995E-4</v>
      </c>
      <c r="D28" s="156"/>
      <c r="E28" s="162"/>
      <c r="F28" s="100">
        <f t="shared" si="6"/>
        <v>8.4999999999999995E-4</v>
      </c>
      <c r="G28" s="156"/>
      <c r="H28" s="74"/>
      <c r="I28" s="100">
        <f t="shared" si="7"/>
        <v>8.4999999999999995E-4</v>
      </c>
      <c r="J28" s="156"/>
      <c r="K28" s="74"/>
      <c r="L28" s="100">
        <f t="shared" si="8"/>
        <v>8.4999999999999995E-4</v>
      </c>
      <c r="M28" s="156"/>
      <c r="N28" s="74"/>
      <c r="O28" s="100">
        <f t="shared" si="10"/>
        <v>8.4999999999999995E-4</v>
      </c>
      <c r="P28" s="156"/>
      <c r="Q28" s="74"/>
      <c r="R28" s="100">
        <f t="shared" si="11"/>
        <v>8.4999999999999995E-4</v>
      </c>
      <c r="S28" s="156"/>
      <c r="T28" s="74"/>
      <c r="U28" s="100">
        <f t="shared" ref="U28:U32" si="12">+$C28</f>
        <v>8.4999999999999995E-4</v>
      </c>
      <c r="V28" s="156"/>
      <c r="W28" s="156"/>
      <c r="X28" s="100">
        <v>0</v>
      </c>
      <c r="Y28" s="156"/>
      <c r="Z28" s="156"/>
      <c r="AA28" s="100">
        <f t="shared" si="5"/>
        <v>8.4999999999999995E-4</v>
      </c>
      <c r="AB28" s="156"/>
      <c r="AC28" s="74"/>
      <c r="AD28" s="100">
        <f>+X28</f>
        <v>0</v>
      </c>
      <c r="AE28" s="156"/>
    </row>
    <row r="29" spans="1:31" ht="15" x14ac:dyDescent="0.25">
      <c r="A29" s="150">
        <f t="shared" si="0"/>
        <v>22</v>
      </c>
      <c r="B29" s="136" t="s">
        <v>146</v>
      </c>
      <c r="C29" s="100">
        <f>+'Res Bill RY#1'!Q34</f>
        <v>-8.8400000000000002E-4</v>
      </c>
      <c r="D29" s="156"/>
      <c r="E29" s="162"/>
      <c r="F29" s="100">
        <f t="shared" si="6"/>
        <v>-8.8400000000000002E-4</v>
      </c>
      <c r="G29" s="156"/>
      <c r="H29" s="74"/>
      <c r="I29" s="100">
        <f t="shared" si="7"/>
        <v>-8.8400000000000002E-4</v>
      </c>
      <c r="J29" s="156"/>
      <c r="K29" s="74"/>
      <c r="L29" s="100">
        <f t="shared" si="8"/>
        <v>-8.8400000000000002E-4</v>
      </c>
      <c r="M29" s="156"/>
      <c r="N29" s="74"/>
      <c r="O29" s="100">
        <f t="shared" si="10"/>
        <v>-8.8400000000000002E-4</v>
      </c>
      <c r="P29" s="156"/>
      <c r="Q29" s="74"/>
      <c r="R29" s="100">
        <f t="shared" si="11"/>
        <v>-8.8400000000000002E-4</v>
      </c>
      <c r="S29" s="156"/>
      <c r="T29" s="74"/>
      <c r="U29" s="100">
        <f t="shared" si="12"/>
        <v>-8.8400000000000002E-4</v>
      </c>
      <c r="V29" s="156"/>
      <c r="W29" s="156"/>
      <c r="X29" s="100">
        <f t="shared" ref="X29:X32" si="13">+$C29</f>
        <v>-8.8400000000000002E-4</v>
      </c>
      <c r="Y29" s="156"/>
      <c r="Z29" s="156"/>
      <c r="AA29" s="100">
        <f t="shared" si="5"/>
        <v>-8.8400000000000002E-4</v>
      </c>
      <c r="AB29" s="156"/>
      <c r="AC29" s="74"/>
      <c r="AD29" s="100">
        <f t="shared" ref="AD29:AD30" si="14">+AA29</f>
        <v>-8.8400000000000002E-4</v>
      </c>
      <c r="AE29" s="156"/>
    </row>
    <row r="30" spans="1:31" ht="15" x14ac:dyDescent="0.25">
      <c r="A30" s="150">
        <f t="shared" si="0"/>
        <v>23</v>
      </c>
      <c r="B30" s="136" t="s">
        <v>24</v>
      </c>
      <c r="C30" s="100">
        <f>+'Res Bill RY#1'!Q35</f>
        <v>-4.17E-4</v>
      </c>
      <c r="D30" s="156"/>
      <c r="E30" s="162"/>
      <c r="F30" s="100">
        <f t="shared" si="6"/>
        <v>-4.17E-4</v>
      </c>
      <c r="G30" s="156"/>
      <c r="H30" s="74"/>
      <c r="I30" s="100">
        <f t="shared" si="7"/>
        <v>-4.17E-4</v>
      </c>
      <c r="J30" s="156"/>
      <c r="K30" s="74"/>
      <c r="L30" s="100">
        <f t="shared" si="8"/>
        <v>-4.17E-4</v>
      </c>
      <c r="M30" s="156"/>
      <c r="N30" s="74"/>
      <c r="O30" s="100">
        <f t="shared" si="10"/>
        <v>-4.17E-4</v>
      </c>
      <c r="P30" s="156"/>
      <c r="Q30" s="74"/>
      <c r="R30" s="100">
        <f t="shared" si="11"/>
        <v>-4.17E-4</v>
      </c>
      <c r="S30" s="156"/>
      <c r="T30" s="74"/>
      <c r="U30" s="100">
        <f t="shared" si="12"/>
        <v>-4.17E-4</v>
      </c>
      <c r="V30" s="156"/>
      <c r="W30" s="156"/>
      <c r="X30" s="100">
        <f t="shared" si="13"/>
        <v>-4.17E-4</v>
      </c>
      <c r="Y30" s="156"/>
      <c r="Z30" s="156"/>
      <c r="AA30" s="100">
        <f t="shared" si="5"/>
        <v>-4.17E-4</v>
      </c>
      <c r="AB30" s="156"/>
      <c r="AC30" s="74"/>
      <c r="AD30" s="100">
        <f t="shared" si="14"/>
        <v>-4.17E-4</v>
      </c>
      <c r="AE30" s="156"/>
    </row>
    <row r="31" spans="1:31" ht="15" x14ac:dyDescent="0.25">
      <c r="A31" s="150">
        <f t="shared" si="0"/>
        <v>24</v>
      </c>
      <c r="B31" s="136" t="s">
        <v>129</v>
      </c>
      <c r="C31" s="100">
        <f>+'Res Bill RY#1'!Q36</f>
        <v>3.1400000000000004E-4</v>
      </c>
      <c r="D31" s="156"/>
      <c r="E31" s="162"/>
      <c r="F31" s="100">
        <f t="shared" si="6"/>
        <v>3.1400000000000004E-4</v>
      </c>
      <c r="G31" s="156"/>
      <c r="H31" s="74"/>
      <c r="I31" s="100">
        <f t="shared" si="7"/>
        <v>3.1400000000000004E-4</v>
      </c>
      <c r="J31" s="156"/>
      <c r="K31" s="74"/>
      <c r="L31" s="100">
        <f t="shared" si="8"/>
        <v>3.1400000000000004E-4</v>
      </c>
      <c r="M31" s="156"/>
      <c r="N31" s="74"/>
      <c r="O31" s="100">
        <f t="shared" si="10"/>
        <v>3.1400000000000004E-4</v>
      </c>
      <c r="P31" s="156"/>
      <c r="Q31" s="74"/>
      <c r="R31" s="100">
        <f t="shared" si="11"/>
        <v>3.1400000000000004E-4</v>
      </c>
      <c r="S31" s="156"/>
      <c r="T31" s="74"/>
      <c r="U31" s="100">
        <f t="shared" si="12"/>
        <v>3.1400000000000004E-4</v>
      </c>
      <c r="V31" s="156"/>
      <c r="W31" s="156"/>
      <c r="X31" s="100">
        <f t="shared" si="13"/>
        <v>3.1400000000000004E-4</v>
      </c>
      <c r="Y31" s="156"/>
      <c r="Z31" s="156"/>
      <c r="AA31" s="100">
        <v>0</v>
      </c>
      <c r="AB31" s="156"/>
      <c r="AC31" s="74"/>
      <c r="AD31" s="100">
        <f>+AA31</f>
        <v>0</v>
      </c>
      <c r="AE31" s="156"/>
    </row>
    <row r="32" spans="1:31" ht="15" x14ac:dyDescent="0.25">
      <c r="A32" s="150">
        <f t="shared" si="0"/>
        <v>25</v>
      </c>
      <c r="B32" s="136" t="s">
        <v>29</v>
      </c>
      <c r="C32" s="100">
        <f>+'Res Bill RY#1'!Q37</f>
        <v>-6.689136E-3</v>
      </c>
      <c r="D32" s="156"/>
      <c r="E32" s="162"/>
      <c r="F32" s="100">
        <f t="shared" si="6"/>
        <v>-6.689136E-3</v>
      </c>
      <c r="G32" s="156"/>
      <c r="H32" s="74"/>
      <c r="I32" s="100">
        <f t="shared" si="7"/>
        <v>-6.689136E-3</v>
      </c>
      <c r="J32" s="156"/>
      <c r="K32" s="74"/>
      <c r="L32" s="100">
        <f t="shared" si="8"/>
        <v>-6.689136E-3</v>
      </c>
      <c r="M32" s="156"/>
      <c r="N32" s="74"/>
      <c r="O32" s="100">
        <f t="shared" si="10"/>
        <v>-6.689136E-3</v>
      </c>
      <c r="P32" s="156"/>
      <c r="Q32" s="74"/>
      <c r="R32" s="100">
        <f t="shared" si="11"/>
        <v>-6.689136E-3</v>
      </c>
      <c r="S32" s="156"/>
      <c r="T32" s="74"/>
      <c r="U32" s="100">
        <f t="shared" si="12"/>
        <v>-6.689136E-3</v>
      </c>
      <c r="V32" s="156"/>
      <c r="W32" s="156"/>
      <c r="X32" s="100">
        <f t="shared" si="13"/>
        <v>-6.689136E-3</v>
      </c>
      <c r="Y32" s="156"/>
      <c r="Z32" s="156"/>
      <c r="AA32" s="100">
        <f>+$C32</f>
        <v>-6.689136E-3</v>
      </c>
      <c r="AB32" s="156"/>
      <c r="AC32" s="74"/>
      <c r="AD32" s="100">
        <f t="shared" ref="AD32" si="15">+AA32</f>
        <v>-6.689136E-3</v>
      </c>
      <c r="AE32" s="156"/>
    </row>
    <row r="33" spans="1:31" ht="15" x14ac:dyDescent="0.25">
      <c r="A33" s="150">
        <f t="shared" si="0"/>
        <v>26</v>
      </c>
      <c r="B33" s="101"/>
      <c r="C33" s="100"/>
      <c r="D33" s="156"/>
      <c r="E33" s="162"/>
      <c r="F33" s="100"/>
      <c r="G33" s="156"/>
      <c r="H33" s="74"/>
      <c r="I33" s="100"/>
      <c r="J33" s="156"/>
      <c r="K33" s="74"/>
      <c r="L33" s="100"/>
      <c r="M33" s="156"/>
      <c r="N33" s="74"/>
      <c r="O33" s="100"/>
      <c r="P33" s="156"/>
      <c r="Q33" s="74"/>
      <c r="R33" s="100"/>
      <c r="S33" s="156"/>
      <c r="T33" s="74"/>
      <c r="U33" s="100"/>
      <c r="V33" s="156"/>
      <c r="W33" s="156"/>
      <c r="X33" s="100"/>
      <c r="Y33" s="156"/>
      <c r="Z33" s="156"/>
      <c r="AA33" s="100"/>
      <c r="AB33" s="156"/>
      <c r="AC33" s="74"/>
      <c r="AD33" s="100"/>
      <c r="AE33" s="156"/>
    </row>
    <row r="34" spans="1:31" ht="15" x14ac:dyDescent="0.25">
      <c r="A34" s="150">
        <f t="shared" si="0"/>
        <v>27</v>
      </c>
      <c r="B34" s="160" t="s">
        <v>253</v>
      </c>
      <c r="C34" s="100">
        <f>SUM(C15,C18:C32)</f>
        <v>9.6803737056077949E-2</v>
      </c>
      <c r="D34" s="161">
        <f>ROUND(IF(C8&lt;600,C8*C34,600*C34),2)</f>
        <v>58.08</v>
      </c>
      <c r="E34" s="162"/>
      <c r="F34" s="100">
        <f>SUM(F15,F18:F32)</f>
        <v>9.5450737056077956E-2</v>
      </c>
      <c r="G34" s="161">
        <f>ROUND(IF(F8&lt;600,F8*F34,600*F34),2)</f>
        <v>57.27</v>
      </c>
      <c r="H34" s="74"/>
      <c r="I34" s="100">
        <f>SUM(I15,I18:I32)</f>
        <v>9.3489490323888549E-2</v>
      </c>
      <c r="J34" s="161">
        <f>ROUND(IF(I8&lt;600,I8*I34,600*I34),2)</f>
        <v>56.09</v>
      </c>
      <c r="K34" s="74"/>
      <c r="L34" s="100">
        <f>SUM(L15,L18:L32)</f>
        <v>9.4669110732189407E-2</v>
      </c>
      <c r="M34" s="161">
        <f>ROUND(IF(L8&lt;600,L8*L34,600*L34),2)</f>
        <v>56.8</v>
      </c>
      <c r="N34" s="74"/>
      <c r="O34" s="100">
        <f>SUM(O15,O18:O32)</f>
        <v>9.9695737056077954E-2</v>
      </c>
      <c r="P34" s="161">
        <f>ROUND(IF(O8&lt;600,O8*O34,600*O34),2)</f>
        <v>59.82</v>
      </c>
      <c r="Q34" s="74"/>
      <c r="R34" s="100">
        <f>SUM(R15,R18:R32)</f>
        <v>0.11017973705607795</v>
      </c>
      <c r="S34" s="161">
        <f>ROUND(IF(R8&lt;600,R8*R34,600*R34),2)</f>
        <v>66.11</v>
      </c>
      <c r="T34" s="74"/>
      <c r="U34" s="100">
        <f>SUM(U15,U18:U32)</f>
        <v>0.10249173705607795</v>
      </c>
      <c r="V34" s="161">
        <f>ROUND(IF(U8&lt;600,U8*U34,600*U34),2)</f>
        <v>61.5</v>
      </c>
      <c r="W34" s="161"/>
      <c r="X34" s="100">
        <f>SUM(X15,X18:X32)</f>
        <v>9.5953737056077945E-2</v>
      </c>
      <c r="Y34" s="161">
        <f>ROUND(IF(X8&lt;600,X8*X34,600*X34),2)</f>
        <v>57.57</v>
      </c>
      <c r="Z34" s="161"/>
      <c r="AA34" s="100">
        <f>SUM(AA15,AA18:AA32)</f>
        <v>9.6489737056077954E-2</v>
      </c>
      <c r="AB34" s="161">
        <f>ROUND(IF(AA8&lt;600,AA8*AA34,600*AA34),2)</f>
        <v>57.89</v>
      </c>
      <c r="AC34" s="74"/>
      <c r="AD34" s="100">
        <f>SUM(AD15,AD18:AD32)</f>
        <v>0.11079386400000002</v>
      </c>
      <c r="AE34" s="161">
        <f>ROUND(IF(AD8&lt;600,AD8*AD34,600*AD34),2)</f>
        <v>66.48</v>
      </c>
    </row>
    <row r="35" spans="1:31" ht="15" x14ac:dyDescent="0.25">
      <c r="A35" s="150">
        <f t="shared" si="0"/>
        <v>28</v>
      </c>
      <c r="B35" s="160" t="s">
        <v>254</v>
      </c>
      <c r="C35" s="100">
        <f>SUM(C16,C18:C32)</f>
        <v>0.11663473705607795</v>
      </c>
      <c r="D35" s="156">
        <f>ROUND(IF(C8&lt;600,0,(C8-600)*C35),2)</f>
        <v>23.33</v>
      </c>
      <c r="E35" s="162"/>
      <c r="F35" s="100">
        <f>SUM(F16,F18:F32)</f>
        <v>0.11498773705607795</v>
      </c>
      <c r="G35" s="156">
        <f>ROUND(IF(F8&lt;600,0,(F8-600)*F35),2)</f>
        <v>23</v>
      </c>
      <c r="H35" s="74"/>
      <c r="I35" s="100">
        <f>SUM(I16,I18:I32)</f>
        <v>0.11332049032388855</v>
      </c>
      <c r="J35" s="156">
        <f>ROUND(IF(I8&lt;600,0,(I8-600)*I35),2)</f>
        <v>22.66</v>
      </c>
      <c r="K35" s="74"/>
      <c r="L35" s="100">
        <f>SUM(L16,L18:L32)</f>
        <v>0.11450011073218941</v>
      </c>
      <c r="M35" s="156">
        <f>ROUND(IF(L8&lt;600,0,(L8-600)*L35),2)</f>
        <v>22.9</v>
      </c>
      <c r="N35" s="74"/>
      <c r="O35" s="100">
        <f>SUM(O16,O18:O32)</f>
        <v>0.11952673705607796</v>
      </c>
      <c r="P35" s="156">
        <f>ROUND(IF(O8&lt;600,0,(O8-600)*O35),2)</f>
        <v>23.91</v>
      </c>
      <c r="Q35" s="74"/>
      <c r="R35" s="100">
        <f>SUM(R16,R18:R32)</f>
        <v>0.13001073705607794</v>
      </c>
      <c r="S35" s="156">
        <f>ROUND(IF(R8&lt;600,0,(R8-600)*R35),2)</f>
        <v>26</v>
      </c>
      <c r="T35" s="74"/>
      <c r="U35" s="100">
        <f>SUM(U16,U18:U32)</f>
        <v>0.12232273705607795</v>
      </c>
      <c r="V35" s="156">
        <f>ROUND(IF(U8&lt;600,0,(U8-600)*U35),2)</f>
        <v>24.46</v>
      </c>
      <c r="W35" s="161"/>
      <c r="X35" s="100">
        <f>SUM(X16,X18:X32)</f>
        <v>0.11578473705607795</v>
      </c>
      <c r="Y35" s="156">
        <f>ROUND(IF(X8&lt;600,0,(X8-600)*X35),2)</f>
        <v>23.16</v>
      </c>
      <c r="Z35" s="161"/>
      <c r="AA35" s="100">
        <f>SUM(AA16,AA18:AA32)</f>
        <v>0.11632073705607796</v>
      </c>
      <c r="AB35" s="156">
        <f>ROUND(IF(AA8&lt;600,0,(AA8-600)*AA35),2)</f>
        <v>23.26</v>
      </c>
      <c r="AC35" s="74"/>
      <c r="AD35" s="100">
        <f>SUM(AD16,AD18:AD32)</f>
        <v>0.13033086400000002</v>
      </c>
      <c r="AE35" s="156">
        <f>ROUND(IF(AD8&lt;600,0,(AD8-600)*AD35),2)</f>
        <v>26.07</v>
      </c>
    </row>
    <row r="36" spans="1:31" ht="15" x14ac:dyDescent="0.25">
      <c r="A36" s="150">
        <f t="shared" si="0"/>
        <v>29</v>
      </c>
      <c r="B36" s="157" t="s">
        <v>255</v>
      </c>
      <c r="C36" s="74"/>
      <c r="D36" s="158">
        <f>SUM(D34:D35)</f>
        <v>81.41</v>
      </c>
      <c r="E36" s="99"/>
      <c r="F36" s="74"/>
      <c r="G36" s="158">
        <f>SUM(G34:G35)</f>
        <v>80.27000000000001</v>
      </c>
      <c r="H36" s="74"/>
      <c r="I36" s="74"/>
      <c r="J36" s="158">
        <f>SUM(J34:J35)</f>
        <v>78.75</v>
      </c>
      <c r="K36" s="74"/>
      <c r="L36" s="74"/>
      <c r="M36" s="158">
        <f>SUM(M34:M35)</f>
        <v>79.699999999999989</v>
      </c>
      <c r="N36" s="74"/>
      <c r="O36" s="74"/>
      <c r="P36" s="158">
        <f>SUM(P34:P35)</f>
        <v>83.73</v>
      </c>
      <c r="Q36" s="74"/>
      <c r="R36" s="74"/>
      <c r="S36" s="158">
        <f>SUM(S34:S35)</f>
        <v>92.11</v>
      </c>
      <c r="T36" s="74"/>
      <c r="U36" s="74"/>
      <c r="V36" s="158">
        <f>SUM(V34:V35)</f>
        <v>85.960000000000008</v>
      </c>
      <c r="W36" s="156"/>
      <c r="X36" s="74"/>
      <c r="Y36" s="158">
        <f>SUM(Y34:Y35)</f>
        <v>80.73</v>
      </c>
      <c r="Z36" s="156"/>
      <c r="AA36" s="74"/>
      <c r="AB36" s="158">
        <f>SUM(AB34:AB35)</f>
        <v>81.150000000000006</v>
      </c>
      <c r="AC36" s="74"/>
      <c r="AD36" s="74"/>
      <c r="AE36" s="158">
        <f>SUM(AE34:AE35)</f>
        <v>92.550000000000011</v>
      </c>
    </row>
    <row r="37" spans="1:31" ht="15" x14ac:dyDescent="0.25">
      <c r="A37" s="150">
        <f t="shared" si="0"/>
        <v>30</v>
      </c>
      <c r="B37" s="74"/>
      <c r="C37" s="74"/>
      <c r="D37" s="134"/>
      <c r="E37" s="99"/>
      <c r="F37" s="74"/>
      <c r="G37" s="156"/>
      <c r="H37" s="74"/>
      <c r="I37" s="74"/>
      <c r="J37" s="156"/>
      <c r="K37" s="74"/>
      <c r="L37" s="74"/>
      <c r="M37" s="156"/>
      <c r="N37" s="74"/>
      <c r="O37" s="74"/>
      <c r="P37" s="156"/>
      <c r="Q37" s="74"/>
      <c r="R37" s="74"/>
      <c r="S37" s="156"/>
      <c r="T37" s="74"/>
      <c r="U37" s="74"/>
      <c r="V37" s="156"/>
      <c r="W37" s="156"/>
      <c r="X37" s="74"/>
      <c r="Y37" s="156"/>
      <c r="Z37" s="156"/>
      <c r="AA37" s="74"/>
      <c r="AB37" s="156"/>
      <c r="AC37" s="74"/>
      <c r="AD37" s="74"/>
      <c r="AE37" s="156"/>
    </row>
    <row r="38" spans="1:31" ht="15" x14ac:dyDescent="0.25">
      <c r="A38" s="150">
        <f t="shared" si="0"/>
        <v>31</v>
      </c>
      <c r="B38" s="74" t="s">
        <v>246</v>
      </c>
      <c r="C38" s="133"/>
      <c r="D38" s="156">
        <f>D12+D36</f>
        <v>88.899999999999991</v>
      </c>
      <c r="E38" s="134"/>
      <c r="F38" s="133"/>
      <c r="G38" s="156">
        <f>G12+G36</f>
        <v>88.51</v>
      </c>
      <c r="H38" s="74"/>
      <c r="I38" s="133"/>
      <c r="J38" s="156">
        <f>J12+J36</f>
        <v>86.24</v>
      </c>
      <c r="K38" s="74"/>
      <c r="L38" s="133"/>
      <c r="M38" s="156">
        <f>M12+M36</f>
        <v>87.189999999999984</v>
      </c>
      <c r="N38" s="74"/>
      <c r="O38" s="133"/>
      <c r="P38" s="156">
        <f>P12+P36</f>
        <v>91.22</v>
      </c>
      <c r="Q38" s="74"/>
      <c r="R38" s="133"/>
      <c r="S38" s="156">
        <f>S12+S36</f>
        <v>99.6</v>
      </c>
      <c r="T38" s="74"/>
      <c r="U38" s="133"/>
      <c r="V38" s="156">
        <f>V12+V36</f>
        <v>93.45</v>
      </c>
      <c r="W38" s="156"/>
      <c r="X38" s="133"/>
      <c r="Y38" s="156">
        <f>Y12+Y36</f>
        <v>88.22</v>
      </c>
      <c r="Z38" s="156"/>
      <c r="AA38" s="133"/>
      <c r="AB38" s="156">
        <f>AB12+AB36</f>
        <v>88.64</v>
      </c>
      <c r="AC38" s="74"/>
      <c r="AD38" s="133"/>
      <c r="AE38" s="156">
        <f>AE12+AE36</f>
        <v>100.79</v>
      </c>
    </row>
    <row r="39" spans="1:31" ht="15" x14ac:dyDescent="0.25">
      <c r="A39" s="150">
        <f t="shared" si="0"/>
        <v>32</v>
      </c>
      <c r="B39" s="74" t="s">
        <v>247</v>
      </c>
      <c r="C39" s="133"/>
      <c r="D39" s="156"/>
      <c r="E39" s="134"/>
      <c r="F39" s="133"/>
      <c r="G39" s="156">
        <f>G38-$D38</f>
        <v>-0.38999999999998636</v>
      </c>
      <c r="H39" s="74"/>
      <c r="I39" s="133"/>
      <c r="J39" s="156">
        <f>J38-$D38</f>
        <v>-2.6599999999999966</v>
      </c>
      <c r="K39" s="74"/>
      <c r="L39" s="133"/>
      <c r="M39" s="156">
        <f>M38-$D38</f>
        <v>-1.710000000000008</v>
      </c>
      <c r="N39" s="74"/>
      <c r="O39" s="133"/>
      <c r="P39" s="156">
        <f>P38-$D38</f>
        <v>2.3200000000000074</v>
      </c>
      <c r="Q39" s="74"/>
      <c r="R39" s="133"/>
      <c r="S39" s="156">
        <f>S38-$D38</f>
        <v>10.700000000000003</v>
      </c>
      <c r="T39" s="74"/>
      <c r="U39" s="133"/>
      <c r="V39" s="156">
        <f>V38-$D38</f>
        <v>4.5500000000000114</v>
      </c>
      <c r="W39" s="156"/>
      <c r="X39" s="133"/>
      <c r="Y39" s="156">
        <f>Y38-$D38</f>
        <v>-0.67999999999999261</v>
      </c>
      <c r="Z39" s="156"/>
      <c r="AA39" s="133"/>
      <c r="AB39" s="156">
        <f>AB38-$D38</f>
        <v>-0.25999999999999091</v>
      </c>
      <c r="AC39" s="74"/>
      <c r="AD39" s="133"/>
      <c r="AE39" s="156">
        <f>AE38-$D38</f>
        <v>11.890000000000015</v>
      </c>
    </row>
    <row r="40" spans="1:31" ht="15" x14ac:dyDescent="0.25">
      <c r="A40" s="150">
        <f t="shared" si="0"/>
        <v>33</v>
      </c>
      <c r="B40" s="74" t="s">
        <v>248</v>
      </c>
      <c r="C40" s="96"/>
      <c r="D40" s="96"/>
      <c r="E40" s="163"/>
      <c r="F40" s="96"/>
      <c r="G40" s="83">
        <f>G39/$D38</f>
        <v>-4.3869516310459664E-3</v>
      </c>
      <c r="H40" s="74"/>
      <c r="I40" s="96"/>
      <c r="J40" s="83">
        <f>J39/$D38</f>
        <v>-2.992125984251965E-2</v>
      </c>
      <c r="K40" s="74"/>
      <c r="L40" s="96"/>
      <c r="M40" s="83">
        <f>M39/$D38</f>
        <v>-1.923509561304846E-2</v>
      </c>
      <c r="N40" s="74"/>
      <c r="O40" s="96"/>
      <c r="P40" s="83">
        <f>P39/$D38</f>
        <v>2.6096737907761614E-2</v>
      </c>
      <c r="Q40" s="74"/>
      <c r="R40" s="96"/>
      <c r="S40" s="83">
        <f>S39/$D38</f>
        <v>0.12035995500562434</v>
      </c>
      <c r="T40" s="74"/>
      <c r="U40" s="96"/>
      <c r="V40" s="83">
        <f>V39/$D38</f>
        <v>5.1181102362204856E-2</v>
      </c>
      <c r="W40" s="83"/>
      <c r="X40" s="96"/>
      <c r="Y40" s="83">
        <f>Y39/$D38</f>
        <v>-7.6490438695162285E-3</v>
      </c>
      <c r="Z40" s="83"/>
      <c r="AA40" s="96"/>
      <c r="AB40" s="83">
        <f>AB39/$D38</f>
        <v>-2.9246344206973109E-3</v>
      </c>
      <c r="AC40" s="74"/>
      <c r="AD40" s="96"/>
      <c r="AE40" s="83">
        <f>AE39/$D38</f>
        <v>0.13374578177727803</v>
      </c>
    </row>
    <row r="41" spans="1:31" ht="15" x14ac:dyDescent="0.25">
      <c r="A41" s="74"/>
      <c r="B41" s="74"/>
      <c r="C41" s="74"/>
      <c r="D41" s="156"/>
      <c r="E41" s="99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</row>
    <row r="42" spans="1:31" ht="17.25" x14ac:dyDescent="0.25">
      <c r="B42" s="101" t="s">
        <v>261</v>
      </c>
      <c r="C42" s="74"/>
      <c r="D42" s="74"/>
      <c r="E42" s="99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</row>
  </sheetData>
  <mergeCells count="13">
    <mergeCell ref="X6:Y6"/>
    <mergeCell ref="AA6:AB6"/>
    <mergeCell ref="AD6:AE6"/>
    <mergeCell ref="A1:AF1"/>
    <mergeCell ref="A2:AF2"/>
    <mergeCell ref="A3:AF3"/>
    <mergeCell ref="A4:AF4"/>
    <mergeCell ref="F6:G6"/>
    <mergeCell ref="I6:J6"/>
    <mergeCell ref="L6:M6"/>
    <mergeCell ref="O6:P6"/>
    <mergeCell ref="R6:S6"/>
    <mergeCell ref="U6:V6"/>
  </mergeCells>
  <pageMargins left="0.7" right="0.7" top="0.75" bottom="0.75" header="0.3" footer="0.3"/>
  <pageSetup scale="43" orientation="landscape" r:id="rId1"/>
  <headerFooter>
    <oddFooter>&amp;L&amp;A&amp;RExhibit No.___(BDJ-7)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4" ySplit="7" topLeftCell="E8" activePane="bottomRight" state="frozen"/>
      <selection sqref="A1:XFD1048576"/>
      <selection pane="topRight" sqref="A1:XFD1048576"/>
      <selection pane="bottomLeft" sqref="A1:XFD1048576"/>
      <selection pane="bottomRight" activeCell="E8" sqref="E8"/>
    </sheetView>
  </sheetViews>
  <sheetFormatPr defaultRowHeight="12.75" x14ac:dyDescent="0.2"/>
  <cols>
    <col min="1" max="1" width="4.85546875" style="199" customWidth="1"/>
    <col min="2" max="2" width="53.140625" style="199" bestFit="1" customWidth="1"/>
    <col min="3" max="3" width="11.7109375" style="199" bestFit="1" customWidth="1"/>
    <col min="4" max="4" width="9" style="199" bestFit="1" customWidth="1"/>
    <col min="5" max="5" width="2" style="199" customWidth="1"/>
    <col min="6" max="6" width="11.7109375" style="199" bestFit="1" customWidth="1"/>
    <col min="7" max="7" width="9" style="199" bestFit="1" customWidth="1"/>
    <col min="8" max="8" width="2" style="199" customWidth="1"/>
    <col min="9" max="9" width="11.7109375" style="199" bestFit="1" customWidth="1"/>
    <col min="10" max="10" width="8" style="199" bestFit="1" customWidth="1"/>
    <col min="11" max="11" width="2" style="199" customWidth="1"/>
    <col min="12" max="12" width="11.7109375" style="199" bestFit="1" customWidth="1"/>
    <col min="13" max="13" width="9" style="199" bestFit="1" customWidth="1"/>
    <col min="14" max="14" width="2" style="199" customWidth="1"/>
    <col min="15" max="15" width="11.7109375" style="199" bestFit="1" customWidth="1"/>
    <col min="16" max="16" width="9" style="199" bestFit="1" customWidth="1"/>
    <col min="17" max="16384" width="9.140625" style="199"/>
  </cols>
  <sheetData>
    <row r="1" spans="1:17" ht="1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7" ht="15" x14ac:dyDescent="0.25">
      <c r="A2" s="180" t="s">
        <v>191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5" x14ac:dyDescent="0.25">
      <c r="A3" s="180" t="s">
        <v>263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5" x14ac:dyDescent="0.25">
      <c r="A4" s="180" t="s">
        <v>194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7" ht="15" x14ac:dyDescent="0.25">
      <c r="A5" s="74"/>
      <c r="B5" s="74"/>
      <c r="C5" s="74"/>
      <c r="D5" s="74"/>
      <c r="E5" s="74"/>
      <c r="F5" s="155"/>
      <c r="G5" s="74"/>
      <c r="H5" s="74"/>
      <c r="I5" s="155"/>
      <c r="J5" s="74"/>
      <c r="K5" s="74"/>
      <c r="L5" s="74"/>
      <c r="M5" s="74"/>
      <c r="N5" s="74"/>
      <c r="O5" s="74"/>
      <c r="P5" s="74"/>
      <c r="Q5" s="74"/>
    </row>
    <row r="6" spans="1:17" ht="15" x14ac:dyDescent="0.25">
      <c r="A6" s="74"/>
      <c r="B6" s="74"/>
      <c r="C6" s="91" t="s">
        <v>235</v>
      </c>
      <c r="D6" s="91"/>
      <c r="F6" s="91" t="s">
        <v>257</v>
      </c>
      <c r="G6" s="91"/>
      <c r="I6" s="91" t="s">
        <v>237</v>
      </c>
      <c r="J6" s="91"/>
      <c r="L6" s="91" t="s">
        <v>238</v>
      </c>
      <c r="M6" s="91"/>
      <c r="O6" s="91" t="s">
        <v>240</v>
      </c>
      <c r="P6" s="91"/>
    </row>
    <row r="7" spans="1:17" ht="17.25" x14ac:dyDescent="0.25">
      <c r="A7" s="149" t="s">
        <v>10</v>
      </c>
      <c r="B7" s="149"/>
      <c r="C7" s="149" t="s">
        <v>241</v>
      </c>
      <c r="D7" s="149" t="s">
        <v>242</v>
      </c>
      <c r="F7" s="149" t="s">
        <v>243</v>
      </c>
      <c r="G7" s="149" t="s">
        <v>242</v>
      </c>
      <c r="I7" s="149" t="s">
        <v>243</v>
      </c>
      <c r="J7" s="149" t="s">
        <v>242</v>
      </c>
      <c r="L7" s="149" t="s">
        <v>243</v>
      </c>
      <c r="M7" s="149" t="s">
        <v>242</v>
      </c>
      <c r="O7" s="149" t="s">
        <v>243</v>
      </c>
      <c r="P7" s="149" t="s">
        <v>242</v>
      </c>
    </row>
    <row r="8" spans="1:17" ht="15" x14ac:dyDescent="0.25">
      <c r="A8" s="200">
        <v>1</v>
      </c>
      <c r="B8" s="101" t="s">
        <v>249</v>
      </c>
      <c r="C8" s="132">
        <f>+'Typical Res Bill RY#1'!C8</f>
        <v>800</v>
      </c>
      <c r="D8" s="156"/>
      <c r="E8" s="99"/>
      <c r="F8" s="74">
        <f>+$C$8</f>
        <v>800</v>
      </c>
      <c r="G8" s="156"/>
      <c r="H8" s="74"/>
      <c r="I8" s="74">
        <f>+$C$8</f>
        <v>800</v>
      </c>
      <c r="J8" s="156"/>
      <c r="K8" s="74"/>
      <c r="L8" s="74">
        <f>+$C$8</f>
        <v>800</v>
      </c>
      <c r="M8" s="156"/>
      <c r="N8" s="74"/>
      <c r="O8" s="132">
        <f>+$C$8</f>
        <v>800</v>
      </c>
      <c r="P8" s="156"/>
    </row>
    <row r="9" spans="1:17" ht="15" x14ac:dyDescent="0.25">
      <c r="A9" s="150">
        <f>+A8+1</f>
        <v>2</v>
      </c>
      <c r="B9" s="74"/>
      <c r="C9" s="74"/>
      <c r="D9" s="156"/>
      <c r="E9" s="99"/>
      <c r="F9" s="74"/>
      <c r="G9" s="156"/>
      <c r="H9" s="74"/>
      <c r="I9" s="74"/>
      <c r="J9" s="156"/>
      <c r="K9" s="74"/>
      <c r="L9" s="74"/>
      <c r="M9" s="156"/>
      <c r="N9" s="74"/>
      <c r="O9" s="74"/>
      <c r="P9" s="156"/>
    </row>
    <row r="10" spans="1:17" ht="15" x14ac:dyDescent="0.25">
      <c r="A10" s="150">
        <f t="shared" ref="A10:A40" si="0">+A9+1</f>
        <v>3</v>
      </c>
      <c r="B10" s="74" t="s">
        <v>245</v>
      </c>
      <c r="C10" s="74"/>
      <c r="D10" s="156"/>
      <c r="E10" s="99"/>
      <c r="F10" s="74"/>
      <c r="G10" s="156"/>
      <c r="H10" s="74"/>
      <c r="I10" s="74"/>
      <c r="J10" s="156"/>
      <c r="K10" s="74"/>
      <c r="L10" s="74"/>
      <c r="M10" s="156"/>
      <c r="N10" s="74"/>
      <c r="O10" s="74"/>
      <c r="P10" s="156"/>
    </row>
    <row r="11" spans="1:17" ht="15" x14ac:dyDescent="0.25">
      <c r="A11" s="150">
        <f t="shared" si="0"/>
        <v>4</v>
      </c>
      <c r="B11" s="136" t="s">
        <v>250</v>
      </c>
      <c r="C11" s="134">
        <f>+'Typical Res Bill RY#1'!AD11</f>
        <v>8.24</v>
      </c>
      <c r="D11" s="156">
        <f>C11</f>
        <v>8.24</v>
      </c>
      <c r="E11" s="134"/>
      <c r="F11" s="134">
        <f>+$C$11</f>
        <v>8.24</v>
      </c>
      <c r="G11" s="156">
        <f>F11</f>
        <v>8.24</v>
      </c>
      <c r="H11" s="74"/>
      <c r="I11" s="134">
        <f>+$C$11</f>
        <v>8.24</v>
      </c>
      <c r="J11" s="156">
        <f>I11</f>
        <v>8.24</v>
      </c>
      <c r="K11" s="74"/>
      <c r="L11" s="134">
        <f>+$C$11</f>
        <v>8.24</v>
      </c>
      <c r="M11" s="156">
        <f>L11</f>
        <v>8.24</v>
      </c>
      <c r="N11" s="74"/>
      <c r="O11" s="134">
        <f>+$C$11</f>
        <v>8.24</v>
      </c>
      <c r="P11" s="156">
        <f>O11</f>
        <v>8.24</v>
      </c>
    </row>
    <row r="12" spans="1:17" ht="15" x14ac:dyDescent="0.25">
      <c r="A12" s="150">
        <f t="shared" si="0"/>
        <v>5</v>
      </c>
      <c r="B12" s="157" t="s">
        <v>17</v>
      </c>
      <c r="C12" s="134"/>
      <c r="D12" s="158">
        <f>SUM(D11:D11)</f>
        <v>8.24</v>
      </c>
      <c r="E12" s="134"/>
      <c r="F12" s="134"/>
      <c r="G12" s="158">
        <f>SUM(G11:G11)</f>
        <v>8.24</v>
      </c>
      <c r="H12" s="74"/>
      <c r="I12" s="134"/>
      <c r="J12" s="158">
        <f>SUM(J11:J11)</f>
        <v>8.24</v>
      </c>
      <c r="K12" s="74"/>
      <c r="L12" s="134"/>
      <c r="M12" s="158">
        <f>SUM(M11:M11)</f>
        <v>8.24</v>
      </c>
      <c r="N12" s="74"/>
      <c r="O12" s="134"/>
      <c r="P12" s="158">
        <f>SUM(P11:P11)</f>
        <v>8.24</v>
      </c>
    </row>
    <row r="13" spans="1:17" ht="15" x14ac:dyDescent="0.25">
      <c r="A13" s="150">
        <f t="shared" si="0"/>
        <v>6</v>
      </c>
      <c r="B13" s="74"/>
      <c r="C13" s="133"/>
      <c r="D13" s="156"/>
      <c r="E13" s="134"/>
      <c r="F13" s="133"/>
      <c r="G13" s="156"/>
      <c r="H13" s="74"/>
      <c r="I13" s="133"/>
      <c r="J13" s="156"/>
      <c r="K13" s="74"/>
      <c r="L13" s="133"/>
      <c r="M13" s="156"/>
      <c r="N13" s="74"/>
      <c r="O13" s="133"/>
      <c r="P13" s="156"/>
    </row>
    <row r="14" spans="1:17" ht="15" x14ac:dyDescent="0.25">
      <c r="A14" s="150">
        <f t="shared" si="0"/>
        <v>7</v>
      </c>
      <c r="B14" s="101" t="s">
        <v>256</v>
      </c>
      <c r="C14" s="74"/>
      <c r="D14" s="156"/>
      <c r="E14" s="99"/>
      <c r="F14" s="74"/>
      <c r="G14" s="156"/>
      <c r="H14" s="74"/>
      <c r="I14" s="74"/>
      <c r="J14" s="156"/>
      <c r="K14" s="74"/>
      <c r="L14" s="74"/>
      <c r="M14" s="156"/>
      <c r="N14" s="74"/>
      <c r="O14" s="74"/>
      <c r="P14" s="156"/>
    </row>
    <row r="15" spans="1:17" ht="15" x14ac:dyDescent="0.25">
      <c r="A15" s="150">
        <f t="shared" si="0"/>
        <v>8</v>
      </c>
      <c r="B15" s="136" t="s">
        <v>251</v>
      </c>
      <c r="C15" s="100">
        <f>+'Typical Res Bill RY#1'!AD15</f>
        <v>8.9991000000000002E-2</v>
      </c>
      <c r="D15" s="156"/>
      <c r="E15" s="162"/>
      <c r="F15" s="100">
        <f>+$C$15</f>
        <v>8.9991000000000002E-2</v>
      </c>
      <c r="G15" s="156"/>
      <c r="H15" s="74"/>
      <c r="I15" s="100">
        <f>+$C$15</f>
        <v>8.9991000000000002E-2</v>
      </c>
      <c r="J15" s="156"/>
      <c r="K15" s="74"/>
      <c r="L15" s="100">
        <f>+$C$15</f>
        <v>8.9991000000000002E-2</v>
      </c>
      <c r="M15" s="156"/>
      <c r="N15" s="74"/>
      <c r="O15" s="100">
        <f>+C15</f>
        <v>8.9991000000000002E-2</v>
      </c>
      <c r="P15" s="156"/>
    </row>
    <row r="16" spans="1:17" ht="15" x14ac:dyDescent="0.25">
      <c r="A16" s="150">
        <f t="shared" si="0"/>
        <v>9</v>
      </c>
      <c r="B16" s="136" t="s">
        <v>252</v>
      </c>
      <c r="C16" s="100">
        <f>+'Typical Res Bill RY#1'!AD16</f>
        <v>0.109528</v>
      </c>
      <c r="D16" s="156"/>
      <c r="E16" s="162"/>
      <c r="F16" s="100">
        <f>+$C$16</f>
        <v>0.109528</v>
      </c>
      <c r="G16" s="156"/>
      <c r="H16" s="74"/>
      <c r="I16" s="100">
        <f>+$C$16</f>
        <v>0.109528</v>
      </c>
      <c r="J16" s="156"/>
      <c r="K16" s="74"/>
      <c r="L16" s="100">
        <f>+$C$16</f>
        <v>0.109528</v>
      </c>
      <c r="M16" s="156"/>
      <c r="N16" s="74"/>
      <c r="O16" s="100">
        <f>+C16</f>
        <v>0.109528</v>
      </c>
      <c r="P16" s="156"/>
    </row>
    <row r="17" spans="1:16" ht="15" x14ac:dyDescent="0.25">
      <c r="A17" s="150">
        <f t="shared" si="0"/>
        <v>10</v>
      </c>
      <c r="B17" s="136"/>
      <c r="C17" s="100"/>
      <c r="D17" s="156"/>
      <c r="E17" s="162"/>
      <c r="F17" s="159"/>
      <c r="G17" s="156"/>
      <c r="H17" s="74"/>
      <c r="I17" s="159"/>
      <c r="J17" s="156"/>
      <c r="K17" s="74"/>
      <c r="L17" s="159"/>
      <c r="M17" s="156"/>
      <c r="N17" s="74"/>
      <c r="O17" s="100"/>
      <c r="P17" s="156"/>
    </row>
    <row r="18" spans="1:16" ht="15" x14ac:dyDescent="0.25">
      <c r="A18" s="150">
        <f t="shared" si="0"/>
        <v>11</v>
      </c>
      <c r="B18" s="136" t="s">
        <v>128</v>
      </c>
      <c r="C18" s="100">
        <f>+'Typical Res Bill RY#1'!AD18</f>
        <v>0</v>
      </c>
      <c r="D18" s="156"/>
      <c r="E18" s="162"/>
      <c r="F18" s="100">
        <f t="shared" ref="F18:F26" si="1">+$C18</f>
        <v>0</v>
      </c>
      <c r="G18" s="156"/>
      <c r="H18" s="74"/>
      <c r="I18" s="100">
        <f>+C18</f>
        <v>0</v>
      </c>
      <c r="J18" s="156"/>
      <c r="K18" s="74"/>
      <c r="L18" s="100">
        <f t="shared" ref="L18:L26" si="2">+$C18</f>
        <v>0</v>
      </c>
      <c r="M18" s="156"/>
      <c r="N18" s="74"/>
      <c r="O18" s="100">
        <f t="shared" ref="O18:O32" si="3">+C18</f>
        <v>0</v>
      </c>
      <c r="P18" s="156"/>
    </row>
    <row r="19" spans="1:16" ht="15" x14ac:dyDescent="0.25">
      <c r="A19" s="150">
        <f t="shared" si="0"/>
        <v>12</v>
      </c>
      <c r="B19" s="136" t="s">
        <v>34</v>
      </c>
      <c r="C19" s="100">
        <f>+'Typical Res Bill RY#1'!AD19</f>
        <v>0</v>
      </c>
      <c r="D19" s="156"/>
      <c r="E19" s="162"/>
      <c r="F19" s="100">
        <f t="shared" si="1"/>
        <v>0</v>
      </c>
      <c r="G19" s="156"/>
      <c r="H19" s="74"/>
      <c r="I19" s="100">
        <f t="shared" ref="I19:I32" si="4">+C19</f>
        <v>0</v>
      </c>
      <c r="J19" s="156"/>
      <c r="K19" s="74"/>
      <c r="L19" s="100">
        <f t="shared" si="2"/>
        <v>0</v>
      </c>
      <c r="M19" s="156"/>
      <c r="N19" s="74"/>
      <c r="O19" s="100">
        <f t="shared" si="3"/>
        <v>0</v>
      </c>
      <c r="P19" s="156"/>
    </row>
    <row r="20" spans="1:16" ht="15" x14ac:dyDescent="0.25">
      <c r="A20" s="150">
        <f t="shared" si="0"/>
        <v>13</v>
      </c>
      <c r="B20" s="136" t="s">
        <v>33</v>
      </c>
      <c r="C20" s="100">
        <f>+'Typical Res Bill RY#1'!AD20</f>
        <v>-1.3910000000000001E-3</v>
      </c>
      <c r="D20" s="156"/>
      <c r="E20" s="162"/>
      <c r="F20" s="100">
        <f t="shared" si="1"/>
        <v>-1.3910000000000001E-3</v>
      </c>
      <c r="G20" s="156"/>
      <c r="H20" s="74"/>
      <c r="I20" s="100">
        <f t="shared" si="4"/>
        <v>-1.3910000000000001E-3</v>
      </c>
      <c r="J20" s="156"/>
      <c r="K20" s="74"/>
      <c r="L20" s="100">
        <f t="shared" si="2"/>
        <v>-1.3910000000000001E-3</v>
      </c>
      <c r="M20" s="156"/>
      <c r="N20" s="74"/>
      <c r="O20" s="100">
        <f t="shared" si="3"/>
        <v>-1.3910000000000001E-3</v>
      </c>
      <c r="P20" s="156"/>
    </row>
    <row r="21" spans="1:16" ht="15" x14ac:dyDescent="0.25">
      <c r="A21" s="150">
        <f t="shared" si="0"/>
        <v>14</v>
      </c>
      <c r="B21" s="136" t="s">
        <v>32</v>
      </c>
      <c r="C21" s="100">
        <f>+'Typical Res Bill RY#1'!AD21</f>
        <v>3.8249999999999998E-3</v>
      </c>
      <c r="D21" s="156"/>
      <c r="E21" s="162"/>
      <c r="F21" s="100">
        <f t="shared" si="1"/>
        <v>3.8249999999999998E-3</v>
      </c>
      <c r="G21" s="156"/>
      <c r="H21" s="74"/>
      <c r="I21" s="100">
        <f t="shared" si="4"/>
        <v>3.8249999999999998E-3</v>
      </c>
      <c r="J21" s="156"/>
      <c r="K21" s="74"/>
      <c r="L21" s="100">
        <f t="shared" si="2"/>
        <v>3.8249999999999998E-3</v>
      </c>
      <c r="M21" s="156"/>
      <c r="N21" s="74"/>
      <c r="O21" s="100">
        <f t="shared" si="3"/>
        <v>3.8249999999999998E-3</v>
      </c>
      <c r="P21" s="156"/>
    </row>
    <row r="22" spans="1:16" ht="15" x14ac:dyDescent="0.25">
      <c r="A22" s="150">
        <f t="shared" si="0"/>
        <v>15</v>
      </c>
      <c r="B22" s="136" t="s">
        <v>21</v>
      </c>
      <c r="C22" s="100">
        <f>+'Typical Res Bill RY#1'!AD22</f>
        <v>1.3519999999999999E-3</v>
      </c>
      <c r="D22" s="156"/>
      <c r="E22" s="162"/>
      <c r="F22" s="100">
        <f t="shared" si="1"/>
        <v>1.3519999999999999E-3</v>
      </c>
      <c r="G22" s="156"/>
      <c r="H22" s="74"/>
      <c r="I22" s="100">
        <f t="shared" si="4"/>
        <v>1.3519999999999999E-3</v>
      </c>
      <c r="J22" s="156"/>
      <c r="K22" s="74"/>
      <c r="L22" s="100">
        <f t="shared" si="2"/>
        <v>1.3519999999999999E-3</v>
      </c>
      <c r="M22" s="156"/>
      <c r="N22" s="74"/>
      <c r="O22" s="100">
        <f t="shared" si="3"/>
        <v>1.3519999999999999E-3</v>
      </c>
      <c r="P22" s="156"/>
    </row>
    <row r="23" spans="1:16" ht="15" x14ac:dyDescent="0.25">
      <c r="A23" s="150">
        <f t="shared" si="0"/>
        <v>16</v>
      </c>
      <c r="B23" s="135" t="s">
        <v>30</v>
      </c>
      <c r="C23" s="100">
        <f>+'Typical Res Bill RY#1'!AD23</f>
        <v>-2.0999999999999999E-5</v>
      </c>
      <c r="D23" s="156"/>
      <c r="E23" s="162"/>
      <c r="F23" s="100">
        <f t="shared" si="1"/>
        <v>-2.0999999999999999E-5</v>
      </c>
      <c r="G23" s="156"/>
      <c r="H23" s="74"/>
      <c r="I23" s="100">
        <f t="shared" si="4"/>
        <v>-2.0999999999999999E-5</v>
      </c>
      <c r="J23" s="156"/>
      <c r="K23" s="74"/>
      <c r="L23" s="100">
        <f t="shared" si="2"/>
        <v>-2.0999999999999999E-5</v>
      </c>
      <c r="M23" s="156"/>
      <c r="N23" s="74"/>
      <c r="O23" s="100">
        <f t="shared" si="3"/>
        <v>-2.0999999999999999E-5</v>
      </c>
      <c r="P23" s="156"/>
    </row>
    <row r="24" spans="1:16" ht="15" x14ac:dyDescent="0.25">
      <c r="A24" s="150">
        <f t="shared" si="0"/>
        <v>17</v>
      </c>
      <c r="B24" s="136" t="s">
        <v>22</v>
      </c>
      <c r="C24" s="100">
        <f>+'Typical Res Bill RY#1'!AD24</f>
        <v>3.0720000000000001E-3</v>
      </c>
      <c r="D24" s="156"/>
      <c r="E24" s="162"/>
      <c r="F24" s="100">
        <f t="shared" si="1"/>
        <v>3.0720000000000001E-3</v>
      </c>
      <c r="G24" s="156"/>
      <c r="H24" s="74"/>
      <c r="I24" s="100">
        <f t="shared" si="4"/>
        <v>3.0720000000000001E-3</v>
      </c>
      <c r="J24" s="156"/>
      <c r="K24" s="74"/>
      <c r="L24" s="100">
        <f t="shared" si="2"/>
        <v>3.0720000000000001E-3</v>
      </c>
      <c r="M24" s="156"/>
      <c r="N24" s="74"/>
      <c r="O24" s="100">
        <f t="shared" si="3"/>
        <v>3.0720000000000001E-3</v>
      </c>
      <c r="P24" s="156"/>
    </row>
    <row r="25" spans="1:16" ht="15" x14ac:dyDescent="0.25">
      <c r="A25" s="150">
        <f t="shared" si="0"/>
        <v>18</v>
      </c>
      <c r="B25" s="135" t="s">
        <v>142</v>
      </c>
      <c r="C25" s="100">
        <f>+'Typical Res Bill RY#1'!AD25</f>
        <v>2.892E-3</v>
      </c>
      <c r="D25" s="156"/>
      <c r="E25" s="162"/>
      <c r="F25" s="100">
        <f>+'Res Bill RY#2'!S30</f>
        <v>3.0840718613430909E-3</v>
      </c>
      <c r="G25" s="156"/>
      <c r="H25" s="74"/>
      <c r="I25" s="100">
        <f t="shared" si="4"/>
        <v>2.892E-3</v>
      </c>
      <c r="J25" s="156"/>
      <c r="K25" s="74"/>
      <c r="L25" s="100">
        <f t="shared" si="2"/>
        <v>2.892E-3</v>
      </c>
      <c r="M25" s="156"/>
      <c r="N25" s="74"/>
      <c r="O25" s="100">
        <f>+F25</f>
        <v>3.0840718613430909E-3</v>
      </c>
      <c r="P25" s="156"/>
    </row>
    <row r="26" spans="1:16" ht="15" x14ac:dyDescent="0.25">
      <c r="A26" s="150">
        <f t="shared" si="0"/>
        <v>19</v>
      </c>
      <c r="B26" s="135" t="s">
        <v>143</v>
      </c>
      <c r="C26" s="100">
        <f>+'Typical Res Bill RY#1'!AD26</f>
        <v>1.3376000000000001E-2</v>
      </c>
      <c r="D26" s="156"/>
      <c r="E26" s="162"/>
      <c r="F26" s="100">
        <f t="shared" si="1"/>
        <v>1.3376000000000001E-2</v>
      </c>
      <c r="G26" s="156"/>
      <c r="H26" s="74"/>
      <c r="I26" s="100">
        <f>+'Res Bill RY#2'!S31</f>
        <v>1.0187999999999999E-2</v>
      </c>
      <c r="J26" s="156"/>
      <c r="K26" s="74"/>
      <c r="L26" s="100">
        <f t="shared" si="2"/>
        <v>1.3376000000000001E-2</v>
      </c>
      <c r="M26" s="156"/>
      <c r="N26" s="74"/>
      <c r="O26" s="100">
        <f>+I26</f>
        <v>1.0187999999999999E-2</v>
      </c>
      <c r="P26" s="156"/>
    </row>
    <row r="27" spans="1:16" ht="15" x14ac:dyDescent="0.25">
      <c r="A27" s="150">
        <f t="shared" si="0"/>
        <v>20</v>
      </c>
      <c r="B27" s="136" t="s">
        <v>144</v>
      </c>
      <c r="C27" s="100">
        <f>+'Typical Res Bill RY#1'!AD27</f>
        <v>5.6880000000000003E-3</v>
      </c>
      <c r="D27" s="156"/>
      <c r="E27" s="99"/>
      <c r="F27" s="100">
        <f>+C27</f>
        <v>5.6880000000000003E-3</v>
      </c>
      <c r="G27" s="74"/>
      <c r="H27" s="74"/>
      <c r="I27" s="100">
        <f t="shared" si="4"/>
        <v>5.6880000000000003E-3</v>
      </c>
      <c r="J27" s="74"/>
      <c r="K27" s="74"/>
      <c r="L27" s="100">
        <f>+'Res Bill RY#2'!S32</f>
        <v>1.2151E-2</v>
      </c>
      <c r="M27" s="74"/>
      <c r="N27" s="74"/>
      <c r="O27" s="100">
        <f>+L27</f>
        <v>1.2151E-2</v>
      </c>
      <c r="P27" s="74"/>
    </row>
    <row r="28" spans="1:16" ht="15" x14ac:dyDescent="0.25">
      <c r="A28" s="150">
        <f t="shared" si="0"/>
        <v>21</v>
      </c>
      <c r="B28" s="136" t="s">
        <v>145</v>
      </c>
      <c r="C28" s="100">
        <f>+'Typical Res Bill RY#1'!AD28</f>
        <v>0</v>
      </c>
      <c r="D28" s="156"/>
      <c r="E28" s="162"/>
      <c r="F28" s="100">
        <f t="shared" ref="F28:F32" si="5">+$C28</f>
        <v>0</v>
      </c>
      <c r="G28" s="156"/>
      <c r="H28" s="74"/>
      <c r="I28" s="100">
        <f t="shared" si="4"/>
        <v>0</v>
      </c>
      <c r="J28" s="156"/>
      <c r="K28" s="74"/>
      <c r="L28" s="100">
        <f t="shared" ref="L28:L32" si="6">+$C28</f>
        <v>0</v>
      </c>
      <c r="M28" s="156"/>
      <c r="N28" s="74"/>
      <c r="O28" s="100">
        <f t="shared" si="3"/>
        <v>0</v>
      </c>
      <c r="P28" s="156"/>
    </row>
    <row r="29" spans="1:16" ht="15" x14ac:dyDescent="0.25">
      <c r="A29" s="150">
        <f t="shared" si="0"/>
        <v>22</v>
      </c>
      <c r="B29" s="136" t="s">
        <v>146</v>
      </c>
      <c r="C29" s="100">
        <f>+'Typical Res Bill RY#1'!AD29</f>
        <v>-8.8400000000000002E-4</v>
      </c>
      <c r="D29" s="156"/>
      <c r="E29" s="162"/>
      <c r="F29" s="100">
        <f t="shared" si="5"/>
        <v>-8.8400000000000002E-4</v>
      </c>
      <c r="G29" s="156"/>
      <c r="H29" s="74"/>
      <c r="I29" s="100">
        <f t="shared" si="4"/>
        <v>-8.8400000000000002E-4</v>
      </c>
      <c r="J29" s="156"/>
      <c r="K29" s="74"/>
      <c r="L29" s="100">
        <f t="shared" si="6"/>
        <v>-8.8400000000000002E-4</v>
      </c>
      <c r="M29" s="156"/>
      <c r="N29" s="74"/>
      <c r="O29" s="100">
        <f t="shared" si="3"/>
        <v>-8.8400000000000002E-4</v>
      </c>
      <c r="P29" s="156"/>
    </row>
    <row r="30" spans="1:16" ht="15" x14ac:dyDescent="0.25">
      <c r="A30" s="150">
        <f t="shared" si="0"/>
        <v>23</v>
      </c>
      <c r="B30" s="136" t="s">
        <v>24</v>
      </c>
      <c r="C30" s="100">
        <f>+'Typical Res Bill RY#1'!AD30</f>
        <v>-4.17E-4</v>
      </c>
      <c r="D30" s="156"/>
      <c r="E30" s="162"/>
      <c r="F30" s="100">
        <f t="shared" si="5"/>
        <v>-4.17E-4</v>
      </c>
      <c r="G30" s="156"/>
      <c r="H30" s="74"/>
      <c r="I30" s="100">
        <f t="shared" si="4"/>
        <v>-4.17E-4</v>
      </c>
      <c r="J30" s="156"/>
      <c r="K30" s="74"/>
      <c r="L30" s="100">
        <f t="shared" si="6"/>
        <v>-4.17E-4</v>
      </c>
      <c r="M30" s="156"/>
      <c r="N30" s="74"/>
      <c r="O30" s="100">
        <f t="shared" si="3"/>
        <v>-4.17E-4</v>
      </c>
      <c r="P30" s="156"/>
    </row>
    <row r="31" spans="1:16" ht="15" x14ac:dyDescent="0.25">
      <c r="A31" s="150">
        <f t="shared" si="0"/>
        <v>24</v>
      </c>
      <c r="B31" s="136" t="s">
        <v>129</v>
      </c>
      <c r="C31" s="100">
        <f>+'Typical Res Bill RY#1'!AD31</f>
        <v>0</v>
      </c>
      <c r="D31" s="156"/>
      <c r="E31" s="162"/>
      <c r="F31" s="100">
        <f t="shared" si="5"/>
        <v>0</v>
      </c>
      <c r="G31" s="156"/>
      <c r="H31" s="74"/>
      <c r="I31" s="100">
        <f t="shared" si="4"/>
        <v>0</v>
      </c>
      <c r="J31" s="156"/>
      <c r="K31" s="74"/>
      <c r="L31" s="100">
        <f t="shared" si="6"/>
        <v>0</v>
      </c>
      <c r="M31" s="156"/>
      <c r="N31" s="74"/>
      <c r="O31" s="100">
        <f t="shared" si="3"/>
        <v>0</v>
      </c>
      <c r="P31" s="156"/>
    </row>
    <row r="32" spans="1:16" ht="15" x14ac:dyDescent="0.25">
      <c r="A32" s="150">
        <f t="shared" si="0"/>
        <v>25</v>
      </c>
      <c r="B32" s="136" t="s">
        <v>29</v>
      </c>
      <c r="C32" s="100">
        <f>+'Typical Res Bill RY#1'!AD32</f>
        <v>-6.689136E-3</v>
      </c>
      <c r="D32" s="156"/>
      <c r="E32" s="162"/>
      <c r="F32" s="100">
        <f t="shared" si="5"/>
        <v>-6.689136E-3</v>
      </c>
      <c r="G32" s="156"/>
      <c r="H32" s="74"/>
      <c r="I32" s="100">
        <f t="shared" si="4"/>
        <v>-6.689136E-3</v>
      </c>
      <c r="J32" s="156"/>
      <c r="K32" s="74"/>
      <c r="L32" s="100">
        <f t="shared" si="6"/>
        <v>-6.689136E-3</v>
      </c>
      <c r="M32" s="156"/>
      <c r="N32" s="74"/>
      <c r="O32" s="100">
        <f t="shared" si="3"/>
        <v>-6.689136E-3</v>
      </c>
      <c r="P32" s="156"/>
    </row>
    <row r="33" spans="1:16" ht="15" x14ac:dyDescent="0.25">
      <c r="A33" s="150">
        <f t="shared" si="0"/>
        <v>26</v>
      </c>
      <c r="B33" s="101"/>
      <c r="C33" s="100"/>
      <c r="D33" s="156"/>
      <c r="E33" s="162"/>
      <c r="F33" s="100"/>
      <c r="G33" s="156"/>
      <c r="H33" s="74"/>
      <c r="I33" s="100"/>
      <c r="J33" s="156"/>
      <c r="K33" s="74"/>
      <c r="L33" s="100"/>
      <c r="M33" s="156"/>
      <c r="N33" s="74"/>
      <c r="O33" s="100"/>
      <c r="P33" s="156"/>
    </row>
    <row r="34" spans="1:16" ht="15" x14ac:dyDescent="0.25">
      <c r="A34" s="150">
        <f t="shared" si="0"/>
        <v>27</v>
      </c>
      <c r="B34" s="160" t="s">
        <v>253</v>
      </c>
      <c r="C34" s="100">
        <f>SUM(C15,C18:C32)</f>
        <v>0.11079386400000002</v>
      </c>
      <c r="D34" s="161">
        <f>ROUND(IF(C8&lt;600,C8*C34,600*C34),2)</f>
        <v>66.48</v>
      </c>
      <c r="E34" s="162"/>
      <c r="F34" s="100">
        <f>SUM(F15,F18:F32)</f>
        <v>0.1109859358613431</v>
      </c>
      <c r="G34" s="161">
        <f>ROUND(IF(F8&lt;600,F8*F34,600*F34),2)</f>
        <v>66.59</v>
      </c>
      <c r="H34" s="74"/>
      <c r="I34" s="100">
        <f>SUM(I15,I18:I32)</f>
        <v>0.10760586400000002</v>
      </c>
      <c r="J34" s="161">
        <f>ROUND(IF(I8&lt;600,I8*I34,600*I34),2)</f>
        <v>64.56</v>
      </c>
      <c r="K34" s="74"/>
      <c r="L34" s="100">
        <f>SUM(L15,L18:L32)</f>
        <v>0.11725686400000003</v>
      </c>
      <c r="M34" s="161">
        <f>ROUND(IF(L8&lt;600,L8*L34,600*L34),2)</f>
        <v>70.349999999999994</v>
      </c>
      <c r="N34" s="74"/>
      <c r="O34" s="100">
        <f>SUM(O15,O18:O32)</f>
        <v>0.1142609358613431</v>
      </c>
      <c r="P34" s="161">
        <f>ROUND(IF(O8&lt;600,O8*O34,600*O34),2)</f>
        <v>68.56</v>
      </c>
    </row>
    <row r="35" spans="1:16" ht="15" x14ac:dyDescent="0.25">
      <c r="A35" s="150">
        <f t="shared" si="0"/>
        <v>28</v>
      </c>
      <c r="B35" s="160" t="s">
        <v>254</v>
      </c>
      <c r="C35" s="100">
        <f>SUM(C16,C18:C32)</f>
        <v>0.13033086400000002</v>
      </c>
      <c r="D35" s="156">
        <f>ROUND(IF(C8&lt;600,0,(C8-600)*C35),2)</f>
        <v>26.07</v>
      </c>
      <c r="E35" s="162"/>
      <c r="F35" s="100">
        <f>SUM(F16,F18:F32)</f>
        <v>0.13052293586134309</v>
      </c>
      <c r="G35" s="156">
        <f>ROUND(IF(F8&lt;600,0,(F8-600)*F35),2)</f>
        <v>26.1</v>
      </c>
      <c r="H35" s="74"/>
      <c r="I35" s="100">
        <f>SUM(I16,I18:I32)</f>
        <v>0.12714286399999999</v>
      </c>
      <c r="J35" s="156">
        <f>ROUND(IF(I8&lt;600,0,(I8-600)*I35),2)</f>
        <v>25.43</v>
      </c>
      <c r="K35" s="74"/>
      <c r="L35" s="100">
        <f>SUM(L16,L18:L32)</f>
        <v>0.13679386400000002</v>
      </c>
      <c r="M35" s="156">
        <f>ROUND(IF(L8&lt;600,0,(L8-600)*L35),2)</f>
        <v>27.36</v>
      </c>
      <c r="N35" s="74"/>
      <c r="O35" s="100">
        <f>SUM(O16,O18:O32)</f>
        <v>0.13379793586134309</v>
      </c>
      <c r="P35" s="156">
        <f>ROUND(IF(O8&lt;600,0,(O8-600)*O35),2)</f>
        <v>26.76</v>
      </c>
    </row>
    <row r="36" spans="1:16" ht="15" x14ac:dyDescent="0.25">
      <c r="A36" s="150">
        <f t="shared" si="0"/>
        <v>29</v>
      </c>
      <c r="B36" s="157" t="s">
        <v>255</v>
      </c>
      <c r="C36" s="74"/>
      <c r="D36" s="158">
        <f>SUM(D34:D35)</f>
        <v>92.550000000000011</v>
      </c>
      <c r="E36" s="99"/>
      <c r="F36" s="74"/>
      <c r="G36" s="158">
        <f>SUM(G34:G35)</f>
        <v>92.69</v>
      </c>
      <c r="H36" s="74"/>
      <c r="I36" s="74"/>
      <c r="J36" s="158">
        <f>SUM(J34:J35)</f>
        <v>89.990000000000009</v>
      </c>
      <c r="K36" s="74"/>
      <c r="L36" s="74"/>
      <c r="M36" s="158">
        <f>SUM(M34:M35)</f>
        <v>97.71</v>
      </c>
      <c r="N36" s="74"/>
      <c r="O36" s="74"/>
      <c r="P36" s="158">
        <f>SUM(P34:P35)</f>
        <v>95.320000000000007</v>
      </c>
    </row>
    <row r="37" spans="1:16" ht="15" x14ac:dyDescent="0.25">
      <c r="A37" s="150">
        <f t="shared" si="0"/>
        <v>30</v>
      </c>
      <c r="B37" s="74"/>
      <c r="C37" s="74"/>
      <c r="D37" s="134"/>
      <c r="E37" s="99"/>
      <c r="F37" s="74"/>
      <c r="G37" s="156"/>
      <c r="H37" s="74"/>
      <c r="I37" s="74"/>
      <c r="J37" s="156"/>
      <c r="K37" s="74"/>
      <c r="L37" s="74"/>
      <c r="M37" s="156"/>
      <c r="N37" s="74"/>
      <c r="O37" s="74"/>
      <c r="P37" s="156"/>
    </row>
    <row r="38" spans="1:16" ht="15" x14ac:dyDescent="0.25">
      <c r="A38" s="150">
        <f t="shared" si="0"/>
        <v>31</v>
      </c>
      <c r="B38" s="74" t="s">
        <v>246</v>
      </c>
      <c r="C38" s="133"/>
      <c r="D38" s="156">
        <f>D12+D36</f>
        <v>100.79</v>
      </c>
      <c r="E38" s="134"/>
      <c r="F38" s="133"/>
      <c r="G38" s="156">
        <f>G12+G36</f>
        <v>100.92999999999999</v>
      </c>
      <c r="H38" s="74"/>
      <c r="I38" s="133"/>
      <c r="J38" s="156">
        <f>J12+J36</f>
        <v>98.23</v>
      </c>
      <c r="K38" s="74"/>
      <c r="L38" s="133"/>
      <c r="M38" s="156">
        <f>M12+M36</f>
        <v>105.94999999999999</v>
      </c>
      <c r="N38" s="74"/>
      <c r="O38" s="133"/>
      <c r="P38" s="156">
        <f>P12+P36</f>
        <v>103.56</v>
      </c>
    </row>
    <row r="39" spans="1:16" ht="15" x14ac:dyDescent="0.25">
      <c r="A39" s="150">
        <f t="shared" si="0"/>
        <v>32</v>
      </c>
      <c r="B39" s="74" t="s">
        <v>247</v>
      </c>
      <c r="C39" s="133"/>
      <c r="D39" s="156"/>
      <c r="E39" s="134"/>
      <c r="F39" s="133"/>
      <c r="G39" s="156">
        <f>G38-$D38</f>
        <v>0.13999999999998636</v>
      </c>
      <c r="H39" s="74"/>
      <c r="I39" s="133"/>
      <c r="J39" s="156">
        <f>J38-$D38</f>
        <v>-2.5600000000000023</v>
      </c>
      <c r="K39" s="74"/>
      <c r="L39" s="133"/>
      <c r="M39" s="156">
        <f>M38-$D38</f>
        <v>5.1599999999999824</v>
      </c>
      <c r="N39" s="74"/>
      <c r="O39" s="133"/>
      <c r="P39" s="156">
        <f>P38-$D38</f>
        <v>2.769999999999996</v>
      </c>
    </row>
    <row r="40" spans="1:16" ht="15" x14ac:dyDescent="0.25">
      <c r="A40" s="150">
        <f t="shared" si="0"/>
        <v>33</v>
      </c>
      <c r="B40" s="74" t="s">
        <v>248</v>
      </c>
      <c r="C40" s="96"/>
      <c r="D40" s="96"/>
      <c r="E40" s="163"/>
      <c r="F40" s="96"/>
      <c r="G40" s="83">
        <f>G39/$D38</f>
        <v>1.3890266891555347E-3</v>
      </c>
      <c r="H40" s="74"/>
      <c r="I40" s="96"/>
      <c r="J40" s="83">
        <f>J39/$D38</f>
        <v>-2.5399345173132276E-2</v>
      </c>
      <c r="K40" s="74"/>
      <c r="L40" s="96"/>
      <c r="M40" s="83">
        <f>M39/$D38</f>
        <v>5.1195555114594525E-2</v>
      </c>
      <c r="N40" s="74"/>
      <c r="O40" s="96"/>
      <c r="P40" s="83">
        <f>P39/$D38</f>
        <v>2.7482885206865721E-2</v>
      </c>
    </row>
    <row r="41" spans="1:16" ht="15" x14ac:dyDescent="0.25">
      <c r="A41" s="74"/>
      <c r="B41" s="74"/>
      <c r="C41" s="74"/>
      <c r="D41" s="156"/>
      <c r="E41" s="99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ht="17.25" x14ac:dyDescent="0.25">
      <c r="B42" s="101" t="s">
        <v>262</v>
      </c>
      <c r="C42" s="74"/>
      <c r="D42" s="74"/>
      <c r="E42" s="99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</sheetData>
  <mergeCells count="4">
    <mergeCell ref="A1:Q1"/>
    <mergeCell ref="A2:Q2"/>
    <mergeCell ref="A3:Q3"/>
    <mergeCell ref="A4:Q4"/>
  </mergeCells>
  <pageMargins left="0.7" right="0.7" top="0.75" bottom="0.75" header="0.3" footer="0.3"/>
  <pageSetup scale="70" orientation="landscape" r:id="rId1"/>
  <headerFooter>
    <oddFooter>&amp;L&amp;A&amp;RExhibit No.___(BDJ-7)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AF3D3A-A3DD-4325-B02B-0D653F29E570}"/>
</file>

<file path=customXml/itemProps2.xml><?xml version="1.0" encoding="utf-8"?>
<ds:datastoreItem xmlns:ds="http://schemas.openxmlformats.org/officeDocument/2006/customXml" ds:itemID="{B57FFDE7-7C0E-4688-9292-DA8C48EE84A4}"/>
</file>

<file path=customXml/itemProps3.xml><?xml version="1.0" encoding="utf-8"?>
<ds:datastoreItem xmlns:ds="http://schemas.openxmlformats.org/officeDocument/2006/customXml" ds:itemID="{45F9FD65-AD40-4638-B359-5A64C754E795}"/>
</file>

<file path=customXml/itemProps4.xml><?xml version="1.0" encoding="utf-8"?>
<ds:datastoreItem xmlns:ds="http://schemas.openxmlformats.org/officeDocument/2006/customXml" ds:itemID="{86C65234-A228-4BDD-8D77-A55CBD6B42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Rate Impacts_RY#1</vt:lpstr>
      <vt:lpstr>Rate Impacts_RY#2</vt:lpstr>
      <vt:lpstr>Rate Impacts_RY#3</vt:lpstr>
      <vt:lpstr>Res Bill Summary</vt:lpstr>
      <vt:lpstr>Res Bill RY#1</vt:lpstr>
      <vt:lpstr>Res Bill RY#2</vt:lpstr>
      <vt:lpstr>Res Bill RY#3</vt:lpstr>
      <vt:lpstr>Typical Res Bill RY#1</vt:lpstr>
      <vt:lpstr>Typical Res Bill RY#2</vt:lpstr>
      <vt:lpstr>Typical Res Bill RY#3</vt:lpstr>
      <vt:lpstr>Schedule 24 Impacts</vt:lpstr>
      <vt:lpstr>Schedule 25 Impacts</vt:lpstr>
      <vt:lpstr>Schedule 26 Impacts</vt:lpstr>
      <vt:lpstr>Schedule 29 Impacts</vt:lpstr>
      <vt:lpstr>Schedule 31 Impacts</vt:lpstr>
      <vt:lpstr>Schedule 46 Impacts</vt:lpstr>
      <vt:lpstr>Schedule 49 Impacts</vt:lpstr>
      <vt:lpstr>'Rate Impacts_RY#1'!Print_Area</vt:lpstr>
      <vt:lpstr>'Rate Impacts_RY#2'!Print_Area</vt:lpstr>
      <vt:lpstr>'Rate Impacts_RY#3'!Print_Area</vt:lpstr>
      <vt:lpstr>'Res Bill RY#1'!Print_Area</vt:lpstr>
      <vt:lpstr>'Res Bill RY#2'!Print_Area</vt:lpstr>
      <vt:lpstr>'Res Bill RY#3'!Print_Area</vt:lpstr>
      <vt:lpstr>'Res Bill Summary'!Print_Area</vt:lpstr>
      <vt:lpstr>'Schedule 24 Impacts'!Print_Area</vt:lpstr>
      <vt:lpstr>'Schedule 25 Impacts'!Print_Area</vt:lpstr>
      <vt:lpstr>'Schedule 26 Impacts'!Print_Area</vt:lpstr>
      <vt:lpstr>'Schedule 29 Impacts'!Print_Area</vt:lpstr>
      <vt:lpstr>'Schedule 31 Impacts'!Print_Area</vt:lpstr>
      <vt:lpstr>'Schedule 46 Impacts'!Print_Area</vt:lpstr>
      <vt:lpstr>'Schedule 49 Impacts'!Print_Area</vt:lpstr>
      <vt:lpstr>'Typical Res Bill RY#1'!Print_Area</vt:lpstr>
      <vt:lpstr>'Typical Res Bill RY#2'!Print_Area</vt:lpstr>
      <vt:lpstr>'Typical Res Bill RY#3'!Print_Area</vt:lpstr>
      <vt:lpstr>'Rate Impacts_RY#1'!Print_Titles</vt:lpstr>
      <vt:lpstr>'Rate Impacts_RY#2'!Print_Titles</vt:lpstr>
      <vt:lpstr>'Rate Impacts_RY#3'!Print_Titles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Pam Rasanen</cp:lastModifiedBy>
  <cp:lastPrinted>2022-01-24T03:42:13Z</cp:lastPrinted>
  <dcterms:created xsi:type="dcterms:W3CDTF">2016-12-27T22:31:24Z</dcterms:created>
  <dcterms:modified xsi:type="dcterms:W3CDTF">2022-01-24T03:43:24Z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