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7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Exhibits\"/>
    </mc:Choice>
  </mc:AlternateContent>
  <bookViews>
    <workbookView xWindow="690" yWindow="930" windowWidth="19950" windowHeight="8115" tabRatio="948" firstSheet="1" activeTab="2"/>
  </bookViews>
  <sheets>
    <sheet name="_com.sap.ip.bi.xl.hiddensheet" sheetId="105" state="veryHidden" r:id="rId1"/>
    <sheet name="Table of Contents" sheetId="191" r:id="rId2"/>
    <sheet name="BDJ-6 Base Revenue (Summary)" sheetId="180" r:id="rId3"/>
    <sheet name="BDJ-6 Lighting Parity Ratios" sheetId="181" r:id="rId4"/>
    <sheet name="BDJ-6 Rate Design Lighting" sheetId="182" r:id="rId5"/>
    <sheet name="BDJ-6 Unitized Lighting Costs" sheetId="183" r:id="rId6"/>
    <sheet name="BDJ-6 Classification of Costs" sheetId="128" r:id="rId7"/>
    <sheet name="BDJ-6 Combined Charges" sheetId="184" r:id="rId8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2">{"'Sheet1'!$A$1:$J$121"}</definedName>
    <definedName name="HTML_Control" localSheetId="6">{"'Sheet1'!$A$1:$J$121"}</definedName>
    <definedName name="HTML_Control" localSheetId="7">{"'Sheet1'!$A$1:$J$121"}</definedName>
    <definedName name="HTML_Control" localSheetId="3">{"'Sheet1'!$A$1:$J$121"}</definedName>
    <definedName name="HTML_Control" localSheetId="4">{"'Sheet1'!$A$1:$J$121"}</definedName>
    <definedName name="HTML_Control" localSheetId="5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_xlnm.Print_Titles" localSheetId="7">'BDJ-6 Combined Charges'!$1:$10</definedName>
    <definedName name="_xlnm.Print_Titles" localSheetId="4">'BDJ-6 Rate Design Lighting'!$1:$8</definedName>
    <definedName name="_xlnm.Print_Titles" localSheetId="5">'BDJ-6 Unitized Lighting Costs'!$1:$8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OnSave="0"/>
</workbook>
</file>

<file path=xl/calcChain.xml><?xml version="1.0" encoding="utf-8"?>
<calcChain xmlns="http://schemas.openxmlformats.org/spreadsheetml/2006/main">
  <c r="A6" i="128" l="1"/>
  <c r="A5" i="128"/>
  <c r="A3" i="128"/>
  <c r="A4" i="184"/>
  <c r="A3" i="184"/>
  <c r="A1" i="184"/>
  <c r="A1" i="183"/>
  <c r="A4" i="183"/>
  <c r="A3" i="183"/>
  <c r="A5" i="182"/>
  <c r="A4" i="182"/>
  <c r="A4" i="181"/>
  <c r="A3" i="181"/>
  <c r="A1" i="181"/>
  <c r="A1" i="182"/>
  <c r="A1" i="191" l="1"/>
  <c r="A3" i="191"/>
  <c r="A4" i="191"/>
  <c r="A12" i="184" l="1"/>
  <c r="A13" i="184"/>
  <c r="A14" i="184" s="1"/>
  <c r="A15" i="184" s="1"/>
  <c r="A16" i="184" s="1"/>
  <c r="A17" i="184" s="1"/>
  <c r="A18" i="184" s="1"/>
  <c r="A19" i="184" s="1"/>
  <c r="A20" i="184" s="1"/>
  <c r="A21" i="184" s="1"/>
  <c r="A22" i="184" s="1"/>
  <c r="A23" i="184" s="1"/>
  <c r="A24" i="184" s="1"/>
  <c r="A25" i="184" s="1"/>
  <c r="A26" i="184" s="1"/>
  <c r="A27" i="184" s="1"/>
  <c r="A28" i="184" s="1"/>
  <c r="A29" i="184" s="1"/>
  <c r="A30" i="184" s="1"/>
  <c r="A31" i="184" s="1"/>
  <c r="A32" i="184" s="1"/>
  <c r="A33" i="184" s="1"/>
  <c r="A34" i="184" s="1"/>
  <c r="A35" i="184" s="1"/>
  <c r="A36" i="184" s="1"/>
  <c r="A37" i="184" s="1"/>
  <c r="A38" i="184" s="1"/>
  <c r="A39" i="184" s="1"/>
  <c r="A40" i="184" s="1"/>
  <c r="A41" i="184" s="1"/>
  <c r="A42" i="184" s="1"/>
  <c r="A43" i="184" s="1"/>
  <c r="A44" i="184" s="1"/>
  <c r="A45" i="184" s="1"/>
  <c r="A46" i="184" s="1"/>
  <c r="A47" i="184" s="1"/>
  <c r="A48" i="184" s="1"/>
  <c r="A49" i="184" s="1"/>
  <c r="A50" i="184" s="1"/>
  <c r="A51" i="184" s="1"/>
  <c r="A52" i="184" s="1"/>
  <c r="A53" i="184" s="1"/>
  <c r="A54" i="184" s="1"/>
  <c r="A55" i="184" s="1"/>
  <c r="A56" i="184" s="1"/>
  <c r="A57" i="184" s="1"/>
  <c r="A58" i="184" s="1"/>
  <c r="A59" i="184" s="1"/>
  <c r="A60" i="184" s="1"/>
  <c r="A61" i="184" s="1"/>
  <c r="A62" i="184" s="1"/>
  <c r="A63" i="184" s="1"/>
  <c r="A64" i="184" s="1"/>
  <c r="A65" i="184" s="1"/>
  <c r="A66" i="184" s="1"/>
  <c r="A67" i="184" s="1"/>
  <c r="A68" i="184" s="1"/>
  <c r="A69" i="184" s="1"/>
  <c r="A70" i="184" s="1"/>
  <c r="A71" i="184" s="1"/>
  <c r="A72" i="184" s="1"/>
  <c r="A73" i="184" s="1"/>
  <c r="A74" i="184" s="1"/>
  <c r="A75" i="184" s="1"/>
  <c r="A76" i="184" s="1"/>
  <c r="A77" i="184" s="1"/>
  <c r="A78" i="184" s="1"/>
  <c r="A79" i="184" s="1"/>
  <c r="A80" i="184" s="1"/>
  <c r="A81" i="184" s="1"/>
  <c r="A82" i="184" s="1"/>
  <c r="A83" i="184" s="1"/>
  <c r="A84" i="184" s="1"/>
  <c r="A85" i="184" s="1"/>
  <c r="A86" i="184" s="1"/>
  <c r="A87" i="184" s="1"/>
  <c r="A88" i="184" s="1"/>
  <c r="A89" i="184" s="1"/>
  <c r="A90" i="184" s="1"/>
  <c r="A91" i="184" s="1"/>
  <c r="A92" i="184" s="1"/>
  <c r="A93" i="184" s="1"/>
  <c r="A94" i="184" s="1"/>
  <c r="A95" i="184" s="1"/>
  <c r="A96" i="184" s="1"/>
  <c r="A97" i="184" s="1"/>
  <c r="A98" i="184" s="1"/>
  <c r="A99" i="184" s="1"/>
  <c r="A100" i="184" s="1"/>
  <c r="A101" i="184" s="1"/>
  <c r="A102" i="184" s="1"/>
  <c r="A103" i="184" s="1"/>
  <c r="A104" i="184" s="1"/>
  <c r="A105" i="184" s="1"/>
  <c r="A106" i="184" s="1"/>
  <c r="A107" i="184" s="1"/>
  <c r="A108" i="184" s="1"/>
  <c r="A109" i="184" s="1"/>
  <c r="A110" i="184" s="1"/>
  <c r="A111" i="184" s="1"/>
  <c r="A112" i="184" s="1"/>
  <c r="A113" i="184" s="1"/>
  <c r="A114" i="184" s="1"/>
  <c r="A115" i="184" s="1"/>
  <c r="A116" i="184" s="1"/>
  <c r="A117" i="184" s="1"/>
  <c r="A118" i="184" s="1"/>
  <c r="A119" i="184" s="1"/>
  <c r="A120" i="184" s="1"/>
  <c r="A121" i="184" s="1"/>
  <c r="A122" i="184" s="1"/>
  <c r="A123" i="184" s="1"/>
  <c r="A124" i="184" s="1"/>
  <c r="A125" i="184" s="1"/>
  <c r="A126" i="184" s="1"/>
  <c r="A127" i="184" s="1"/>
  <c r="A128" i="184" s="1"/>
  <c r="A129" i="184" s="1"/>
  <c r="A130" i="184" s="1"/>
  <c r="A131" i="184" s="1"/>
  <c r="A132" i="184" s="1"/>
  <c r="A133" i="184" s="1"/>
  <c r="A134" i="184" s="1"/>
  <c r="A135" i="184" s="1"/>
  <c r="A136" i="184" s="1"/>
  <c r="A137" i="184" s="1"/>
  <c r="A138" i="184" s="1"/>
  <c r="A139" i="184" s="1"/>
  <c r="A140" i="184" s="1"/>
  <c r="A141" i="184" s="1"/>
  <c r="A142" i="184" s="1"/>
  <c r="A143" i="184" s="1"/>
  <c r="A144" i="184" s="1"/>
  <c r="A145" i="184" s="1"/>
  <c r="A146" i="184" s="1"/>
  <c r="A147" i="184" s="1"/>
  <c r="A148" i="184" s="1"/>
  <c r="A149" i="184" s="1"/>
  <c r="A150" i="184" s="1"/>
  <c r="A151" i="184" s="1"/>
  <c r="A152" i="184" s="1"/>
  <c r="A153" i="184" s="1"/>
  <c r="A154" i="184" s="1"/>
  <c r="A155" i="184" s="1"/>
  <c r="A156" i="184" s="1"/>
  <c r="A157" i="184" s="1"/>
  <c r="A158" i="184" s="1"/>
  <c r="A159" i="184" s="1"/>
  <c r="A160" i="184" s="1"/>
  <c r="A161" i="184" s="1"/>
  <c r="A162" i="184" s="1"/>
  <c r="A163" i="184" s="1"/>
  <c r="A164" i="184" s="1"/>
  <c r="A165" i="184" s="1"/>
  <c r="A166" i="184" s="1"/>
  <c r="A167" i="184" s="1"/>
  <c r="A168" i="184" s="1"/>
  <c r="A169" i="184" s="1"/>
  <c r="A170" i="184" s="1"/>
  <c r="A171" i="184" s="1"/>
  <c r="A172" i="184" s="1"/>
  <c r="A173" i="184" s="1"/>
  <c r="A174" i="184" s="1"/>
  <c r="A175" i="184" s="1"/>
  <c r="A176" i="184" s="1"/>
  <c r="A177" i="184" s="1"/>
  <c r="A178" i="184" s="1"/>
  <c r="A179" i="184" s="1"/>
  <c r="A180" i="184" s="1"/>
  <c r="A181" i="184" s="1"/>
  <c r="A182" i="184" s="1"/>
  <c r="A183" i="184" s="1"/>
  <c r="A184" i="184" s="1"/>
  <c r="A185" i="184" s="1"/>
  <c r="A186" i="184" s="1"/>
  <c r="A187" i="184" s="1"/>
  <c r="A188" i="184" s="1"/>
  <c r="A189" i="184" s="1"/>
  <c r="A190" i="184" s="1"/>
  <c r="A191" i="184" s="1"/>
  <c r="A192" i="184" s="1"/>
  <c r="A193" i="184" s="1"/>
  <c r="A194" i="184" s="1"/>
  <c r="A195" i="184" s="1"/>
  <c r="A196" i="184" s="1"/>
  <c r="A197" i="184" s="1"/>
  <c r="A198" i="184" s="1"/>
  <c r="A199" i="184" s="1"/>
  <c r="A200" i="184" s="1"/>
  <c r="A201" i="184" s="1"/>
  <c r="A202" i="184" s="1"/>
  <c r="A203" i="184" s="1"/>
  <c r="A204" i="184" s="1"/>
  <c r="A205" i="184" s="1"/>
  <c r="A206" i="184" s="1"/>
  <c r="A207" i="184" s="1"/>
  <c r="A208" i="184" s="1"/>
  <c r="A209" i="184" s="1"/>
  <c r="A210" i="184" s="1"/>
  <c r="A211" i="184" s="1"/>
  <c r="A212" i="184" s="1"/>
  <c r="A213" i="184" s="1"/>
  <c r="A214" i="184" s="1"/>
  <c r="A215" i="184" s="1"/>
  <c r="A216" i="184" s="1"/>
  <c r="A217" i="184" s="1"/>
  <c r="A218" i="184" s="1"/>
  <c r="A219" i="184" s="1"/>
  <c r="A10" i="183" l="1"/>
  <c r="A11" i="183" s="1"/>
  <c r="A12" i="183" s="1"/>
  <c r="A13" i="183" s="1"/>
  <c r="A14" i="183" s="1"/>
  <c r="A15" i="183" s="1"/>
  <c r="A16" i="183" s="1"/>
  <c r="A17" i="183" s="1"/>
  <c r="A18" i="183" s="1"/>
  <c r="A19" i="183" s="1"/>
  <c r="A20" i="183" s="1"/>
  <c r="A21" i="183" s="1"/>
  <c r="A22" i="183" s="1"/>
  <c r="A23" i="183" s="1"/>
  <c r="A24" i="183" s="1"/>
  <c r="A25" i="183" s="1"/>
  <c r="A26" i="183" s="1"/>
  <c r="A27" i="183" s="1"/>
  <c r="A28" i="183" s="1"/>
  <c r="A29" i="183" s="1"/>
  <c r="A30" i="183" s="1"/>
  <c r="A31" i="183" s="1"/>
  <c r="A32" i="183" s="1"/>
  <c r="A33" i="183" s="1"/>
  <c r="A34" i="183" s="1"/>
  <c r="A35" i="183" s="1"/>
  <c r="A36" i="183" s="1"/>
  <c r="A37" i="183" s="1"/>
  <c r="A38" i="183" s="1"/>
  <c r="A39" i="183" s="1"/>
  <c r="A40" i="183" s="1"/>
  <c r="A41" i="183" s="1"/>
  <c r="A42" i="183" s="1"/>
  <c r="A43" i="183" s="1"/>
  <c r="A44" i="183" s="1"/>
  <c r="A45" i="183" s="1"/>
  <c r="A46" i="183" s="1"/>
  <c r="A47" i="183" s="1"/>
  <c r="A48" i="183" s="1"/>
  <c r="A49" i="183" s="1"/>
  <c r="A50" i="183" s="1"/>
  <c r="A51" i="183" s="1"/>
  <c r="A52" i="183" s="1"/>
  <c r="A53" i="183" s="1"/>
  <c r="A54" i="183" s="1"/>
  <c r="A55" i="183" s="1"/>
  <c r="A56" i="183" s="1"/>
  <c r="A57" i="183" s="1"/>
  <c r="A58" i="183" s="1"/>
  <c r="A59" i="183" s="1"/>
  <c r="A60" i="183" s="1"/>
  <c r="A61" i="183" s="1"/>
  <c r="A62" i="183" s="1"/>
  <c r="A63" i="183" s="1"/>
  <c r="A64" i="183" s="1"/>
  <c r="A65" i="183" s="1"/>
  <c r="A66" i="183" s="1"/>
  <c r="A67" i="183" s="1"/>
  <c r="A68" i="183" s="1"/>
  <c r="A69" i="183" s="1"/>
  <c r="A70" i="183" s="1"/>
  <c r="A71" i="183" s="1"/>
  <c r="A72" i="183" s="1"/>
  <c r="A73" i="183" s="1"/>
  <c r="A74" i="183" s="1"/>
  <c r="A75" i="183" s="1"/>
  <c r="A76" i="183" s="1"/>
  <c r="A77" i="183" s="1"/>
  <c r="A78" i="183" s="1"/>
  <c r="A79" i="183" s="1"/>
  <c r="A80" i="183" s="1"/>
  <c r="A81" i="183" s="1"/>
  <c r="A82" i="183" s="1"/>
  <c r="A83" i="183" s="1"/>
  <c r="A84" i="183" s="1"/>
  <c r="A85" i="183" s="1"/>
  <c r="A86" i="183" s="1"/>
  <c r="A87" i="183" s="1"/>
  <c r="A88" i="183" s="1"/>
  <c r="A89" i="183" s="1"/>
  <c r="A90" i="183" s="1"/>
  <c r="A91" i="183" s="1"/>
  <c r="A92" i="183" s="1"/>
  <c r="A93" i="183" s="1"/>
  <c r="A94" i="183" s="1"/>
  <c r="A95" i="183" s="1"/>
  <c r="A96" i="183" s="1"/>
  <c r="A97" i="183" s="1"/>
  <c r="A98" i="183" s="1"/>
  <c r="A99" i="183" s="1"/>
  <c r="A100" i="183" s="1"/>
  <c r="A101" i="183" s="1"/>
  <c r="A102" i="183" s="1"/>
  <c r="A103" i="183" s="1"/>
  <c r="A104" i="183" s="1"/>
  <c r="A105" i="183" s="1"/>
  <c r="A106" i="183" s="1"/>
  <c r="A107" i="183" s="1"/>
  <c r="A108" i="183" s="1"/>
  <c r="A109" i="183" s="1"/>
  <c r="A110" i="183" s="1"/>
  <c r="A111" i="183" s="1"/>
  <c r="A112" i="183" s="1"/>
  <c r="A113" i="183" s="1"/>
  <c r="A114" i="183" s="1"/>
  <c r="A115" i="183" s="1"/>
  <c r="A116" i="183" s="1"/>
  <c r="A117" i="183" s="1"/>
  <c r="A118" i="183" s="1"/>
  <c r="A11" i="182" l="1"/>
  <c r="A12" i="182"/>
  <c r="A13" i="182"/>
  <c r="A14" i="182"/>
  <c r="A15" i="182"/>
  <c r="A16" i="182"/>
  <c r="A17" i="182"/>
  <c r="A18" i="182"/>
  <c r="D19" i="182"/>
  <c r="H19" i="182"/>
  <c r="E26" i="182"/>
  <c r="I11" i="182"/>
  <c r="I12" i="182"/>
  <c r="J12" i="182"/>
  <c r="J13" i="182"/>
  <c r="J14" i="182"/>
  <c r="I15" i="182"/>
  <c r="J15" i="182"/>
  <c r="I16" i="182"/>
  <c r="J16" i="182"/>
  <c r="B223" i="182"/>
  <c r="I17" i="182"/>
  <c r="J17" i="182"/>
  <c r="I18" i="182"/>
  <c r="J18" i="182"/>
  <c r="B157" i="182" l="1"/>
  <c r="H18" i="182"/>
  <c r="H12" i="182"/>
  <c r="I14" i="182"/>
  <c r="H14" i="182" s="1"/>
  <c r="H16" i="182"/>
  <c r="B275" i="182"/>
  <c r="H15" i="182"/>
  <c r="B217" i="182"/>
  <c r="B186" i="182"/>
  <c r="I13" i="182"/>
  <c r="H13" i="182" s="1"/>
  <c r="B95" i="182"/>
  <c r="J11" i="182"/>
  <c r="H17" i="182"/>
  <c r="B227" i="182"/>
  <c r="B67" i="182"/>
  <c r="B45" i="182"/>
  <c r="I20" i="182" l="1"/>
  <c r="J20" i="182"/>
  <c r="H11" i="182"/>
  <c r="H20" i="182" s="1"/>
  <c r="N19" i="182" l="1"/>
  <c r="N14" i="182"/>
  <c r="N12" i="182"/>
  <c r="D66" i="182" s="1"/>
  <c r="N18" i="182"/>
  <c r="D274" i="182" s="1"/>
  <c r="N16" i="182"/>
  <c r="D216" i="182" s="1"/>
  <c r="N15" i="182"/>
  <c r="D185" i="182" s="1"/>
  <c r="N13" i="182"/>
  <c r="D94" i="182" s="1"/>
  <c r="N17" i="182"/>
  <c r="N11" i="182"/>
  <c r="D44" i="182" s="1"/>
  <c r="C185" i="182" l="1"/>
  <c r="C216" i="182"/>
  <c r="D156" i="182"/>
  <c r="C44" i="182"/>
  <c r="C274" i="182"/>
  <c r="D226" i="182"/>
  <c r="C94" i="182"/>
  <c r="C66" i="182"/>
  <c r="C156" i="182" l="1"/>
  <c r="C226" i="182"/>
  <c r="L1" i="180" l="1"/>
  <c r="X1" i="180" s="1"/>
  <c r="L2" i="180"/>
  <c r="X2" i="180"/>
  <c r="L3" i="180"/>
  <c r="X3" i="180" s="1"/>
  <c r="L4" i="180"/>
  <c r="X4" i="180" s="1"/>
  <c r="L5" i="180"/>
  <c r="X5" i="180" s="1"/>
  <c r="A13" i="180"/>
  <c r="A14" i="180" s="1"/>
  <c r="A15" i="180" s="1"/>
  <c r="A16" i="180" s="1"/>
  <c r="A17" i="180" s="1"/>
  <c r="A18" i="180" s="1"/>
  <c r="A19" i="180" s="1"/>
  <c r="A20" i="180" s="1"/>
  <c r="A21" i="180" s="1"/>
  <c r="A22" i="180" s="1"/>
  <c r="A23" i="180" s="1"/>
  <c r="A24" i="180" s="1"/>
  <c r="A25" i="180" s="1"/>
  <c r="A26" i="180" s="1"/>
  <c r="A27" i="180" s="1"/>
  <c r="A28" i="180" s="1"/>
  <c r="A29" i="180" s="1"/>
  <c r="L13" i="180"/>
  <c r="L14" i="180" s="1"/>
  <c r="L15" i="180" s="1"/>
  <c r="L16" i="180" s="1"/>
  <c r="L17" i="180" s="1"/>
  <c r="L18" i="180" s="1"/>
  <c r="L19" i="180" s="1"/>
  <c r="L20" i="180" s="1"/>
  <c r="L21" i="180" s="1"/>
  <c r="L22" i="180" s="1"/>
  <c r="L23" i="180" s="1"/>
  <c r="L24" i="180" s="1"/>
  <c r="L25" i="180" s="1"/>
  <c r="L26" i="180" s="1"/>
  <c r="L27" i="180" s="1"/>
  <c r="L28" i="180" s="1"/>
  <c r="L29" i="180" s="1"/>
  <c r="X13" i="180"/>
  <c r="X14" i="180" s="1"/>
  <c r="X15" i="180" s="1"/>
  <c r="X16" i="180" s="1"/>
  <c r="X17" i="180" s="1"/>
  <c r="X18" i="180" s="1"/>
  <c r="X19" i="180" s="1"/>
  <c r="X20" i="180" s="1"/>
  <c r="X21" i="180" s="1"/>
  <c r="X22" i="180" s="1"/>
  <c r="X23" i="180" s="1"/>
  <c r="X24" i="180" s="1"/>
  <c r="X25" i="180" s="1"/>
  <c r="X26" i="180" s="1"/>
  <c r="X27" i="180" s="1"/>
  <c r="X28" i="180" s="1"/>
  <c r="X29" i="180" s="1"/>
  <c r="I16" i="180"/>
  <c r="J16" i="180"/>
  <c r="U16" i="180"/>
  <c r="V16" i="180"/>
  <c r="AG16" i="180"/>
  <c r="AH16" i="180"/>
  <c r="N17" i="180"/>
  <c r="Z17" i="180" s="1"/>
  <c r="N18" i="180"/>
  <c r="Z18" i="180" s="1"/>
  <c r="I21" i="180"/>
  <c r="J21" i="180"/>
  <c r="U21" i="180"/>
  <c r="V21" i="180"/>
  <c r="AG21" i="180"/>
  <c r="AH21" i="180"/>
  <c r="N24" i="180"/>
  <c r="Z24" i="180" s="1"/>
  <c r="B91" i="182" l="1"/>
  <c r="B271" i="182"/>
  <c r="B182" i="182"/>
  <c r="B153" i="182"/>
  <c r="B63" i="182"/>
  <c r="B41" i="182"/>
  <c r="N26" i="180"/>
  <c r="Z26" i="180" s="1"/>
  <c r="N22" i="180"/>
  <c r="Z22" i="180" s="1"/>
  <c r="N19" i="180"/>
  <c r="Z19" i="180" s="1"/>
  <c r="N15" i="180"/>
  <c r="Z15" i="180" s="1"/>
  <c r="N14" i="180"/>
  <c r="Z14" i="180" s="1"/>
  <c r="N20" i="180"/>
  <c r="Z20" i="180" s="1"/>
  <c r="N25" i="180"/>
  <c r="Z25" i="180" s="1"/>
  <c r="N23" i="180"/>
  <c r="Z23" i="180" s="1"/>
  <c r="N27" i="180"/>
  <c r="Z27" i="180" s="1"/>
  <c r="N13" i="180"/>
  <c r="Z13" i="180" s="1"/>
  <c r="B213" i="182" l="1"/>
  <c r="N12" i="180"/>
  <c r="C29" i="180"/>
  <c r="Z12" i="180" l="1"/>
  <c r="Z29" i="180" s="1"/>
  <c r="N29" i="180"/>
  <c r="D117" i="182" l="1"/>
  <c r="D49" i="182"/>
  <c r="D253" i="182" l="1"/>
  <c r="D116" i="182"/>
  <c r="D143" i="182"/>
  <c r="D172" i="182"/>
  <c r="D200" i="182"/>
  <c r="D38" i="182"/>
  <c r="D88" i="182"/>
  <c r="D86" i="182"/>
  <c r="D111" i="182"/>
  <c r="D130" i="182"/>
  <c r="D139" i="182"/>
  <c r="D162" i="182"/>
  <c r="D170" i="182"/>
  <c r="D193" i="182"/>
  <c r="D204" i="182"/>
  <c r="D222" i="182"/>
  <c r="D223" i="182" s="1"/>
  <c r="D240" i="182"/>
  <c r="D250" i="182"/>
  <c r="D260" i="182"/>
  <c r="D268" i="182"/>
  <c r="D31" i="182"/>
  <c r="D37" i="182"/>
  <c r="D60" i="182"/>
  <c r="D52" i="182"/>
  <c r="D56" i="182"/>
  <c r="D89" i="182"/>
  <c r="D74" i="182"/>
  <c r="D78" i="182"/>
  <c r="D83" i="182"/>
  <c r="D99" i="182"/>
  <c r="D103" i="182"/>
  <c r="D107" i="182"/>
  <c r="D112" i="182"/>
  <c r="D118" i="182"/>
  <c r="D122" i="182"/>
  <c r="D127" i="182"/>
  <c r="D131" i="182"/>
  <c r="D136" i="182"/>
  <c r="D140" i="182"/>
  <c r="D146" i="182"/>
  <c r="D150" i="182"/>
  <c r="D163" i="182"/>
  <c r="D167" i="182"/>
  <c r="D173" i="182"/>
  <c r="D177" i="182"/>
  <c r="D181" i="182"/>
  <c r="D194" i="182"/>
  <c r="D201" i="182"/>
  <c r="D205" i="182"/>
  <c r="D209" i="182"/>
  <c r="D232" i="182"/>
  <c r="D236" i="182"/>
  <c r="D241" i="182"/>
  <c r="D246" i="182"/>
  <c r="D251" i="182"/>
  <c r="D257" i="182"/>
  <c r="D261" i="182"/>
  <c r="D265" i="182"/>
  <c r="D270" i="182"/>
  <c r="D35" i="182"/>
  <c r="D55" i="182"/>
  <c r="D77" i="182"/>
  <c r="D102" i="182"/>
  <c r="D121" i="182"/>
  <c r="D145" i="182"/>
  <c r="D180" i="182"/>
  <c r="D33" i="182"/>
  <c r="D40" i="182"/>
  <c r="D61" i="182"/>
  <c r="D53" i="182"/>
  <c r="D57" i="182"/>
  <c r="D71" i="182"/>
  <c r="D75" i="182"/>
  <c r="D80" i="182"/>
  <c r="D84" i="182"/>
  <c r="D100" i="182"/>
  <c r="D104" i="182"/>
  <c r="D109" i="182"/>
  <c r="D113" i="182"/>
  <c r="D119" i="182"/>
  <c r="D123" i="182"/>
  <c r="D128" i="182"/>
  <c r="D132" i="182"/>
  <c r="D137" i="182"/>
  <c r="D141" i="182"/>
  <c r="D147" i="182"/>
  <c r="D151" i="182"/>
  <c r="D164" i="182"/>
  <c r="D168" i="182"/>
  <c r="D174" i="182"/>
  <c r="D178" i="182"/>
  <c r="D191" i="182"/>
  <c r="D195" i="182"/>
  <c r="D202" i="182"/>
  <c r="D206" i="182"/>
  <c r="D211" i="182"/>
  <c r="D233" i="182"/>
  <c r="D237" i="182"/>
  <c r="D242" i="182"/>
  <c r="D247" i="182"/>
  <c r="D254" i="182"/>
  <c r="D258" i="182"/>
  <c r="D262" i="182"/>
  <c r="D266" i="182"/>
  <c r="D51" i="182"/>
  <c r="D73" i="182"/>
  <c r="D82" i="182"/>
  <c r="D106" i="182"/>
  <c r="D126" i="182"/>
  <c r="D134" i="182"/>
  <c r="D149" i="182"/>
  <c r="D166" i="182"/>
  <c r="D176" i="182"/>
  <c r="D198" i="182"/>
  <c r="D208" i="182"/>
  <c r="D235" i="182"/>
  <c r="D245" i="182"/>
  <c r="D256" i="182"/>
  <c r="D264" i="182"/>
  <c r="D34" i="182"/>
  <c r="D39" i="182"/>
  <c r="D50" i="182"/>
  <c r="D54" i="182"/>
  <c r="D58" i="182"/>
  <c r="D72" i="182"/>
  <c r="D76" i="182"/>
  <c r="D81" i="182"/>
  <c r="D85" i="182"/>
  <c r="D101" i="182"/>
  <c r="D105" i="182"/>
  <c r="D110" i="182"/>
  <c r="D120" i="182"/>
  <c r="D124" i="182"/>
  <c r="D129" i="182"/>
  <c r="D133" i="182"/>
  <c r="D138" i="182"/>
  <c r="D144" i="182"/>
  <c r="D148" i="182"/>
  <c r="D152" i="182"/>
  <c r="D165" i="182"/>
  <c r="D169" i="182"/>
  <c r="D175" i="182"/>
  <c r="D179" i="182"/>
  <c r="D192" i="182"/>
  <c r="D196" i="182"/>
  <c r="D203" i="182"/>
  <c r="D207" i="182"/>
  <c r="D212" i="182"/>
  <c r="D234" i="182"/>
  <c r="D239" i="182"/>
  <c r="D244" i="182"/>
  <c r="D248" i="182"/>
  <c r="D255" i="182"/>
  <c r="D259" i="182"/>
  <c r="D263" i="182"/>
  <c r="D267" i="182"/>
  <c r="D63" i="182" l="1"/>
  <c r="M12" i="182" s="1"/>
  <c r="L12" i="182" s="1"/>
  <c r="C11" i="181" s="1"/>
  <c r="M19" i="182"/>
  <c r="L19" i="182" s="1"/>
  <c r="C22" i="181" s="1"/>
  <c r="D213" i="182"/>
  <c r="D91" i="182"/>
  <c r="M17" i="182"/>
  <c r="L17" i="182" s="1"/>
  <c r="C20" i="181" s="1"/>
  <c r="D227" i="182"/>
  <c r="D17" i="182" s="1"/>
  <c r="D182" i="182"/>
  <c r="D271" i="182"/>
  <c r="D41" i="182"/>
  <c r="D115" i="182"/>
  <c r="D153" i="182" s="1"/>
  <c r="D67" i="182" l="1"/>
  <c r="D12" i="182" s="1"/>
  <c r="M14" i="182"/>
  <c r="L14" i="182" s="1"/>
  <c r="D157" i="182"/>
  <c r="D14" i="182" s="1"/>
  <c r="M11" i="182"/>
  <c r="D45" i="182"/>
  <c r="D11" i="182" s="1"/>
  <c r="M16" i="182"/>
  <c r="L16" i="182" s="1"/>
  <c r="C19" i="181" s="1"/>
  <c r="D217" i="182"/>
  <c r="D16" i="182" s="1"/>
  <c r="M18" i="182"/>
  <c r="L18" i="182" s="1"/>
  <c r="C21" i="181" s="1"/>
  <c r="D275" i="182"/>
  <c r="D18" i="182" s="1"/>
  <c r="M15" i="182"/>
  <c r="L15" i="182" s="1"/>
  <c r="D186" i="182"/>
  <c r="D15" i="182" s="1"/>
  <c r="M13" i="182"/>
  <c r="L13" i="182" s="1"/>
  <c r="C12" i="181" s="1"/>
  <c r="D95" i="182"/>
  <c r="D13" i="182" s="1"/>
  <c r="M20" i="182" l="1"/>
  <c r="L11" i="182"/>
  <c r="L20" i="182" s="1"/>
  <c r="D20" i="182"/>
  <c r="D29" i="180" l="1"/>
  <c r="B20" i="182" l="1"/>
  <c r="A1" i="128" l="1"/>
  <c r="A13" i="128"/>
  <c r="A14" i="128" s="1"/>
  <c r="A15" i="128" s="1"/>
  <c r="A16" i="128" s="1"/>
  <c r="A17" i="128" s="1"/>
  <c r="A18" i="128" s="1"/>
  <c r="F18" i="128"/>
  <c r="G18" i="128"/>
  <c r="H18" i="128"/>
  <c r="I18" i="128"/>
  <c r="A19" i="128" l="1"/>
  <c r="A20" i="128" s="1"/>
  <c r="A21" i="128" s="1"/>
  <c r="A22" i="128" s="1"/>
  <c r="A23" i="128" s="1"/>
  <c r="A24" i="128" s="1"/>
  <c r="A25" i="128" s="1"/>
  <c r="A26" i="128" s="1"/>
  <c r="A27" i="128" s="1"/>
  <c r="A28" i="128" s="1"/>
  <c r="A29" i="128" s="1"/>
  <c r="A30" i="128" s="1"/>
  <c r="A31" i="128" l="1"/>
  <c r="A32" i="128" s="1"/>
  <c r="A33" i="128" s="1"/>
  <c r="A34" i="128" s="1"/>
  <c r="A35" i="128" l="1"/>
  <c r="A36" i="128" s="1"/>
  <c r="A37" i="128" s="1"/>
  <c r="A38" i="128" s="1"/>
  <c r="A39" i="128" s="1"/>
  <c r="A40" i="128" s="1"/>
  <c r="A41" i="128" s="1"/>
  <c r="A42" i="128" s="1"/>
  <c r="A43" i="128" s="1"/>
  <c r="A44" i="128" s="1"/>
  <c r="A45" i="128" s="1"/>
  <c r="A46" i="128" s="1"/>
  <c r="A47" i="128" s="1"/>
  <c r="A48" i="128" s="1"/>
  <c r="A49" i="128" s="1"/>
  <c r="A50" i="128" s="1"/>
  <c r="A51" i="128" s="1"/>
  <c r="A52" i="128" s="1"/>
  <c r="N22" i="182" l="1"/>
  <c r="N23" i="182" s="1"/>
  <c r="N24" i="182" s="1"/>
  <c r="H44" i="182"/>
  <c r="M23" i="182"/>
  <c r="M24" i="182" l="1"/>
  <c r="L24" i="182" s="1"/>
  <c r="L23" i="182"/>
  <c r="H216" i="182"/>
  <c r="F216" i="182" s="1"/>
  <c r="E216" i="182" s="1"/>
  <c r="H66" i="182"/>
  <c r="F66" i="182" s="1"/>
  <c r="E66" i="182" s="1"/>
  <c r="H94" i="182"/>
  <c r="F94" i="182" s="1"/>
  <c r="E94" i="182" s="1"/>
  <c r="H156" i="182"/>
  <c r="F156" i="182" s="1"/>
  <c r="E156" i="182" s="1"/>
  <c r="H185" i="182"/>
  <c r="F185" i="182" s="1"/>
  <c r="E185" i="182" s="1"/>
  <c r="H226" i="182"/>
  <c r="F226" i="182" s="1"/>
  <c r="E226" i="182" s="1"/>
  <c r="H274" i="182"/>
  <c r="F274" i="182" s="1"/>
  <c r="E274" i="182" s="1"/>
  <c r="F44" i="182"/>
  <c r="E44" i="182" s="1"/>
  <c r="D74" i="183" l="1"/>
  <c r="D75" i="183"/>
  <c r="D64" i="183"/>
  <c r="D65" i="183" l="1"/>
  <c r="H21" i="128" l="1"/>
  <c r="G21" i="128"/>
  <c r="I21" i="128"/>
  <c r="F21" i="128"/>
  <c r="E42" i="128" l="1"/>
  <c r="G42" i="128"/>
  <c r="K42" i="128"/>
  <c r="I42" i="128"/>
  <c r="F42" i="128"/>
  <c r="D42" i="128"/>
  <c r="H42" i="128"/>
  <c r="J42" i="128"/>
  <c r="C13" i="128" l="1"/>
  <c r="C24" i="128" l="1"/>
  <c r="C25" i="128" l="1"/>
  <c r="D58" i="183" l="1"/>
  <c r="D59" i="183" s="1"/>
  <c r="D57" i="183"/>
  <c r="D49" i="183"/>
  <c r="D50" i="183"/>
  <c r="D51" i="183" s="1"/>
  <c r="F61" i="182" l="1"/>
  <c r="F89" i="182"/>
  <c r="E18" i="128" l="1"/>
  <c r="E21" i="128" s="1"/>
  <c r="C26" i="128"/>
  <c r="C14" i="128" l="1"/>
  <c r="K18" i="128" l="1"/>
  <c r="K21" i="128" s="1"/>
  <c r="J18" i="128" l="1"/>
  <c r="J21" i="128" s="1"/>
  <c r="C27" i="128" l="1"/>
  <c r="F31" i="128"/>
  <c r="C15" i="128" l="1"/>
  <c r="I31" i="128" l="1"/>
  <c r="H31" i="128"/>
  <c r="C30" i="128" l="1"/>
  <c r="G31" i="128"/>
  <c r="C16" i="128" l="1"/>
  <c r="C28" i="128" l="1"/>
  <c r="J31" i="128" l="1"/>
  <c r="E31" i="128"/>
  <c r="K31" i="128"/>
  <c r="C29" i="128" l="1"/>
  <c r="C31" i="128" s="1"/>
  <c r="K32" i="128" s="1"/>
  <c r="D31" i="128"/>
  <c r="D32" i="128" l="1"/>
  <c r="F32" i="128"/>
  <c r="I32" i="128"/>
  <c r="H32" i="128"/>
  <c r="G32" i="128"/>
  <c r="J32" i="128"/>
  <c r="E32" i="128"/>
  <c r="C17" i="128" l="1"/>
  <c r="D18" i="128"/>
  <c r="C18" i="128" l="1"/>
  <c r="D21" i="128"/>
  <c r="C21" i="128" l="1"/>
  <c r="D33" i="128" l="1"/>
  <c r="D34" i="128" s="1"/>
  <c r="F33" i="128"/>
  <c r="F34" i="128" s="1"/>
  <c r="F36" i="128" s="1"/>
  <c r="J33" i="128"/>
  <c r="J34" i="128" s="1"/>
  <c r="J36" i="128" s="1"/>
  <c r="K33" i="128"/>
  <c r="K34" i="128" s="1"/>
  <c r="K36" i="128" s="1"/>
  <c r="E33" i="128"/>
  <c r="E34" i="128" s="1"/>
  <c r="E36" i="128" s="1"/>
  <c r="G33" i="128"/>
  <c r="G34" i="128" s="1"/>
  <c r="G36" i="128" s="1"/>
  <c r="H33" i="128"/>
  <c r="H34" i="128" s="1"/>
  <c r="H36" i="128" s="1"/>
  <c r="I33" i="128"/>
  <c r="I34" i="128" s="1"/>
  <c r="I36" i="128" s="1"/>
  <c r="C34" i="128" l="1"/>
  <c r="D36" i="128"/>
  <c r="C36" i="128" l="1"/>
  <c r="D37" i="128" s="1"/>
  <c r="D40" i="128" s="1"/>
  <c r="D43" i="128" s="1"/>
  <c r="D44" i="128" l="1"/>
  <c r="I37" i="128"/>
  <c r="I40" i="128" s="1"/>
  <c r="I43" i="128" s="1"/>
  <c r="I44" i="128" s="1"/>
  <c r="G37" i="128"/>
  <c r="G40" i="128" s="1"/>
  <c r="G43" i="128" s="1"/>
  <c r="G44" i="128" s="1"/>
  <c r="K37" i="128"/>
  <c r="K40" i="128" s="1"/>
  <c r="K43" i="128" s="1"/>
  <c r="K44" i="128" s="1"/>
  <c r="F37" i="128"/>
  <c r="F40" i="128" s="1"/>
  <c r="F43" i="128" s="1"/>
  <c r="F44" i="128" s="1"/>
  <c r="H37" i="128"/>
  <c r="H40" i="128" s="1"/>
  <c r="H43" i="128" s="1"/>
  <c r="H44" i="128" s="1"/>
  <c r="E37" i="128"/>
  <c r="E40" i="128" s="1"/>
  <c r="E43" i="128" s="1"/>
  <c r="E44" i="128" s="1"/>
  <c r="J37" i="128"/>
  <c r="J40" i="128" s="1"/>
  <c r="J43" i="128" s="1"/>
  <c r="J44" i="128" s="1"/>
  <c r="D38" i="128"/>
  <c r="I38" i="128"/>
  <c r="I46" i="128" l="1"/>
  <c r="F38" i="128"/>
  <c r="F46" i="128" s="1"/>
  <c r="J38" i="128"/>
  <c r="J46" i="128" s="1"/>
  <c r="K38" i="128"/>
  <c r="K46" i="128" s="1"/>
  <c r="G38" i="128"/>
  <c r="G46" i="128" s="1"/>
  <c r="E38" i="128"/>
  <c r="E46" i="128" s="1"/>
  <c r="C44" i="128"/>
  <c r="D46" i="128"/>
  <c r="H38" i="128"/>
  <c r="H46" i="128" s="1"/>
  <c r="C43" i="128"/>
  <c r="C46" i="128" l="1"/>
  <c r="K49" i="128" s="1"/>
  <c r="K50" i="128" s="1"/>
  <c r="K52" i="128" s="1"/>
  <c r="D113" i="183" s="1"/>
  <c r="F49" i="128" l="1"/>
  <c r="F50" i="128" s="1"/>
  <c r="F52" i="128" s="1"/>
  <c r="D46" i="183" s="1"/>
  <c r="J49" i="128"/>
  <c r="J50" i="128" s="1"/>
  <c r="J52" i="128" s="1"/>
  <c r="D83" i="183" s="1"/>
  <c r="E49" i="128"/>
  <c r="E50" i="128" s="1"/>
  <c r="E52" i="128" s="1"/>
  <c r="H49" i="128"/>
  <c r="H50" i="128" s="1"/>
  <c r="H52" i="128" s="1"/>
  <c r="D114" i="183" s="1"/>
  <c r="D115" i="183" s="1"/>
  <c r="D117" i="183" s="1"/>
  <c r="I49" i="128"/>
  <c r="I50" i="128" s="1"/>
  <c r="I52" i="128" s="1"/>
  <c r="D76" i="183" s="1"/>
  <c r="D77" i="183" s="1"/>
  <c r="D79" i="183" s="1"/>
  <c r="D80" i="183" s="1"/>
  <c r="D49" i="128"/>
  <c r="D50" i="128" s="1"/>
  <c r="D52" i="128" s="1"/>
  <c r="G49" i="128"/>
  <c r="G50" i="128" s="1"/>
  <c r="G52" i="128" s="1"/>
  <c r="D84" i="183" s="1"/>
  <c r="D54" i="183"/>
  <c r="D93" i="183" l="1"/>
  <c r="D103" i="183"/>
  <c r="D38" i="183"/>
  <c r="D40" i="183" s="1"/>
  <c r="D42" i="183" s="1"/>
  <c r="D43" i="183" s="1"/>
  <c r="D104" i="183"/>
  <c r="D12" i="183"/>
  <c r="D14" i="183" s="1"/>
  <c r="D23" i="183" s="1"/>
  <c r="D25" i="183" s="1"/>
  <c r="D26" i="183" s="1"/>
  <c r="D66" i="183"/>
  <c r="D67" i="183" s="1"/>
  <c r="D69" i="183" s="1"/>
  <c r="D94" i="183"/>
  <c r="D95" i="183" s="1"/>
  <c r="D97" i="183" s="1"/>
  <c r="D99" i="183" s="1"/>
  <c r="D100" i="183" s="1"/>
  <c r="C50" i="128"/>
  <c r="C52" i="128"/>
  <c r="D11" i="183"/>
  <c r="D85" i="183"/>
  <c r="D87" i="183" s="1"/>
  <c r="D89" i="183" s="1"/>
  <c r="D90" i="183" s="1"/>
  <c r="D105" i="183" l="1"/>
  <c r="D107" i="183" s="1"/>
  <c r="D109" i="183" s="1"/>
  <c r="D110" i="183" s="1"/>
  <c r="D15" i="183"/>
  <c r="D29" i="183" s="1"/>
  <c r="D17" i="183" l="1"/>
  <c r="D19" i="183" s="1"/>
  <c r="D20" i="183" s="1"/>
  <c r="D32" i="183"/>
  <c r="D33" i="183"/>
  <c r="D34" i="183" s="1"/>
  <c r="D20" i="181" l="1"/>
  <c r="B20" i="181" s="1"/>
  <c r="AA54" i="184" l="1"/>
  <c r="AA124" i="184"/>
  <c r="AA18" i="184"/>
  <c r="AA107" i="184"/>
  <c r="AA145" i="184"/>
  <c r="AA50" i="184"/>
  <c r="AA61" i="184"/>
  <c r="AA14" i="184"/>
  <c r="AA140" i="184"/>
  <c r="AA111" i="184"/>
  <c r="AA51" i="184"/>
  <c r="AA20" i="184"/>
  <c r="AA147" i="184"/>
  <c r="AA33" i="184"/>
  <c r="AA146" i="184"/>
  <c r="AA109" i="184"/>
  <c r="AA21" i="184"/>
  <c r="AA31" i="184"/>
  <c r="AA135" i="184"/>
  <c r="AA110" i="184"/>
  <c r="AA126" i="184"/>
  <c r="AA104" i="184"/>
  <c r="AA128" i="184"/>
  <c r="AA57" i="184"/>
  <c r="AA62" i="184"/>
  <c r="AA149" i="184"/>
  <c r="AA133" i="184"/>
  <c r="AA150" i="184"/>
  <c r="AA27" i="184"/>
  <c r="AA114" i="184"/>
  <c r="AA122" i="184"/>
  <c r="AA49" i="184"/>
  <c r="AA29" i="184"/>
  <c r="I24" i="181"/>
  <c r="AA60" i="184"/>
  <c r="AA58" i="184"/>
  <c r="AA47" i="184"/>
  <c r="AA30" i="184"/>
  <c r="AA121" i="184"/>
  <c r="AA115" i="184"/>
  <c r="AA113" i="184"/>
  <c r="AA214" i="184"/>
  <c r="AA118" i="184"/>
  <c r="AA103" i="184"/>
  <c r="AA151" i="184"/>
  <c r="AA137" i="184"/>
  <c r="AA142" i="184"/>
  <c r="AA134" i="184"/>
  <c r="AA15" i="184"/>
  <c r="AA129" i="184"/>
  <c r="AA132" i="184"/>
  <c r="AA144" i="184"/>
  <c r="AA28" i="184"/>
  <c r="AA143" i="184"/>
  <c r="AA125" i="184"/>
  <c r="AA116" i="184"/>
  <c r="AA26" i="184"/>
  <c r="AA127" i="184"/>
  <c r="AA108" i="184"/>
  <c r="AA59" i="184"/>
  <c r="AA53" i="184"/>
  <c r="AA19" i="184"/>
  <c r="AA148" i="184"/>
  <c r="AA48" i="184"/>
  <c r="AA24" i="184"/>
  <c r="AA139" i="184"/>
  <c r="AA25" i="184"/>
  <c r="AA138" i="184"/>
  <c r="AA219" i="184"/>
  <c r="AA52" i="184"/>
  <c r="AA117" i="184"/>
  <c r="G18" i="180"/>
  <c r="I18" i="180" s="1"/>
  <c r="O18" i="180"/>
  <c r="AA16" i="184"/>
  <c r="AA12" i="184"/>
  <c r="AA136" i="184"/>
  <c r="AA106" i="184"/>
  <c r="AA120" i="184"/>
  <c r="AA123" i="184"/>
  <c r="AA105" i="184"/>
  <c r="AA32" i="184"/>
  <c r="AA56" i="184"/>
  <c r="D12" i="181" l="1"/>
  <c r="B12" i="181" s="1"/>
  <c r="AA216" i="184"/>
  <c r="D15" i="181"/>
  <c r="AA217" i="184"/>
  <c r="D16" i="181"/>
  <c r="D10" i="181"/>
  <c r="AA42" i="184"/>
  <c r="AB120" i="184"/>
  <c r="AC120" i="184"/>
  <c r="AB25" i="184"/>
  <c r="AC25" i="184"/>
  <c r="AB139" i="184"/>
  <c r="AC139" i="184"/>
  <c r="AC127" i="184"/>
  <c r="AB127" i="184"/>
  <c r="AA44" i="184"/>
  <c r="AA40" i="184"/>
  <c r="AC132" i="184"/>
  <c r="AB132" i="184"/>
  <c r="AB134" i="184"/>
  <c r="AC134" i="184"/>
  <c r="AC142" i="184"/>
  <c r="AB142" i="184"/>
  <c r="AB151" i="184"/>
  <c r="AC151" i="184"/>
  <c r="AC113" i="184"/>
  <c r="AB113" i="184"/>
  <c r="AB58" i="184"/>
  <c r="AC58" i="184"/>
  <c r="AC60" i="184"/>
  <c r="AB60" i="184"/>
  <c r="AC27" i="184"/>
  <c r="AB27" i="184"/>
  <c r="AB62" i="184"/>
  <c r="AC62" i="184"/>
  <c r="AB128" i="184"/>
  <c r="AC128" i="184"/>
  <c r="AC126" i="184"/>
  <c r="AB126" i="184"/>
  <c r="AC21" i="184"/>
  <c r="AB21" i="184"/>
  <c r="AA39" i="184"/>
  <c r="AB140" i="184"/>
  <c r="AC140" i="184"/>
  <c r="AB14" i="184"/>
  <c r="AC14" i="184"/>
  <c r="AB61" i="184"/>
  <c r="AC61" i="184"/>
  <c r="D18" i="181"/>
  <c r="D11" i="181"/>
  <c r="B11" i="181" s="1"/>
  <c r="O17" i="180"/>
  <c r="G17" i="180"/>
  <c r="I17" i="180" s="1"/>
  <c r="F24" i="181"/>
  <c r="D9" i="181"/>
  <c r="AB219" i="184"/>
  <c r="AC219" i="184"/>
  <c r="AC138" i="184"/>
  <c r="AB138" i="184"/>
  <c r="AC56" i="184"/>
  <c r="AB56" i="184"/>
  <c r="AC105" i="184"/>
  <c r="AB105" i="184"/>
  <c r="AB16" i="184"/>
  <c r="AC16" i="184"/>
  <c r="AA43" i="184"/>
  <c r="D17" i="181"/>
  <c r="C17" i="181" s="1"/>
  <c r="B17" i="181" s="1"/>
  <c r="AC24" i="184"/>
  <c r="AB24" i="184"/>
  <c r="AB148" i="184"/>
  <c r="AC148" i="184"/>
  <c r="AB26" i="184"/>
  <c r="AC26" i="184"/>
  <c r="AB125" i="184"/>
  <c r="AC125" i="184"/>
  <c r="AC143" i="184"/>
  <c r="AB143" i="184"/>
  <c r="AB129" i="184"/>
  <c r="AC129" i="184"/>
  <c r="AC137" i="184"/>
  <c r="AB137" i="184"/>
  <c r="AB103" i="184"/>
  <c r="AC103" i="184"/>
  <c r="AB115" i="184"/>
  <c r="AC115" i="184"/>
  <c r="F88" i="182"/>
  <c r="AC150" i="184"/>
  <c r="AB150" i="184"/>
  <c r="AB133" i="184"/>
  <c r="AC133" i="184"/>
  <c r="AC104" i="184"/>
  <c r="AB104" i="184"/>
  <c r="AC110" i="184"/>
  <c r="AB110" i="184"/>
  <c r="AB135" i="184"/>
  <c r="AC135" i="184"/>
  <c r="AB31" i="184"/>
  <c r="AC31" i="184"/>
  <c r="AC146" i="184"/>
  <c r="AB146" i="184"/>
  <c r="AB33" i="184"/>
  <c r="AC33" i="184"/>
  <c r="AA38" i="184"/>
  <c r="AB124" i="184"/>
  <c r="AC124" i="184"/>
  <c r="AB32" i="184"/>
  <c r="AC32" i="184"/>
  <c r="AA37" i="184"/>
  <c r="AB48" i="184"/>
  <c r="AC48" i="184"/>
  <c r="AC53" i="184"/>
  <c r="AB53" i="184"/>
  <c r="AB108" i="184"/>
  <c r="AC108" i="184"/>
  <c r="AB15" i="184"/>
  <c r="AC15" i="184"/>
  <c r="AC118" i="184"/>
  <c r="AB118" i="184"/>
  <c r="AC121" i="184"/>
  <c r="AB121" i="184"/>
  <c r="AB30" i="184"/>
  <c r="AC30" i="184"/>
  <c r="AB47" i="184"/>
  <c r="AC47" i="184"/>
  <c r="AC29" i="184"/>
  <c r="AB29" i="184"/>
  <c r="AC49" i="184"/>
  <c r="AB49" i="184"/>
  <c r="AC114" i="184"/>
  <c r="AB114" i="184"/>
  <c r="AB20" i="184"/>
  <c r="AC20" i="184"/>
  <c r="AC111" i="184"/>
  <c r="AB111" i="184"/>
  <c r="AC107" i="184"/>
  <c r="AB107" i="184"/>
  <c r="AC18" i="184"/>
  <c r="AB18" i="184"/>
  <c r="AB123" i="184"/>
  <c r="AC123" i="184"/>
  <c r="AC136" i="184"/>
  <c r="AB136" i="184"/>
  <c r="AB12" i="184"/>
  <c r="AC12" i="184"/>
  <c r="AA41" i="184"/>
  <c r="AC106" i="184"/>
  <c r="AB106" i="184"/>
  <c r="AC117" i="184"/>
  <c r="AB117" i="184"/>
  <c r="AC52" i="184"/>
  <c r="AB52" i="184"/>
  <c r="AB19" i="184"/>
  <c r="AC19" i="184"/>
  <c r="AC59" i="184"/>
  <c r="AB59" i="184"/>
  <c r="G24" i="181"/>
  <c r="AC116" i="184"/>
  <c r="AB116" i="184"/>
  <c r="AC28" i="184"/>
  <c r="AB28" i="184"/>
  <c r="AB144" i="184"/>
  <c r="AC144" i="184"/>
  <c r="AB214" i="184"/>
  <c r="AC214" i="184"/>
  <c r="AB122" i="184"/>
  <c r="AC122" i="184"/>
  <c r="AB149" i="184"/>
  <c r="AC149" i="184"/>
  <c r="AB57" i="184"/>
  <c r="AC57" i="184"/>
  <c r="AA36" i="184"/>
  <c r="AA35" i="184"/>
  <c r="AB109" i="184"/>
  <c r="AC109" i="184"/>
  <c r="AB147" i="184"/>
  <c r="AC147" i="184"/>
  <c r="AC51" i="184"/>
  <c r="AB51" i="184"/>
  <c r="AB50" i="184"/>
  <c r="AC50" i="184"/>
  <c r="AB216" i="184"/>
  <c r="AC216" i="184"/>
  <c r="AB145" i="184"/>
  <c r="AC145" i="184"/>
  <c r="AC54" i="184"/>
  <c r="AB54" i="184"/>
  <c r="F60" i="182"/>
  <c r="AB217" i="184" l="1"/>
  <c r="AC217" i="184"/>
  <c r="D22" i="181"/>
  <c r="B22" i="181" s="1"/>
  <c r="F147" i="182"/>
  <c r="F131" i="182"/>
  <c r="F72" i="182"/>
  <c r="F270" i="182"/>
  <c r="F166" i="182"/>
  <c r="AA167" i="184"/>
  <c r="AA184" i="184"/>
  <c r="AA180" i="184"/>
  <c r="AA157" i="184"/>
  <c r="F85" i="182"/>
  <c r="F170" i="182"/>
  <c r="AA154" i="184"/>
  <c r="AA201" i="184"/>
  <c r="AA200" i="184"/>
  <c r="AA81" i="184"/>
  <c r="F165" i="182"/>
  <c r="F86" i="182"/>
  <c r="F222" i="182"/>
  <c r="F223" i="182" s="1"/>
  <c r="AA203" i="184"/>
  <c r="F173" i="182"/>
  <c r="F150" i="182"/>
  <c r="AA65" i="184"/>
  <c r="F145" i="182"/>
  <c r="F164" i="182"/>
  <c r="AC43" i="184"/>
  <c r="AB43" i="184"/>
  <c r="F129" i="182"/>
  <c r="F49" i="182"/>
  <c r="AA186" i="184"/>
  <c r="AA189" i="184"/>
  <c r="AA198" i="184"/>
  <c r="AA88" i="184"/>
  <c r="AA197" i="184"/>
  <c r="AA165" i="184"/>
  <c r="AA79" i="184"/>
  <c r="AA194" i="184"/>
  <c r="AA161" i="184"/>
  <c r="AB18" i="180"/>
  <c r="F137" i="182"/>
  <c r="AA209" i="184"/>
  <c r="AA188" i="184"/>
  <c r="AA69" i="184"/>
  <c r="AA191" i="184"/>
  <c r="F31" i="182"/>
  <c r="F33" i="182"/>
  <c r="AC35" i="184"/>
  <c r="AB35" i="184"/>
  <c r="F54" i="182"/>
  <c r="F141" i="182"/>
  <c r="F167" i="182"/>
  <c r="D8" i="181"/>
  <c r="C9" i="181" s="1"/>
  <c r="B9" i="181" s="1"/>
  <c r="F50" i="182"/>
  <c r="F35" i="182"/>
  <c r="F146" i="182"/>
  <c r="AB17" i="180"/>
  <c r="F176" i="182"/>
  <c r="AA156" i="184"/>
  <c r="F133" i="182"/>
  <c r="F149" i="182"/>
  <c r="F163" i="182"/>
  <c r="F52" i="182"/>
  <c r="F136" i="182"/>
  <c r="F181" i="182"/>
  <c r="F82" i="182"/>
  <c r="F174" i="182"/>
  <c r="F76" i="182"/>
  <c r="F128" i="182"/>
  <c r="C18" i="181"/>
  <c r="B18" i="181" s="1"/>
  <c r="AB39" i="184"/>
  <c r="AC39" i="184"/>
  <c r="F39" i="182"/>
  <c r="F138" i="182"/>
  <c r="AA78" i="184"/>
  <c r="AA206" i="184"/>
  <c r="AA90" i="184"/>
  <c r="AA210" i="184"/>
  <c r="AA193" i="184"/>
  <c r="F126" i="182"/>
  <c r="F34" i="182"/>
  <c r="AB44" i="184"/>
  <c r="AC44" i="184"/>
  <c r="AA204" i="184"/>
  <c r="F140" i="182"/>
  <c r="F57" i="182"/>
  <c r="AB36" i="184"/>
  <c r="AC36" i="184"/>
  <c r="F80" i="182"/>
  <c r="F180" i="182"/>
  <c r="F84" i="182"/>
  <c r="F152" i="182"/>
  <c r="F162" i="182"/>
  <c r="AB41" i="184"/>
  <c r="AC41" i="184"/>
  <c r="AA87" i="184"/>
  <c r="AA211" i="184"/>
  <c r="AA178" i="184"/>
  <c r="AA73" i="184"/>
  <c r="AA177" i="184"/>
  <c r="AA76" i="184"/>
  <c r="AA179" i="184"/>
  <c r="AA172" i="184"/>
  <c r="AA75" i="184"/>
  <c r="F78" i="182"/>
  <c r="F58" i="182"/>
  <c r="F132" i="182"/>
  <c r="F56" i="182"/>
  <c r="F127" i="182"/>
  <c r="F151" i="182"/>
  <c r="F81" i="182"/>
  <c r="F172" i="182"/>
  <c r="F148" i="182"/>
  <c r="F139" i="182"/>
  <c r="AA168" i="184"/>
  <c r="AA72" i="184"/>
  <c r="AA84" i="184"/>
  <c r="AA207" i="184"/>
  <c r="F169" i="182"/>
  <c r="F134" i="182"/>
  <c r="F177" i="182"/>
  <c r="F179" i="182"/>
  <c r="F73" i="182"/>
  <c r="F168" i="182"/>
  <c r="F130" i="182"/>
  <c r="F75" i="182"/>
  <c r="F71" i="182"/>
  <c r="AB40" i="184"/>
  <c r="AC40" i="184"/>
  <c r="AC42" i="184"/>
  <c r="AB42" i="184"/>
  <c r="F178" i="182"/>
  <c r="F40" i="182"/>
  <c r="AA182" i="184"/>
  <c r="AA83" i="184"/>
  <c r="AA86" i="184"/>
  <c r="AA170" i="184"/>
  <c r="AA155" i="184"/>
  <c r="AA202" i="184"/>
  <c r="AA166" i="184"/>
  <c r="AA68" i="184"/>
  <c r="AA176" i="184"/>
  <c r="AA164" i="184"/>
  <c r="AA67" i="184"/>
  <c r="AA171" i="184"/>
  <c r="AA159" i="184"/>
  <c r="AA82" i="184"/>
  <c r="AB37" i="184"/>
  <c r="AC37" i="184"/>
  <c r="F143" i="182"/>
  <c r="F37" i="182"/>
  <c r="F175" i="182"/>
  <c r="AC38" i="184"/>
  <c r="AB38" i="184"/>
  <c r="F211" i="182"/>
  <c r="F74" i="182"/>
  <c r="F83" i="182"/>
  <c r="F38" i="182"/>
  <c r="AA196" i="184"/>
  <c r="AA77" i="184"/>
  <c r="AA175" i="184"/>
  <c r="AA208" i="184"/>
  <c r="AA89" i="184"/>
  <c r="AA185" i="184"/>
  <c r="AA199" i="184"/>
  <c r="AA85" i="184"/>
  <c r="AA163" i="184"/>
  <c r="AA190" i="184"/>
  <c r="AA66" i="184"/>
  <c r="F55" i="182"/>
  <c r="F144" i="182"/>
  <c r="AA158" i="184"/>
  <c r="AA70" i="184"/>
  <c r="AA183" i="184"/>
  <c r="AA169" i="184"/>
  <c r="AA205" i="184"/>
  <c r="F53" i="182"/>
  <c r="F51" i="182"/>
  <c r="F77" i="182"/>
  <c r="AA71" i="184"/>
  <c r="F212" i="182" l="1"/>
  <c r="Q19" i="182" s="1"/>
  <c r="H24" i="181"/>
  <c r="AA94" i="184"/>
  <c r="AA97" i="184"/>
  <c r="AC169" i="184"/>
  <c r="AB169" i="184"/>
  <c r="AB183" i="184"/>
  <c r="AC183" i="184"/>
  <c r="AB158" i="184"/>
  <c r="AC158" i="184"/>
  <c r="AB190" i="184"/>
  <c r="AC190" i="184"/>
  <c r="AB77" i="184"/>
  <c r="AC77" i="184"/>
  <c r="R12" i="182"/>
  <c r="O15" i="180"/>
  <c r="G15" i="180"/>
  <c r="I15" i="180" s="1"/>
  <c r="AC82" i="184"/>
  <c r="AB82" i="184"/>
  <c r="AB159" i="184"/>
  <c r="AC159" i="184"/>
  <c r="AB67" i="184"/>
  <c r="AC67" i="184"/>
  <c r="AC164" i="184"/>
  <c r="AB164" i="184"/>
  <c r="AB166" i="184"/>
  <c r="AC166" i="184"/>
  <c r="AA101" i="184"/>
  <c r="AC72" i="184"/>
  <c r="AB72" i="184"/>
  <c r="R17" i="182"/>
  <c r="G24" i="180"/>
  <c r="I24" i="180" s="1"/>
  <c r="O24" i="180"/>
  <c r="AC75" i="184"/>
  <c r="AB75" i="184"/>
  <c r="AB179" i="184"/>
  <c r="AC179" i="184"/>
  <c r="AB76" i="184"/>
  <c r="AC76" i="184"/>
  <c r="AB177" i="184"/>
  <c r="AC177" i="184"/>
  <c r="AC211" i="184"/>
  <c r="AB211" i="184"/>
  <c r="AC87" i="184"/>
  <c r="AB87" i="184"/>
  <c r="P18" i="180"/>
  <c r="T18" i="180" s="1"/>
  <c r="V18" i="180" s="1"/>
  <c r="H18" i="180"/>
  <c r="J18" i="180" s="1"/>
  <c r="AB204" i="184"/>
  <c r="AC204" i="184"/>
  <c r="AB206" i="184"/>
  <c r="AC206" i="184"/>
  <c r="AB78" i="184"/>
  <c r="AC78" i="184"/>
  <c r="D19" i="181"/>
  <c r="B19" i="181" s="1"/>
  <c r="AC198" i="184"/>
  <c r="AB198" i="184"/>
  <c r="AB189" i="184"/>
  <c r="AC189" i="184"/>
  <c r="AC186" i="184"/>
  <c r="AB186" i="184"/>
  <c r="AB203" i="184"/>
  <c r="AC203" i="184"/>
  <c r="Q17" i="182"/>
  <c r="F227" i="182"/>
  <c r="F17" i="182" s="1"/>
  <c r="AB180" i="184"/>
  <c r="AC180" i="184"/>
  <c r="AB167" i="184"/>
  <c r="AC167" i="184"/>
  <c r="AB205" i="184"/>
  <c r="AC205" i="184"/>
  <c r="AC66" i="184"/>
  <c r="AB66" i="184"/>
  <c r="AC175" i="184"/>
  <c r="AB175" i="184"/>
  <c r="AC86" i="184"/>
  <c r="AB86" i="184"/>
  <c r="AA100" i="184"/>
  <c r="F91" i="182"/>
  <c r="G14" i="180"/>
  <c r="I14" i="180" s="1"/>
  <c r="O14" i="180"/>
  <c r="AC84" i="184"/>
  <c r="AB84" i="184"/>
  <c r="AB172" i="184"/>
  <c r="AC172" i="184"/>
  <c r="AB178" i="184"/>
  <c r="AC178" i="184"/>
  <c r="F182" i="182"/>
  <c r="AF18" i="180"/>
  <c r="AH18" i="180" s="1"/>
  <c r="AB90" i="184"/>
  <c r="AC90" i="184"/>
  <c r="AA98" i="184"/>
  <c r="AA92" i="184"/>
  <c r="C8" i="181"/>
  <c r="C10" i="181"/>
  <c r="B10" i="181" s="1"/>
  <c r="AA95" i="184"/>
  <c r="AC188" i="184"/>
  <c r="AB188" i="184"/>
  <c r="AB88" i="184"/>
  <c r="AC88" i="184"/>
  <c r="F63" i="182"/>
  <c r="AB65" i="184"/>
  <c r="AC65" i="184"/>
  <c r="AA96" i="184"/>
  <c r="AB81" i="184"/>
  <c r="AC81" i="184"/>
  <c r="AB201" i="184"/>
  <c r="AC201" i="184"/>
  <c r="AB157" i="184"/>
  <c r="AC157" i="184"/>
  <c r="AC71" i="184"/>
  <c r="AB71" i="184"/>
  <c r="AB70" i="184"/>
  <c r="AC70" i="184"/>
  <c r="AC163" i="184"/>
  <c r="AB163" i="184"/>
  <c r="AC85" i="184"/>
  <c r="AB85" i="184"/>
  <c r="AB185" i="184"/>
  <c r="AC185" i="184"/>
  <c r="AC89" i="184"/>
  <c r="AB89" i="184"/>
  <c r="AC196" i="184"/>
  <c r="AB196" i="184"/>
  <c r="AC171" i="184"/>
  <c r="AB171" i="184"/>
  <c r="AC176" i="184"/>
  <c r="AB176" i="184"/>
  <c r="AB155" i="184"/>
  <c r="AC155" i="184"/>
  <c r="AB170" i="184"/>
  <c r="AC170" i="184"/>
  <c r="AC182" i="184"/>
  <c r="AB182" i="184"/>
  <c r="D21" i="181"/>
  <c r="B21" i="181" s="1"/>
  <c r="G26" i="180"/>
  <c r="I26" i="180" s="1"/>
  <c r="O26" i="180"/>
  <c r="H17" i="180"/>
  <c r="J17" i="180" s="1"/>
  <c r="P17" i="180"/>
  <c r="T17" i="180" s="1"/>
  <c r="V17" i="180" s="1"/>
  <c r="AB207" i="184"/>
  <c r="AC207" i="184"/>
  <c r="AB73" i="184"/>
  <c r="AC73" i="184"/>
  <c r="O13" i="180"/>
  <c r="G13" i="180"/>
  <c r="I13" i="180" s="1"/>
  <c r="AB210" i="184"/>
  <c r="AC210" i="184"/>
  <c r="R13" i="182"/>
  <c r="O19" i="180"/>
  <c r="G19" i="180"/>
  <c r="I19" i="180" s="1"/>
  <c r="AB156" i="184"/>
  <c r="AC156" i="184"/>
  <c r="F41" i="182"/>
  <c r="AC191" i="184"/>
  <c r="AB191" i="184"/>
  <c r="AB69" i="184"/>
  <c r="AC69" i="184"/>
  <c r="AB209" i="184"/>
  <c r="AC209" i="184"/>
  <c r="AB79" i="184"/>
  <c r="AC79" i="184"/>
  <c r="AA17" i="180"/>
  <c r="S17" i="180"/>
  <c r="U17" i="180" s="1"/>
  <c r="AB154" i="184"/>
  <c r="AC154" i="184"/>
  <c r="AC199" i="184"/>
  <c r="AB199" i="184"/>
  <c r="AC208" i="184"/>
  <c r="AB208" i="184"/>
  <c r="AB68" i="184"/>
  <c r="AC68" i="184"/>
  <c r="AB202" i="184"/>
  <c r="AC202" i="184"/>
  <c r="AB83" i="184"/>
  <c r="AC83" i="184"/>
  <c r="AA93" i="184"/>
  <c r="AB168" i="184"/>
  <c r="AC168" i="184"/>
  <c r="AF17" i="180"/>
  <c r="AH17" i="180" s="1"/>
  <c r="AB193" i="184"/>
  <c r="AC193" i="184"/>
  <c r="D14" i="181"/>
  <c r="AA18" i="180"/>
  <c r="S18" i="180"/>
  <c r="AA99" i="184"/>
  <c r="AC161" i="184"/>
  <c r="AB161" i="184"/>
  <c r="AC194" i="184"/>
  <c r="AB194" i="184"/>
  <c r="AC165" i="184"/>
  <c r="AB165" i="184"/>
  <c r="AB197" i="184"/>
  <c r="AC197" i="184"/>
  <c r="R19" i="182"/>
  <c r="G27" i="180"/>
  <c r="I27" i="180" s="1"/>
  <c r="O27" i="180"/>
  <c r="AB200" i="184"/>
  <c r="AC200" i="184"/>
  <c r="AC184" i="184"/>
  <c r="AB184" i="184"/>
  <c r="P17" i="182" l="1"/>
  <c r="P19" i="182"/>
  <c r="U18" i="180"/>
  <c r="F109" i="182"/>
  <c r="F192" i="182"/>
  <c r="F208" i="182"/>
  <c r="F116" i="182"/>
  <c r="F251" i="182"/>
  <c r="F198" i="182"/>
  <c r="F106" i="182"/>
  <c r="F120" i="182"/>
  <c r="F245" i="182"/>
  <c r="F262" i="182"/>
  <c r="F105" i="182"/>
  <c r="Q12" i="182"/>
  <c r="P12" i="182" s="1"/>
  <c r="F67" i="182"/>
  <c r="F12" i="182" s="1"/>
  <c r="F202" i="182"/>
  <c r="F263" i="182"/>
  <c r="F261" i="182"/>
  <c r="Q15" i="182"/>
  <c r="F186" i="182"/>
  <c r="F15" i="182" s="1"/>
  <c r="F107" i="182"/>
  <c r="F236" i="182"/>
  <c r="F205" i="182"/>
  <c r="F200" i="182"/>
  <c r="F206" i="182"/>
  <c r="F103" i="182"/>
  <c r="F250" i="182"/>
  <c r="F264" i="182"/>
  <c r="F265" i="182"/>
  <c r="F258" i="182"/>
  <c r="F115" i="182"/>
  <c r="F242" i="182"/>
  <c r="D13" i="181"/>
  <c r="C14" i="181" s="1"/>
  <c r="B14" i="181" s="1"/>
  <c r="E24" i="181"/>
  <c r="F121" i="182"/>
  <c r="F209" i="182"/>
  <c r="F244" i="182"/>
  <c r="F247" i="182"/>
  <c r="R15" i="182"/>
  <c r="O22" i="180"/>
  <c r="G22" i="180"/>
  <c r="I22" i="180" s="1"/>
  <c r="AE18" i="180"/>
  <c r="AG18" i="180" s="1"/>
  <c r="F196" i="182"/>
  <c r="F246" i="182"/>
  <c r="AC98" i="184"/>
  <c r="AB98" i="184"/>
  <c r="F268" i="182"/>
  <c r="AB100" i="184"/>
  <c r="AC100" i="184"/>
  <c r="P24" i="180"/>
  <c r="H24" i="180"/>
  <c r="J24" i="180" s="1"/>
  <c r="F101" i="182"/>
  <c r="F254" i="182"/>
  <c r="AC94" i="184"/>
  <c r="AB94" i="184"/>
  <c r="H27" i="180"/>
  <c r="J27" i="180" s="1"/>
  <c r="P27" i="180"/>
  <c r="F248" i="182"/>
  <c r="F45" i="182"/>
  <c r="F11" i="182" s="1"/>
  <c r="Q11" i="182"/>
  <c r="F112" i="182"/>
  <c r="O12" i="180"/>
  <c r="G12" i="180"/>
  <c r="R11" i="182"/>
  <c r="P15" i="180"/>
  <c r="H15" i="180"/>
  <c r="J15" i="180" s="1"/>
  <c r="F241" i="182"/>
  <c r="AC96" i="184"/>
  <c r="AB96" i="184"/>
  <c r="F240" i="182"/>
  <c r="AB92" i="184"/>
  <c r="AC92" i="184"/>
  <c r="F95" i="182"/>
  <c r="F13" i="182" s="1"/>
  <c r="Q13" i="182"/>
  <c r="P13" i="182" s="1"/>
  <c r="F259" i="182"/>
  <c r="F201" i="182"/>
  <c r="F111" i="182"/>
  <c r="F195" i="182"/>
  <c r="F99" i="182"/>
  <c r="F113" i="182"/>
  <c r="F266" i="182"/>
  <c r="F239" i="182"/>
  <c r="AB101" i="184"/>
  <c r="AC101" i="184"/>
  <c r="F117" i="182"/>
  <c r="F104" i="182"/>
  <c r="AC99" i="184"/>
  <c r="AB99" i="184"/>
  <c r="P14" i="180"/>
  <c r="H14" i="180"/>
  <c r="J14" i="180" s="1"/>
  <c r="F267" i="182"/>
  <c r="F234" i="182"/>
  <c r="F110" i="182"/>
  <c r="AC93" i="184"/>
  <c r="AB93" i="184"/>
  <c r="F207" i="182"/>
  <c r="F233" i="182"/>
  <c r="F253" i="182"/>
  <c r="F204" i="182"/>
  <c r="F237" i="182"/>
  <c r="F255" i="182"/>
  <c r="F122" i="182"/>
  <c r="F118" i="182"/>
  <c r="F203" i="182"/>
  <c r="F232" i="182"/>
  <c r="F260" i="182"/>
  <c r="AB95" i="184"/>
  <c r="AC95" i="184"/>
  <c r="B8" i="181"/>
  <c r="F193" i="182"/>
  <c r="F102" i="182"/>
  <c r="F123" i="182"/>
  <c r="F256" i="182"/>
  <c r="F119" i="182"/>
  <c r="F194" i="182"/>
  <c r="F191" i="182"/>
  <c r="F257" i="182"/>
  <c r="AE17" i="180"/>
  <c r="AG17" i="180" s="1"/>
  <c r="P26" i="180"/>
  <c r="H26" i="180"/>
  <c r="J26" i="180" s="1"/>
  <c r="F124" i="182"/>
  <c r="P13" i="180"/>
  <c r="H13" i="180"/>
  <c r="J13" i="180" s="1"/>
  <c r="F235" i="182"/>
  <c r="F100" i="182"/>
  <c r="AC97" i="184"/>
  <c r="AB97" i="184"/>
  <c r="S19" i="180" l="1"/>
  <c r="I12" i="180"/>
  <c r="P22" i="180"/>
  <c r="H22" i="180"/>
  <c r="J22" i="180" s="1"/>
  <c r="AA13" i="180"/>
  <c r="S13" i="180"/>
  <c r="U13" i="180" s="1"/>
  <c r="AA26" i="180"/>
  <c r="S26" i="180"/>
  <c r="U26" i="180" s="1"/>
  <c r="S27" i="180"/>
  <c r="U27" i="180" s="1"/>
  <c r="AA27" i="180"/>
  <c r="F271" i="182"/>
  <c r="P19" i="180"/>
  <c r="H19" i="180"/>
  <c r="J19" i="180" s="1"/>
  <c r="H12" i="180"/>
  <c r="P12" i="180"/>
  <c r="S14" i="180"/>
  <c r="U14" i="180" s="1"/>
  <c r="AA14" i="180"/>
  <c r="F213" i="182"/>
  <c r="AA15" i="180"/>
  <c r="S15" i="180"/>
  <c r="U15" i="180" s="1"/>
  <c r="C13" i="181"/>
  <c r="C16" i="181"/>
  <c r="B16" i="181" s="1"/>
  <c r="C15" i="181"/>
  <c r="B15" i="181" s="1"/>
  <c r="D24" i="181"/>
  <c r="AA24" i="180"/>
  <c r="S24" i="180"/>
  <c r="U24" i="180" s="1"/>
  <c r="F153" i="182"/>
  <c r="P11" i="182"/>
  <c r="P15" i="182"/>
  <c r="AA19" i="180" l="1"/>
  <c r="AB19" i="180"/>
  <c r="U19" i="180"/>
  <c r="H25" i="180"/>
  <c r="J25" i="180" s="1"/>
  <c r="S22" i="180"/>
  <c r="U22" i="180" s="1"/>
  <c r="AA22" i="180"/>
  <c r="T14" i="180"/>
  <c r="V14" i="180" s="1"/>
  <c r="AB14" i="180"/>
  <c r="AE14" i="180"/>
  <c r="AG14" i="180" s="1"/>
  <c r="AE24" i="180"/>
  <c r="R18" i="182"/>
  <c r="O25" i="180"/>
  <c r="G25" i="180"/>
  <c r="I25" i="180" s="1"/>
  <c r="R14" i="182"/>
  <c r="G20" i="180"/>
  <c r="O20" i="180"/>
  <c r="E29" i="180"/>
  <c r="AA12" i="180"/>
  <c r="S12" i="180"/>
  <c r="T26" i="180"/>
  <c r="V26" i="180" s="1"/>
  <c r="AB26" i="180"/>
  <c r="AB15" i="180"/>
  <c r="T15" i="180"/>
  <c r="V15" i="180" s="1"/>
  <c r="B13" i="181"/>
  <c r="C24" i="181"/>
  <c r="B24" i="181" s="1"/>
  <c r="R16" i="182"/>
  <c r="G23" i="180"/>
  <c r="I23" i="180" s="1"/>
  <c r="O23" i="180"/>
  <c r="F275" i="182"/>
  <c r="F18" i="182" s="1"/>
  <c r="Q18" i="182"/>
  <c r="AB13" i="180"/>
  <c r="T13" i="180"/>
  <c r="V13" i="180" s="1"/>
  <c r="AB24" i="180"/>
  <c r="T24" i="180"/>
  <c r="V24" i="180" s="1"/>
  <c r="AF13" i="180"/>
  <c r="AH13" i="180" s="1"/>
  <c r="Q16" i="182"/>
  <c r="F217" i="182"/>
  <c r="F16" i="182" s="1"/>
  <c r="AE15" i="180"/>
  <c r="F157" i="182"/>
  <c r="F14" i="182" s="1"/>
  <c r="Q14" i="182"/>
  <c r="AE26" i="180"/>
  <c r="AE13" i="180"/>
  <c r="J12" i="180"/>
  <c r="AE27" i="180" l="1"/>
  <c r="AF24" i="180"/>
  <c r="AH24" i="180" s="1"/>
  <c r="T19" i="180"/>
  <c r="V19" i="180" s="1"/>
  <c r="P18" i="182"/>
  <c r="AG27" i="180"/>
  <c r="T27" i="180"/>
  <c r="V27" i="180" s="1"/>
  <c r="AB27" i="180"/>
  <c r="AF27" i="180" s="1"/>
  <c r="AH27" i="180" s="1"/>
  <c r="AF26" i="180"/>
  <c r="AH26" i="180" s="1"/>
  <c r="AG13" i="180"/>
  <c r="AG15" i="180"/>
  <c r="P16" i="182"/>
  <c r="AF15" i="180"/>
  <c r="AH15" i="180" s="1"/>
  <c r="F20" i="182"/>
  <c r="AF14" i="180"/>
  <c r="AH14" i="180" s="1"/>
  <c r="AE22" i="180"/>
  <c r="AG22" i="180" s="1"/>
  <c r="AG26" i="180"/>
  <c r="P25" i="180"/>
  <c r="H23" i="180"/>
  <c r="J23" i="180" s="1"/>
  <c r="P23" i="180"/>
  <c r="AB12" i="180"/>
  <c r="T12" i="180"/>
  <c r="AE19" i="180"/>
  <c r="AG19" i="180" s="1"/>
  <c r="O29" i="180"/>
  <c r="T22" i="180"/>
  <c r="V22" i="180" s="1"/>
  <c r="AB22" i="180"/>
  <c r="I20" i="180"/>
  <c r="G29" i="180"/>
  <c r="I29" i="180" s="1"/>
  <c r="P14" i="182"/>
  <c r="Q20" i="182"/>
  <c r="U12" i="180"/>
  <c r="R20" i="182"/>
  <c r="P20" i="180"/>
  <c r="H20" i="180"/>
  <c r="F29" i="180"/>
  <c r="AF19" i="180"/>
  <c r="AH19" i="180" s="1"/>
  <c r="AG24" i="180"/>
  <c r="P20" i="182" l="1"/>
  <c r="AF22" i="180"/>
  <c r="AH22" i="180" s="1"/>
  <c r="P29" i="180"/>
  <c r="AE12" i="180"/>
  <c r="V12" i="180"/>
  <c r="AF12" i="180"/>
  <c r="S20" i="180"/>
  <c r="AA20" i="180"/>
  <c r="Q29" i="180"/>
  <c r="S23" i="180"/>
  <c r="U23" i="180" s="1"/>
  <c r="AA23" i="180"/>
  <c r="AA25" i="180"/>
  <c r="S25" i="180"/>
  <c r="U25" i="180" s="1"/>
  <c r="AB23" i="180"/>
  <c r="T23" i="180"/>
  <c r="V23" i="180" s="1"/>
  <c r="J20" i="180"/>
  <c r="H29" i="180"/>
  <c r="J29" i="180" s="1"/>
  <c r="AE20" i="180" l="1"/>
  <c r="AE23" i="180"/>
  <c r="AG23" i="180" s="1"/>
  <c r="AA29" i="180"/>
  <c r="AH12" i="180"/>
  <c r="U20" i="180"/>
  <c r="S29" i="180"/>
  <c r="U29" i="180" s="1"/>
  <c r="AF23" i="180"/>
  <c r="AH23" i="180" s="1"/>
  <c r="T20" i="180"/>
  <c r="AB20" i="180"/>
  <c r="R29" i="180"/>
  <c r="AG12" i="180"/>
  <c r="AB25" i="180"/>
  <c r="T25" i="180"/>
  <c r="V25" i="180" s="1"/>
  <c r="AE25" i="180"/>
  <c r="AG20" i="180" l="1"/>
  <c r="AG25" i="180"/>
  <c r="V20" i="180"/>
  <c r="T29" i="180"/>
  <c r="V29" i="180" s="1"/>
  <c r="AF25" i="180"/>
  <c r="AH25" i="180" s="1"/>
  <c r="AF20" i="180"/>
  <c r="AD29" i="180"/>
  <c r="AE29" i="180"/>
  <c r="AG29" i="180" s="1"/>
  <c r="AB29" i="180"/>
  <c r="AC29" i="180"/>
  <c r="AH20" i="180" l="1"/>
  <c r="AF29" i="180"/>
  <c r="AH29" i="180" s="1"/>
</calcChain>
</file>

<file path=xl/sharedStrings.xml><?xml version="1.0" encoding="utf-8"?>
<sst xmlns="http://schemas.openxmlformats.org/spreadsheetml/2006/main" count="1275" uniqueCount="523">
  <si>
    <t>Puget Sound Energy</t>
  </si>
  <si>
    <t>Line No.</t>
  </si>
  <si>
    <t>Description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</si>
  <si>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</si>
  <si>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</si>
  <si>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</si>
  <si>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</si>
  <si>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</si>
  <si>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</si>
  <si>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</si>
  <si>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</si>
  <si>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</si>
  <si>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</si>
  <si>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</si>
  <si>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</si>
  <si>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Revenue Requirement</t>
  </si>
  <si>
    <t>Demand</t>
  </si>
  <si>
    <t>Energy</t>
  </si>
  <si>
    <t>Customer</t>
  </si>
  <si>
    <t>Total</t>
  </si>
  <si>
    <t>(f)</t>
  </si>
  <si>
    <t>(i)</t>
  </si>
  <si>
    <t>(j)</t>
  </si>
  <si>
    <t>Expense</t>
  </si>
  <si>
    <t>Total Cost of Service</t>
  </si>
  <si>
    <t>Direct Capital</t>
  </si>
  <si>
    <t>Total Plant</t>
  </si>
  <si>
    <t>Rate of Return</t>
  </si>
  <si>
    <t>O&amp;M Direct - a/c 585</t>
  </si>
  <si>
    <t>O&amp;M Direct - a/c 596</t>
  </si>
  <si>
    <t>O&amp;M Direct - a/c 911 (1)</t>
  </si>
  <si>
    <t>Allocate Deficiency</t>
  </si>
  <si>
    <t>Total Revenue Required from Rates</t>
  </si>
  <si>
    <t>(1) lighting admin programs that serve all lighting customers, regardless of whether PSE or customer maintained</t>
  </si>
  <si>
    <t>Street Lights Plant FERC 373</t>
  </si>
  <si>
    <t>Street Lights Plant FERC 373 Accum Depreciation</t>
  </si>
  <si>
    <t>Other Direct Plant</t>
  </si>
  <si>
    <t>Other Direct Depreciation</t>
  </si>
  <si>
    <t>Other O&amp;M Expense Exp</t>
  </si>
  <si>
    <t>Other A&amp;G Expense</t>
  </si>
  <si>
    <t>Indirect Expenses (Taxes, etc)</t>
  </si>
  <si>
    <t>Depreciation Expense - Direct</t>
  </si>
  <si>
    <t>Distribution O&amp;M Components</t>
  </si>
  <si>
    <t>Subtotal Expense</t>
  </si>
  <si>
    <t xml:space="preserve">  % to total</t>
  </si>
  <si>
    <t>Total Expense</t>
  </si>
  <si>
    <t>Schedule 003</t>
  </si>
  <si>
    <t>Schedule 52</t>
  </si>
  <si>
    <t>Schedule 53 - Company Owned</t>
  </si>
  <si>
    <t>Schedule 53 - Customer Owned</t>
  </si>
  <si>
    <t>Schedule 54</t>
  </si>
  <si>
    <t>Schedule 57</t>
  </si>
  <si>
    <t>Schedule</t>
  </si>
  <si>
    <t>03E</t>
  </si>
  <si>
    <t>50E-A</t>
  </si>
  <si>
    <t>50E-B</t>
  </si>
  <si>
    <t>51-LED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</si>
  <si>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</si>
  <si>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</si>
  <si>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</si>
  <si>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</si>
  <si>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</si>
  <si>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</si>
  <si>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</si>
  <si>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</si>
  <si>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Lamp Type</t>
  </si>
  <si>
    <t>53E - Company Owned</t>
  </si>
  <si>
    <t>Sodium Vapor</t>
  </si>
  <si>
    <t>53E - Customer Owned</t>
  </si>
  <si>
    <t>Schedule 50 - A</t>
  </si>
  <si>
    <t>Schedule 50 - B</t>
  </si>
  <si>
    <t>Mercury Vapor</t>
  </si>
  <si>
    <t>Lighting Schedules</t>
  </si>
  <si>
    <t>Capital Component</t>
  </si>
  <si>
    <t>O&amp;M Component</t>
  </si>
  <si>
    <t>51E</t>
  </si>
  <si>
    <t xml:space="preserve">52E </t>
  </si>
  <si>
    <t>Metal Halide</t>
  </si>
  <si>
    <t>55E &amp; 56E</t>
  </si>
  <si>
    <t>58E &amp; 59E</t>
  </si>
  <si>
    <t>All Lighting Sch</t>
  </si>
  <si>
    <t xml:space="preserve"> </t>
  </si>
  <si>
    <t>Cost</t>
  </si>
  <si>
    <t>Light Emitting Diode</t>
  </si>
  <si>
    <t>Total Revenue Required From Rates</t>
  </si>
  <si>
    <t>Total Count of O&amp;M Eligible Lamps</t>
  </si>
  <si>
    <t>Per Lamp O&amp;M Cost (Monthly)</t>
  </si>
  <si>
    <t>Per kW Demand Cost (Monthly)</t>
  </si>
  <si>
    <t>Per Install Dollar Capital Cost (Monthly)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</si>
  <si>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</si>
  <si>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</si>
  <si>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</si>
  <si>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</si>
  <si>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</si>
  <si>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</si>
  <si>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</si>
  <si>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Wattage (W)</t>
  </si>
  <si>
    <t>58 &amp; 59</t>
  </si>
  <si>
    <t>55 &amp; 56</t>
  </si>
  <si>
    <t>New</t>
  </si>
  <si>
    <t>Old</t>
  </si>
  <si>
    <t>Pole</t>
  </si>
  <si>
    <t>Demand Component</t>
  </si>
  <si>
    <t>Commodity Component</t>
  </si>
  <si>
    <t>Customer Component</t>
  </si>
  <si>
    <t>Schedule 51 (LED)</t>
  </si>
  <si>
    <t>Schedule 53 - Company Owned (LED)</t>
  </si>
  <si>
    <t>Schedule 53 - Customer Owned (LED)</t>
  </si>
  <si>
    <t>Schedule 54 (LED)</t>
  </si>
  <si>
    <t>Pole Rental</t>
  </si>
  <si>
    <t>Schedule 58 &amp; 59</t>
  </si>
  <si>
    <t>Schedule 55 &amp; 56</t>
  </si>
  <si>
    <t>Sch 57</t>
  </si>
  <si>
    <t>Per W charge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</si>
  <si>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</si>
  <si>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</si>
  <si>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</si>
  <si>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</si>
  <si>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(Monthly)</t>
  </si>
  <si>
    <t>Recovery from 51&amp;52 Capital Facilities Charge</t>
  </si>
  <si>
    <t>Recovery from 51&amp;52 O&amp;M Facilities Charge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</si>
  <si>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</si>
  <si>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</si>
  <si>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</si>
  <si>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</si>
  <si>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</si>
  <si>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</si>
  <si>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</si>
  <si>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</si>
  <si>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</si>
  <si>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</si>
  <si>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</si>
  <si>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</si>
  <si>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</si>
  <si>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</si>
  <si>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</si>
  <si>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</si>
  <si>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</si>
  <si>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</si>
  <si>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</si>
  <si>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</si>
  <si>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Capital  (Lamps)</t>
  </si>
  <si>
    <t>Capital  (Pole)</t>
  </si>
  <si>
    <t>Demand Related Overheads</t>
  </si>
  <si>
    <t>Customer Related Overheads</t>
  </si>
  <si>
    <t>Energy Related Overheads</t>
  </si>
  <si>
    <t>Total Revenue Required from Distribution Capital (Poles)</t>
  </si>
  <si>
    <t>Total Revenue Required from Distribution Capital (Lamps)</t>
  </si>
  <si>
    <t>52- Facilities Charge</t>
  </si>
  <si>
    <t>51-Facilities Charge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</si>
  <si>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</si>
  <si>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</si>
  <si>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</si>
  <si>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</si>
  <si>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</si>
  <si>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</si>
  <si>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 xml:space="preserve">(e) </t>
  </si>
  <si>
    <t>Capital</t>
  </si>
  <si>
    <t xml:space="preserve">(c) </t>
  </si>
  <si>
    <t>Source</t>
  </si>
  <si>
    <t>= (d) + (e) + (f) + (g) + (h)</t>
  </si>
  <si>
    <t xml:space="preserve">= (d) - (c) </t>
  </si>
  <si>
    <t xml:space="preserve"> Capital  (Sch 51, 52 Facilities Charge)</t>
  </si>
  <si>
    <t xml:space="preserve"> Capital  (Sch 55, 56, 58, 59 Pole Rental)</t>
  </si>
  <si>
    <t>Demand Components (Sch 50, 51, 52, 53, 54)</t>
  </si>
  <si>
    <t>Demand Components (Sch 57)</t>
  </si>
  <si>
    <t>Demand Components (Sch 55, 56, 58, 59)</t>
  </si>
  <si>
    <t>Commodity Components (Sch 50, 51, 52, 53, 54, 55, 56, 57, 58, 59)</t>
  </si>
  <si>
    <t>Annual Proposed Revenue (Base)</t>
  </si>
  <si>
    <t>Revenue Required from Rates</t>
  </si>
  <si>
    <t>Revenue Recovery</t>
  </si>
  <si>
    <t>Adjustment to Proposed Revenue Recovery (Rate Spread)</t>
  </si>
  <si>
    <t>Customer Expense  (Sch 50, 51, 52, 53, 54, 55, 56, 58, 59)</t>
  </si>
  <si>
    <t>Customer Expense (Sch 57)</t>
  </si>
  <si>
    <t>Unitized Revenue</t>
  </si>
  <si>
    <t>A&amp;G</t>
  </si>
  <si>
    <t>Production / Transmission Components (Energy Related)</t>
  </si>
  <si>
    <t>Production / Transmission Components (Demand Related)</t>
  </si>
  <si>
    <t>Development of Unitized Lighting Costs</t>
  </si>
  <si>
    <t>Summary of Allocated Costs</t>
  </si>
  <si>
    <t>Energy-Related</t>
  </si>
  <si>
    <t>Demand-Related</t>
  </si>
  <si>
    <t>Production / Transmission (Demand-related) Revenue Requirement</t>
  </si>
  <si>
    <t>Production / Transmission (Energy-related) Revenue Requirement</t>
  </si>
  <si>
    <t>A&amp;G Component of Revenue Requirement</t>
  </si>
  <si>
    <t>Distribution O&amp;M  (Sch 51 Facilities Charge)</t>
  </si>
  <si>
    <t>Distribution O&amp;M  (Sch 52 Facilities Charge)</t>
  </si>
  <si>
    <t>System Value of 51 under option A &amp; B</t>
  </si>
  <si>
    <t>Recovery from 51 O&amp;M Facilities Charge</t>
  </si>
  <si>
    <t>System Value of 52 under option A &amp; B</t>
  </si>
  <si>
    <t>LED 030.01-060</t>
  </si>
  <si>
    <t>LED 060.01-090</t>
  </si>
  <si>
    <t>LED 090.01-120</t>
  </si>
  <si>
    <t>LED 120.01-150</t>
  </si>
  <si>
    <t>LED 150.01-180</t>
  </si>
  <si>
    <t>LED 180.01-210</t>
  </si>
  <si>
    <t>LED 240.01-270</t>
  </si>
  <si>
    <t>LED 270.01-300</t>
  </si>
  <si>
    <t>MV 100</t>
  </si>
  <si>
    <t>MV 400</t>
  </si>
  <si>
    <t>MV 700</t>
  </si>
  <si>
    <t>MH 70</t>
  </si>
  <si>
    <t>MH 100</t>
  </si>
  <si>
    <t>MH 150</t>
  </si>
  <si>
    <t>MH 250</t>
  </si>
  <si>
    <t>MH 400</t>
  </si>
  <si>
    <t>MH 070</t>
  </si>
  <si>
    <t>SV 1000</t>
  </si>
  <si>
    <t>SV 50</t>
  </si>
  <si>
    <t>LED 210.01-240</t>
  </si>
  <si>
    <t>LED 300.01-400</t>
  </si>
  <si>
    <t>LED 400.01-500</t>
  </si>
  <si>
    <t>LED 500.01-600</t>
  </si>
  <si>
    <t>LED 600.01-700</t>
  </si>
  <si>
    <t>LED 700.01-800</t>
  </si>
  <si>
    <t>LED 800.01-900</t>
  </si>
  <si>
    <t>N/A</t>
  </si>
  <si>
    <t>Depreciation Expense - Other</t>
  </si>
  <si>
    <t>Annual Current Revenue (Base Rate)</t>
  </si>
  <si>
    <t>Test Year Ending June 30, 2021</t>
  </si>
  <si>
    <t>Proposed</t>
  </si>
  <si>
    <t xml:space="preserve">Classification of Lighting Costs based on 2022 GRC Electric COS Module </t>
  </si>
  <si>
    <t>Effective January 1, 2023</t>
  </si>
  <si>
    <t>Effective January 1, 2024</t>
  </si>
  <si>
    <t>Effective January 1, 2025</t>
  </si>
  <si>
    <t>kWh</t>
  </si>
  <si>
    <t>MYRP 2023, Effective January 1, 2023</t>
  </si>
  <si>
    <t>MYRP 2024, Effective January 1, 2024</t>
  </si>
  <si>
    <t>(Including Effects of Unbilled Revenue, Unbilled MWh and Weather Normalization)</t>
  </si>
  <si>
    <t>Area and Street Lighting Rate Design</t>
  </si>
  <si>
    <t>Present</t>
  </si>
  <si>
    <t>Present Revenue</t>
  </si>
  <si>
    <t>Proposed Billed Revenue</t>
  </si>
  <si>
    <t>Price</t>
  </si>
  <si>
    <t>Dollars</t>
  </si>
  <si>
    <t>Delivered</t>
  </si>
  <si>
    <t>Billed</t>
  </si>
  <si>
    <t>Change in Unbilled</t>
  </si>
  <si>
    <t>Rounding</t>
  </si>
  <si>
    <t>Revised</t>
  </si>
  <si>
    <t>Lighting COS WP</t>
  </si>
  <si>
    <t>Lighting Summary</t>
  </si>
  <si>
    <t>Pole Rentals - Sch 55, 56, 58 &amp; 59</t>
  </si>
  <si>
    <t>All Lighting</t>
  </si>
  <si>
    <t>SCHEDULE 50</t>
  </si>
  <si>
    <t>Limited Street Lighting Service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</si>
  <si>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</si>
  <si>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</si>
  <si>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</si>
  <si>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</si>
  <si>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</si>
  <si>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</si>
  <si>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</si>
  <si>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Subtotal</t>
  </si>
  <si>
    <t>Billed kWh</t>
  </si>
  <si>
    <t>Unbilled kWh</t>
  </si>
  <si>
    <t>Average Lighting Increase</t>
  </si>
  <si>
    <t>SCHEDULE 51</t>
  </si>
  <si>
    <t>Company Owned LED - 60.01-90 Watts</t>
  </si>
  <si>
    <t>Company Owned LED - 90.01-120 Watts</t>
  </si>
  <si>
    <t>Company Owned LED - 120.01-150 Watts</t>
  </si>
  <si>
    <t>Company Owned LED - 150.01-180 Watts</t>
  </si>
  <si>
    <t>Company Owned LED - 180.01-210 Watts</t>
  </si>
  <si>
    <t>Company Owned LED - 210.01-240 Watts</t>
  </si>
  <si>
    <t>Company Owned LED - 240.01-270 Watts</t>
  </si>
  <si>
    <t>Company Owned LED - 270.01-300 Watts</t>
  </si>
  <si>
    <t>O&amp;M Option A</t>
  </si>
  <si>
    <t xml:space="preserve">O&amp;M Option B </t>
  </si>
  <si>
    <t>SCHEDULE 52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</si>
  <si>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</si>
  <si>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</si>
  <si>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</si>
  <si>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</si>
  <si>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</si>
  <si>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</si>
  <si>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</si>
  <si>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</si>
  <si>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</si>
  <si>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SCHEDULE 53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</si>
  <si>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</si>
  <si>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</si>
  <si>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</si>
  <si>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</si>
  <si>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</si>
  <si>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</si>
  <si>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</si>
  <si>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</si>
  <si>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</si>
  <si>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</si>
  <si>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</si>
  <si>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</si>
  <si>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</si>
  <si>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</si>
  <si>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</si>
  <si>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</si>
  <si>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</si>
  <si>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</si>
  <si>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</si>
  <si>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</si>
  <si>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</si>
  <si>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</si>
  <si>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</si>
  <si>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</si>
  <si>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</si>
  <si>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</si>
  <si>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</si>
  <si>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SCHEDULE 54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</si>
  <si>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</si>
  <si>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</si>
  <si>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</si>
  <si>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</si>
  <si>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</si>
  <si>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</si>
  <si>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</si>
  <si>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</si>
  <si>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</si>
  <si>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</si>
  <si>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- 60.01-90 Watts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</si>
  <si>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</si>
  <si>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</si>
  <si>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</si>
  <si>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</si>
  <si>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</si>
  <si>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</si>
  <si>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</si>
  <si>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SCHEDULES 55 &amp; 56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</si>
  <si>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</si>
  <si>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</si>
  <si>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</si>
  <si>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</si>
  <si>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</si>
  <si>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</si>
  <si>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</si>
  <si>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</si>
  <si>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Area Lighting - 60.01-90 Watts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</si>
  <si>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</si>
  <si>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</si>
  <si>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</si>
  <si>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</si>
  <si>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</si>
  <si>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</si>
  <si>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</si>
  <si>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SCHEDULE 57</t>
  </si>
  <si>
    <t>Continuous Lighting Service</t>
  </si>
  <si>
    <t>per Watt of Connected Load</t>
  </si>
  <si>
    <t>SCHEDULES 58 &amp; 59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</si>
  <si>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</si>
  <si>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</si>
  <si>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</si>
  <si>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</si>
  <si>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</si>
  <si>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</si>
  <si>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</si>
  <si>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</si>
  <si>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</si>
  <si>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</si>
  <si>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</si>
  <si>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</si>
  <si>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</si>
  <si>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</si>
  <si>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</si>
  <si>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</si>
  <si>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</si>
  <si>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</si>
  <si>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- 30.01-60 Watts</t>
  </si>
  <si>
    <t>Company Owned LED Flood Lighting - 60.01-90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</si>
  <si>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</si>
  <si>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</si>
  <si>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</si>
  <si>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</si>
  <si>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</si>
  <si>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</si>
  <si>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</si>
  <si>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- 300.01-400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</si>
  <si>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</si>
  <si>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</si>
  <si>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</si>
  <si>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</si>
  <si>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</si>
  <si>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 xml:space="preserve">Test year Annual Inventory </t>
  </si>
  <si>
    <t>Test Year Actual Annual Customers</t>
  </si>
  <si>
    <t>(p)</t>
  </si>
  <si>
    <t>2022 General Rate Case (GRC)</t>
  </si>
  <si>
    <t>Base Charge</t>
  </si>
  <si>
    <t>141N Charge</t>
  </si>
  <si>
    <t>141R Charge</t>
  </si>
  <si>
    <t>Combined Charge</t>
  </si>
  <si>
    <t>Revenue Change from Current (Base)</t>
  </si>
  <si>
    <t>% Change from Current (Base)</t>
  </si>
  <si>
    <t>Current Base Rate vs Proposed</t>
  </si>
  <si>
    <t>141C Charge</t>
  </si>
  <si>
    <t xml:space="preserve">= (e) - (c) </t>
  </si>
  <si>
    <t xml:space="preserve">= (f) ÷ (c) </t>
  </si>
  <si>
    <t xml:space="preserve">= (g) ÷ (c) </t>
  </si>
  <si>
    <t xml:space="preserve">= (g) ÷ (d) </t>
  </si>
  <si>
    <t>Total Count of kWh (Annual)</t>
  </si>
  <si>
    <t>Capital Facilities Charge Percentage (Annual)</t>
  </si>
  <si>
    <t>Capital Facilities Charge Percentage (Monthly)</t>
  </si>
  <si>
    <t>O&amp;M Facilities Charge Percentage (Monthly)</t>
  </si>
  <si>
    <t>Per kWh Commodity Cost</t>
  </si>
  <si>
    <t>Per Watt Customer Cost</t>
  </si>
  <si>
    <t xml:space="preserve">Per kWh Customer Cost </t>
  </si>
  <si>
    <t>Per kW Demand Cost (Annual)</t>
  </si>
  <si>
    <t>Recovery per Install Dollar Capital Cost (Annual)</t>
  </si>
  <si>
    <t>Per Install Dollar Capital Cost (Annual)</t>
  </si>
  <si>
    <t>Per Lamp O&amp;M Cost (Annual)</t>
  </si>
  <si>
    <t>O&amp;M Facilities Charge Percentage (Annual)</t>
  </si>
  <si>
    <t>Per Watt Customer Cost (Annual)</t>
  </si>
  <si>
    <t>Compact Fluorescent</t>
  </si>
  <si>
    <t>LED 0-030</t>
  </si>
  <si>
    <t>Company Owned LED - 0-30 Watts</t>
  </si>
  <si>
    <t>Company Owned LED - 30.01-60 Watts</t>
  </si>
  <si>
    <t>Customer Owned LED - 0-30 Watts</t>
  </si>
  <si>
    <t>Customer Owned LED - 30.01-60 Watts</t>
  </si>
  <si>
    <t>Customer Owned Energy Only LED 0-30 - Watt</t>
  </si>
  <si>
    <t>Customer Owned Energy Only LED 30.01-60 - Watt</t>
  </si>
  <si>
    <t>Company Owned LED Area Lighting 0-30 Watts</t>
  </si>
  <si>
    <t>Company Owned LED Area Lighting 30.01-60 Watts</t>
  </si>
  <si>
    <t>Company Owned LED Flood Lighting - 0-30 Watts</t>
  </si>
  <si>
    <t>51-LED - SMART LIGHT</t>
  </si>
  <si>
    <t>53-LED - SMART LIGHT</t>
  </si>
  <si>
    <t>Lighting Parity Ratios</t>
  </si>
  <si>
    <t>Parity Ratio</t>
  </si>
  <si>
    <t>TOTAL Annual Proposed Revenue (Base + 141C + 141N + 141R)</t>
  </si>
  <si>
    <t>TOTAL Revenue Change from Current (Base + 141C + 141N + 141R)</t>
  </si>
  <si>
    <t>% TOTAL Change from Current (Base + 141C + 141N + 141R)</t>
  </si>
  <si>
    <t>TOTAL Current Annual Revenue (Base + 141C + 141N + 141R)</t>
  </si>
  <si>
    <t>(q)</t>
  </si>
  <si>
    <t>(r)</t>
  </si>
  <si>
    <t>(s)</t>
  </si>
  <si>
    <t>(t)</t>
  </si>
  <si>
    <t>(u)</t>
  </si>
  <si>
    <t>(v)</t>
  </si>
  <si>
    <t>(w)</t>
  </si>
  <si>
    <t>= (i) + (l) + (o) + (r)</t>
  </si>
  <si>
    <t>= (j) + (m) + (p) + (s)</t>
  </si>
  <si>
    <t>= (k) + (n) + (q) + (t)</t>
  </si>
  <si>
    <t>=(i)</t>
  </si>
  <si>
    <t>=(j)</t>
  </si>
  <si>
    <t xml:space="preserve">SMART (per KWHs charge) </t>
  </si>
  <si>
    <t>Test year Annual Inventory</t>
  </si>
  <si>
    <t xml:space="preserve"> Capital  (Sch 50, 51, 52, 53, 54, 55, 56, 57, 58, 59)</t>
  </si>
  <si>
    <t>Distribution O&amp;M (Sch 50, 51, 52, 53, 54, 55, 56, 57, 58, 59)</t>
  </si>
  <si>
    <t>MYRP 2024, Effective January 1, 2025</t>
  </si>
  <si>
    <t>Table of Contents</t>
  </si>
  <si>
    <t xml:space="preserve">Category </t>
  </si>
  <si>
    <t>BDJ-6 Base Revenue (Summary)</t>
  </si>
  <si>
    <t>BDJ-6 Lighting Parity Ratios</t>
  </si>
  <si>
    <t xml:space="preserve">Electric Lighting COS Module </t>
  </si>
  <si>
    <t>BDJ-6 Rate Design Lighting</t>
  </si>
  <si>
    <t>BDJ-6 Unitized Lighting Costs</t>
  </si>
  <si>
    <t>BDJ-6 Classification of Costs</t>
  </si>
  <si>
    <t>BDJ-6 Combined Charges</t>
  </si>
  <si>
    <t xml:space="preserve">Exhibits </t>
  </si>
  <si>
    <t>Lighting Revenues Summary</t>
  </si>
  <si>
    <t>Proposed Effective January 1, 2023</t>
  </si>
  <si>
    <t>Compact Fluorescent - 22 Watts</t>
  </si>
  <si>
    <t>Custom Metal Halide - 70 Watt</t>
  </si>
  <si>
    <t>Custom Metal Halide - 100 Watt</t>
  </si>
  <si>
    <t>Custom Metal Halide - 150 Watt</t>
  </si>
  <si>
    <t>Custom Metal Halide - 175 Watt</t>
  </si>
  <si>
    <t>Custom Metal Halide - 250 Watt</t>
  </si>
  <si>
    <t>Custom Metal Halide - 400 Watt</t>
  </si>
  <si>
    <t>Custom Metal Halide - 1000 Watt</t>
  </si>
  <si>
    <t>Company Owned Metal Halide - 70 Watt</t>
  </si>
  <si>
    <t>Company Owned Metal Halide - 100 Watt</t>
  </si>
  <si>
    <t>Company Owned Metal Halide - 150 Watt</t>
  </si>
  <si>
    <t>Company Owned Metal Halide - 250 Watt</t>
  </si>
  <si>
    <t>Company Owned Metal Halide - 400 Watt</t>
  </si>
  <si>
    <t>Customer Owned Metal Halide - 70 Watt</t>
  </si>
  <si>
    <t>Customer Owned Metal Halide - 100 Watt</t>
  </si>
  <si>
    <t>Customer Owned Metal Halide - 150 Watt</t>
  </si>
  <si>
    <t>Customer Owned Metal Halide - 175 Watt</t>
  </si>
  <si>
    <t>Customer Owned Metal Halide - 250 Watt</t>
  </si>
  <si>
    <t>Customer Owned Metal Halide - 400 Watt</t>
  </si>
  <si>
    <t>Company Owned Area Lighting Pole Charge (Pre 11/74)</t>
  </si>
  <si>
    <t>Company Owned Area Lighting Pole Charge (Post 10-28-99)</t>
  </si>
  <si>
    <t>Company Owned Flood Lighting Pole Charge (Post 10-28-99)</t>
  </si>
  <si>
    <t>Other Rate base - Indirect</t>
  </si>
  <si>
    <t>Return on Rate base</t>
  </si>
  <si>
    <t>Allocate ProForma Revenue (Delivered)</t>
  </si>
  <si>
    <t>Adjustment to ProForma Revenue (Change in Unbilled)</t>
  </si>
  <si>
    <t>Adjusted ProForma Revenue (Billed)</t>
  </si>
  <si>
    <t>Rate base items</t>
  </si>
  <si>
    <t>Links from Other Spreadsheets</t>
  </si>
  <si>
    <t>NEW-PSE-WP-BDJ-5-ELEC-RATE-SPREAD-DESIGN-22GRC-01-2022.xlsx</t>
  </si>
  <si>
    <t>Page</t>
  </si>
  <si>
    <t>page 1-3</t>
  </si>
  <si>
    <t>page 4</t>
  </si>
  <si>
    <t>page 5-9</t>
  </si>
  <si>
    <t>page 10-13</t>
  </si>
  <si>
    <t>page 14</t>
  </si>
  <si>
    <t>page 15-17</t>
  </si>
  <si>
    <t>NEW-PSE-WP-BDJ-4-COS-Model-22GRC-01-2022.xlsx</t>
  </si>
  <si>
    <t>CF 22</t>
  </si>
  <si>
    <t>MV 175</t>
  </si>
  <si>
    <t>SV 070</t>
  </si>
  <si>
    <t>SV 100</t>
  </si>
  <si>
    <t>SV 150</t>
  </si>
  <si>
    <t>SV 200</t>
  </si>
  <si>
    <t>SV 250</t>
  </si>
  <si>
    <t>SV 310</t>
  </si>
  <si>
    <t>SV 400</t>
  </si>
  <si>
    <t>MH 175</t>
  </si>
  <si>
    <t>MH 1000</t>
  </si>
  <si>
    <t>SV 050</t>
  </si>
  <si>
    <t>DSV 070</t>
  </si>
  <si>
    <t>DSV 100</t>
  </si>
  <si>
    <t>DSV 150</t>
  </si>
  <si>
    <t>DSV 200</t>
  </si>
  <si>
    <t>DSV 250</t>
  </si>
  <si>
    <t>DSV 400</t>
  </si>
  <si>
    <t>HSV 100</t>
  </si>
  <si>
    <t>HSV 150</t>
  </si>
  <si>
    <t>HSV 200</t>
  </si>
  <si>
    <t>HSV 250</t>
  </si>
  <si>
    <t>HSV 400</t>
  </si>
  <si>
    <t>DMH 175</t>
  </si>
  <si>
    <t>DMH 250</t>
  </si>
  <si>
    <t>DMH 400</t>
  </si>
  <si>
    <t>DMH 1000</t>
  </si>
  <si>
    <t>HMH 250</t>
  </si>
  <si>
    <t>HMH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</si>
</sst>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0.000%"/>
    <numFmt numFmtId="169" formatCode="&quot;$&quot;#,##0.00000"/>
    <numFmt numFmtId="170" formatCode="&quot;$&quot;#,##0"/>
    <numFmt numFmtId="171" formatCode="_(&quot;$&quot;* #,##0.00000_);_(&quot;$&quot;* \(#,##0.00000\);_(&quot;$&quot;* &quot;-&quot;??_);_(@_)"/>
    <numFmt numFmtId="172" formatCode="0.00000%"/>
    <numFmt numFmtId="173" formatCode="###,000"/>
    <numFmt numFmtId="174" formatCode="&quot;$&quot;#,##0.000000"/>
    <numFmt numFmtId="175" formatCode="&quot;$&quot;#,##0.000000_);\(&quot;$&quot;#,##0.000000\)"/>
    <numFmt numFmtId="176" formatCode="0.000"/>
    <numFmt numFmtId="177" formatCode="0.000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DBE5F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</borders>
  <cellStyleXfs count="40">
    <xf numFmtId="0" fontId="0" fillId="0" borderId="0"/>
    <xf numFmtId="173" fontId="5" fillId="0" borderId="26" applyNumberFormat="0" applyFill="0" applyBorder="0" applyAlignment="0" applyProtection="0">
      <alignment horizontal="right" vertical="center"/>
    </xf>
    <xf numFmtId="173" fontId="14" fillId="5" borderId="27" applyNumberFormat="0" applyBorder="0">
      <alignment horizontal="right" vertical="center"/>
      <protection locked="0"/>
    </xf>
    <xf numFmtId="173" fontId="15" fillId="5" borderId="26" applyNumberFormat="0" applyBorder="0">
      <alignment horizontal="right" vertical="center"/>
      <protection locked="0"/>
    </xf>
    <xf numFmtId="173" fontId="14" fillId="4" borderId="27" applyNumberFormat="0" applyProtection="0">
      <alignment horizontal="right" vertical="center"/>
    </xf>
    <xf numFmtId="0" fontId="12" fillId="4" borderId="27" applyNumberFormat="0" applyAlignment="0" applyProtection="0">
      <alignment horizontal="left" vertical="center" indent="1"/>
    </xf>
    <xf numFmtId="0" fontId="12" fillId="3" borderId="27" applyNumberFormat="0" applyAlignment="0">
      <alignment horizontal="left" vertical="center" indent="1"/>
      <protection locked="0"/>
    </xf>
    <xf numFmtId="0" fontId="12" fillId="3" borderId="27" applyNumberFormat="0" applyAlignment="0">
      <alignment horizontal="left" vertical="center" indent="1"/>
      <protection locked="0"/>
    </xf>
    <xf numFmtId="0" fontId="13" fillId="0" borderId="29" applyNumberFormat="0" applyBorder="0" applyAlignment="0" applyProtection="0"/>
    <xf numFmtId="0" fontId="12" fillId="0" borderId="29" applyNumberFormat="0" applyFill="0" applyBorder="0" applyAlignment="0" applyProtection="0"/>
    <xf numFmtId="0" fontId="6" fillId="4" borderId="27" applyNumberFormat="0" applyAlignment="0" applyProtection="0">
      <alignment horizontal="left" vertical="center" indent="1"/>
    </xf>
    <xf numFmtId="0" fontId="6" fillId="5" borderId="25" applyNumberFormat="0" applyAlignment="0" applyProtection="0">
      <alignment horizontal="left" vertical="center" indent="1"/>
    </xf>
    <xf numFmtId="0" fontId="6" fillId="18" borderId="25" applyNumberFormat="0" applyAlignment="0" applyProtection="0">
      <alignment horizontal="left" vertical="center" indent="1"/>
    </xf>
    <xf numFmtId="0" fontId="6" fillId="17" borderId="25" applyNumberFormat="0" applyAlignment="0" applyProtection="0">
      <alignment horizontal="left" vertical="center" indent="1"/>
    </xf>
    <xf numFmtId="0" fontId="6" fillId="16" borderId="25" applyNumberFormat="0" applyAlignment="0" applyProtection="0">
      <alignment horizontal="left" vertical="center" indent="1"/>
    </xf>
    <xf numFmtId="0" fontId="4" fillId="2" borderId="27" applyNumberFormat="0" applyAlignment="0" applyProtection="0">
      <alignment horizontal="left" vertical="center" indent="1"/>
    </xf>
    <xf numFmtId="173" fontId="5" fillId="15" borderId="25" applyNumberFormat="0" applyAlignment="0" applyProtection="0">
      <alignment horizontal="left" vertical="center" indent="1"/>
    </xf>
    <xf numFmtId="173" fontId="5" fillId="0" borderId="26" applyNumberFormat="0" applyFill="0" applyBorder="0" applyAlignment="0" applyProtection="0">
      <alignment horizontal="right" vertical="center"/>
    </xf>
    <xf numFmtId="0" fontId="11" fillId="0" borderId="30" applyNumberFormat="0" applyFont="0" applyFill="0" applyAlignment="0" applyProtection="0"/>
    <xf numFmtId="173" fontId="16" fillId="15" borderId="0" applyNumberFormat="0" applyAlignment="0" applyProtection="0">
      <alignment horizontal="left" vertical="center" indent="1"/>
    </xf>
    <xf numFmtId="0" fontId="11" fillId="0" borderId="25" applyNumberFormat="0" applyFont="0" applyFill="0" applyAlignment="0" applyProtection="0"/>
    <xf numFmtId="173" fontId="10" fillId="14" borderId="28" applyNumberFormat="0" applyBorder="0" applyAlignment="0" applyProtection="0">
      <alignment horizontal="right" vertical="center" indent="1"/>
    </xf>
    <xf numFmtId="173" fontId="10" fillId="13" borderId="28" applyNumberFormat="0" applyBorder="0" applyAlignment="0" applyProtection="0">
      <alignment horizontal="right" vertical="center" indent="1"/>
    </xf>
    <xf numFmtId="173" fontId="10" fillId="12" borderId="28" applyNumberFormat="0" applyBorder="0" applyAlignment="0" applyProtection="0">
      <alignment horizontal="right" vertical="center" indent="1"/>
    </xf>
    <xf numFmtId="173" fontId="9" fillId="11" borderId="28" applyNumberFormat="0" applyBorder="0" applyAlignment="0" applyProtection="0">
      <alignment horizontal="right" vertical="center" indent="1"/>
    </xf>
    <xf numFmtId="173" fontId="9" fillId="10" borderId="28" applyNumberFormat="0" applyBorder="0" applyAlignment="0" applyProtection="0">
      <alignment horizontal="right" vertical="center" indent="1"/>
    </xf>
    <xf numFmtId="173" fontId="9" fillId="9" borderId="28" applyNumberFormat="0" applyBorder="0" applyAlignment="0" applyProtection="0">
      <alignment horizontal="right" vertical="center" indent="1"/>
    </xf>
    <xf numFmtId="173" fontId="8" fillId="8" borderId="28" applyNumberFormat="0" applyBorder="0" applyAlignment="0" applyProtection="0">
      <alignment horizontal="right" vertical="center" indent="1"/>
    </xf>
    <xf numFmtId="173" fontId="8" fillId="7" borderId="28" applyNumberFormat="0" applyBorder="0" applyAlignment="0" applyProtection="0">
      <alignment horizontal="right" vertical="center" indent="1"/>
    </xf>
    <xf numFmtId="173" fontId="7" fillId="6" borderId="28" applyNumberFormat="0" applyBorder="0" applyAlignment="0" applyProtection="0">
      <alignment horizontal="right" vertical="center" indent="1"/>
    </xf>
    <xf numFmtId="173" fontId="4" fillId="5" borderId="27" applyNumberFormat="0" applyBorder="0">
      <alignment horizontal="right" vertical="center"/>
      <protection locked="0"/>
    </xf>
    <xf numFmtId="173" fontId="4" fillId="4" borderId="27" applyNumberFormat="0" applyProtection="0">
      <alignment horizontal="right" vertical="center"/>
    </xf>
    <xf numFmtId="0" fontId="6" fillId="3" borderId="27" applyNumberFormat="0" applyAlignment="0">
      <alignment horizontal="left" vertical="center" indent="1"/>
      <protection locked="0"/>
    </xf>
    <xf numFmtId="173" fontId="5" fillId="5" borderId="26" applyNumberFormat="0" applyBorder="0">
      <alignment horizontal="right" vertical="center"/>
      <protection locked="0"/>
    </xf>
    <xf numFmtId="0" fontId="6" fillId="4" borderId="27" applyNumberFormat="0" applyAlignment="0" applyProtection="0">
      <alignment horizontal="left" vertical="center" indent="1"/>
    </xf>
    <xf numFmtId="0" fontId="6" fillId="3" borderId="27" applyNumberFormat="0" applyAlignment="0">
      <alignment horizontal="left" vertical="center" indent="1"/>
      <protection locked="0"/>
    </xf>
    <xf numFmtId="173" fontId="5" fillId="15" borderId="25" applyNumberFormat="0" applyAlignment="0" applyProtection="0">
      <alignment horizontal="left" vertical="center" indent="1"/>
    </xf>
    <xf numFmtId="173" fontId="4" fillId="0" borderId="27" applyNumberFormat="0" applyProtection="0">
      <alignment horizontal="right" vertical="center"/>
    </xf>
    <xf numFmtId="173" fontId="5" fillId="0" borderId="26" applyNumberFormat="0" applyProtection="0">
      <alignment horizontal="right" vertical="center"/>
    </xf>
    <xf numFmtId="0" fontId="4" fillId="2" borderId="25" applyNumberFormat="0" applyAlignment="0" applyProtection="0">
      <alignment horizontal="left" vertical="center" indent="1"/>
    </xf>
  </cellStyleXfs>
  <cellXfs count="281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quotePrefix="1" applyFont="1" applyFill="1" applyBorder="1" applyAlignment="1">
      <alignment horizontal="left" wrapText="1"/>
    </xf>
    <xf numFmtId="1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Alignment="1"/>
    <xf numFmtId="10" fontId="2" fillId="0" borderId="0" xfId="0" applyNumberFormat="1" applyFont="1" applyFill="1" applyAlignment="1">
      <alignment horizontal="right"/>
    </xf>
    <xf numFmtId="165" fontId="2" fillId="0" borderId="3" xfId="0" applyNumberFormat="1" applyFont="1" applyFill="1" applyBorder="1" applyAlignment="1"/>
    <xf numFmtId="10" fontId="2" fillId="0" borderId="3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wrapText="1"/>
    </xf>
    <xf numFmtId="43" fontId="2" fillId="0" borderId="0" xfId="0" quotePrefix="1" applyNumberFormat="1" applyFont="1" applyBorder="1" applyAlignment="1">
      <alignment horizontal="left" indent="1"/>
    </xf>
    <xf numFmtId="43" fontId="2" fillId="0" borderId="0" xfId="0" quotePrefix="1" applyNumberFormat="1" applyFont="1" applyFill="1" applyBorder="1" applyAlignment="1">
      <alignment horizontal="left" indent="1"/>
    </xf>
    <xf numFmtId="169" fontId="2" fillId="0" borderId="1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44" fontId="2" fillId="0" borderId="0" xfId="0" applyNumberFormat="1" applyFont="1" applyFill="1"/>
    <xf numFmtId="0" fontId="2" fillId="0" borderId="18" xfId="0" applyFont="1" applyFill="1" applyBorder="1"/>
    <xf numFmtId="0" fontId="2" fillId="0" borderId="14" xfId="0" applyFont="1" applyFill="1" applyBorder="1"/>
    <xf numFmtId="44" fontId="2" fillId="0" borderId="18" xfId="0" applyNumberFormat="1" applyFont="1" applyFill="1" applyBorder="1"/>
    <xf numFmtId="44" fontId="2" fillId="0" borderId="14" xfId="0" applyNumberFormat="1" applyFont="1" applyFill="1" applyBorder="1"/>
    <xf numFmtId="44" fontId="2" fillId="0" borderId="0" xfId="0" applyNumberFormat="1" applyFont="1" applyFill="1" applyBorder="1"/>
    <xf numFmtId="10" fontId="2" fillId="0" borderId="18" xfId="0" applyNumberFormat="1" applyFont="1" applyFill="1" applyBorder="1"/>
    <xf numFmtId="10" fontId="2" fillId="0" borderId="14" xfId="0" applyNumberFormat="1" applyFont="1" applyFill="1" applyBorder="1"/>
    <xf numFmtId="166" fontId="2" fillId="0" borderId="18" xfId="0" applyNumberFormat="1" applyFont="1" applyFill="1" applyBorder="1"/>
    <xf numFmtId="166" fontId="2" fillId="0" borderId="14" xfId="0" applyNumberFormat="1" applyFont="1" applyFill="1" applyBorder="1"/>
    <xf numFmtId="9" fontId="2" fillId="0" borderId="18" xfId="0" applyNumberFormat="1" applyFont="1" applyFill="1" applyBorder="1"/>
    <xf numFmtId="9" fontId="2" fillId="0" borderId="14" xfId="0" applyNumberFormat="1" applyFont="1" applyFill="1" applyBorder="1"/>
    <xf numFmtId="166" fontId="2" fillId="0" borderId="21" xfId="0" applyNumberFormat="1" applyFont="1" applyFill="1" applyBorder="1"/>
    <xf numFmtId="166" fontId="2" fillId="0" borderId="0" xfId="0" applyNumberFormat="1" applyFont="1" applyFill="1" applyBorder="1"/>
    <xf numFmtId="166" fontId="2" fillId="0" borderId="19" xfId="0" applyNumberFormat="1" applyFont="1" applyFill="1" applyBorder="1"/>
    <xf numFmtId="166" fontId="2" fillId="0" borderId="15" xfId="0" applyNumberFormat="1" applyFont="1" applyFill="1" applyBorder="1"/>
    <xf numFmtId="166" fontId="2" fillId="0" borderId="4" xfId="0" applyNumberFormat="1" applyFont="1" applyFill="1" applyBorder="1"/>
    <xf numFmtId="164" fontId="2" fillId="0" borderId="0" xfId="0" applyNumberFormat="1" applyFont="1" applyFill="1"/>
    <xf numFmtId="0" fontId="2" fillId="0" borderId="18" xfId="0" quotePrefix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4" xfId="0" quotePrefix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7" xfId="0" quotePrefix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0" fontId="2" fillId="0" borderId="0" xfId="0" applyFont="1" applyFill="1" applyAlignment="1">
      <alignment horizontal="center" wrapText="1"/>
    </xf>
    <xf numFmtId="166" fontId="2" fillId="0" borderId="0" xfId="0" applyNumberFormat="1" applyFont="1" applyFill="1" applyBorder="1"/>
    <xf numFmtId="166" fontId="2" fillId="0" borderId="0" xfId="0" applyNumberFormat="1" applyFont="1" applyBorder="1"/>
    <xf numFmtId="0" fontId="2" fillId="0" borderId="4" xfId="0" quotePrefix="1" applyFont="1" applyFill="1" applyBorder="1" applyAlignment="1">
      <alignment horizontal="center"/>
    </xf>
    <xf numFmtId="166" fontId="2" fillId="0" borderId="14" xfId="0" applyNumberFormat="1" applyFont="1" applyFill="1" applyBorder="1"/>
    <xf numFmtId="166" fontId="2" fillId="0" borderId="18" xfId="0" applyNumberFormat="1" applyFont="1" applyFill="1" applyBorder="1"/>
    <xf numFmtId="166" fontId="2" fillId="0" borderId="16" xfId="0" applyNumberFormat="1" applyFont="1" applyFill="1" applyBorder="1"/>
    <xf numFmtId="166" fontId="2" fillId="0" borderId="3" xfId="0" applyNumberFormat="1" applyFont="1" applyFill="1" applyBorder="1"/>
    <xf numFmtId="166" fontId="2" fillId="0" borderId="20" xfId="0" applyNumberFormat="1" applyFont="1" applyFill="1" applyBorder="1"/>
    <xf numFmtId="43" fontId="2" fillId="0" borderId="0" xfId="0" applyNumberFormat="1" applyFont="1" applyFill="1"/>
    <xf numFmtId="10" fontId="2" fillId="0" borderId="0" xfId="0" applyNumberFormat="1" applyFont="1" applyFill="1" applyBorder="1"/>
    <xf numFmtId="4" fontId="2" fillId="0" borderId="0" xfId="0" applyNumberFormat="1" applyFont="1" applyFill="1" applyBorder="1"/>
    <xf numFmtId="172" fontId="2" fillId="0" borderId="1" xfId="0" applyNumberFormat="1" applyFont="1" applyFill="1" applyBorder="1"/>
    <xf numFmtId="1" fontId="2" fillId="0" borderId="0" xfId="0" applyNumberFormat="1" applyFont="1" applyFill="1" applyBorder="1"/>
    <xf numFmtId="10" fontId="2" fillId="0" borderId="0" xfId="0" applyNumberFormat="1" applyFont="1" applyFill="1"/>
    <xf numFmtId="43" fontId="3" fillId="0" borderId="2" xfId="0" quotePrefix="1" applyNumberFormat="1" applyFont="1" applyBorder="1" applyAlignment="1">
      <alignment horizontal="left" indent="1"/>
    </xf>
    <xf numFmtId="166" fontId="3" fillId="0" borderId="2" xfId="0" applyNumberFormat="1" applyFont="1" applyBorder="1"/>
    <xf numFmtId="0" fontId="2" fillId="0" borderId="0" xfId="0" applyFont="1" applyFill="1"/>
    <xf numFmtId="5" fontId="2" fillId="0" borderId="31" xfId="0" applyNumberFormat="1" applyFont="1" applyFill="1" applyBorder="1" applyProtection="1"/>
    <xf numFmtId="5" fontId="2" fillId="0" borderId="0" xfId="0" applyNumberFormat="1" applyFont="1" applyFill="1" applyBorder="1" applyProtection="1"/>
    <xf numFmtId="37" fontId="2" fillId="0" borderId="31" xfId="0" applyNumberFormat="1" applyFont="1" applyFill="1" applyBorder="1" applyProtection="1"/>
    <xf numFmtId="0" fontId="2" fillId="0" borderId="0" xfId="0" applyFont="1" applyFill="1" applyAlignment="1" applyProtection="1">
      <alignment horizontal="left" indent="2"/>
    </xf>
    <xf numFmtId="0" fontId="2" fillId="0" borderId="0" xfId="0" applyFont="1" applyFill="1" applyAlignment="1"/>
    <xf numFmtId="10" fontId="2" fillId="0" borderId="0" xfId="0" applyNumberFormat="1" applyFont="1" applyFill="1"/>
    <xf numFmtId="44" fontId="2" fillId="0" borderId="0" xfId="0" applyNumberFormat="1" applyFont="1" applyFill="1" applyBorder="1"/>
    <xf numFmtId="5" fontId="2" fillId="0" borderId="0" xfId="0" applyNumberFormat="1" applyFont="1" applyFill="1" applyProtection="1"/>
    <xf numFmtId="175" fontId="2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165" fontId="2" fillId="0" borderId="0" xfId="0" applyNumberFormat="1" applyFont="1" applyFill="1" applyProtection="1"/>
    <xf numFmtId="0" fontId="2" fillId="0" borderId="0" xfId="0" quotePrefix="1" applyFont="1" applyFill="1" applyAlignment="1" applyProtection="1">
      <alignment horizontal="left"/>
    </xf>
    <xf numFmtId="5" fontId="2" fillId="0" borderId="4" xfId="0" applyNumberFormat="1" applyFont="1" applyFill="1" applyBorder="1" applyProtection="1"/>
    <xf numFmtId="44" fontId="2" fillId="0" borderId="0" xfId="0" applyNumberFormat="1" applyFont="1" applyFill="1"/>
    <xf numFmtId="165" fontId="2" fillId="0" borderId="4" xfId="0" applyNumberFormat="1" applyFont="1" applyFill="1" applyBorder="1"/>
    <xf numFmtId="0" fontId="2" fillId="0" borderId="0" xfId="0" quotePrefix="1" applyFont="1" applyFill="1" applyAlignment="1">
      <alignment horizontal="left" indent="2"/>
    </xf>
    <xf numFmtId="0" fontId="2" fillId="0" borderId="0" xfId="0" quotePrefix="1" applyFont="1" applyFill="1" applyAlignment="1" applyProtection="1">
      <alignment horizontal="left" indent="1"/>
    </xf>
    <xf numFmtId="5" fontId="2" fillId="0" borderId="0" xfId="0" applyNumberFormat="1" applyFont="1" applyFill="1"/>
    <xf numFmtId="0" fontId="2" fillId="0" borderId="0" xfId="0" applyFont="1" applyFill="1" applyAlignment="1" applyProtection="1">
      <alignment horizontal="left" indent="1"/>
    </xf>
    <xf numFmtId="0" fontId="2" fillId="0" borderId="0" xfId="0" quotePrefix="1" applyFont="1" applyFill="1" applyAlignment="1">
      <alignment horizontal="left" indent="1"/>
    </xf>
    <xf numFmtId="37" fontId="2" fillId="0" borderId="0" xfId="0" applyNumberFormat="1" applyFont="1" applyFill="1"/>
    <xf numFmtId="0" fontId="2" fillId="0" borderId="0" xfId="0" applyFont="1" applyFill="1" applyProtection="1"/>
    <xf numFmtId="177" fontId="2" fillId="0" borderId="0" xfId="0" applyNumberFormat="1" applyFont="1" applyFill="1" applyProtection="1"/>
    <xf numFmtId="177" fontId="2" fillId="0" borderId="0" xfId="0" applyNumberFormat="1" applyFont="1" applyFill="1" applyBorder="1" applyProtection="1"/>
    <xf numFmtId="37" fontId="2" fillId="0" borderId="0" xfId="0" applyNumberFormat="1" applyFont="1" applyFill="1" applyBorder="1" applyProtection="1"/>
    <xf numFmtId="170" fontId="2" fillId="0" borderId="4" xfId="0" applyNumberFormat="1" applyFont="1" applyFill="1" applyBorder="1"/>
    <xf numFmtId="37" fontId="2" fillId="0" borderId="4" xfId="0" applyNumberFormat="1" applyFont="1" applyFill="1" applyBorder="1"/>
    <xf numFmtId="171" fontId="2" fillId="0" borderId="0" xfId="0" applyNumberFormat="1" applyFont="1" applyFill="1"/>
    <xf numFmtId="37" fontId="2" fillId="0" borderId="0" xfId="0" applyNumberFormat="1" applyFont="1" applyFill="1" applyBorder="1"/>
    <xf numFmtId="165" fontId="2" fillId="0" borderId="31" xfId="0" applyNumberFormat="1" applyFont="1" applyFill="1" applyBorder="1" applyProtection="1"/>
    <xf numFmtId="165" fontId="2" fillId="0" borderId="0" xfId="0" applyNumberFormat="1" applyFont="1" applyFill="1"/>
    <xf numFmtId="5" fontId="2" fillId="0" borderId="32" xfId="0" applyNumberFormat="1" applyFont="1" applyFill="1" applyBorder="1" applyProtection="1"/>
    <xf numFmtId="37" fontId="2" fillId="0" borderId="1" xfId="0" applyNumberFormat="1" applyFont="1" applyFill="1" applyBorder="1" applyProtection="1"/>
    <xf numFmtId="0" fontId="2" fillId="0" borderId="0" xfId="0" quotePrefix="1" applyFont="1" applyFill="1" applyAlignment="1">
      <alignment horizontal="left"/>
    </xf>
    <xf numFmtId="170" fontId="2" fillId="0" borderId="0" xfId="0" applyNumberFormat="1" applyFont="1" applyFill="1" applyBorder="1"/>
    <xf numFmtId="5" fontId="2" fillId="0" borderId="3" xfId="0" applyNumberFormat="1" applyFont="1" applyFill="1" applyBorder="1" applyProtection="1"/>
    <xf numFmtId="37" fontId="2" fillId="0" borderId="0" xfId="0" applyNumberFormat="1" applyFont="1" applyFill="1" applyProtection="1"/>
    <xf numFmtId="168" fontId="2" fillId="0" borderId="0" xfId="0" applyNumberFormat="1" applyFont="1" applyFill="1"/>
    <xf numFmtId="176" fontId="2" fillId="0" borderId="0" xfId="0" applyNumberFormat="1" applyFont="1" applyFill="1" applyProtection="1"/>
    <xf numFmtId="0" fontId="2" fillId="0" borderId="0" xfId="0" quotePrefix="1" applyFont="1" applyFill="1"/>
    <xf numFmtId="43" fontId="2" fillId="0" borderId="0" xfId="0" applyNumberFormat="1" applyFont="1" applyFill="1"/>
    <xf numFmtId="7" fontId="2" fillId="0" borderId="0" xfId="0" applyNumberFormat="1" applyFont="1" applyFill="1"/>
    <xf numFmtId="166" fontId="2" fillId="0" borderId="0" xfId="0" applyNumberFormat="1" applyFont="1" applyFill="1"/>
    <xf numFmtId="37" fontId="3" fillId="0" borderId="0" xfId="0" quotePrefix="1" applyNumberFormat="1" applyFont="1" applyFill="1" applyAlignment="1" applyProtection="1">
      <alignment horizontal="center" wrapText="1"/>
    </xf>
    <xf numFmtId="7" fontId="2" fillId="0" borderId="0" xfId="0" applyNumberFormat="1" applyFont="1" applyFill="1" applyProtection="1"/>
    <xf numFmtId="5" fontId="3" fillId="0" borderId="3" xfId="0" applyNumberFormat="1" applyFont="1" applyFill="1" applyBorder="1"/>
    <xf numFmtId="42" fontId="2" fillId="0" borderId="0" xfId="0" applyNumberFormat="1" applyFont="1" applyFill="1"/>
    <xf numFmtId="0" fontId="3" fillId="0" borderId="0" xfId="0" applyFont="1" applyFill="1"/>
    <xf numFmtId="166" fontId="3" fillId="0" borderId="0" xfId="0" applyNumberFormat="1" applyFont="1" applyFill="1"/>
    <xf numFmtId="5" fontId="3" fillId="0" borderId="3" xfId="0" applyNumberFormat="1" applyFont="1" applyFill="1" applyBorder="1" applyProtection="1"/>
    <xf numFmtId="165" fontId="3" fillId="0" borderId="3" xfId="0" applyNumberFormat="1" applyFont="1" applyFill="1" applyBorder="1" applyProtection="1"/>
    <xf numFmtId="5" fontId="3" fillId="0" borderId="0" xfId="0" applyNumberFormat="1" applyFont="1" applyFill="1" applyProtection="1"/>
    <xf numFmtId="7" fontId="3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horizontal="center"/>
    </xf>
    <xf numFmtId="37" fontId="3" fillId="0" borderId="9" xfId="0" quotePrefix="1" applyNumberFormat="1" applyFont="1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center"/>
    </xf>
    <xf numFmtId="37" fontId="3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wrapText="1"/>
    </xf>
    <xf numFmtId="3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 wrapText="1"/>
    </xf>
    <xf numFmtId="4" fontId="2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0" borderId="17" xfId="0" applyNumberFormat="1" applyFont="1" applyFill="1" applyBorder="1"/>
    <xf numFmtId="166" fontId="2" fillId="0" borderId="21" xfId="0" applyNumberFormat="1" applyFont="1" applyFill="1" applyBorder="1"/>
    <xf numFmtId="169" fontId="2" fillId="0" borderId="12" xfId="0" applyNumberFormat="1" applyFont="1" applyFill="1" applyBorder="1"/>
    <xf numFmtId="166" fontId="2" fillId="0" borderId="17" xfId="0" applyNumberFormat="1" applyFont="1" applyFill="1" applyBorder="1"/>
    <xf numFmtId="166" fontId="2" fillId="0" borderId="0" xfId="0" applyNumberFormat="1" applyFont="1" applyFill="1" applyAlignment="1"/>
    <xf numFmtId="166" fontId="2" fillId="0" borderId="3" xfId="0" applyNumberFormat="1" applyFont="1" applyFill="1" applyBorder="1" applyAlignment="1"/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9" fontId="2" fillId="0" borderId="0" xfId="0" applyNumberFormat="1" applyFont="1" applyFill="1" applyBorder="1"/>
    <xf numFmtId="10" fontId="2" fillId="0" borderId="0" xfId="0" applyNumberFormat="1" applyFont="1" applyFill="1" applyBorder="1"/>
    <xf numFmtId="166" fontId="2" fillId="0" borderId="0" xfId="0" applyNumberFormat="1" applyFont="1" applyFill="1" applyBorder="1"/>
    <xf numFmtId="0" fontId="3" fillId="0" borderId="0" xfId="0" applyFont="1" applyFill="1"/>
    <xf numFmtId="166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3" fillId="0" borderId="13" xfId="0" applyFont="1" applyBorder="1"/>
    <xf numFmtId="0" fontId="2" fillId="0" borderId="13" xfId="0" quotePrefix="1" applyFont="1" applyBorder="1" applyAlignment="1">
      <alignment horizontal="left" indent="1"/>
    </xf>
    <xf numFmtId="0" fontId="2" fillId="0" borderId="13" xfId="0" quotePrefix="1" applyFont="1" applyFill="1" applyBorder="1" applyAlignment="1">
      <alignment horizontal="lef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166" fontId="2" fillId="0" borderId="0" xfId="0" applyNumberFormat="1" applyFont="1" applyBorder="1"/>
    <xf numFmtId="166" fontId="3" fillId="0" borderId="2" xfId="0" applyNumberFormat="1" applyFont="1" applyBorder="1"/>
    <xf numFmtId="165" fontId="2" fillId="0" borderId="0" xfId="0" applyNumberFormat="1" applyFont="1" applyFill="1" applyProtection="1"/>
    <xf numFmtId="168" fontId="2" fillId="0" borderId="0" xfId="0" applyNumberFormat="1" applyFont="1" applyFill="1"/>
    <xf numFmtId="42" fontId="2" fillId="0" borderId="0" xfId="0" applyNumberFormat="1" applyFont="1" applyFill="1" applyProtection="1"/>
    <xf numFmtId="42" fontId="3" fillId="0" borderId="3" xfId="0" applyNumberFormat="1" applyFont="1" applyFill="1" applyBorder="1" applyProtection="1"/>
    <xf numFmtId="10" fontId="2" fillId="0" borderId="0" xfId="0" applyNumberFormat="1" applyFont="1" applyFill="1" applyProtection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164" fontId="2" fillId="0" borderId="3" xfId="0" applyNumberFormat="1" applyFont="1" applyFill="1" applyBorder="1"/>
    <xf numFmtId="10" fontId="2" fillId="0" borderId="1" xfId="0" applyNumberFormat="1" applyFont="1" applyFill="1" applyBorder="1"/>
    <xf numFmtId="0" fontId="3" fillId="0" borderId="2" xfId="0" applyFont="1" applyFill="1" applyBorder="1" applyAlignment="1"/>
    <xf numFmtId="0" fontId="2" fillId="0" borderId="2" xfId="0" applyFont="1" applyFill="1" applyBorder="1"/>
    <xf numFmtId="172" fontId="2" fillId="0" borderId="0" xfId="0" applyNumberFormat="1" applyFont="1" applyFill="1" applyBorder="1"/>
    <xf numFmtId="169" fontId="2" fillId="0" borderId="3" xfId="0" applyNumberFormat="1" applyFont="1" applyFill="1" applyBorder="1"/>
    <xf numFmtId="10" fontId="2" fillId="0" borderId="12" xfId="0" applyNumberFormat="1" applyFont="1" applyFill="1" applyBorder="1"/>
    <xf numFmtId="172" fontId="2" fillId="0" borderId="12" xfId="0" applyNumberFormat="1" applyFont="1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6" fontId="2" fillId="0" borderId="18" xfId="0" applyNumberFormat="1" applyFont="1" applyFill="1" applyBorder="1"/>
    <xf numFmtId="166" fontId="2" fillId="0" borderId="22" xfId="0" applyNumberFormat="1" applyFont="1" applyFill="1" applyBorder="1"/>
    <xf numFmtId="44" fontId="2" fillId="0" borderId="14" xfId="0" applyNumberFormat="1" applyFont="1" applyFill="1" applyBorder="1"/>
    <xf numFmtId="44" fontId="2" fillId="0" borderId="0" xfId="0" applyNumberFormat="1" applyFont="1" applyFill="1" applyBorder="1"/>
    <xf numFmtId="44" fontId="2" fillId="0" borderId="18" xfId="0" applyNumberFormat="1" applyFont="1" applyFill="1" applyBorder="1"/>
    <xf numFmtId="0" fontId="3" fillId="0" borderId="0" xfId="0" applyFont="1" applyFill="1" applyBorder="1"/>
    <xf numFmtId="0" fontId="2" fillId="0" borderId="8" xfId="0" applyFont="1" applyFill="1" applyBorder="1"/>
    <xf numFmtId="37" fontId="2" fillId="0" borderId="0" xfId="0" applyNumberFormat="1" applyFont="1" applyFill="1"/>
    <xf numFmtId="10" fontId="2" fillId="0" borderId="0" xfId="0" applyNumberFormat="1" applyFont="1" applyFill="1"/>
    <xf numFmtId="172" fontId="2" fillId="0" borderId="0" xfId="0" applyNumberFormat="1" applyFont="1" applyFill="1"/>
    <xf numFmtId="0" fontId="2" fillId="0" borderId="33" xfId="0" quotePrefix="1" applyFont="1" applyFill="1" applyBorder="1" applyAlignment="1">
      <alignment horizontal="center" wrapText="1"/>
    </xf>
    <xf numFmtId="0" fontId="2" fillId="0" borderId="33" xfId="0" applyFont="1" applyFill="1" applyBorder="1"/>
    <xf numFmtId="166" fontId="2" fillId="0" borderId="33" xfId="0" applyNumberFormat="1" applyFont="1" applyFill="1" applyBorder="1"/>
    <xf numFmtId="166" fontId="2" fillId="0" borderId="34" xfId="0" applyNumberFormat="1" applyFont="1" applyFill="1" applyBorder="1"/>
    <xf numFmtId="166" fontId="2" fillId="0" borderId="33" xfId="0" applyNumberFormat="1" applyFont="1" applyFill="1" applyBorder="1"/>
    <xf numFmtId="166" fontId="2" fillId="0" borderId="22" xfId="0" applyNumberFormat="1" applyFont="1" applyFill="1" applyBorder="1"/>
    <xf numFmtId="9" fontId="2" fillId="0" borderId="33" xfId="0" applyNumberFormat="1" applyFont="1" applyFill="1" applyBorder="1"/>
    <xf numFmtId="10" fontId="2" fillId="0" borderId="33" xfId="0" applyNumberFormat="1" applyFont="1" applyFill="1" applyBorder="1"/>
    <xf numFmtId="166" fontId="2" fillId="0" borderId="33" xfId="0" applyNumberFormat="1" applyFont="1" applyFill="1" applyBorder="1"/>
    <xf numFmtId="44" fontId="2" fillId="0" borderId="22" xfId="0" applyNumberFormat="1" applyFont="1" applyFill="1" applyBorder="1"/>
    <xf numFmtId="44" fontId="2" fillId="0" borderId="33" xfId="0" applyNumberFormat="1" applyFont="1" applyFill="1" applyBorder="1"/>
    <xf numFmtId="166" fontId="2" fillId="0" borderId="35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2" fillId="0" borderId="0" xfId="0" quotePrefix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167" fontId="2" fillId="0" borderId="0" xfId="0" quotePrefix="1" applyNumberFormat="1" applyFont="1" applyFill="1" applyBorder="1" applyAlignment="1">
      <alignment horizontal="left" indent="1"/>
    </xf>
    <xf numFmtId="167" fontId="2" fillId="0" borderId="0" xfId="0" quotePrefix="1" applyNumberFormat="1" applyFont="1" applyFill="1" applyBorder="1" applyAlignment="1"/>
    <xf numFmtId="167" fontId="2" fillId="0" borderId="0" xfId="0" quotePrefix="1" applyNumberFormat="1" applyFont="1" applyFill="1" applyBorder="1" applyAlignment="1">
      <alignment horizontal="right" wrapText="1"/>
    </xf>
    <xf numFmtId="167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/>
    <xf numFmtId="174" fontId="2" fillId="0" borderId="0" xfId="0" quotePrefix="1" applyNumberFormat="1" applyFont="1" applyFill="1" applyBorder="1" applyAlignment="1">
      <alignment horizontal="left" indent="1"/>
    </xf>
    <xf numFmtId="174" fontId="2" fillId="0" borderId="0" xfId="0" quotePrefix="1" applyNumberFormat="1" applyFont="1" applyFill="1" applyBorder="1" applyAlignment="1"/>
    <xf numFmtId="174" fontId="2" fillId="0" borderId="0" xfId="0" quotePrefix="1" applyNumberFormat="1" applyFont="1" applyFill="1" applyBorder="1" applyAlignment="1">
      <alignment horizontal="right" wrapText="1"/>
    </xf>
    <xf numFmtId="174" fontId="2" fillId="0" borderId="0" xfId="0" applyNumberFormat="1" applyFont="1" applyFill="1" applyBorder="1" applyAlignment="1">
      <alignment horizontal="center"/>
    </xf>
    <xf numFmtId="174" fontId="2" fillId="0" borderId="0" xfId="0" applyNumberFormat="1" applyFont="1" applyFill="1"/>
    <xf numFmtId="165" fontId="2" fillId="0" borderId="0" xfId="0" quotePrefix="1" applyNumberFormat="1" applyFont="1" applyFill="1" applyBorder="1" applyAlignment="1">
      <alignment horizontal="right" wrapText="1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/>
    <xf numFmtId="164" fontId="2" fillId="0" borderId="0" xfId="0" applyNumberFormat="1" applyFont="1" applyFill="1"/>
    <xf numFmtId="0" fontId="19" fillId="0" borderId="0" xfId="0" applyFont="1" applyFill="1"/>
    <xf numFmtId="0" fontId="1" fillId="0" borderId="0" xfId="0" applyFont="1" applyFill="1"/>
    <xf numFmtId="0" fontId="20" fillId="0" borderId="0" xfId="0" applyFont="1" applyFill="1"/>
    <xf numFmtId="0" fontId="1" fillId="0" borderId="0" xfId="0" applyFont="1"/>
    <xf numFmtId="0" fontId="21" fillId="0" borderId="0" xfId="0" applyFont="1"/>
    <xf numFmtId="16" fontId="1" fillId="0" borderId="0" xfId="0" applyNumberFormat="1" applyFont="1"/>
    <xf numFmtId="0" fontId="19" fillId="0" borderId="0" xfId="0" quotePrefix="1" applyFont="1" applyFill="1" applyAlignment="1">
      <alignment horizontal="left"/>
    </xf>
    <xf numFmtId="16" fontId="2" fillId="0" borderId="0" xfId="0" quotePrefix="1" applyNumberFormat="1" applyFont="1"/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3" fillId="0" borderId="23" xfId="0" quotePrefix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wrapText="1"/>
    </xf>
    <xf numFmtId="0" fontId="3" fillId="0" borderId="0" xfId="0" quotePrefix="1" applyFont="1" applyFill="1" applyAlignment="1" applyProtection="1">
      <alignment horizontal="left"/>
    </xf>
    <xf numFmtId="0" fontId="3" fillId="0" borderId="10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0" fontId="3" fillId="0" borderId="11" xfId="0" quotePrefix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10" xfId="0" quotePrefix="1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 wrapText="1"/>
    </xf>
    <xf numFmtId="0" fontId="3" fillId="0" borderId="21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wrapText="1"/>
    </xf>
    <xf numFmtId="0" fontId="17" fillId="0" borderId="11" xfId="0" applyFont="1" applyFill="1" applyBorder="1" applyAlignment="1">
      <alignment wrapText="1"/>
    </xf>
  </cellXfs>
  <cellStyles count="40">
    <cellStyle name="Normal" xfId="0" builtinId="0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6" topLeftCell="A7" activePane="bottomLeft" state="frozen"/>
      <selection pane="bottomLeft" activeCell="D39" sqref="D39"/>
    </sheetView>
  </sheetViews>
  <sheetFormatPr defaultRowHeight="11.25" x14ac:dyDescent="0.2"/>
  <cols>
    <col min="1" max="1" width="2.85546875" style="242" customWidth="1"/>
    <col min="2" max="2" width="31.42578125" style="242" bestFit="1" customWidth="1"/>
    <col min="3" max="3" width="10.42578125" style="242" customWidth="1"/>
    <col min="4" max="4" width="23.7109375" style="242" bestFit="1" customWidth="1"/>
    <col min="5" max="5" width="99.42578125" style="242" bestFit="1" customWidth="1"/>
    <col min="6" max="16384" width="9.140625" style="242"/>
  </cols>
  <sheetData>
    <row r="1" spans="1:12" s="240" customFormat="1" x14ac:dyDescent="0.2">
      <c r="A1" s="239" t="str">
        <f>'BDJ-6 Base Revenue (Summary)'!A1:J1</f>
        <v>Puget Sound Energy</v>
      </c>
      <c r="B1" s="239"/>
      <c r="C1" s="239"/>
    </row>
    <row r="2" spans="1:12" s="240" customFormat="1" x14ac:dyDescent="0.2">
      <c r="A2" s="239" t="s">
        <v>448</v>
      </c>
      <c r="B2" s="239"/>
      <c r="C2" s="239"/>
    </row>
    <row r="3" spans="1:12" s="240" customFormat="1" x14ac:dyDescent="0.2">
      <c r="A3" s="239" t="str">
        <f>'BDJ-6 Base Revenue (Summary)'!A4:J4</f>
        <v>2022 General Rate Case (GRC)</v>
      </c>
      <c r="B3" s="239"/>
      <c r="C3" s="239"/>
    </row>
    <row r="4" spans="1:12" s="240" customFormat="1" x14ac:dyDescent="0.2">
      <c r="A4" s="239" t="str">
        <f>'BDJ-6 Base Revenue (Summary)'!A5:J5</f>
        <v>Test Year Ending June 30, 2021</v>
      </c>
      <c r="B4" s="239"/>
      <c r="C4" s="239"/>
    </row>
    <row r="5" spans="1:12" s="240" customFormat="1" x14ac:dyDescent="0.2">
      <c r="B5" s="241"/>
      <c r="C5" s="241"/>
    </row>
    <row r="6" spans="1:12" s="240" customFormat="1" x14ac:dyDescent="0.2">
      <c r="B6" s="239" t="s">
        <v>444</v>
      </c>
      <c r="C6" s="239" t="s">
        <v>486</v>
      </c>
      <c r="D6" s="239" t="s">
        <v>445</v>
      </c>
      <c r="E6" s="245" t="s">
        <v>484</v>
      </c>
      <c r="F6" s="242"/>
      <c r="G6" s="242"/>
      <c r="H6" s="242"/>
      <c r="I6" s="242"/>
      <c r="J6" s="242"/>
      <c r="K6" s="242"/>
      <c r="L6" s="242"/>
    </row>
    <row r="8" spans="1:12" x14ac:dyDescent="0.2">
      <c r="B8" s="243" t="s">
        <v>446</v>
      </c>
      <c r="C8" s="246" t="s">
        <v>487</v>
      </c>
      <c r="D8" s="242" t="s">
        <v>453</v>
      </c>
    </row>
    <row r="9" spans="1:12" x14ac:dyDescent="0.2">
      <c r="B9" s="243" t="s">
        <v>447</v>
      </c>
      <c r="C9" s="246" t="s">
        <v>488</v>
      </c>
      <c r="D9" s="242" t="s">
        <v>453</v>
      </c>
    </row>
    <row r="10" spans="1:12" x14ac:dyDescent="0.2">
      <c r="B10" s="243" t="s">
        <v>449</v>
      </c>
      <c r="C10" s="246" t="s">
        <v>489</v>
      </c>
      <c r="D10" s="242" t="s">
        <v>453</v>
      </c>
      <c r="E10" s="244" t="s">
        <v>485</v>
      </c>
    </row>
    <row r="11" spans="1:12" x14ac:dyDescent="0.2">
      <c r="B11" s="243" t="s">
        <v>450</v>
      </c>
      <c r="C11" s="246" t="s">
        <v>490</v>
      </c>
      <c r="D11" s="242" t="s">
        <v>453</v>
      </c>
    </row>
    <row r="12" spans="1:12" x14ac:dyDescent="0.2">
      <c r="B12" s="243" t="s">
        <v>451</v>
      </c>
      <c r="C12" s="246" t="s">
        <v>491</v>
      </c>
      <c r="D12" s="242" t="s">
        <v>453</v>
      </c>
      <c r="E12" s="242" t="s">
        <v>493</v>
      </c>
    </row>
    <row r="13" spans="1:12" x14ac:dyDescent="0.2">
      <c r="B13" s="243" t="s">
        <v>452</v>
      </c>
      <c r="C13" s="246" t="s">
        <v>492</v>
      </c>
      <c r="D13" s="242" t="s">
        <v>453</v>
      </c>
    </row>
  </sheetData>
  <hyperlinks>
    <hyperlink ref="B8" location="'BDJ-6 Base Revenue (Summary)'!A1" display="BDJ-6 Base Revenue (Summary)"/>
    <hyperlink ref="B9" location="'BDJ-6 Lighting Parity Ratios'!A1" display="BDJ-6 Lighting Parity Ratios"/>
    <hyperlink ref="B10" location="'BDJ-6 Rate Design Lighting'!A1" display="BDJ-6 Rate Design Lighting"/>
    <hyperlink ref="B11" location="'BDJ-6 Unitized Lighting Costs'!A1" display="BDJ-6 Unitized Lighting Costs"/>
    <hyperlink ref="B12" location="'BDJ-6 Classification of Costs'!A1" display="BDJ-6 Classification of Costs"/>
    <hyperlink ref="B13" location="'BDJ-6 Combined Charges'!A1" display="BDJ-6 Combined Charges"/>
  </hyperlink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H43"/>
  <sheetViews>
    <sheetView tabSelected="1" zoomScaleNormal="100" workbookViewId="0">
      <selection activeCell="H27" sqref="H27"/>
    </sheetView>
  </sheetViews>
  <sheetFormatPr defaultColWidth="9.140625" defaultRowHeight="11.25" x14ac:dyDescent="0.2"/>
  <cols>
    <col min="1" max="1" width="6" style="32" customWidth="1"/>
    <col min="2" max="2" width="20.28515625" style="32" customWidth="1"/>
    <col min="3" max="3" width="9.85546875" style="32" customWidth="1"/>
    <col min="4" max="5" width="10.7109375" style="32" bestFit="1" customWidth="1"/>
    <col min="6" max="6" width="10.7109375" style="32" customWidth="1"/>
    <col min="7" max="7" width="9.140625" style="32" bestFit="1" customWidth="1"/>
    <col min="8" max="8" width="11.28515625" style="32" bestFit="1" customWidth="1"/>
    <col min="9" max="9" width="8.7109375" style="32" bestFit="1" customWidth="1"/>
    <col min="10" max="10" width="10.85546875" style="32" bestFit="1" customWidth="1"/>
    <col min="11" max="11" width="0.85546875" style="32" customWidth="1"/>
    <col min="12" max="12" width="5.85546875" style="32" customWidth="1"/>
    <col min="13" max="13" width="18.7109375" style="32" bestFit="1" customWidth="1"/>
    <col min="14" max="14" width="9" style="32" customWidth="1"/>
    <col min="15" max="15" width="10.7109375" style="32" bestFit="1" customWidth="1"/>
    <col min="16" max="16" width="10.85546875" style="32" bestFit="1" customWidth="1"/>
    <col min="17" max="17" width="10.7109375" style="32" bestFit="1" customWidth="1"/>
    <col min="18" max="18" width="10.7109375" style="32" customWidth="1"/>
    <col min="19" max="19" width="7.85546875" style="32" bestFit="1" customWidth="1"/>
    <col min="20" max="20" width="11.28515625" style="32" customWidth="1"/>
    <col min="21" max="21" width="8.7109375" style="32" bestFit="1" customWidth="1"/>
    <col min="22" max="22" width="10" style="32" bestFit="1" customWidth="1"/>
    <col min="23" max="23" width="0.85546875" style="32" customWidth="1"/>
    <col min="24" max="24" width="5.85546875" style="32" customWidth="1"/>
    <col min="25" max="25" width="18.7109375" style="32" bestFit="1" customWidth="1"/>
    <col min="26" max="26" width="9" style="32" customWidth="1"/>
    <col min="27" max="27" width="12.7109375" style="32" bestFit="1" customWidth="1"/>
    <col min="28" max="28" width="12.140625" style="32" bestFit="1" customWidth="1"/>
    <col min="29" max="29" width="10.7109375" style="32" bestFit="1" customWidth="1"/>
    <col min="30" max="30" width="12.7109375" style="32" customWidth="1"/>
    <col min="31" max="31" width="12.5703125" style="32" bestFit="1" customWidth="1"/>
    <col min="32" max="32" width="12.5703125" style="32" customWidth="1"/>
    <col min="33" max="33" width="8.7109375" style="32" bestFit="1" customWidth="1"/>
    <col min="34" max="34" width="11.28515625" style="32" customWidth="1"/>
    <col min="35" max="16384" width="9.140625" style="32"/>
  </cols>
  <sheetData>
    <row r="1" spans="1:34" ht="15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8"/>
      <c r="L1" s="247" t="str">
        <f>A1</f>
        <v>Puget Sound Energy</v>
      </c>
      <c r="M1" s="247"/>
      <c r="N1" s="247"/>
      <c r="O1" s="247"/>
      <c r="P1" s="247"/>
      <c r="Q1" s="247"/>
      <c r="R1" s="247"/>
      <c r="S1" s="247"/>
      <c r="T1" s="247"/>
      <c r="U1" s="247"/>
      <c r="V1" s="248"/>
      <c r="X1" s="247" t="str">
        <f>L1</f>
        <v>Puget Sound Energy</v>
      </c>
      <c r="Y1" s="247"/>
      <c r="Z1" s="247"/>
      <c r="AA1" s="247"/>
      <c r="AB1" s="247"/>
      <c r="AC1" s="247"/>
      <c r="AD1" s="247"/>
      <c r="AE1" s="247"/>
      <c r="AF1" s="247"/>
      <c r="AG1" s="247"/>
      <c r="AH1" s="248"/>
    </row>
    <row r="2" spans="1:34" ht="15" x14ac:dyDescent="0.25">
      <c r="A2" s="247" t="s">
        <v>454</v>
      </c>
      <c r="B2" s="247"/>
      <c r="C2" s="247"/>
      <c r="D2" s="247"/>
      <c r="E2" s="247"/>
      <c r="F2" s="247"/>
      <c r="G2" s="247"/>
      <c r="H2" s="247"/>
      <c r="I2" s="247"/>
      <c r="J2" s="248"/>
      <c r="L2" s="247" t="str">
        <f>A2</f>
        <v>Lighting Revenues Summary</v>
      </c>
      <c r="M2" s="247"/>
      <c r="N2" s="247"/>
      <c r="O2" s="247"/>
      <c r="P2" s="247"/>
      <c r="Q2" s="247"/>
      <c r="R2" s="247"/>
      <c r="S2" s="247"/>
      <c r="T2" s="247"/>
      <c r="U2" s="247"/>
      <c r="V2" s="248"/>
      <c r="X2" s="247" t="str">
        <f>L2</f>
        <v>Lighting Revenues Summary</v>
      </c>
      <c r="Y2" s="247"/>
      <c r="Z2" s="247"/>
      <c r="AA2" s="247"/>
      <c r="AB2" s="247"/>
      <c r="AC2" s="247"/>
      <c r="AD2" s="247"/>
      <c r="AE2" s="247"/>
      <c r="AF2" s="247"/>
      <c r="AG2" s="247"/>
      <c r="AH2" s="248"/>
    </row>
    <row r="3" spans="1:34" ht="15" x14ac:dyDescent="0.25">
      <c r="A3" s="247" t="s">
        <v>389</v>
      </c>
      <c r="B3" s="247"/>
      <c r="C3" s="247"/>
      <c r="D3" s="247"/>
      <c r="E3" s="247"/>
      <c r="F3" s="247"/>
      <c r="G3" s="247"/>
      <c r="H3" s="247"/>
      <c r="I3" s="247"/>
      <c r="J3" s="248"/>
      <c r="L3" s="247" t="str">
        <f>A3</f>
        <v>Current Base Rate vs Proposed</v>
      </c>
      <c r="M3" s="247"/>
      <c r="N3" s="247"/>
      <c r="O3" s="247"/>
      <c r="P3" s="247"/>
      <c r="Q3" s="247"/>
      <c r="R3" s="247"/>
      <c r="S3" s="247"/>
      <c r="T3" s="247"/>
      <c r="U3" s="247"/>
      <c r="V3" s="248"/>
      <c r="X3" s="247" t="str">
        <f>L3</f>
        <v>Current Base Rate vs Proposed</v>
      </c>
      <c r="Y3" s="247"/>
      <c r="Z3" s="247"/>
      <c r="AA3" s="247"/>
      <c r="AB3" s="247"/>
      <c r="AC3" s="247"/>
      <c r="AD3" s="247"/>
      <c r="AE3" s="247"/>
      <c r="AF3" s="247"/>
      <c r="AG3" s="247"/>
      <c r="AH3" s="248"/>
    </row>
    <row r="4" spans="1:34" ht="15" x14ac:dyDescent="0.25">
      <c r="A4" s="247" t="s">
        <v>382</v>
      </c>
      <c r="B4" s="247"/>
      <c r="C4" s="247"/>
      <c r="D4" s="247"/>
      <c r="E4" s="247"/>
      <c r="F4" s="247"/>
      <c r="G4" s="247"/>
      <c r="H4" s="247"/>
      <c r="I4" s="247"/>
      <c r="J4" s="248"/>
      <c r="L4" s="247" t="str">
        <f>A4</f>
        <v>2022 General Rate Case (GRC)</v>
      </c>
      <c r="M4" s="247"/>
      <c r="N4" s="247"/>
      <c r="O4" s="247"/>
      <c r="P4" s="247"/>
      <c r="Q4" s="247"/>
      <c r="R4" s="247"/>
      <c r="S4" s="247"/>
      <c r="T4" s="247"/>
      <c r="U4" s="247"/>
      <c r="V4" s="248"/>
      <c r="X4" s="247" t="str">
        <f>L4</f>
        <v>2022 General Rate Case (GRC)</v>
      </c>
      <c r="Y4" s="247"/>
      <c r="Z4" s="247"/>
      <c r="AA4" s="247"/>
      <c r="AB4" s="247"/>
      <c r="AC4" s="247"/>
      <c r="AD4" s="247"/>
      <c r="AE4" s="247"/>
      <c r="AF4" s="247"/>
      <c r="AG4" s="247"/>
      <c r="AH4" s="248"/>
    </row>
    <row r="5" spans="1:34" ht="15" customHeight="1" x14ac:dyDescent="0.25">
      <c r="A5" s="249" t="s">
        <v>219</v>
      </c>
      <c r="B5" s="250"/>
      <c r="C5" s="250"/>
      <c r="D5" s="250"/>
      <c r="E5" s="250"/>
      <c r="F5" s="250"/>
      <c r="G5" s="250"/>
      <c r="H5" s="250"/>
      <c r="I5" s="250"/>
      <c r="J5" s="251"/>
      <c r="L5" s="247" t="str">
        <f>A5</f>
        <v>Test Year Ending June 30, 2021</v>
      </c>
      <c r="M5" s="247"/>
      <c r="N5" s="247"/>
      <c r="O5" s="247"/>
      <c r="P5" s="247"/>
      <c r="Q5" s="247"/>
      <c r="R5" s="247"/>
      <c r="S5" s="247"/>
      <c r="T5" s="247"/>
      <c r="U5" s="247"/>
      <c r="V5" s="248"/>
      <c r="X5" s="247" t="str">
        <f>L5</f>
        <v>Test Year Ending June 30, 2021</v>
      </c>
      <c r="Y5" s="247"/>
      <c r="Z5" s="247"/>
      <c r="AA5" s="247"/>
      <c r="AB5" s="247"/>
      <c r="AC5" s="247"/>
      <c r="AD5" s="247"/>
      <c r="AE5" s="247"/>
      <c r="AF5" s="247"/>
      <c r="AG5" s="247"/>
      <c r="AH5" s="248"/>
    </row>
    <row r="6" spans="1:34" ht="12" thickBo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5.75" thickBot="1" x14ac:dyDescent="0.3">
      <c r="A7" s="10"/>
      <c r="B7" s="10"/>
      <c r="C7" s="10"/>
      <c r="D7" s="10"/>
      <c r="E7" s="252" t="s">
        <v>226</v>
      </c>
      <c r="F7" s="253"/>
      <c r="G7" s="253"/>
      <c r="H7" s="254"/>
      <c r="I7" s="254"/>
      <c r="J7" s="255"/>
      <c r="L7" s="10"/>
      <c r="M7" s="10"/>
      <c r="N7" s="10"/>
      <c r="O7" s="10"/>
      <c r="P7" s="10"/>
      <c r="Q7" s="252" t="s">
        <v>227</v>
      </c>
      <c r="R7" s="253"/>
      <c r="S7" s="253"/>
      <c r="T7" s="254"/>
      <c r="U7" s="254"/>
      <c r="V7" s="255"/>
      <c r="X7" s="10"/>
      <c r="Y7" s="10"/>
      <c r="Z7" s="10"/>
      <c r="AA7" s="10"/>
      <c r="AB7" s="10"/>
      <c r="AC7" s="252" t="s">
        <v>443</v>
      </c>
      <c r="AD7" s="253"/>
      <c r="AE7" s="253"/>
      <c r="AF7" s="254"/>
      <c r="AG7" s="254"/>
      <c r="AH7" s="255"/>
    </row>
    <row r="8" spans="1:34" s="63" customFormat="1" ht="78.75" x14ac:dyDescent="0.2">
      <c r="A8" s="168" t="s">
        <v>1</v>
      </c>
      <c r="B8" s="168" t="s">
        <v>52</v>
      </c>
      <c r="C8" s="168" t="s">
        <v>440</v>
      </c>
      <c r="D8" s="168" t="s">
        <v>218</v>
      </c>
      <c r="E8" s="28" t="s">
        <v>168</v>
      </c>
      <c r="F8" s="28" t="s">
        <v>423</v>
      </c>
      <c r="G8" s="168" t="s">
        <v>387</v>
      </c>
      <c r="H8" s="168" t="s">
        <v>424</v>
      </c>
      <c r="I8" s="168" t="s">
        <v>388</v>
      </c>
      <c r="J8" s="168" t="s">
        <v>425</v>
      </c>
      <c r="L8" s="168" t="s">
        <v>1</v>
      </c>
      <c r="M8" s="168" t="s">
        <v>52</v>
      </c>
      <c r="N8" s="168" t="s">
        <v>440</v>
      </c>
      <c r="O8" s="168" t="s">
        <v>218</v>
      </c>
      <c r="P8" s="28" t="s">
        <v>426</v>
      </c>
      <c r="Q8" s="28" t="s">
        <v>168</v>
      </c>
      <c r="R8" s="28" t="s">
        <v>423</v>
      </c>
      <c r="S8" s="168" t="s">
        <v>387</v>
      </c>
      <c r="T8" s="168" t="s">
        <v>424</v>
      </c>
      <c r="U8" s="168" t="s">
        <v>388</v>
      </c>
      <c r="V8" s="168" t="s">
        <v>425</v>
      </c>
      <c r="X8" s="168" t="s">
        <v>1</v>
      </c>
      <c r="Y8" s="168" t="s">
        <v>52</v>
      </c>
      <c r="Z8" s="168" t="s">
        <v>440</v>
      </c>
      <c r="AA8" s="168" t="s">
        <v>218</v>
      </c>
      <c r="AB8" s="28" t="s">
        <v>426</v>
      </c>
      <c r="AC8" s="28" t="s">
        <v>168</v>
      </c>
      <c r="AD8" s="28" t="s">
        <v>423</v>
      </c>
      <c r="AE8" s="168" t="s">
        <v>387</v>
      </c>
      <c r="AF8" s="168" t="s">
        <v>424</v>
      </c>
      <c r="AG8" s="168" t="s">
        <v>388</v>
      </c>
      <c r="AH8" s="168" t="s">
        <v>425</v>
      </c>
    </row>
    <row r="9" spans="1:34" s="63" customFormat="1" x14ac:dyDescent="0.2">
      <c r="A9" s="2"/>
      <c r="B9" s="2" t="s">
        <v>3</v>
      </c>
      <c r="C9" s="5" t="s">
        <v>4</v>
      </c>
      <c r="D9" s="5" t="s">
        <v>158</v>
      </c>
      <c r="E9" s="5" t="s">
        <v>6</v>
      </c>
      <c r="F9" s="5" t="s">
        <v>156</v>
      </c>
      <c r="G9" s="5" t="s">
        <v>20</v>
      </c>
      <c r="H9" s="5" t="s">
        <v>8</v>
      </c>
      <c r="I9" s="5" t="s">
        <v>9</v>
      </c>
      <c r="J9" s="5" t="s">
        <v>21</v>
      </c>
      <c r="L9" s="2"/>
      <c r="M9" s="2" t="s">
        <v>3</v>
      </c>
      <c r="N9" s="5" t="s">
        <v>4</v>
      </c>
      <c r="O9" s="5" t="s">
        <v>158</v>
      </c>
      <c r="P9" s="5" t="s">
        <v>6</v>
      </c>
      <c r="Q9" s="5" t="s">
        <v>156</v>
      </c>
      <c r="R9" s="5" t="s">
        <v>20</v>
      </c>
      <c r="S9" s="5" t="s">
        <v>20</v>
      </c>
      <c r="T9" s="5" t="s">
        <v>8</v>
      </c>
      <c r="U9" s="5" t="s">
        <v>9</v>
      </c>
      <c r="V9" s="5" t="s">
        <v>21</v>
      </c>
      <c r="X9" s="2"/>
      <c r="Y9" s="2" t="s">
        <v>3</v>
      </c>
      <c r="Z9" s="5" t="s">
        <v>4</v>
      </c>
      <c r="AA9" s="5" t="s">
        <v>158</v>
      </c>
      <c r="AB9" s="5" t="s">
        <v>6</v>
      </c>
      <c r="AC9" s="5" t="s">
        <v>156</v>
      </c>
      <c r="AD9" s="5" t="s">
        <v>20</v>
      </c>
      <c r="AE9" s="5" t="s">
        <v>20</v>
      </c>
      <c r="AF9" s="5" t="s">
        <v>8</v>
      </c>
      <c r="AG9" s="5" t="s">
        <v>9</v>
      </c>
      <c r="AH9" s="5" t="s">
        <v>21</v>
      </c>
    </row>
    <row r="10" spans="1:34" s="11" customFormat="1" ht="9.75" customHeight="1" x14ac:dyDescent="0.2">
      <c r="A10" s="2" t="s">
        <v>159</v>
      </c>
      <c r="B10" s="2"/>
      <c r="C10" s="5"/>
      <c r="D10" s="5"/>
      <c r="E10" s="5"/>
      <c r="F10" s="5"/>
      <c r="G10" s="5" t="s">
        <v>161</v>
      </c>
      <c r="H10" s="5" t="s">
        <v>391</v>
      </c>
      <c r="I10" s="5" t="s">
        <v>392</v>
      </c>
      <c r="J10" s="5" t="s">
        <v>393</v>
      </c>
      <c r="L10" s="2" t="s">
        <v>159</v>
      </c>
      <c r="M10" s="2"/>
      <c r="N10" s="5"/>
      <c r="O10" s="5"/>
      <c r="P10" s="5"/>
      <c r="Q10" s="5"/>
      <c r="R10" s="5"/>
      <c r="S10" s="5" t="s">
        <v>161</v>
      </c>
      <c r="T10" s="5" t="s">
        <v>391</v>
      </c>
      <c r="U10" s="5" t="s">
        <v>392</v>
      </c>
      <c r="V10" s="5" t="s">
        <v>394</v>
      </c>
      <c r="X10" s="2" t="s">
        <v>159</v>
      </c>
      <c r="Y10" s="2"/>
      <c r="Z10" s="5"/>
      <c r="AA10" s="5"/>
      <c r="AB10" s="5"/>
      <c r="AC10" s="5"/>
      <c r="AD10" s="5"/>
      <c r="AE10" s="5" t="s">
        <v>161</v>
      </c>
      <c r="AF10" s="5" t="s">
        <v>391</v>
      </c>
      <c r="AG10" s="5" t="s">
        <v>392</v>
      </c>
      <c r="AH10" s="5" t="s">
        <v>394</v>
      </c>
    </row>
    <row r="11" spans="1:34" s="63" customFormat="1" x14ac:dyDescent="0.2">
      <c r="A11" s="2"/>
      <c r="B11" s="2"/>
      <c r="C11" s="5"/>
      <c r="D11" s="5"/>
      <c r="E11" s="5"/>
      <c r="F11" s="5"/>
      <c r="G11" s="5"/>
      <c r="H11" s="5"/>
      <c r="I11" s="5"/>
      <c r="J11" s="5"/>
      <c r="L11" s="2"/>
      <c r="M11" s="2"/>
      <c r="N11" s="5"/>
      <c r="O11" s="5"/>
      <c r="P11" s="5"/>
      <c r="Q11" s="5"/>
      <c r="R11" s="5"/>
      <c r="S11" s="5"/>
      <c r="T11" s="5"/>
      <c r="U11" s="5"/>
      <c r="V11" s="5"/>
      <c r="X11" s="2"/>
      <c r="Y11" s="2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63" customFormat="1" x14ac:dyDescent="0.2">
      <c r="A12" s="12">
        <v>1</v>
      </c>
      <c r="B12" s="13" t="s">
        <v>53</v>
      </c>
      <c r="C12" s="158">
        <v>708</v>
      </c>
      <c r="D12" s="157">
        <v>495.59999999999997</v>
      </c>
      <c r="E12" s="157">
        <v>467.28</v>
      </c>
      <c r="F12" s="157">
        <v>828.36</v>
      </c>
      <c r="G12" s="149">
        <f>+E12-D12</f>
        <v>-28.319999999999993</v>
      </c>
      <c r="H12" s="149">
        <f>+F12-D12</f>
        <v>332.76000000000005</v>
      </c>
      <c r="I12" s="14">
        <f t="shared" ref="I12:I27" si="0">IFERROR(+G12/D12,0)</f>
        <v>-5.7142857142857134E-2</v>
      </c>
      <c r="J12" s="14">
        <f t="shared" ref="J12:J27" si="1">IFERROR(+H12/D12,0)</f>
        <v>0.6714285714285716</v>
      </c>
      <c r="L12" s="12">
        <v>1</v>
      </c>
      <c r="M12" s="13" t="s">
        <v>53</v>
      </c>
      <c r="N12" s="158">
        <f>C12</f>
        <v>708</v>
      </c>
      <c r="O12" s="157">
        <f t="shared" ref="O12:P15" si="2">E12</f>
        <v>467.28</v>
      </c>
      <c r="P12" s="157">
        <f t="shared" si="2"/>
        <v>828.36</v>
      </c>
      <c r="Q12" s="157">
        <v>467.28</v>
      </c>
      <c r="R12" s="157">
        <v>899.16000000000008</v>
      </c>
      <c r="S12" s="149">
        <f t="shared" ref="S12:T15" si="3">+Q12-O12</f>
        <v>0</v>
      </c>
      <c r="T12" s="149">
        <f t="shared" si="3"/>
        <v>70.800000000000068</v>
      </c>
      <c r="U12" s="14">
        <f t="shared" ref="U12:U27" si="4">IFERROR(+S12/P12,0)</f>
        <v>0</v>
      </c>
      <c r="V12" s="14">
        <f t="shared" ref="V12:V27" si="5">IFERROR(+T12/P12,0)</f>
        <v>8.5470085470085555E-2</v>
      </c>
      <c r="X12" s="12">
        <v>1</v>
      </c>
      <c r="Y12" s="13" t="s">
        <v>53</v>
      </c>
      <c r="Z12" s="158">
        <f>N12</f>
        <v>708</v>
      </c>
      <c r="AA12" s="157">
        <f t="shared" ref="AA12:AB15" si="6">Q12</f>
        <v>467.28</v>
      </c>
      <c r="AB12" s="157">
        <f t="shared" si="6"/>
        <v>899.16000000000008</v>
      </c>
      <c r="AC12" s="157">
        <v>467.28</v>
      </c>
      <c r="AD12" s="157">
        <v>927.48</v>
      </c>
      <c r="AE12" s="149">
        <f t="shared" ref="AE12:AF15" si="7">+AC12-AA12</f>
        <v>0</v>
      </c>
      <c r="AF12" s="149">
        <f t="shared" si="7"/>
        <v>28.319999999999936</v>
      </c>
      <c r="AG12" s="14">
        <f t="shared" ref="AG12:AG27" si="8">IFERROR(+AE12/AB12,0)</f>
        <v>0</v>
      </c>
      <c r="AH12" s="14">
        <f t="shared" ref="AH12:AH27" si="9">IFERROR(+AF12/AB12,0)</f>
        <v>3.1496062992125907E-2</v>
      </c>
    </row>
    <row r="13" spans="1:34" x14ac:dyDescent="0.2">
      <c r="A13" s="15">
        <f t="shared" ref="A13:A29" si="10">+A12+1</f>
        <v>2</v>
      </c>
      <c r="B13" s="16" t="s">
        <v>54</v>
      </c>
      <c r="C13" s="158">
        <v>493</v>
      </c>
      <c r="D13" s="149">
        <v>5208.3599999999997</v>
      </c>
      <c r="E13" s="149">
        <v>5268.72</v>
      </c>
      <c r="F13" s="149">
        <v>8439</v>
      </c>
      <c r="G13" s="149">
        <f>+E13-D13</f>
        <v>60.360000000000582</v>
      </c>
      <c r="H13" s="149">
        <f>+F13-D13</f>
        <v>3230.6400000000003</v>
      </c>
      <c r="I13" s="14">
        <f t="shared" si="0"/>
        <v>1.1589060664009512E-2</v>
      </c>
      <c r="J13" s="14">
        <f t="shared" si="1"/>
        <v>0.62027970416791478</v>
      </c>
      <c r="L13" s="15">
        <f t="shared" ref="L13:L29" si="11">+L12+1</f>
        <v>2</v>
      </c>
      <c r="M13" s="16" t="s">
        <v>54</v>
      </c>
      <c r="N13" s="158">
        <f>C13</f>
        <v>493</v>
      </c>
      <c r="O13" s="157">
        <f t="shared" si="2"/>
        <v>5268.72</v>
      </c>
      <c r="P13" s="157">
        <f t="shared" si="2"/>
        <v>8439</v>
      </c>
      <c r="Q13" s="149">
        <v>5268.72</v>
      </c>
      <c r="R13" s="149">
        <v>9100.2000000000007</v>
      </c>
      <c r="S13" s="149">
        <f t="shared" si="3"/>
        <v>0</v>
      </c>
      <c r="T13" s="149">
        <f t="shared" si="3"/>
        <v>661.20000000000073</v>
      </c>
      <c r="U13" s="14">
        <f t="shared" si="4"/>
        <v>0</v>
      </c>
      <c r="V13" s="14">
        <f t="shared" si="5"/>
        <v>7.8350515463917608E-2</v>
      </c>
      <c r="X13" s="15">
        <f t="shared" ref="X13:X29" si="12">+X12+1</f>
        <v>2</v>
      </c>
      <c r="Y13" s="16" t="s">
        <v>54</v>
      </c>
      <c r="Z13" s="158">
        <f>N13</f>
        <v>493</v>
      </c>
      <c r="AA13" s="157">
        <f t="shared" si="6"/>
        <v>5268.72</v>
      </c>
      <c r="AB13" s="157">
        <f t="shared" si="6"/>
        <v>9100.2000000000007</v>
      </c>
      <c r="AC13" s="149">
        <v>5268.72</v>
      </c>
      <c r="AD13" s="149">
        <v>9311.76</v>
      </c>
      <c r="AE13" s="149">
        <f t="shared" si="7"/>
        <v>0</v>
      </c>
      <c r="AF13" s="149">
        <f t="shared" si="7"/>
        <v>211.55999999999949</v>
      </c>
      <c r="AG13" s="14">
        <f t="shared" si="8"/>
        <v>0</v>
      </c>
      <c r="AH13" s="14">
        <f t="shared" si="9"/>
        <v>2.3247840706797595E-2</v>
      </c>
    </row>
    <row r="14" spans="1:34" x14ac:dyDescent="0.2">
      <c r="A14" s="15">
        <f t="shared" si="10"/>
        <v>3</v>
      </c>
      <c r="B14" s="16" t="s">
        <v>55</v>
      </c>
      <c r="C14" s="158">
        <v>12</v>
      </c>
      <c r="D14" s="149">
        <v>66.84</v>
      </c>
      <c r="E14" s="149">
        <v>62.760000000000005</v>
      </c>
      <c r="F14" s="149">
        <v>110.88</v>
      </c>
      <c r="G14" s="149">
        <f>+E14-D14</f>
        <v>-4.0799999999999983</v>
      </c>
      <c r="H14" s="149">
        <f>+F14-D14</f>
        <v>44.039999999999992</v>
      </c>
      <c r="I14" s="14">
        <f t="shared" si="0"/>
        <v>-6.1041292639138212E-2</v>
      </c>
      <c r="J14" s="14">
        <f t="shared" si="1"/>
        <v>0.6588868940754038</v>
      </c>
      <c r="L14" s="15">
        <f t="shared" si="11"/>
        <v>3</v>
      </c>
      <c r="M14" s="16" t="s">
        <v>55</v>
      </c>
      <c r="N14" s="158">
        <f>C14</f>
        <v>12</v>
      </c>
      <c r="O14" s="157">
        <f t="shared" si="2"/>
        <v>62.760000000000005</v>
      </c>
      <c r="P14" s="157">
        <f t="shared" si="2"/>
        <v>110.88</v>
      </c>
      <c r="Q14" s="149">
        <v>62.760000000000005</v>
      </c>
      <c r="R14" s="149">
        <v>120.96000000000001</v>
      </c>
      <c r="S14" s="149">
        <f t="shared" si="3"/>
        <v>0</v>
      </c>
      <c r="T14" s="149">
        <f t="shared" si="3"/>
        <v>10.080000000000013</v>
      </c>
      <c r="U14" s="14">
        <f t="shared" si="4"/>
        <v>0</v>
      </c>
      <c r="V14" s="14">
        <f t="shared" si="5"/>
        <v>9.0909090909091023E-2</v>
      </c>
      <c r="X14" s="15">
        <f t="shared" si="12"/>
        <v>3</v>
      </c>
      <c r="Y14" s="16" t="s">
        <v>55</v>
      </c>
      <c r="Z14" s="158">
        <f>N14</f>
        <v>12</v>
      </c>
      <c r="AA14" s="157">
        <f t="shared" si="6"/>
        <v>62.760000000000005</v>
      </c>
      <c r="AB14" s="157">
        <f t="shared" si="6"/>
        <v>120.96000000000001</v>
      </c>
      <c r="AC14" s="149">
        <v>62.760000000000005</v>
      </c>
      <c r="AD14" s="149">
        <v>124.19999999999999</v>
      </c>
      <c r="AE14" s="149">
        <f t="shared" si="7"/>
        <v>0</v>
      </c>
      <c r="AF14" s="149">
        <f t="shared" si="7"/>
        <v>3.2399999999999807</v>
      </c>
      <c r="AG14" s="14">
        <f t="shared" si="8"/>
        <v>0</v>
      </c>
      <c r="AH14" s="14">
        <f t="shared" si="9"/>
        <v>2.6785714285714125E-2</v>
      </c>
    </row>
    <row r="15" spans="1:34" x14ac:dyDescent="0.2">
      <c r="A15" s="15">
        <f t="shared" si="10"/>
        <v>4</v>
      </c>
      <c r="B15" s="16" t="s">
        <v>56</v>
      </c>
      <c r="C15" s="158">
        <v>103952</v>
      </c>
      <c r="D15" s="149">
        <v>243027.47999999995</v>
      </c>
      <c r="E15" s="149">
        <v>228309.84000000003</v>
      </c>
      <c r="F15" s="149">
        <v>403114.07999999996</v>
      </c>
      <c r="G15" s="149">
        <f>+E15-D15</f>
        <v>-14717.639999999927</v>
      </c>
      <c r="H15" s="149">
        <f>+F15-D15</f>
        <v>160086.6</v>
      </c>
      <c r="I15" s="14">
        <f t="shared" si="0"/>
        <v>-6.055957128798739E-2</v>
      </c>
      <c r="J15" s="14">
        <f t="shared" si="1"/>
        <v>0.65871810052097823</v>
      </c>
      <c r="L15" s="15">
        <f t="shared" si="11"/>
        <v>4</v>
      </c>
      <c r="M15" s="16" t="s">
        <v>56</v>
      </c>
      <c r="N15" s="158">
        <f>C15</f>
        <v>103952</v>
      </c>
      <c r="O15" s="157">
        <f t="shared" si="2"/>
        <v>228309.84000000003</v>
      </c>
      <c r="P15" s="157">
        <f t="shared" si="2"/>
        <v>403114.07999999996</v>
      </c>
      <c r="Q15" s="149">
        <v>228309.84000000003</v>
      </c>
      <c r="R15" s="149">
        <v>439958.04</v>
      </c>
      <c r="S15" s="149">
        <f t="shared" si="3"/>
        <v>0</v>
      </c>
      <c r="T15" s="149">
        <f t="shared" si="3"/>
        <v>36843.960000000021</v>
      </c>
      <c r="U15" s="14">
        <f t="shared" si="4"/>
        <v>0</v>
      </c>
      <c r="V15" s="14">
        <f t="shared" si="5"/>
        <v>9.1398345599836214E-2</v>
      </c>
      <c r="X15" s="15">
        <f t="shared" si="12"/>
        <v>4</v>
      </c>
      <c r="Y15" s="16" t="s">
        <v>56</v>
      </c>
      <c r="Z15" s="158">
        <f>N15</f>
        <v>103952</v>
      </c>
      <c r="AA15" s="157">
        <f t="shared" si="6"/>
        <v>228309.84000000003</v>
      </c>
      <c r="AB15" s="157">
        <f t="shared" si="6"/>
        <v>439958.04</v>
      </c>
      <c r="AC15" s="149">
        <v>228309.84000000003</v>
      </c>
      <c r="AD15" s="149">
        <v>450905.51999999996</v>
      </c>
      <c r="AE15" s="149">
        <f t="shared" si="7"/>
        <v>0</v>
      </c>
      <c r="AF15" s="149">
        <f t="shared" si="7"/>
        <v>10947.479999999981</v>
      </c>
      <c r="AG15" s="14">
        <f t="shared" si="8"/>
        <v>0</v>
      </c>
      <c r="AH15" s="14">
        <f t="shared" si="9"/>
        <v>2.488300929788664E-2</v>
      </c>
    </row>
    <row r="16" spans="1:34" x14ac:dyDescent="0.2">
      <c r="A16" s="15">
        <f t="shared" si="10"/>
        <v>5</v>
      </c>
      <c r="B16" s="16" t="s">
        <v>419</v>
      </c>
      <c r="C16" s="171" t="s">
        <v>216</v>
      </c>
      <c r="D16" s="172" t="s">
        <v>216</v>
      </c>
      <c r="E16" s="172" t="s">
        <v>216</v>
      </c>
      <c r="F16" s="172" t="s">
        <v>216</v>
      </c>
      <c r="G16" s="172" t="s">
        <v>216</v>
      </c>
      <c r="H16" s="172" t="s">
        <v>216</v>
      </c>
      <c r="I16" s="14">
        <f t="shared" si="0"/>
        <v>0</v>
      </c>
      <c r="J16" s="14">
        <f t="shared" si="1"/>
        <v>0</v>
      </c>
      <c r="L16" s="15">
        <f t="shared" si="11"/>
        <v>5</v>
      </c>
      <c r="M16" s="16" t="s">
        <v>419</v>
      </c>
      <c r="N16" s="171" t="s">
        <v>216</v>
      </c>
      <c r="O16" s="172" t="s">
        <v>216</v>
      </c>
      <c r="P16" s="172" t="s">
        <v>216</v>
      </c>
      <c r="Q16" s="172" t="s">
        <v>216</v>
      </c>
      <c r="R16" s="172" t="s">
        <v>216</v>
      </c>
      <c r="S16" s="172" t="s">
        <v>216</v>
      </c>
      <c r="T16" s="172" t="s">
        <v>216</v>
      </c>
      <c r="U16" s="14">
        <f t="shared" si="4"/>
        <v>0</v>
      </c>
      <c r="V16" s="14">
        <f t="shared" si="5"/>
        <v>0</v>
      </c>
      <c r="X16" s="15">
        <f t="shared" si="12"/>
        <v>5</v>
      </c>
      <c r="Y16" s="16" t="s">
        <v>419</v>
      </c>
      <c r="Z16" s="171" t="s">
        <v>216</v>
      </c>
      <c r="AA16" s="172" t="s">
        <v>216</v>
      </c>
      <c r="AB16" s="172" t="s">
        <v>216</v>
      </c>
      <c r="AC16" s="172" t="s">
        <v>216</v>
      </c>
      <c r="AD16" s="172" t="s">
        <v>216</v>
      </c>
      <c r="AE16" s="172" t="s">
        <v>216</v>
      </c>
      <c r="AF16" s="172" t="s">
        <v>216</v>
      </c>
      <c r="AG16" s="14">
        <f t="shared" si="8"/>
        <v>0</v>
      </c>
      <c r="AH16" s="14">
        <f t="shared" si="9"/>
        <v>0</v>
      </c>
    </row>
    <row r="17" spans="1:34" x14ac:dyDescent="0.2">
      <c r="A17" s="15">
        <f t="shared" si="10"/>
        <v>6</v>
      </c>
      <c r="B17" s="16" t="s">
        <v>149</v>
      </c>
      <c r="C17" s="158">
        <v>0</v>
      </c>
      <c r="D17" s="149">
        <v>690851.66576</v>
      </c>
      <c r="E17" s="149">
        <v>721330.41572000005</v>
      </c>
      <c r="F17" s="149">
        <v>721330.41572000005</v>
      </c>
      <c r="G17" s="149">
        <f>+E17-D17</f>
        <v>30478.749960000045</v>
      </c>
      <c r="H17" s="149">
        <f>+F17-D17</f>
        <v>30478.749960000045</v>
      </c>
      <c r="I17" s="14">
        <f t="shared" si="0"/>
        <v>4.4117647058823595E-2</v>
      </c>
      <c r="J17" s="14">
        <f t="shared" si="1"/>
        <v>4.4117647058823595E-2</v>
      </c>
      <c r="L17" s="15">
        <f t="shared" si="11"/>
        <v>6</v>
      </c>
      <c r="M17" s="16" t="s">
        <v>149</v>
      </c>
      <c r="N17" s="158">
        <f>C17</f>
        <v>0</v>
      </c>
      <c r="O17" s="157">
        <f t="shared" ref="O17:P20" si="13">E17</f>
        <v>721330.41572000005</v>
      </c>
      <c r="P17" s="157">
        <f t="shared" si="13"/>
        <v>721330.41572000005</v>
      </c>
      <c r="Q17" s="149">
        <v>721330.41572000005</v>
      </c>
      <c r="R17" s="149">
        <v>721330.41572000005</v>
      </c>
      <c r="S17" s="149">
        <f t="shared" ref="S17:T20" si="14">+Q17-O17</f>
        <v>0</v>
      </c>
      <c r="T17" s="149">
        <f t="shared" si="14"/>
        <v>0</v>
      </c>
      <c r="U17" s="14">
        <f t="shared" si="4"/>
        <v>0</v>
      </c>
      <c r="V17" s="14">
        <f t="shared" si="5"/>
        <v>0</v>
      </c>
      <c r="X17" s="15">
        <f t="shared" si="12"/>
        <v>6</v>
      </c>
      <c r="Y17" s="16" t="s">
        <v>149</v>
      </c>
      <c r="Z17" s="158">
        <f>N17</f>
        <v>0</v>
      </c>
      <c r="AA17" s="157">
        <f t="shared" ref="AA17:AB20" si="15">Q17</f>
        <v>721330.41572000005</v>
      </c>
      <c r="AB17" s="157">
        <f t="shared" si="15"/>
        <v>721330.41572000005</v>
      </c>
      <c r="AC17" s="149">
        <v>721330.41572000005</v>
      </c>
      <c r="AD17" s="149">
        <v>721330.41572000005</v>
      </c>
      <c r="AE17" s="149">
        <f t="shared" ref="AE17:AF20" si="16">+AC17-AA17</f>
        <v>0</v>
      </c>
      <c r="AF17" s="149">
        <f t="shared" si="16"/>
        <v>0</v>
      </c>
      <c r="AG17" s="14">
        <f t="shared" si="8"/>
        <v>0</v>
      </c>
      <c r="AH17" s="14">
        <f t="shared" si="9"/>
        <v>0</v>
      </c>
    </row>
    <row r="18" spans="1:34" x14ac:dyDescent="0.2">
      <c r="A18" s="15">
        <f t="shared" si="10"/>
        <v>7</v>
      </c>
      <c r="B18" s="17" t="s">
        <v>148</v>
      </c>
      <c r="C18" s="158">
        <v>0</v>
      </c>
      <c r="D18" s="149">
        <v>833441.22616000008</v>
      </c>
      <c r="E18" s="149">
        <v>870210.69201999996</v>
      </c>
      <c r="F18" s="149">
        <v>870210.69201999996</v>
      </c>
      <c r="G18" s="149">
        <f>+E18-D18</f>
        <v>36769.46585999988</v>
      </c>
      <c r="H18" s="149">
        <f>+F18-D18</f>
        <v>36769.46585999988</v>
      </c>
      <c r="I18" s="14">
        <f t="shared" si="0"/>
        <v>4.411764705882338E-2</v>
      </c>
      <c r="J18" s="14">
        <f t="shared" si="1"/>
        <v>4.411764705882338E-2</v>
      </c>
      <c r="L18" s="15">
        <f t="shared" si="11"/>
        <v>7</v>
      </c>
      <c r="M18" s="17" t="s">
        <v>148</v>
      </c>
      <c r="N18" s="158">
        <f>C18</f>
        <v>0</v>
      </c>
      <c r="O18" s="157">
        <f t="shared" si="13"/>
        <v>870210.69201999996</v>
      </c>
      <c r="P18" s="157">
        <f t="shared" si="13"/>
        <v>870210.69201999996</v>
      </c>
      <c r="Q18" s="149">
        <v>870210.69201999996</v>
      </c>
      <c r="R18" s="149">
        <v>870210.69201999996</v>
      </c>
      <c r="S18" s="149">
        <f t="shared" si="14"/>
        <v>0</v>
      </c>
      <c r="T18" s="149">
        <f t="shared" si="14"/>
        <v>0</v>
      </c>
      <c r="U18" s="14">
        <f t="shared" si="4"/>
        <v>0</v>
      </c>
      <c r="V18" s="14">
        <f t="shared" si="5"/>
        <v>0</v>
      </c>
      <c r="X18" s="15">
        <f t="shared" si="12"/>
        <v>7</v>
      </c>
      <c r="Y18" s="17" t="s">
        <v>148</v>
      </c>
      <c r="Z18" s="158">
        <f>N18</f>
        <v>0</v>
      </c>
      <c r="AA18" s="157">
        <f t="shared" si="15"/>
        <v>870210.69201999996</v>
      </c>
      <c r="AB18" s="157">
        <f t="shared" si="15"/>
        <v>870210.69201999996</v>
      </c>
      <c r="AC18" s="149">
        <v>870210.69201999996</v>
      </c>
      <c r="AD18" s="149">
        <v>870210.69201999996</v>
      </c>
      <c r="AE18" s="149">
        <f t="shared" si="16"/>
        <v>0</v>
      </c>
      <c r="AF18" s="149">
        <f t="shared" si="16"/>
        <v>0</v>
      </c>
      <c r="AG18" s="14">
        <f t="shared" si="8"/>
        <v>0</v>
      </c>
      <c r="AH18" s="14">
        <f t="shared" si="9"/>
        <v>0</v>
      </c>
    </row>
    <row r="19" spans="1:34" x14ac:dyDescent="0.2">
      <c r="A19" s="15">
        <f t="shared" si="10"/>
        <v>8</v>
      </c>
      <c r="B19" s="16" t="s">
        <v>57</v>
      </c>
      <c r="C19" s="158">
        <v>221035</v>
      </c>
      <c r="D19" s="149">
        <v>1001571.72</v>
      </c>
      <c r="E19" s="149">
        <v>939130.44000000006</v>
      </c>
      <c r="F19" s="149">
        <v>1661231.8800000001</v>
      </c>
      <c r="G19" s="149">
        <f>+E19-D19</f>
        <v>-62441.279999999912</v>
      </c>
      <c r="H19" s="149">
        <f>+F19-D19</f>
        <v>659660.16000000015</v>
      </c>
      <c r="I19" s="14">
        <f t="shared" si="0"/>
        <v>-6.2343293798271297E-2</v>
      </c>
      <c r="J19" s="14">
        <f t="shared" si="1"/>
        <v>0.65862498593710306</v>
      </c>
      <c r="L19" s="15">
        <f t="shared" si="11"/>
        <v>8</v>
      </c>
      <c r="M19" s="16" t="s">
        <v>57</v>
      </c>
      <c r="N19" s="158">
        <f>C19</f>
        <v>221035</v>
      </c>
      <c r="O19" s="157">
        <f t="shared" si="13"/>
        <v>939130.44000000006</v>
      </c>
      <c r="P19" s="157">
        <f t="shared" si="13"/>
        <v>1661231.8800000001</v>
      </c>
      <c r="Q19" s="149">
        <v>939130.44000000006</v>
      </c>
      <c r="R19" s="149">
        <v>1810079.28</v>
      </c>
      <c r="S19" s="149">
        <f t="shared" si="14"/>
        <v>0</v>
      </c>
      <c r="T19" s="149">
        <f t="shared" si="14"/>
        <v>148847.39999999991</v>
      </c>
      <c r="U19" s="14">
        <f t="shared" si="4"/>
        <v>0</v>
      </c>
      <c r="V19" s="14">
        <f t="shared" si="5"/>
        <v>8.9600616140354764E-2</v>
      </c>
      <c r="X19" s="15">
        <f t="shared" si="12"/>
        <v>8</v>
      </c>
      <c r="Y19" s="16" t="s">
        <v>57</v>
      </c>
      <c r="Z19" s="158">
        <f>N19</f>
        <v>221035</v>
      </c>
      <c r="AA19" s="157">
        <f t="shared" si="15"/>
        <v>939130.44000000006</v>
      </c>
      <c r="AB19" s="157">
        <f t="shared" si="15"/>
        <v>1810079.28</v>
      </c>
      <c r="AC19" s="149">
        <v>939130.44000000006</v>
      </c>
      <c r="AD19" s="149">
        <v>1857767.28</v>
      </c>
      <c r="AE19" s="149">
        <f t="shared" si="16"/>
        <v>0</v>
      </c>
      <c r="AF19" s="149">
        <f t="shared" si="16"/>
        <v>47688</v>
      </c>
      <c r="AG19" s="14">
        <f t="shared" si="8"/>
        <v>0</v>
      </c>
      <c r="AH19" s="14">
        <f t="shared" si="9"/>
        <v>2.6345807350493508E-2</v>
      </c>
    </row>
    <row r="20" spans="1:34" x14ac:dyDescent="0.2">
      <c r="A20" s="15">
        <f t="shared" si="10"/>
        <v>9</v>
      </c>
      <c r="B20" s="16" t="s">
        <v>58</v>
      </c>
      <c r="C20" s="158">
        <v>901395</v>
      </c>
      <c r="D20" s="149">
        <v>11772795.24</v>
      </c>
      <c r="E20" s="149">
        <v>11715233.159999998</v>
      </c>
      <c r="F20" s="149">
        <v>13842168.599999996</v>
      </c>
      <c r="G20" s="149">
        <f>+E20-D20</f>
        <v>-57562.080000001937</v>
      </c>
      <c r="H20" s="149">
        <f>+F20-D20</f>
        <v>2069373.3599999957</v>
      </c>
      <c r="I20" s="14">
        <f t="shared" si="0"/>
        <v>-4.8894148608331642E-3</v>
      </c>
      <c r="J20" s="14">
        <f t="shared" si="1"/>
        <v>0.17577587291834998</v>
      </c>
      <c r="L20" s="15">
        <f t="shared" si="11"/>
        <v>9</v>
      </c>
      <c r="M20" s="16" t="s">
        <v>58</v>
      </c>
      <c r="N20" s="158">
        <f>C20</f>
        <v>901395</v>
      </c>
      <c r="O20" s="157">
        <f t="shared" si="13"/>
        <v>11715233.159999998</v>
      </c>
      <c r="P20" s="157">
        <f t="shared" si="13"/>
        <v>13842168.599999996</v>
      </c>
      <c r="Q20" s="149">
        <v>11715233.159999998</v>
      </c>
      <c r="R20" s="149">
        <v>14282759.279999999</v>
      </c>
      <c r="S20" s="149">
        <f t="shared" si="14"/>
        <v>0</v>
      </c>
      <c r="T20" s="149">
        <f t="shared" si="14"/>
        <v>440590.68000000343</v>
      </c>
      <c r="U20" s="14">
        <f t="shared" si="4"/>
        <v>0</v>
      </c>
      <c r="V20" s="14">
        <f t="shared" si="5"/>
        <v>3.1829599301369839E-2</v>
      </c>
      <c r="X20" s="15">
        <f t="shared" si="12"/>
        <v>9</v>
      </c>
      <c r="Y20" s="16" t="s">
        <v>58</v>
      </c>
      <c r="Z20" s="158">
        <f>N20</f>
        <v>901395</v>
      </c>
      <c r="AA20" s="157">
        <f t="shared" si="15"/>
        <v>11715233.159999998</v>
      </c>
      <c r="AB20" s="157">
        <f t="shared" si="15"/>
        <v>14282759.279999999</v>
      </c>
      <c r="AC20" s="149">
        <v>11715233.159999998</v>
      </c>
      <c r="AD20" s="149">
        <v>14421162.960000001</v>
      </c>
      <c r="AE20" s="149">
        <f t="shared" si="16"/>
        <v>0</v>
      </c>
      <c r="AF20" s="149">
        <f t="shared" si="16"/>
        <v>138403.68000000156</v>
      </c>
      <c r="AG20" s="14">
        <f t="shared" si="8"/>
        <v>0</v>
      </c>
      <c r="AH20" s="14">
        <f t="shared" si="9"/>
        <v>9.6902620345780677E-3</v>
      </c>
    </row>
    <row r="21" spans="1:34" x14ac:dyDescent="0.2">
      <c r="A21" s="15">
        <f t="shared" si="10"/>
        <v>10</v>
      </c>
      <c r="B21" s="16" t="s">
        <v>420</v>
      </c>
      <c r="C21" s="171" t="s">
        <v>216</v>
      </c>
      <c r="D21" s="172" t="s">
        <v>216</v>
      </c>
      <c r="E21" s="172" t="s">
        <v>216</v>
      </c>
      <c r="F21" s="172" t="s">
        <v>216</v>
      </c>
      <c r="G21" s="172" t="s">
        <v>216</v>
      </c>
      <c r="H21" s="172" t="s">
        <v>216</v>
      </c>
      <c r="I21" s="14">
        <f t="shared" si="0"/>
        <v>0</v>
      </c>
      <c r="J21" s="14">
        <f t="shared" si="1"/>
        <v>0</v>
      </c>
      <c r="L21" s="15">
        <f t="shared" si="11"/>
        <v>10</v>
      </c>
      <c r="M21" s="16" t="s">
        <v>420</v>
      </c>
      <c r="N21" s="171" t="s">
        <v>216</v>
      </c>
      <c r="O21" s="172" t="s">
        <v>216</v>
      </c>
      <c r="P21" s="172" t="s">
        <v>216</v>
      </c>
      <c r="Q21" s="172" t="s">
        <v>216</v>
      </c>
      <c r="R21" s="172" t="s">
        <v>216</v>
      </c>
      <c r="S21" s="172" t="s">
        <v>216</v>
      </c>
      <c r="T21" s="172" t="s">
        <v>216</v>
      </c>
      <c r="U21" s="14">
        <f t="shared" si="4"/>
        <v>0</v>
      </c>
      <c r="V21" s="14">
        <f t="shared" si="5"/>
        <v>0</v>
      </c>
      <c r="X21" s="15">
        <f t="shared" si="12"/>
        <v>10</v>
      </c>
      <c r="Y21" s="16" t="s">
        <v>420</v>
      </c>
      <c r="Z21" s="171" t="s">
        <v>216</v>
      </c>
      <c r="AA21" s="172" t="s">
        <v>216</v>
      </c>
      <c r="AB21" s="172" t="s">
        <v>216</v>
      </c>
      <c r="AC21" s="172" t="s">
        <v>216</v>
      </c>
      <c r="AD21" s="172" t="s">
        <v>216</v>
      </c>
      <c r="AE21" s="172" t="s">
        <v>216</v>
      </c>
      <c r="AF21" s="172" t="s">
        <v>216</v>
      </c>
      <c r="AG21" s="14">
        <f t="shared" si="8"/>
        <v>0</v>
      </c>
      <c r="AH21" s="14">
        <f t="shared" si="9"/>
        <v>0</v>
      </c>
    </row>
    <row r="22" spans="1:34" x14ac:dyDescent="0.2">
      <c r="A22" s="15">
        <f t="shared" si="10"/>
        <v>11</v>
      </c>
      <c r="B22" s="17" t="s">
        <v>59</v>
      </c>
      <c r="C22" s="158">
        <v>108398</v>
      </c>
      <c r="D22" s="149">
        <v>518882.04</v>
      </c>
      <c r="E22" s="149">
        <v>486772.91999999993</v>
      </c>
      <c r="F22" s="149">
        <v>860706.36</v>
      </c>
      <c r="G22" s="149">
        <f t="shared" ref="G22:G27" si="17">+E22-D22</f>
        <v>-32109.120000000054</v>
      </c>
      <c r="H22" s="149">
        <f t="shared" ref="H22:H27" si="18">+F22-D22</f>
        <v>341824.32</v>
      </c>
      <c r="I22" s="14">
        <f t="shared" si="0"/>
        <v>-6.1881347830038701E-2</v>
      </c>
      <c r="J22" s="14">
        <f t="shared" si="1"/>
        <v>0.65877076801501944</v>
      </c>
      <c r="L22" s="15">
        <f t="shared" si="11"/>
        <v>11</v>
      </c>
      <c r="M22" s="17" t="s">
        <v>59</v>
      </c>
      <c r="N22" s="158">
        <f t="shared" ref="N22:N27" si="19">C22</f>
        <v>108398</v>
      </c>
      <c r="O22" s="157">
        <f t="shared" ref="O22:P27" si="20">E22</f>
        <v>486772.91999999993</v>
      </c>
      <c r="P22" s="157">
        <f t="shared" si="20"/>
        <v>860706.36</v>
      </c>
      <c r="Q22" s="149">
        <v>486772.91999999993</v>
      </c>
      <c r="R22" s="149">
        <v>938183.52</v>
      </c>
      <c r="S22" s="149">
        <f t="shared" ref="S22:T27" si="21">+Q22-O22</f>
        <v>0</v>
      </c>
      <c r="T22" s="149">
        <f t="shared" si="21"/>
        <v>77477.160000000033</v>
      </c>
      <c r="U22" s="14">
        <f t="shared" si="4"/>
        <v>0</v>
      </c>
      <c r="V22" s="14">
        <f t="shared" si="5"/>
        <v>9.0015786568603998E-2</v>
      </c>
      <c r="X22" s="15">
        <f t="shared" si="12"/>
        <v>11</v>
      </c>
      <c r="Y22" s="17" t="s">
        <v>59</v>
      </c>
      <c r="Z22" s="158">
        <f t="shared" ref="Z22:Z27" si="22">N22</f>
        <v>108398</v>
      </c>
      <c r="AA22" s="157">
        <f t="shared" ref="AA22:AB27" si="23">Q22</f>
        <v>486772.91999999993</v>
      </c>
      <c r="AB22" s="157">
        <f t="shared" si="23"/>
        <v>938183.52</v>
      </c>
      <c r="AC22" s="149">
        <v>486772.91999999993</v>
      </c>
      <c r="AD22" s="149">
        <v>962990.04</v>
      </c>
      <c r="AE22" s="149">
        <f t="shared" ref="AE22:AF27" si="24">+AC22-AA22</f>
        <v>0</v>
      </c>
      <c r="AF22" s="149">
        <f t="shared" si="24"/>
        <v>24806.520000000019</v>
      </c>
      <c r="AG22" s="14">
        <f t="shared" si="8"/>
        <v>0</v>
      </c>
      <c r="AH22" s="14">
        <f t="shared" si="9"/>
        <v>2.6441010176772257E-2</v>
      </c>
    </row>
    <row r="23" spans="1:34" x14ac:dyDescent="0.2">
      <c r="A23" s="15">
        <f t="shared" si="10"/>
        <v>12</v>
      </c>
      <c r="B23" s="17" t="s">
        <v>60</v>
      </c>
      <c r="C23" s="158">
        <v>73320</v>
      </c>
      <c r="D23" s="149">
        <v>1074167.3947677189</v>
      </c>
      <c r="E23" s="149">
        <v>1071651.48</v>
      </c>
      <c r="F23" s="149">
        <v>1275115.4399999997</v>
      </c>
      <c r="G23" s="149">
        <f t="shared" si="17"/>
        <v>-2515.9147677188739</v>
      </c>
      <c r="H23" s="149">
        <f t="shared" si="18"/>
        <v>200948.04523228086</v>
      </c>
      <c r="I23" s="14">
        <f t="shared" si="0"/>
        <v>-2.3421999028958823E-3</v>
      </c>
      <c r="J23" s="14">
        <f t="shared" si="1"/>
        <v>0.18707330553049831</v>
      </c>
      <c r="L23" s="15">
        <f t="shared" si="11"/>
        <v>12</v>
      </c>
      <c r="M23" s="17" t="s">
        <v>60</v>
      </c>
      <c r="N23" s="158">
        <f t="shared" si="19"/>
        <v>73320</v>
      </c>
      <c r="O23" s="157">
        <f t="shared" si="20"/>
        <v>1071651.48</v>
      </c>
      <c r="P23" s="157">
        <f t="shared" si="20"/>
        <v>1275115.4399999997</v>
      </c>
      <c r="Q23" s="149">
        <v>1071651.48</v>
      </c>
      <c r="R23" s="149">
        <v>1316986.2</v>
      </c>
      <c r="S23" s="149">
        <f t="shared" si="21"/>
        <v>0</v>
      </c>
      <c r="T23" s="149">
        <f t="shared" si="21"/>
        <v>41870.760000000242</v>
      </c>
      <c r="U23" s="14">
        <f t="shared" si="4"/>
        <v>0</v>
      </c>
      <c r="V23" s="14">
        <f t="shared" si="5"/>
        <v>3.2836838678700533E-2</v>
      </c>
      <c r="X23" s="15">
        <f t="shared" si="12"/>
        <v>12</v>
      </c>
      <c r="Y23" s="17" t="s">
        <v>60</v>
      </c>
      <c r="Z23" s="158">
        <f t="shared" si="22"/>
        <v>73320</v>
      </c>
      <c r="AA23" s="157">
        <f t="shared" si="23"/>
        <v>1071651.48</v>
      </c>
      <c r="AB23" s="157">
        <f t="shared" si="23"/>
        <v>1316986.2</v>
      </c>
      <c r="AC23" s="149">
        <v>1071651.48</v>
      </c>
      <c r="AD23" s="149">
        <v>1330402.44</v>
      </c>
      <c r="AE23" s="149">
        <f t="shared" si="24"/>
        <v>0</v>
      </c>
      <c r="AF23" s="149">
        <f t="shared" si="24"/>
        <v>13416.239999999991</v>
      </c>
      <c r="AG23" s="14">
        <f t="shared" si="8"/>
        <v>0</v>
      </c>
      <c r="AH23" s="14">
        <f t="shared" si="9"/>
        <v>1.0187077131104328E-2</v>
      </c>
    </row>
    <row r="24" spans="1:34" x14ac:dyDescent="0.2">
      <c r="A24" s="15">
        <f t="shared" si="10"/>
        <v>13</v>
      </c>
      <c r="B24" s="17" t="s">
        <v>61</v>
      </c>
      <c r="C24" s="158"/>
      <c r="D24" s="149">
        <v>470713.26617000008</v>
      </c>
      <c r="E24" s="149">
        <v>499676.78219</v>
      </c>
      <c r="F24" s="149">
        <v>851841.70372000011</v>
      </c>
      <c r="G24" s="149">
        <f t="shared" si="17"/>
        <v>28963.516019999923</v>
      </c>
      <c r="H24" s="149">
        <f t="shared" si="18"/>
        <v>381128.43755000003</v>
      </c>
      <c r="I24" s="14">
        <f t="shared" si="0"/>
        <v>6.1531123300739156E-2</v>
      </c>
      <c r="J24" s="14">
        <f t="shared" si="1"/>
        <v>0.80968280467445741</v>
      </c>
      <c r="L24" s="15">
        <f t="shared" si="11"/>
        <v>13</v>
      </c>
      <c r="M24" s="17" t="s">
        <v>61</v>
      </c>
      <c r="N24" s="158">
        <f t="shared" si="19"/>
        <v>0</v>
      </c>
      <c r="O24" s="157">
        <f t="shared" si="20"/>
        <v>499676.78219</v>
      </c>
      <c r="P24" s="157">
        <f t="shared" si="20"/>
        <v>851841.70372000011</v>
      </c>
      <c r="Q24" s="149">
        <v>499676.78219</v>
      </c>
      <c r="R24" s="149">
        <v>924587.27884000004</v>
      </c>
      <c r="S24" s="149">
        <f t="shared" si="21"/>
        <v>0</v>
      </c>
      <c r="T24" s="149">
        <f t="shared" si="21"/>
        <v>72745.575119999936</v>
      </c>
      <c r="U24" s="14">
        <f t="shared" si="4"/>
        <v>0</v>
      </c>
      <c r="V24" s="14">
        <f t="shared" si="5"/>
        <v>8.5397996837111148E-2</v>
      </c>
      <c r="X24" s="15">
        <f t="shared" si="12"/>
        <v>13</v>
      </c>
      <c r="Y24" s="17" t="s">
        <v>61</v>
      </c>
      <c r="Z24" s="158">
        <f t="shared" si="22"/>
        <v>0</v>
      </c>
      <c r="AA24" s="157">
        <f t="shared" si="23"/>
        <v>499676.78219</v>
      </c>
      <c r="AB24" s="157">
        <f t="shared" si="23"/>
        <v>924587.27884000004</v>
      </c>
      <c r="AC24" s="149">
        <v>499676.78219</v>
      </c>
      <c r="AD24" s="149">
        <v>948162.23374000005</v>
      </c>
      <c r="AE24" s="149">
        <f t="shared" si="24"/>
        <v>0</v>
      </c>
      <c r="AF24" s="149">
        <f t="shared" si="24"/>
        <v>23574.954900000012</v>
      </c>
      <c r="AG24" s="14">
        <f t="shared" si="8"/>
        <v>0</v>
      </c>
      <c r="AH24" s="14">
        <f t="shared" si="9"/>
        <v>2.549781447304518E-2</v>
      </c>
    </row>
    <row r="25" spans="1:34" x14ac:dyDescent="0.2">
      <c r="A25" s="15">
        <f t="shared" si="10"/>
        <v>14</v>
      </c>
      <c r="B25" s="17" t="s">
        <v>62</v>
      </c>
      <c r="C25" s="158">
        <v>17596</v>
      </c>
      <c r="D25" s="149">
        <v>405069.12</v>
      </c>
      <c r="E25" s="149">
        <v>401959.44</v>
      </c>
      <c r="F25" s="149">
        <v>533355.3600000001</v>
      </c>
      <c r="G25" s="149">
        <f t="shared" si="17"/>
        <v>-3109.679999999993</v>
      </c>
      <c r="H25" s="149">
        <f t="shared" si="18"/>
        <v>128286.24000000011</v>
      </c>
      <c r="I25" s="14">
        <f t="shared" si="0"/>
        <v>-7.6769120292358821E-3</v>
      </c>
      <c r="J25" s="14">
        <f t="shared" si="1"/>
        <v>0.31670209765681501</v>
      </c>
      <c r="L25" s="15">
        <f t="shared" si="11"/>
        <v>14</v>
      </c>
      <c r="M25" s="17" t="s">
        <v>62</v>
      </c>
      <c r="N25" s="158">
        <f t="shared" si="19"/>
        <v>17596</v>
      </c>
      <c r="O25" s="157">
        <f t="shared" si="20"/>
        <v>401959.44</v>
      </c>
      <c r="P25" s="157">
        <f t="shared" si="20"/>
        <v>533355.3600000001</v>
      </c>
      <c r="Q25" s="149">
        <v>401959.44</v>
      </c>
      <c r="R25" s="149">
        <v>560624.03999999992</v>
      </c>
      <c r="S25" s="149">
        <f t="shared" si="21"/>
        <v>0</v>
      </c>
      <c r="T25" s="149">
        <f t="shared" si="21"/>
        <v>27268.679999999818</v>
      </c>
      <c r="U25" s="14">
        <f t="shared" si="4"/>
        <v>0</v>
      </c>
      <c r="V25" s="14">
        <f t="shared" si="5"/>
        <v>5.1126663468798392E-2</v>
      </c>
      <c r="X25" s="15">
        <f t="shared" si="12"/>
        <v>14</v>
      </c>
      <c r="Y25" s="17" t="s">
        <v>62</v>
      </c>
      <c r="Z25" s="158">
        <f t="shared" si="22"/>
        <v>17596</v>
      </c>
      <c r="AA25" s="157">
        <f t="shared" si="23"/>
        <v>401959.44</v>
      </c>
      <c r="AB25" s="157">
        <f t="shared" si="23"/>
        <v>560624.03999999992</v>
      </c>
      <c r="AC25" s="149">
        <v>401959.44</v>
      </c>
      <c r="AD25" s="149">
        <v>569391.96000000008</v>
      </c>
      <c r="AE25" s="149">
        <f t="shared" si="24"/>
        <v>0</v>
      </c>
      <c r="AF25" s="149">
        <f t="shared" si="24"/>
        <v>8767.9200000001583</v>
      </c>
      <c r="AG25" s="14">
        <f t="shared" si="8"/>
        <v>0</v>
      </c>
      <c r="AH25" s="14">
        <f t="shared" si="9"/>
        <v>1.5639571931307404E-2</v>
      </c>
    </row>
    <row r="26" spans="1:34" x14ac:dyDescent="0.2">
      <c r="A26" s="15">
        <f t="shared" si="10"/>
        <v>15</v>
      </c>
      <c r="B26" s="17" t="s">
        <v>63</v>
      </c>
      <c r="C26" s="18">
        <v>7447</v>
      </c>
      <c r="D26" s="149">
        <v>46560.959999999999</v>
      </c>
      <c r="E26" s="149">
        <v>39363.839999999997</v>
      </c>
      <c r="F26" s="149">
        <v>39363.839999999997</v>
      </c>
      <c r="G26" s="149">
        <f t="shared" si="17"/>
        <v>-7197.1200000000026</v>
      </c>
      <c r="H26" s="149">
        <f t="shared" si="18"/>
        <v>-7197.1200000000026</v>
      </c>
      <c r="I26" s="14">
        <f t="shared" si="0"/>
        <v>-0.15457413249211363</v>
      </c>
      <c r="J26" s="14">
        <f t="shared" si="1"/>
        <v>-0.15457413249211363</v>
      </c>
      <c r="L26" s="15">
        <f t="shared" si="11"/>
        <v>15</v>
      </c>
      <c r="M26" s="17" t="s">
        <v>63</v>
      </c>
      <c r="N26" s="158">
        <f t="shared" si="19"/>
        <v>7447</v>
      </c>
      <c r="O26" s="157">
        <f t="shared" si="20"/>
        <v>39363.839999999997</v>
      </c>
      <c r="P26" s="157">
        <f t="shared" si="20"/>
        <v>39363.839999999997</v>
      </c>
      <c r="Q26" s="149">
        <v>39363.839999999997</v>
      </c>
      <c r="R26" s="149">
        <v>39363.839999999997</v>
      </c>
      <c r="S26" s="149">
        <f t="shared" si="21"/>
        <v>0</v>
      </c>
      <c r="T26" s="149">
        <f t="shared" si="21"/>
        <v>0</v>
      </c>
      <c r="U26" s="14">
        <f t="shared" si="4"/>
        <v>0</v>
      </c>
      <c r="V26" s="14">
        <f t="shared" si="5"/>
        <v>0</v>
      </c>
      <c r="X26" s="15">
        <f t="shared" si="12"/>
        <v>15</v>
      </c>
      <c r="Y26" s="17" t="s">
        <v>63</v>
      </c>
      <c r="Z26" s="158">
        <f t="shared" si="22"/>
        <v>7447</v>
      </c>
      <c r="AA26" s="157">
        <f t="shared" si="23"/>
        <v>39363.839999999997</v>
      </c>
      <c r="AB26" s="157">
        <f t="shared" si="23"/>
        <v>39363.839999999997</v>
      </c>
      <c r="AC26" s="149">
        <v>39363.839999999997</v>
      </c>
      <c r="AD26" s="149">
        <v>39363.839999999997</v>
      </c>
      <c r="AE26" s="149">
        <f t="shared" si="24"/>
        <v>0</v>
      </c>
      <c r="AF26" s="149">
        <f t="shared" si="24"/>
        <v>0</v>
      </c>
      <c r="AG26" s="14">
        <f t="shared" si="8"/>
        <v>0</v>
      </c>
      <c r="AH26" s="14">
        <f t="shared" si="9"/>
        <v>0</v>
      </c>
    </row>
    <row r="27" spans="1:34" x14ac:dyDescent="0.2">
      <c r="A27" s="15">
        <f t="shared" si="10"/>
        <v>16</v>
      </c>
      <c r="B27" s="16" t="s">
        <v>64</v>
      </c>
      <c r="C27" s="18">
        <v>5954</v>
      </c>
      <c r="D27" s="149">
        <v>65769.600000000006</v>
      </c>
      <c r="E27" s="149">
        <v>49996.800000000003</v>
      </c>
      <c r="F27" s="149">
        <v>49996.800000000003</v>
      </c>
      <c r="G27" s="149">
        <f t="shared" si="17"/>
        <v>-15772.800000000003</v>
      </c>
      <c r="H27" s="149">
        <f t="shared" si="18"/>
        <v>-15772.800000000003</v>
      </c>
      <c r="I27" s="14">
        <f t="shared" si="0"/>
        <v>-0.23981900452488691</v>
      </c>
      <c r="J27" s="14">
        <f t="shared" si="1"/>
        <v>-0.23981900452488691</v>
      </c>
      <c r="L27" s="15">
        <f t="shared" si="11"/>
        <v>16</v>
      </c>
      <c r="M27" s="16" t="s">
        <v>64</v>
      </c>
      <c r="N27" s="158">
        <f t="shared" si="19"/>
        <v>5954</v>
      </c>
      <c r="O27" s="157">
        <f t="shared" si="20"/>
        <v>49996.800000000003</v>
      </c>
      <c r="P27" s="157">
        <f t="shared" si="20"/>
        <v>49996.800000000003</v>
      </c>
      <c r="Q27" s="149">
        <v>49996.800000000003</v>
      </c>
      <c r="R27" s="149">
        <v>49996.800000000003</v>
      </c>
      <c r="S27" s="149">
        <f t="shared" si="21"/>
        <v>0</v>
      </c>
      <c r="T27" s="149">
        <f t="shared" si="21"/>
        <v>0</v>
      </c>
      <c r="U27" s="14">
        <f t="shared" si="4"/>
        <v>0</v>
      </c>
      <c r="V27" s="14">
        <f t="shared" si="5"/>
        <v>0</v>
      </c>
      <c r="X27" s="15">
        <f t="shared" si="12"/>
        <v>16</v>
      </c>
      <c r="Y27" s="16" t="s">
        <v>64</v>
      </c>
      <c r="Z27" s="158">
        <f t="shared" si="22"/>
        <v>5954</v>
      </c>
      <c r="AA27" s="157">
        <f t="shared" si="23"/>
        <v>49996.800000000003</v>
      </c>
      <c r="AB27" s="157">
        <f t="shared" si="23"/>
        <v>49996.800000000003</v>
      </c>
      <c r="AC27" s="149">
        <v>49996.800000000003</v>
      </c>
      <c r="AD27" s="149">
        <v>49996.800000000003</v>
      </c>
      <c r="AE27" s="149">
        <f t="shared" si="24"/>
        <v>0</v>
      </c>
      <c r="AF27" s="149">
        <f t="shared" si="24"/>
        <v>0</v>
      </c>
      <c r="AG27" s="14">
        <f t="shared" si="8"/>
        <v>0</v>
      </c>
      <c r="AH27" s="14">
        <f t="shared" si="9"/>
        <v>0</v>
      </c>
    </row>
    <row r="28" spans="1:34" x14ac:dyDescent="0.2">
      <c r="A28" s="15">
        <f t="shared" si="10"/>
        <v>17</v>
      </c>
      <c r="B28" s="16"/>
      <c r="C28" s="18"/>
      <c r="D28" s="149"/>
      <c r="E28" s="149"/>
      <c r="F28" s="149"/>
      <c r="G28" s="149"/>
      <c r="H28" s="149"/>
      <c r="I28" s="19"/>
      <c r="J28" s="19"/>
      <c r="L28" s="15">
        <f t="shared" si="11"/>
        <v>17</v>
      </c>
      <c r="M28" s="16"/>
      <c r="N28" s="18"/>
      <c r="O28" s="149"/>
      <c r="P28" s="149"/>
      <c r="Q28" s="149"/>
      <c r="R28" s="149"/>
      <c r="S28" s="149"/>
      <c r="T28" s="149"/>
      <c r="U28" s="19"/>
      <c r="V28" s="19"/>
      <c r="X28" s="15">
        <f t="shared" si="12"/>
        <v>17</v>
      </c>
      <c r="Y28" s="16"/>
      <c r="Z28" s="18"/>
      <c r="AA28" s="149"/>
      <c r="AB28" s="149"/>
      <c r="AC28" s="149"/>
      <c r="AD28" s="149"/>
      <c r="AE28" s="149"/>
      <c r="AF28" s="149"/>
      <c r="AG28" s="19"/>
      <c r="AH28" s="19"/>
    </row>
    <row r="29" spans="1:34" ht="12" thickBot="1" x14ac:dyDescent="0.25">
      <c r="A29" s="15">
        <f t="shared" si="10"/>
        <v>18</v>
      </c>
      <c r="B29" s="10"/>
      <c r="C29" s="20">
        <f>SUM(C12:C27)</f>
        <v>1440310</v>
      </c>
      <c r="D29" s="150">
        <f>SUM(D12:D28)</f>
        <v>17128620.51285772</v>
      </c>
      <c r="E29" s="150">
        <f>SUM(E12:E28)</f>
        <v>17029434.569930002</v>
      </c>
      <c r="F29" s="150">
        <f>SUM(F12:F28)</f>
        <v>21117813.411459997</v>
      </c>
      <c r="G29" s="150">
        <f>SUM(G12:G28)</f>
        <v>-99185.942927720855</v>
      </c>
      <c r="H29" s="150">
        <f>SUM(H12:H28)</f>
        <v>3989192.898602277</v>
      </c>
      <c r="I29" s="21">
        <f>+G29/D29</f>
        <v>-5.7906556370529794E-3</v>
      </c>
      <c r="J29" s="21">
        <f>+H29/D29</f>
        <v>0.23289633252180239</v>
      </c>
      <c r="L29" s="15">
        <f t="shared" si="11"/>
        <v>18</v>
      </c>
      <c r="M29" s="10"/>
      <c r="N29" s="20">
        <f t="shared" ref="N29:T29" si="25">SUM(N12:N27)</f>
        <v>1440310</v>
      </c>
      <c r="O29" s="150">
        <f t="shared" si="25"/>
        <v>17029434.569930002</v>
      </c>
      <c r="P29" s="150">
        <f t="shared" si="25"/>
        <v>21117813.411459997</v>
      </c>
      <c r="Q29" s="150">
        <f t="shared" si="25"/>
        <v>17029434.569930002</v>
      </c>
      <c r="R29" s="150">
        <f t="shared" si="25"/>
        <v>21964199.706579998</v>
      </c>
      <c r="S29" s="150">
        <f t="shared" si="25"/>
        <v>0</v>
      </c>
      <c r="T29" s="150">
        <f t="shared" si="25"/>
        <v>846386.2951200034</v>
      </c>
      <c r="U29" s="21">
        <f>+S29/O29</f>
        <v>0</v>
      </c>
      <c r="V29" s="21">
        <f>+T29/P29</f>
        <v>4.0079258142355551E-2</v>
      </c>
      <c r="X29" s="15">
        <f t="shared" si="12"/>
        <v>18</v>
      </c>
      <c r="Y29" s="10"/>
      <c r="Z29" s="20">
        <f t="shared" ref="Z29:AF29" si="26">SUM(Z12:Z27)</f>
        <v>1440310</v>
      </c>
      <c r="AA29" s="150">
        <f t="shared" si="26"/>
        <v>17029434.569930002</v>
      </c>
      <c r="AB29" s="150">
        <f t="shared" si="26"/>
        <v>21964199.706579998</v>
      </c>
      <c r="AC29" s="150">
        <f t="shared" si="26"/>
        <v>17029434.569930002</v>
      </c>
      <c r="AD29" s="150">
        <f t="shared" si="26"/>
        <v>22232047.621480003</v>
      </c>
      <c r="AE29" s="150">
        <f t="shared" si="26"/>
        <v>0</v>
      </c>
      <c r="AF29" s="150">
        <f t="shared" si="26"/>
        <v>267847.91490000172</v>
      </c>
      <c r="AG29" s="21">
        <f>+AE29/AA29</f>
        <v>0</v>
      </c>
      <c r="AH29" s="21">
        <f>+AF29/AB29</f>
        <v>1.2194749568761218E-2</v>
      </c>
    </row>
    <row r="30" spans="1:34" ht="12" thickTop="1" x14ac:dyDescent="0.2">
      <c r="B30" s="34"/>
      <c r="C30" s="34"/>
      <c r="D30" s="34"/>
    </row>
    <row r="31" spans="1:34" x14ac:dyDescent="0.2">
      <c r="B31" s="34"/>
      <c r="C31" s="34"/>
      <c r="D31" s="34"/>
    </row>
    <row r="32" spans="1:34" x14ac:dyDescent="0.2">
      <c r="B32" s="34"/>
      <c r="C32" s="34"/>
      <c r="D32" s="34"/>
    </row>
    <row r="33" spans="2:4" x14ac:dyDescent="0.2">
      <c r="B33" s="34"/>
      <c r="C33" s="34"/>
      <c r="D33" s="34"/>
    </row>
    <row r="34" spans="2:4" x14ac:dyDescent="0.2">
      <c r="B34" s="34"/>
      <c r="C34" s="34"/>
      <c r="D34" s="34"/>
    </row>
    <row r="35" spans="2:4" x14ac:dyDescent="0.2">
      <c r="B35" s="34"/>
      <c r="C35" s="34"/>
      <c r="D35" s="34"/>
    </row>
    <row r="36" spans="2:4" x14ac:dyDescent="0.2">
      <c r="B36" s="34"/>
      <c r="C36" s="34"/>
      <c r="D36" s="34"/>
    </row>
    <row r="37" spans="2:4" x14ac:dyDescent="0.2">
      <c r="B37" s="34"/>
      <c r="C37" s="34"/>
      <c r="D37" s="34"/>
    </row>
    <row r="38" spans="2:4" x14ac:dyDescent="0.2">
      <c r="B38" s="34"/>
      <c r="C38" s="34"/>
      <c r="D38" s="34"/>
    </row>
    <row r="39" spans="2:4" x14ac:dyDescent="0.2">
      <c r="B39" s="34"/>
      <c r="C39" s="34"/>
      <c r="D39" s="34"/>
    </row>
    <row r="40" spans="2:4" x14ac:dyDescent="0.2">
      <c r="B40" s="34"/>
      <c r="C40" s="34"/>
      <c r="D40" s="34"/>
    </row>
    <row r="41" spans="2:4" x14ac:dyDescent="0.2">
      <c r="B41" s="34"/>
      <c r="C41" s="34"/>
      <c r="D41" s="34"/>
    </row>
    <row r="42" spans="2:4" x14ac:dyDescent="0.2">
      <c r="B42" s="34"/>
      <c r="C42" s="34"/>
      <c r="D42" s="34"/>
    </row>
    <row r="43" spans="2:4" x14ac:dyDescent="0.2">
      <c r="B43" s="34"/>
      <c r="C43" s="34"/>
      <c r="D43" s="34"/>
    </row>
  </sheetData>
  <mergeCells count="18">
    <mergeCell ref="A5:J5"/>
    <mergeCell ref="E7:J7"/>
    <mergeCell ref="Q7:V7"/>
    <mergeCell ref="L5:V5"/>
    <mergeCell ref="AC7:AH7"/>
    <mergeCell ref="A1:J1"/>
    <mergeCell ref="L1:V1"/>
    <mergeCell ref="L2:V2"/>
    <mergeCell ref="L3:V3"/>
    <mergeCell ref="L4:V4"/>
    <mergeCell ref="A2:J2"/>
    <mergeCell ref="A3:J3"/>
    <mergeCell ref="A4:J4"/>
    <mergeCell ref="X1:AH1"/>
    <mergeCell ref="X2:AH2"/>
    <mergeCell ref="X3:AH3"/>
    <mergeCell ref="X4:AH4"/>
    <mergeCell ref="X5:AH5"/>
  </mergeCells>
  <printOptions horizontalCentered="1"/>
  <pageMargins left="0.25" right="0.25" top="1" bottom="1" header="0.5" footer="0.5"/>
  <pageSetup scale="91" fitToWidth="3" orientation="landscape" r:id="rId1"/>
  <headerFooter alignWithMargins="0">
    <oddFooter>&amp;R&amp;"Times New Roman,Regular"&amp;F
&amp;A
&amp;P of &amp;N</oddFooter>
  </headerFooter>
  <colBreaks count="2" manualBreakCount="2">
    <brk id="11" max="1048575" man="1"/>
    <brk id="23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24"/>
  <sheetViews>
    <sheetView workbookViewId="0">
      <selection activeCell="A5" sqref="A5"/>
    </sheetView>
  </sheetViews>
  <sheetFormatPr defaultColWidth="8.85546875" defaultRowHeight="11.25" x14ac:dyDescent="0.2"/>
  <cols>
    <col min="1" max="1" width="27.140625" style="25" bestFit="1" customWidth="1"/>
    <col min="2" max="2" width="11.5703125" style="25" customWidth="1"/>
    <col min="3" max="3" width="11.85546875" style="25" bestFit="1" customWidth="1"/>
    <col min="4" max="4" width="11.5703125" style="25" customWidth="1"/>
    <col min="5" max="6" width="10.7109375" style="25" bestFit="1" customWidth="1"/>
    <col min="7" max="7" width="11.5703125" style="25" customWidth="1"/>
    <col min="8" max="8" width="11.42578125" style="25" customWidth="1"/>
    <col min="9" max="9" width="10.7109375" style="25" bestFit="1" customWidth="1"/>
    <col min="10" max="10" width="8.85546875" style="26"/>
    <col min="11" max="16384" width="8.85546875" style="25"/>
  </cols>
  <sheetData>
    <row r="1" spans="1:10" x14ac:dyDescent="0.2">
      <c r="A1" s="249" t="str">
        <f>'BDJ-6 Base Revenue (Summary)'!A1</f>
        <v>Puget Sound Energy</v>
      </c>
      <c r="B1" s="249"/>
      <c r="C1" s="249"/>
      <c r="D1" s="249"/>
      <c r="E1" s="249"/>
      <c r="F1" s="249"/>
      <c r="G1" s="249"/>
      <c r="H1" s="249"/>
      <c r="I1" s="249"/>
    </row>
    <row r="2" spans="1:10" x14ac:dyDescent="0.2">
      <c r="A2" s="249" t="s">
        <v>421</v>
      </c>
      <c r="B2" s="249"/>
      <c r="C2" s="249"/>
      <c r="D2" s="249"/>
      <c r="E2" s="249"/>
      <c r="F2" s="249"/>
      <c r="G2" s="249"/>
      <c r="H2" s="249"/>
      <c r="I2" s="249"/>
    </row>
    <row r="3" spans="1:10" x14ac:dyDescent="0.2">
      <c r="A3" s="249" t="str">
        <f>'BDJ-6 Base Revenue (Summary)'!A4</f>
        <v>2022 General Rate Case (GRC)</v>
      </c>
      <c r="B3" s="249"/>
      <c r="C3" s="249"/>
      <c r="D3" s="249"/>
      <c r="E3" s="249"/>
      <c r="F3" s="249"/>
      <c r="G3" s="249"/>
      <c r="H3" s="249"/>
      <c r="I3" s="249"/>
    </row>
    <row r="4" spans="1:10" x14ac:dyDescent="0.2">
      <c r="A4" s="249" t="str">
        <f>'BDJ-6 Base Revenue (Summary)'!A5</f>
        <v>Test Year Ending June 30, 2021</v>
      </c>
      <c r="B4" s="249"/>
      <c r="C4" s="249"/>
      <c r="D4" s="249"/>
      <c r="E4" s="249"/>
      <c r="F4" s="249"/>
      <c r="G4" s="249"/>
      <c r="H4" s="249"/>
      <c r="I4" s="249"/>
    </row>
    <row r="6" spans="1:10" s="26" customFormat="1" ht="22.5" x14ac:dyDescent="0.2">
      <c r="A6" s="60"/>
      <c r="B6" s="60" t="s">
        <v>422</v>
      </c>
      <c r="C6" s="57" t="s">
        <v>15</v>
      </c>
      <c r="D6" s="60" t="s">
        <v>170</v>
      </c>
      <c r="E6" s="60" t="s">
        <v>73</v>
      </c>
      <c r="F6" s="60" t="s">
        <v>74</v>
      </c>
      <c r="G6" s="60" t="s">
        <v>104</v>
      </c>
      <c r="H6" s="60" t="s">
        <v>102</v>
      </c>
      <c r="I6" s="170" t="s">
        <v>103</v>
      </c>
    </row>
    <row r="7" spans="1:10" s="26" customFormat="1" x14ac:dyDescent="0.2">
      <c r="A7" s="169" t="s">
        <v>3</v>
      </c>
      <c r="B7" s="169" t="s">
        <v>4</v>
      </c>
      <c r="C7" s="169" t="s">
        <v>5</v>
      </c>
      <c r="D7" s="169" t="s">
        <v>6</v>
      </c>
      <c r="E7" s="169" t="s">
        <v>7</v>
      </c>
      <c r="F7" s="169" t="s">
        <v>20</v>
      </c>
      <c r="G7" s="169" t="s">
        <v>8</v>
      </c>
      <c r="H7" s="169" t="s">
        <v>9</v>
      </c>
      <c r="I7" s="169" t="s">
        <v>21</v>
      </c>
    </row>
    <row r="8" spans="1:10" x14ac:dyDescent="0.2">
      <c r="A8" s="160" t="s">
        <v>46</v>
      </c>
      <c r="B8" s="29">
        <f t="shared" ref="B8:B22" si="0">+C8/D8</f>
        <v>1.0027612899321074</v>
      </c>
      <c r="C8" s="62">
        <f>'BDJ-6 Rate Design Lighting'!L11*(D8/SUM($D$8:$D$10))</f>
        <v>466.61933686753326</v>
      </c>
      <c r="D8" s="64">
        <f t="shared" ref="D8:D22" si="1">SUM(E8:I8)</f>
        <v>465.33441363609677</v>
      </c>
      <c r="E8" s="173">
        <v>0</v>
      </c>
      <c r="F8" s="173">
        <v>0</v>
      </c>
      <c r="G8" s="173">
        <v>105.64891120660157</v>
      </c>
      <c r="H8" s="173">
        <v>58.092488762660977</v>
      </c>
      <c r="I8" s="173">
        <v>301.59301366683422</v>
      </c>
    </row>
    <row r="9" spans="1:10" x14ac:dyDescent="0.2">
      <c r="A9" s="160" t="s">
        <v>69</v>
      </c>
      <c r="B9" s="29">
        <f t="shared" si="0"/>
        <v>1.0027612899321074</v>
      </c>
      <c r="C9" s="62">
        <f>'BDJ-6 Rate Design Lighting'!L11*(D9/SUM($D$8:$D$10))</f>
        <v>5284.4697355886929</v>
      </c>
      <c r="D9" s="64">
        <f t="shared" si="1"/>
        <v>5269.9179641711944</v>
      </c>
      <c r="E9" s="173">
        <v>0</v>
      </c>
      <c r="F9" s="173">
        <v>1138.1929124331236</v>
      </c>
      <c r="G9" s="173">
        <v>938.06140343303775</v>
      </c>
      <c r="H9" s="173">
        <v>515.8058035359536</v>
      </c>
      <c r="I9" s="173">
        <v>2677.8578447690788</v>
      </c>
    </row>
    <row r="10" spans="1:10" x14ac:dyDescent="0.2">
      <c r="A10" s="160" t="s">
        <v>70</v>
      </c>
      <c r="B10" s="29">
        <f t="shared" si="0"/>
        <v>1.0027612899321074</v>
      </c>
      <c r="C10" s="62">
        <f>'BDJ-6 Rate Design Lighting'!L11*(D10/SUM($D$8:$D$10))</f>
        <v>62.910927543773745</v>
      </c>
      <c r="D10" s="64">
        <f t="shared" si="1"/>
        <v>62.737690590382847</v>
      </c>
      <c r="E10" s="173">
        <v>0</v>
      </c>
      <c r="F10" s="173">
        <v>0</v>
      </c>
      <c r="G10" s="173">
        <v>14.243882481629644</v>
      </c>
      <c r="H10" s="173">
        <v>7.8321922445806411</v>
      </c>
      <c r="I10" s="173">
        <v>40.66161586417256</v>
      </c>
    </row>
    <row r="11" spans="1:10" x14ac:dyDescent="0.2">
      <c r="A11" s="160" t="s">
        <v>105</v>
      </c>
      <c r="B11" s="29">
        <f t="shared" si="0"/>
        <v>0.98769698802194261</v>
      </c>
      <c r="C11" s="62">
        <f>'BDJ-6 Rate Design Lighting'!L12</f>
        <v>936796</v>
      </c>
      <c r="D11" s="64">
        <f t="shared" si="1"/>
        <v>948464.97596000379</v>
      </c>
      <c r="E11" s="173">
        <v>0</v>
      </c>
      <c r="F11" s="173">
        <v>720339.9779406992</v>
      </c>
      <c r="G11" s="173">
        <v>51793.198511630813</v>
      </c>
      <c r="H11" s="173">
        <v>28479.19366282285</v>
      </c>
      <c r="I11" s="173">
        <v>147852.60584485103</v>
      </c>
    </row>
    <row r="12" spans="1:10" s="10" customFormat="1" x14ac:dyDescent="0.2">
      <c r="A12" s="161" t="s">
        <v>47</v>
      </c>
      <c r="B12" s="30">
        <f t="shared" si="0"/>
        <v>1.015259422884383</v>
      </c>
      <c r="C12" s="62">
        <f>'BDJ-6 Rate Design Lighting'!L13</f>
        <v>1835449</v>
      </c>
      <c r="D12" s="64">
        <f t="shared" si="1"/>
        <v>1807862.0681849308</v>
      </c>
      <c r="E12" s="173">
        <v>0</v>
      </c>
      <c r="F12" s="173">
        <v>869015.8310706421</v>
      </c>
      <c r="G12" s="173">
        <v>213154.4107526658</v>
      </c>
      <c r="H12" s="173">
        <v>117205.84784017272</v>
      </c>
      <c r="I12" s="173">
        <v>608485.97852145007</v>
      </c>
      <c r="J12" s="6"/>
    </row>
    <row r="13" spans="1:10" x14ac:dyDescent="0.2">
      <c r="A13" s="160" t="s">
        <v>48</v>
      </c>
      <c r="B13" s="29">
        <f t="shared" si="0"/>
        <v>1.0195176020880343</v>
      </c>
      <c r="C13" s="62">
        <f>'BDJ-6 Rate Design Lighting'!L14*(D13/SUM($D$13:$D$16))</f>
        <v>7809979.2387369284</v>
      </c>
      <c r="D13" s="64">
        <f t="shared" si="1"/>
        <v>7660465.3247198611</v>
      </c>
      <c r="E13" s="173">
        <v>4584851.442644272</v>
      </c>
      <c r="F13" s="173">
        <v>1184137.0409715825</v>
      </c>
      <c r="G13" s="173">
        <v>429438.40597058117</v>
      </c>
      <c r="H13" s="173">
        <v>236132.54020494048</v>
      </c>
      <c r="I13" s="173">
        <v>1225905.8949284852</v>
      </c>
    </row>
    <row r="14" spans="1:10" x14ac:dyDescent="0.2">
      <c r="A14" s="160" t="s">
        <v>106</v>
      </c>
      <c r="B14" s="29">
        <f t="shared" si="0"/>
        <v>1.0195176020880343</v>
      </c>
      <c r="C14" s="62">
        <f>'BDJ-6 Rate Design Lighting'!L14*(D14/SUM($D$13:$D$16))</f>
        <v>3797191.8736435254</v>
      </c>
      <c r="D14" s="64">
        <f t="shared" si="1"/>
        <v>3724498.5921446029</v>
      </c>
      <c r="E14" s="173">
        <v>2968433.5587924523</v>
      </c>
      <c r="F14" s="173">
        <v>152057.02094051684</v>
      </c>
      <c r="G14" s="173">
        <v>137133.18207592482</v>
      </c>
      <c r="H14" s="173">
        <v>75404.542723160761</v>
      </c>
      <c r="I14" s="173">
        <v>391470.28761254792</v>
      </c>
    </row>
    <row r="15" spans="1:10" x14ac:dyDescent="0.2">
      <c r="A15" s="160" t="s">
        <v>49</v>
      </c>
      <c r="B15" s="29">
        <f t="shared" si="0"/>
        <v>1.0195176020880343</v>
      </c>
      <c r="C15" s="62">
        <f>'BDJ-6 Rate Design Lighting'!L14*(D15/SUM($D$13:$D$16))</f>
        <v>162099.77280441037</v>
      </c>
      <c r="D15" s="64">
        <f t="shared" si="1"/>
        <v>158996.54157262231</v>
      </c>
      <c r="E15" s="173">
        <v>0</v>
      </c>
      <c r="F15" s="173">
        <v>38393.190192561218</v>
      </c>
      <c r="G15" s="173">
        <v>27381.625746543014</v>
      </c>
      <c r="H15" s="173">
        <v>15056.158817139274</v>
      </c>
      <c r="I15" s="173">
        <v>78165.566816378807</v>
      </c>
    </row>
    <row r="16" spans="1:10" x14ac:dyDescent="0.2">
      <c r="A16" s="160" t="s">
        <v>107</v>
      </c>
      <c r="B16" s="29">
        <f t="shared" si="0"/>
        <v>1.0195176020880343</v>
      </c>
      <c r="C16" s="62">
        <f>'BDJ-6 Rate Design Lighting'!L14*(D16/SUM($D$13:$D$16))</f>
        <v>175187.11481513584</v>
      </c>
      <c r="D16" s="64">
        <f t="shared" si="1"/>
        <v>171833.34005841776</v>
      </c>
      <c r="E16" s="173">
        <v>0</v>
      </c>
      <c r="F16" s="173">
        <v>20520.785387086951</v>
      </c>
      <c r="G16" s="173">
        <v>34353.802737265272</v>
      </c>
      <c r="H16" s="173">
        <v>18889.90503240086</v>
      </c>
      <c r="I16" s="173">
        <v>98068.846901664656</v>
      </c>
    </row>
    <row r="17" spans="1:9" x14ac:dyDescent="0.2">
      <c r="A17" s="160" t="s">
        <v>50</v>
      </c>
      <c r="B17" s="29">
        <f t="shared" si="0"/>
        <v>1.1552115903765574</v>
      </c>
      <c r="C17" s="62">
        <f>'BDJ-6 Rate Design Lighting'!L15*(D17/SUM($D$17:$D$18))</f>
        <v>411610.04824370809</v>
      </c>
      <c r="D17" s="64">
        <f t="shared" si="1"/>
        <v>356307.06242268399</v>
      </c>
      <c r="E17" s="173">
        <v>0</v>
      </c>
      <c r="F17" s="173">
        <v>0</v>
      </c>
      <c r="G17" s="173">
        <v>80895.485261954687</v>
      </c>
      <c r="H17" s="173">
        <v>44481.481303107474</v>
      </c>
      <c r="I17" s="173">
        <v>230930.09585762184</v>
      </c>
    </row>
    <row r="18" spans="1:9" x14ac:dyDescent="0.2">
      <c r="A18" s="160" t="s">
        <v>108</v>
      </c>
      <c r="B18" s="29">
        <f t="shared" si="0"/>
        <v>1.1552115903765576</v>
      </c>
      <c r="C18" s="62">
        <f>'BDJ-6 Rate Design Lighting'!L15*(D18/SUM($D$17:$D$18))</f>
        <v>150669.95175629196</v>
      </c>
      <c r="D18" s="64">
        <f t="shared" si="1"/>
        <v>130426.2812210696</v>
      </c>
      <c r="E18" s="173">
        <v>0</v>
      </c>
      <c r="F18" s="173">
        <v>0</v>
      </c>
      <c r="G18" s="173">
        <v>29611.81077509531</v>
      </c>
      <c r="H18" s="173">
        <v>16282.456345719329</v>
      </c>
      <c r="I18" s="173">
        <v>84532.014100254964</v>
      </c>
    </row>
    <row r="19" spans="1:9" x14ac:dyDescent="0.2">
      <c r="A19" s="160" t="s">
        <v>111</v>
      </c>
      <c r="B19" s="29">
        <f t="shared" si="0"/>
        <v>1.0024827983968561</v>
      </c>
      <c r="C19" s="62">
        <f>'BDJ-6 Rate Design Lighting'!L16</f>
        <v>1074221</v>
      </c>
      <c r="D19" s="64">
        <f t="shared" si="1"/>
        <v>1071560.5312309256</v>
      </c>
      <c r="E19" s="173">
        <v>653512.71167143027</v>
      </c>
      <c r="F19" s="173">
        <v>153017.54471539945</v>
      </c>
      <c r="G19" s="173">
        <v>60062.382744323171</v>
      </c>
      <c r="H19" s="173">
        <v>33509.475605089588</v>
      </c>
      <c r="I19" s="173">
        <v>171458.41649468307</v>
      </c>
    </row>
    <row r="20" spans="1:9" x14ac:dyDescent="0.2">
      <c r="A20" s="160" t="s">
        <v>51</v>
      </c>
      <c r="B20" s="29">
        <f t="shared" si="0"/>
        <v>1.815209767822928</v>
      </c>
      <c r="C20" s="62">
        <f>'BDJ-6 Rate Design Lighting'!L17</f>
        <v>906827</v>
      </c>
      <c r="D20" s="64">
        <f t="shared" si="1"/>
        <v>499571.46335081873</v>
      </c>
      <c r="E20" s="173">
        <v>0</v>
      </c>
      <c r="F20" s="173">
        <v>0</v>
      </c>
      <c r="G20" s="173">
        <v>13436.070838038806</v>
      </c>
      <c r="H20" s="173">
        <v>32766.487481315871</v>
      </c>
      <c r="I20" s="173">
        <v>453368.90503146406</v>
      </c>
    </row>
    <row r="21" spans="1:9" x14ac:dyDescent="0.2">
      <c r="A21" s="160" t="s">
        <v>110</v>
      </c>
      <c r="B21" s="29">
        <f t="shared" si="0"/>
        <v>1.008967117547285</v>
      </c>
      <c r="C21" s="62">
        <f>'BDJ-6 Rate Design Lighting'!L18</f>
        <v>405614</v>
      </c>
      <c r="D21" s="64">
        <f t="shared" si="1"/>
        <v>402009.13681509648</v>
      </c>
      <c r="E21" s="173">
        <v>186496.17766177171</v>
      </c>
      <c r="F21" s="173">
        <v>44084.154754726842</v>
      </c>
      <c r="G21" s="173">
        <v>38849.985984609397</v>
      </c>
      <c r="H21" s="173">
        <v>21674.842024684502</v>
      </c>
      <c r="I21" s="173">
        <v>110903.97638930402</v>
      </c>
    </row>
    <row r="22" spans="1:9" x14ac:dyDescent="0.2">
      <c r="A22" s="160" t="s">
        <v>109</v>
      </c>
      <c r="B22" s="29">
        <f t="shared" si="0"/>
        <v>1.2566545338266777</v>
      </c>
      <c r="C22" s="62">
        <f>'BDJ-6 Rate Design Lighting'!L19</f>
        <v>112327</v>
      </c>
      <c r="D22" s="64">
        <f t="shared" si="1"/>
        <v>89385.743636279716</v>
      </c>
      <c r="E22" s="173">
        <v>58626.774197843115</v>
      </c>
      <c r="F22" s="173">
        <v>30758.969438436608</v>
      </c>
      <c r="G22" s="173">
        <v>0</v>
      </c>
      <c r="H22" s="173">
        <v>0</v>
      </c>
      <c r="I22" s="173">
        <v>0</v>
      </c>
    </row>
    <row r="23" spans="1:9" x14ac:dyDescent="0.2">
      <c r="A23" s="160"/>
      <c r="B23" s="29"/>
      <c r="C23" s="65"/>
      <c r="D23" s="65"/>
      <c r="E23" s="174"/>
      <c r="F23" s="174"/>
      <c r="G23" s="174"/>
      <c r="H23" s="174"/>
      <c r="I23" s="174"/>
    </row>
    <row r="24" spans="1:9" x14ac:dyDescent="0.2">
      <c r="A24" s="159" t="s">
        <v>80</v>
      </c>
      <c r="B24" s="78">
        <f>+C24/D24</f>
        <v>1.044435249452123</v>
      </c>
      <c r="C24" s="79">
        <f t="shared" ref="C24:I24" si="2">SUM(C8:C22)</f>
        <v>17783786</v>
      </c>
      <c r="D24" s="79">
        <f t="shared" si="2"/>
        <v>17027179.051385712</v>
      </c>
      <c r="E24" s="175">
        <f t="shared" si="2"/>
        <v>8451920.6649677698</v>
      </c>
      <c r="F24" s="175">
        <f t="shared" si="2"/>
        <v>3213462.708324085</v>
      </c>
      <c r="G24" s="175">
        <f t="shared" si="2"/>
        <v>1117168.3155957537</v>
      </c>
      <c r="H24" s="175">
        <f t="shared" si="2"/>
        <v>640464.66152509686</v>
      </c>
      <c r="I24" s="175">
        <f t="shared" si="2"/>
        <v>3604162.700973005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276"/>
  <sheetViews>
    <sheetView zoomScaleNormal="100" workbookViewId="0">
      <pane ySplit="8" topLeftCell="A9" activePane="bottomLeft" state="frozen"/>
      <selection activeCell="D32" sqref="D32"/>
      <selection pane="bottomLeft" activeCell="D11" sqref="D11"/>
    </sheetView>
  </sheetViews>
  <sheetFormatPr defaultColWidth="10" defaultRowHeight="11.25" x14ac:dyDescent="0.2"/>
  <cols>
    <col min="1" max="1" width="51.7109375" style="80" bestFit="1" customWidth="1"/>
    <col min="2" max="2" width="10.42578125" style="80" customWidth="1"/>
    <col min="3" max="3" width="9.42578125" style="80" bestFit="1" customWidth="1"/>
    <col min="4" max="4" width="10.140625" style="80" bestFit="1" customWidth="1"/>
    <col min="5" max="5" width="9.42578125" style="80" bestFit="1" customWidth="1"/>
    <col min="6" max="6" width="10.5703125" style="80" customWidth="1"/>
    <col min="7" max="7" width="0.7109375" style="80" customWidth="1"/>
    <col min="8" max="9" width="9.85546875" style="80" bestFit="1" customWidth="1"/>
    <col min="10" max="10" width="8.85546875" style="80" bestFit="1" customWidth="1"/>
    <col min="11" max="11" width="0.85546875" style="80" customWidth="1"/>
    <col min="12" max="13" width="10.140625" style="80" bestFit="1" customWidth="1"/>
    <col min="14" max="14" width="8.85546875" style="80" bestFit="1" customWidth="1"/>
    <col min="15" max="15" width="0.85546875" style="80" customWidth="1"/>
    <col min="16" max="16" width="9.85546875" style="80" bestFit="1" customWidth="1"/>
    <col min="17" max="17" width="10.140625" style="80" bestFit="1" customWidth="1"/>
    <col min="18" max="18" width="11" style="80" customWidth="1"/>
    <col min="19" max="19" width="17" style="80" bestFit="1" customWidth="1"/>
    <col min="20" max="16384" width="10" style="80"/>
  </cols>
  <sheetData>
    <row r="1" spans="1:19" ht="15" x14ac:dyDescent="0.25">
      <c r="A1" s="249" t="str">
        <f>'BDJ-6 Base Revenue (Summary)'!A1:J1</f>
        <v>Puget Sound Energy</v>
      </c>
      <c r="B1" s="249"/>
      <c r="C1" s="249"/>
      <c r="D1" s="249"/>
      <c r="E1" s="249"/>
      <c r="F1" s="249"/>
      <c r="G1" s="249"/>
      <c r="H1" s="249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9" ht="15" x14ac:dyDescent="0.25">
      <c r="A2" s="249" t="s">
        <v>229</v>
      </c>
      <c r="B2" s="249"/>
      <c r="C2" s="249"/>
      <c r="D2" s="249"/>
      <c r="E2" s="249"/>
      <c r="F2" s="249"/>
      <c r="G2" s="249"/>
      <c r="H2" s="249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9" ht="15" x14ac:dyDescent="0.25">
      <c r="A3" s="249" t="s">
        <v>228</v>
      </c>
      <c r="B3" s="249"/>
      <c r="C3" s="249"/>
      <c r="D3" s="249"/>
      <c r="E3" s="249"/>
      <c r="F3" s="249"/>
      <c r="G3" s="249"/>
      <c r="H3" s="249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9" ht="15" x14ac:dyDescent="0.25">
      <c r="A4" s="249" t="str">
        <f>'BDJ-6 Base Revenue (Summary)'!A4:J4</f>
        <v>2022 General Rate Case (GRC)</v>
      </c>
      <c r="B4" s="249"/>
      <c r="C4" s="249"/>
      <c r="D4" s="249"/>
      <c r="E4" s="249"/>
      <c r="F4" s="249"/>
      <c r="G4" s="249"/>
      <c r="H4" s="249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9" ht="15" x14ac:dyDescent="0.25">
      <c r="A5" s="249" t="str">
        <f>'BDJ-6 Base Revenue (Summary)'!A5:J5</f>
        <v>Test Year Ending June 30, 2021</v>
      </c>
      <c r="B5" s="249"/>
      <c r="C5" s="249"/>
      <c r="D5" s="249"/>
      <c r="E5" s="249"/>
      <c r="F5" s="249"/>
      <c r="G5" s="249"/>
      <c r="H5" s="249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9" x14ac:dyDescent="0.2">
      <c r="A6" s="134"/>
      <c r="B6" s="141"/>
      <c r="C6" s="134"/>
      <c r="E6" s="134"/>
      <c r="F6" s="138"/>
      <c r="G6" s="138"/>
      <c r="H6" s="140"/>
      <c r="I6" s="140"/>
      <c r="J6" s="140"/>
    </row>
    <row r="7" spans="1:19" x14ac:dyDescent="0.2">
      <c r="A7" s="134"/>
      <c r="B7" s="139"/>
      <c r="C7" s="134"/>
      <c r="E7" s="134"/>
      <c r="F7" s="138"/>
      <c r="G7" s="138"/>
      <c r="H7" s="260" t="s">
        <v>225</v>
      </c>
      <c r="I7" s="261"/>
      <c r="J7" s="262"/>
      <c r="L7" s="260" t="s">
        <v>231</v>
      </c>
      <c r="M7" s="261"/>
      <c r="N7" s="262"/>
      <c r="P7" s="260" t="s">
        <v>232</v>
      </c>
      <c r="Q7" s="263"/>
      <c r="R7" s="264"/>
    </row>
    <row r="8" spans="1:19" ht="45" x14ac:dyDescent="0.2">
      <c r="A8" s="134"/>
      <c r="B8" s="137" t="s">
        <v>380</v>
      </c>
      <c r="C8" s="265" t="s">
        <v>230</v>
      </c>
      <c r="D8" s="262"/>
      <c r="E8" s="266" t="s">
        <v>455</v>
      </c>
      <c r="F8" s="267"/>
      <c r="G8" s="136"/>
      <c r="H8" s="135" t="s">
        <v>235</v>
      </c>
      <c r="I8" s="135" t="s">
        <v>236</v>
      </c>
      <c r="J8" s="135" t="s">
        <v>237</v>
      </c>
      <c r="K8" s="163"/>
      <c r="L8" s="135" t="s">
        <v>235</v>
      </c>
      <c r="M8" s="135" t="s">
        <v>236</v>
      </c>
      <c r="N8" s="135" t="s">
        <v>237</v>
      </c>
      <c r="O8" s="163"/>
      <c r="P8" s="135" t="s">
        <v>238</v>
      </c>
      <c r="Q8" s="135" t="s">
        <v>239</v>
      </c>
      <c r="R8" s="135" t="s">
        <v>240</v>
      </c>
    </row>
    <row r="9" spans="1:19" x14ac:dyDescent="0.2">
      <c r="A9" s="102"/>
      <c r="B9" s="117"/>
      <c r="C9" s="125"/>
      <c r="D9" s="88"/>
      <c r="E9" s="125"/>
      <c r="F9" s="88"/>
      <c r="G9" s="88"/>
    </row>
    <row r="10" spans="1:19" x14ac:dyDescent="0.2">
      <c r="A10" s="259" t="s">
        <v>241</v>
      </c>
      <c r="B10" s="259"/>
      <c r="C10" s="259"/>
      <c r="D10" s="259"/>
      <c r="E10" s="259"/>
      <c r="F10" s="259"/>
      <c r="G10" s="88"/>
    </row>
    <row r="11" spans="1:19" x14ac:dyDescent="0.2">
      <c r="A11" s="102" t="str">
        <f>A28</f>
        <v>SCHEDULE 50</v>
      </c>
      <c r="B11" s="111">
        <v>120</v>
      </c>
      <c r="C11" s="125"/>
      <c r="D11" s="88">
        <f>D45</f>
        <v>5814</v>
      </c>
      <c r="E11" s="125"/>
      <c r="F11" s="88">
        <f>F45</f>
        <v>5843</v>
      </c>
      <c r="G11" s="88"/>
      <c r="H11" s="111">
        <f t="shared" ref="H11:H19" si="0">SUM(I11:J11)</f>
        <v>53563</v>
      </c>
      <c r="I11" s="111">
        <f>B43</f>
        <v>53338</v>
      </c>
      <c r="J11" s="111">
        <f>B44</f>
        <v>225</v>
      </c>
      <c r="L11" s="88">
        <f t="shared" ref="L11:L19" si="1">SUM(M11:N11)</f>
        <v>5814</v>
      </c>
      <c r="M11" s="88">
        <f>D41</f>
        <v>5757</v>
      </c>
      <c r="N11" s="88">
        <f t="shared" ref="N11:N19" si="2">ROUND(J11/($J$20-$J$19)*$N$20,0)</f>
        <v>57</v>
      </c>
      <c r="P11" s="88">
        <f t="shared" ref="P11:P19" si="3">Q11-R11</f>
        <v>-12.760000000000218</v>
      </c>
      <c r="Q11" s="88">
        <f>F41</f>
        <v>5786</v>
      </c>
      <c r="R11" s="178">
        <f>SUM('BDJ-6 Base Revenue (Summary)'!$E$12:$E$14)</f>
        <v>5798.76</v>
      </c>
      <c r="S11" s="77"/>
    </row>
    <row r="12" spans="1:19" x14ac:dyDescent="0.2">
      <c r="A12" s="102" t="str">
        <f>A47</f>
        <v>SCHEDULE 51</v>
      </c>
      <c r="B12" s="111">
        <v>13216</v>
      </c>
      <c r="C12" s="125"/>
      <c r="D12" s="88">
        <f>D67</f>
        <v>936796</v>
      </c>
      <c r="E12" s="125"/>
      <c r="F12" s="88">
        <f>F67</f>
        <v>952539</v>
      </c>
      <c r="G12" s="88"/>
      <c r="H12" s="111">
        <f t="shared" si="0"/>
        <v>2725617</v>
      </c>
      <c r="I12" s="111">
        <f>B65</f>
        <v>2714227</v>
      </c>
      <c r="J12" s="111">
        <f>B66</f>
        <v>11390</v>
      </c>
      <c r="L12" s="88">
        <f t="shared" si="1"/>
        <v>936796</v>
      </c>
      <c r="M12" s="88">
        <f>D63</f>
        <v>933898</v>
      </c>
      <c r="N12" s="88">
        <f t="shared" si="2"/>
        <v>2898</v>
      </c>
      <c r="P12" s="88">
        <f t="shared" si="3"/>
        <v>17.744279999984428</v>
      </c>
      <c r="Q12" s="88">
        <f>$F$63</f>
        <v>949658</v>
      </c>
      <c r="R12" s="178">
        <f>SUM('BDJ-6 Base Revenue (Summary)'!$E$15:$E$17)</f>
        <v>949640.25572000002</v>
      </c>
      <c r="S12" s="77"/>
    </row>
    <row r="13" spans="1:19" x14ac:dyDescent="0.2">
      <c r="A13" s="102" t="str">
        <f>A69</f>
        <v>SCHEDULE 52</v>
      </c>
      <c r="B13" s="111">
        <v>27731</v>
      </c>
      <c r="C13" s="125"/>
      <c r="D13" s="88">
        <f>D95</f>
        <v>1835449</v>
      </c>
      <c r="E13" s="125"/>
      <c r="F13" s="88">
        <f>F95</f>
        <v>1809776</v>
      </c>
      <c r="G13" s="88"/>
      <c r="H13" s="111">
        <f t="shared" si="0"/>
        <v>12615929</v>
      </c>
      <c r="I13" s="111">
        <f>B93</f>
        <v>12614287</v>
      </c>
      <c r="J13" s="111">
        <f>B94</f>
        <v>1642</v>
      </c>
      <c r="L13" s="88">
        <f t="shared" si="1"/>
        <v>1835449</v>
      </c>
      <c r="M13" s="88">
        <f>D91</f>
        <v>1835031</v>
      </c>
      <c r="N13" s="88">
        <f t="shared" si="2"/>
        <v>418</v>
      </c>
      <c r="P13" s="88">
        <f t="shared" si="3"/>
        <v>18.867980000097305</v>
      </c>
      <c r="Q13" s="88">
        <f>F91</f>
        <v>1809360</v>
      </c>
      <c r="R13" s="178">
        <f>SUM('BDJ-6 Base Revenue (Summary)'!$E$18:$E$19)</f>
        <v>1809341.1320199999</v>
      </c>
      <c r="S13" s="77"/>
    </row>
    <row r="14" spans="1:19" x14ac:dyDescent="0.2">
      <c r="A14" s="102" t="str">
        <f>A97</f>
        <v>SCHEDULE 53</v>
      </c>
      <c r="B14" s="111">
        <v>37100</v>
      </c>
      <c r="C14" s="125"/>
      <c r="D14" s="88">
        <f>D157</f>
        <v>11944458</v>
      </c>
      <c r="E14" s="125"/>
      <c r="F14" s="88">
        <f>F157</f>
        <v>11885902</v>
      </c>
      <c r="G14" s="88"/>
      <c r="H14" s="111">
        <f t="shared" si="0"/>
        <v>36752004</v>
      </c>
      <c r="I14" s="111">
        <f>B155</f>
        <v>36075891</v>
      </c>
      <c r="J14" s="111">
        <f>B156</f>
        <v>676113</v>
      </c>
      <c r="L14" s="88">
        <f t="shared" si="1"/>
        <v>11944458</v>
      </c>
      <c r="M14" s="88">
        <f>D153</f>
        <v>11772426</v>
      </c>
      <c r="N14" s="88">
        <f t="shared" si="2"/>
        <v>172032</v>
      </c>
      <c r="P14" s="88">
        <f t="shared" si="3"/>
        <v>-350.15999999828637</v>
      </c>
      <c r="Q14" s="88">
        <f>F153</f>
        <v>11714883</v>
      </c>
      <c r="R14" s="178">
        <f>+'BDJ-6 Base Revenue (Summary)'!$E$20</f>
        <v>11715233.159999998</v>
      </c>
      <c r="S14" s="77"/>
    </row>
    <row r="15" spans="1:19" x14ac:dyDescent="0.2">
      <c r="A15" s="102" t="str">
        <f>A159</f>
        <v>SCHEDULE 54</v>
      </c>
      <c r="B15" s="111">
        <v>575</v>
      </c>
      <c r="C15" s="125"/>
      <c r="D15" s="88">
        <f>D186</f>
        <v>562280</v>
      </c>
      <c r="E15" s="125"/>
      <c r="F15" s="88">
        <f>F186</f>
        <v>529917</v>
      </c>
      <c r="G15" s="88"/>
      <c r="H15" s="111">
        <f t="shared" si="0"/>
        <v>6399672</v>
      </c>
      <c r="I15" s="111">
        <f>B184</f>
        <v>6228929</v>
      </c>
      <c r="J15" s="111">
        <f>B185</f>
        <v>170743</v>
      </c>
      <c r="L15" s="88">
        <f t="shared" si="1"/>
        <v>562280</v>
      </c>
      <c r="M15" s="88">
        <f>D182</f>
        <v>518836</v>
      </c>
      <c r="N15" s="88">
        <f t="shared" si="2"/>
        <v>43444</v>
      </c>
      <c r="P15" s="88">
        <f t="shared" si="3"/>
        <v>-43.919999999925494</v>
      </c>
      <c r="Q15" s="88">
        <f>F182</f>
        <v>486729</v>
      </c>
      <c r="R15" s="178">
        <f>+'BDJ-6 Base Revenue (Summary)'!$E$22</f>
        <v>486772.91999999993</v>
      </c>
      <c r="S15" s="77"/>
    </row>
    <row r="16" spans="1:19" x14ac:dyDescent="0.2">
      <c r="A16" s="102" t="str">
        <f>A188</f>
        <v>SCHEDULES 55 &amp; 56</v>
      </c>
      <c r="B16" s="111">
        <v>20135</v>
      </c>
      <c r="C16" s="125"/>
      <c r="D16" s="88">
        <f>D217</f>
        <v>1165896</v>
      </c>
      <c r="E16" s="125"/>
      <c r="F16" s="88">
        <f>F217</f>
        <v>1145364</v>
      </c>
      <c r="G16" s="88"/>
      <c r="H16" s="111">
        <f t="shared" si="0"/>
        <v>3767495</v>
      </c>
      <c r="I16" s="111">
        <f>B215</f>
        <v>3767304</v>
      </c>
      <c r="J16" s="111">
        <f>B216</f>
        <v>191</v>
      </c>
      <c r="L16" s="88">
        <f t="shared" si="1"/>
        <v>1074221</v>
      </c>
      <c r="M16" s="88">
        <f>D213-D212-D211</f>
        <v>1074172</v>
      </c>
      <c r="N16" s="88">
        <f t="shared" si="2"/>
        <v>49</v>
      </c>
      <c r="P16" s="88">
        <f t="shared" si="3"/>
        <v>7.5200000000186265</v>
      </c>
      <c r="Q16" s="88">
        <f>F213-F211-F212</f>
        <v>1071659</v>
      </c>
      <c r="R16" s="178">
        <f>+'BDJ-6 Base Revenue (Summary)'!$E$23</f>
        <v>1071651.48</v>
      </c>
      <c r="S16" s="77"/>
    </row>
    <row r="17" spans="1:19" x14ac:dyDescent="0.2">
      <c r="A17" s="102" t="str">
        <f>A219</f>
        <v>SCHEDULE 57</v>
      </c>
      <c r="B17" s="111">
        <v>1253</v>
      </c>
      <c r="C17" s="125"/>
      <c r="D17" s="88">
        <f>D227</f>
        <v>906827</v>
      </c>
      <c r="E17" s="125"/>
      <c r="F17" s="88">
        <f>F227</f>
        <v>933222</v>
      </c>
      <c r="G17" s="88"/>
      <c r="H17" s="111">
        <f t="shared" si="0"/>
        <v>5370526</v>
      </c>
      <c r="I17" s="111">
        <f>B225</f>
        <v>3656529</v>
      </c>
      <c r="J17" s="111">
        <f>B226</f>
        <v>1713997</v>
      </c>
      <c r="L17" s="88">
        <f t="shared" si="1"/>
        <v>906827</v>
      </c>
      <c r="M17" s="88">
        <f>D223</f>
        <v>470713</v>
      </c>
      <c r="N17" s="88">
        <f t="shared" si="2"/>
        <v>436114</v>
      </c>
      <c r="P17" s="88">
        <f t="shared" si="3"/>
        <v>0.21781000000191852</v>
      </c>
      <c r="Q17" s="88">
        <f>F223</f>
        <v>499677</v>
      </c>
      <c r="R17" s="178">
        <f>+'BDJ-6 Base Revenue (Summary)'!$E$24</f>
        <v>499676.78219</v>
      </c>
      <c r="S17" s="77"/>
    </row>
    <row r="18" spans="1:19" x14ac:dyDescent="0.2">
      <c r="A18" s="102" t="str">
        <f>A229</f>
        <v>SCHEDULES 58 &amp; 59</v>
      </c>
      <c r="B18" s="111">
        <v>4057</v>
      </c>
      <c r="C18" s="125"/>
      <c r="D18" s="88">
        <f>D275</f>
        <v>426266</v>
      </c>
      <c r="E18" s="125"/>
      <c r="F18" s="88">
        <f>F275</f>
        <v>418230</v>
      </c>
      <c r="G18" s="88"/>
      <c r="H18" s="111">
        <f t="shared" si="0"/>
        <v>2201001</v>
      </c>
      <c r="I18" s="111">
        <f>B273</f>
        <v>2199040</v>
      </c>
      <c r="J18" s="111">
        <f>B274</f>
        <v>1961</v>
      </c>
      <c r="L18" s="88">
        <f t="shared" si="1"/>
        <v>405614</v>
      </c>
      <c r="M18" s="88">
        <f>D271-D270</f>
        <v>405115</v>
      </c>
      <c r="N18" s="88">
        <f t="shared" si="2"/>
        <v>499</v>
      </c>
      <c r="P18" s="88">
        <f t="shared" si="3"/>
        <v>74.559999999997672</v>
      </c>
      <c r="Q18" s="88">
        <f>F271-F270</f>
        <v>402034</v>
      </c>
      <c r="R18" s="178">
        <f>+'BDJ-6 Base Revenue (Summary)'!$E$25</f>
        <v>401959.44</v>
      </c>
      <c r="S18" s="77"/>
    </row>
    <row r="19" spans="1:19" x14ac:dyDescent="0.2">
      <c r="A19" s="102" t="s">
        <v>242</v>
      </c>
      <c r="B19" s="91"/>
      <c r="C19" s="125"/>
      <c r="D19" s="88">
        <f>D276</f>
        <v>0</v>
      </c>
      <c r="E19" s="125"/>
      <c r="F19" s="88"/>
      <c r="G19" s="88"/>
      <c r="H19" s="111">
        <f t="shared" si="0"/>
        <v>0</v>
      </c>
      <c r="I19" s="111">
        <v>0</v>
      </c>
      <c r="J19" s="111">
        <v>0</v>
      </c>
      <c r="L19" s="88">
        <f t="shared" si="1"/>
        <v>112327</v>
      </c>
      <c r="M19" s="88">
        <f>SUM(D211:D212,D270)</f>
        <v>112327</v>
      </c>
      <c r="N19" s="88">
        <f t="shared" si="2"/>
        <v>0</v>
      </c>
      <c r="P19" s="88">
        <f t="shared" si="3"/>
        <v>-4.6399999999994179</v>
      </c>
      <c r="Q19" s="88">
        <f>F211+F212+F270</f>
        <v>89356</v>
      </c>
      <c r="R19" s="178">
        <f>SUM('BDJ-6 Base Revenue (Summary)'!$E$26:$E$27)</f>
        <v>89360.639999999999</v>
      </c>
      <c r="S19" s="77"/>
    </row>
    <row r="20" spans="1:19" s="128" customFormat="1" ht="12" thickBot="1" x14ac:dyDescent="0.25">
      <c r="A20" s="134" t="s">
        <v>243</v>
      </c>
      <c r="B20" s="131">
        <f>SUM(B11:B19)</f>
        <v>104187</v>
      </c>
      <c r="C20" s="133"/>
      <c r="D20" s="130">
        <f>SUM(D11:D19)</f>
        <v>17783786</v>
      </c>
      <c r="E20" s="133"/>
      <c r="F20" s="130">
        <f>SUM(F11:F19)</f>
        <v>17680793</v>
      </c>
      <c r="G20" s="132"/>
      <c r="H20" s="131">
        <f>SUM(H11:H19)</f>
        <v>69885807</v>
      </c>
      <c r="I20" s="131">
        <f>SUM(I11:I19)</f>
        <v>67309545</v>
      </c>
      <c r="J20" s="131">
        <f>SUM(J11:J19)</f>
        <v>2576262</v>
      </c>
      <c r="L20" s="130">
        <f>SUM(L11:L19)</f>
        <v>17783786</v>
      </c>
      <c r="M20" s="130">
        <f>SUM(M11:M19)</f>
        <v>17128275</v>
      </c>
      <c r="N20" s="179">
        <v>655511</v>
      </c>
      <c r="P20" s="130">
        <f>SUM(P10:P19)</f>
        <v>-292.56992999811155</v>
      </c>
      <c r="Q20" s="130">
        <f>SUM(Q10:Q19)</f>
        <v>17029142</v>
      </c>
      <c r="R20" s="130">
        <f>SUM(R10:R19)</f>
        <v>17029434.569930002</v>
      </c>
      <c r="S20" s="129"/>
    </row>
    <row r="21" spans="1:19" ht="12" thickTop="1" x14ac:dyDescent="0.2">
      <c r="A21" s="102"/>
      <c r="B21" s="125"/>
      <c r="C21" s="125"/>
      <c r="D21" s="88"/>
      <c r="E21" s="125"/>
      <c r="F21" s="88"/>
      <c r="G21" s="88"/>
      <c r="M21" s="98"/>
      <c r="N21" s="98"/>
    </row>
    <row r="22" spans="1:19" ht="12" thickBot="1" x14ac:dyDescent="0.25">
      <c r="A22" s="102"/>
      <c r="B22" s="125"/>
      <c r="C22" s="125"/>
      <c r="D22" s="88"/>
      <c r="E22" s="125"/>
      <c r="F22" s="116">
        <v>17679023.276234422</v>
      </c>
      <c r="G22" s="88"/>
      <c r="L22" s="127"/>
      <c r="M22" s="180">
        <v>-5.889626608585493E-3</v>
      </c>
      <c r="N22" s="86">
        <f>M22</f>
        <v>-5.889626608585493E-3</v>
      </c>
      <c r="Q22" s="123"/>
      <c r="R22" s="123"/>
    </row>
    <row r="23" spans="1:19" ht="12" thickTop="1" x14ac:dyDescent="0.2">
      <c r="A23" s="102"/>
      <c r="B23" s="125"/>
      <c r="C23" s="125"/>
      <c r="D23" s="88"/>
      <c r="E23" s="125"/>
      <c r="F23" s="125"/>
      <c r="G23" s="125"/>
      <c r="H23" s="125"/>
      <c r="L23" s="98">
        <f>SUM(M23:N23)</f>
        <v>-104739.85922699017</v>
      </c>
      <c r="M23" s="88">
        <f>M22*M20</f>
        <v>-100879.14419916969</v>
      </c>
      <c r="N23" s="88">
        <f>N22*N20</f>
        <v>-3860.7150278204849</v>
      </c>
      <c r="Q23" s="123"/>
      <c r="R23" s="123"/>
    </row>
    <row r="24" spans="1:19" ht="12" thickBot="1" x14ac:dyDescent="0.25">
      <c r="A24" s="102"/>
      <c r="B24" s="117"/>
      <c r="C24" s="125"/>
      <c r="D24" s="88"/>
      <c r="E24" s="125"/>
      <c r="F24" s="125"/>
      <c r="G24" s="125"/>
      <c r="H24" s="125"/>
      <c r="L24" s="126">
        <f>SUM(M24:N24)</f>
        <v>17679046.14077301</v>
      </c>
      <c r="M24" s="126">
        <f>M23+M20</f>
        <v>17027395.85580083</v>
      </c>
      <c r="N24" s="126">
        <f>N23+N20</f>
        <v>651650.28497217956</v>
      </c>
      <c r="Q24" s="123"/>
      <c r="R24" s="123"/>
    </row>
    <row r="25" spans="1:19" ht="12" thickTop="1" x14ac:dyDescent="0.2">
      <c r="A25" s="102"/>
      <c r="B25" s="117"/>
      <c r="C25" s="125"/>
      <c r="D25" s="88"/>
      <c r="E25" s="125"/>
      <c r="F25" s="125"/>
      <c r="G25" s="125"/>
      <c r="H25" s="125"/>
      <c r="L25" s="98"/>
      <c r="M25" s="88"/>
      <c r="N25" s="88"/>
      <c r="Q25" s="123"/>
      <c r="R25" s="123"/>
    </row>
    <row r="26" spans="1:19" ht="33.75" x14ac:dyDescent="0.2">
      <c r="A26" s="102"/>
      <c r="B26" s="124" t="s">
        <v>379</v>
      </c>
      <c r="C26" s="265" t="s">
        <v>230</v>
      </c>
      <c r="D26" s="262"/>
      <c r="E26" s="266" t="str">
        <f>E8</f>
        <v>Proposed Effective January 1, 2023</v>
      </c>
      <c r="F26" s="267"/>
      <c r="G26" s="88"/>
      <c r="L26" s="98"/>
      <c r="M26" s="98"/>
      <c r="N26" s="98"/>
      <c r="Q26" s="123"/>
      <c r="R26" s="123"/>
    </row>
    <row r="27" spans="1:19" x14ac:dyDescent="0.2">
      <c r="A27" s="102"/>
      <c r="B27" s="124"/>
      <c r="C27" s="164" t="s">
        <v>233</v>
      </c>
      <c r="D27" s="164" t="s">
        <v>234</v>
      </c>
      <c r="E27" s="164" t="s">
        <v>233</v>
      </c>
      <c r="F27" s="164" t="s">
        <v>234</v>
      </c>
      <c r="G27" s="88"/>
      <c r="L27" s="98"/>
      <c r="M27" s="98"/>
      <c r="N27" s="98"/>
      <c r="Q27" s="123"/>
      <c r="R27" s="123"/>
    </row>
    <row r="28" spans="1:19" x14ac:dyDescent="0.2">
      <c r="A28" s="259" t="s">
        <v>244</v>
      </c>
      <c r="B28" s="259"/>
      <c r="C28" s="259"/>
      <c r="D28" s="259"/>
      <c r="E28" s="259"/>
      <c r="F28" s="259"/>
      <c r="G28" s="102"/>
    </row>
    <row r="29" spans="1:19" x14ac:dyDescent="0.2">
      <c r="A29" s="102" t="s">
        <v>245</v>
      </c>
      <c r="B29" s="102"/>
      <c r="C29" s="102"/>
      <c r="D29" s="88"/>
      <c r="E29" s="102"/>
      <c r="F29" s="102"/>
      <c r="G29" s="102"/>
    </row>
    <row r="30" spans="1:19" x14ac:dyDescent="0.2">
      <c r="A30" s="102"/>
      <c r="B30" s="102"/>
      <c r="C30" s="102"/>
      <c r="D30" s="88"/>
      <c r="E30" s="102"/>
      <c r="F30" s="102"/>
      <c r="G30" s="102"/>
    </row>
    <row r="31" spans="1:19" x14ac:dyDescent="0.2">
      <c r="A31" s="100" t="s">
        <v>456</v>
      </c>
      <c r="B31" s="111">
        <v>708</v>
      </c>
      <c r="C31" s="94">
        <v>0.7</v>
      </c>
      <c r="D31" s="88">
        <f>IF(C31="n/a",0,ROUND(B31*C31,0))</f>
        <v>496</v>
      </c>
      <c r="E31" s="94">
        <v>0.65999999999999992</v>
      </c>
      <c r="F31" s="88">
        <f>ROUND(E31*$B31,0)</f>
        <v>467</v>
      </c>
      <c r="G31" s="88"/>
      <c r="J31" s="94"/>
      <c r="Q31" s="94"/>
      <c r="R31" s="94"/>
    </row>
    <row r="32" spans="1:19" x14ac:dyDescent="0.2">
      <c r="A32" s="90"/>
      <c r="B32" s="111"/>
      <c r="C32" s="94"/>
      <c r="D32" s="88"/>
      <c r="E32" s="122"/>
      <c r="F32" s="88"/>
      <c r="G32" s="88"/>
      <c r="Q32" s="122"/>
      <c r="R32" s="122"/>
    </row>
    <row r="33" spans="1:18" x14ac:dyDescent="0.2">
      <c r="A33" s="100" t="s">
        <v>246</v>
      </c>
      <c r="B33" s="111">
        <v>27</v>
      </c>
      <c r="C33" s="94">
        <v>4.82</v>
      </c>
      <c r="D33" s="88">
        <f>IF(C33="n/a",0,ROUND(B33*C33,0))</f>
        <v>130</v>
      </c>
      <c r="E33" s="94">
        <v>5.3000000000000007</v>
      </c>
      <c r="F33" s="88">
        <f>ROUND(E33*$B33,0)</f>
        <v>143</v>
      </c>
      <c r="G33" s="88"/>
      <c r="J33" s="94"/>
      <c r="Q33" s="94"/>
      <c r="R33" s="94"/>
    </row>
    <row r="34" spans="1:18" x14ac:dyDescent="0.2">
      <c r="A34" s="100" t="s">
        <v>247</v>
      </c>
      <c r="B34" s="111">
        <v>228</v>
      </c>
      <c r="C34" s="94">
        <v>7.21</v>
      </c>
      <c r="D34" s="88">
        <f>IF(C34="n/a",0,ROUND(B34*C34,0))</f>
        <v>1644</v>
      </c>
      <c r="E34" s="94">
        <v>7.5400000000000009</v>
      </c>
      <c r="F34" s="88">
        <f>ROUND(E34*$B34,0)</f>
        <v>1719</v>
      </c>
      <c r="G34" s="88"/>
      <c r="J34" s="94"/>
      <c r="Q34" s="94"/>
      <c r="R34" s="94"/>
    </row>
    <row r="35" spans="1:18" x14ac:dyDescent="0.2">
      <c r="A35" s="100" t="s">
        <v>248</v>
      </c>
      <c r="B35" s="111">
        <v>238</v>
      </c>
      <c r="C35" s="94">
        <v>14.37</v>
      </c>
      <c r="D35" s="88">
        <f>IF(C35="n/a",0,ROUND(B35*C35,0))</f>
        <v>3420</v>
      </c>
      <c r="E35" s="94">
        <v>14.26</v>
      </c>
      <c r="F35" s="88">
        <f>ROUND(E35*$B35,0)</f>
        <v>3394</v>
      </c>
      <c r="G35" s="88"/>
      <c r="J35" s="94"/>
      <c r="Q35" s="94"/>
      <c r="R35" s="94"/>
    </row>
    <row r="36" spans="1:18" x14ac:dyDescent="0.2">
      <c r="A36" s="90"/>
      <c r="B36" s="111"/>
      <c r="C36" s="122"/>
      <c r="D36" s="88"/>
      <c r="E36" s="122"/>
      <c r="F36" s="88"/>
      <c r="G36" s="88"/>
      <c r="J36" s="94"/>
      <c r="Q36" s="122"/>
      <c r="R36" s="122"/>
    </row>
    <row r="37" spans="1:18" x14ac:dyDescent="0.2">
      <c r="A37" s="100" t="s">
        <v>249</v>
      </c>
      <c r="B37" s="111">
        <v>0</v>
      </c>
      <c r="C37" s="94">
        <v>3.19</v>
      </c>
      <c r="D37" s="88">
        <f>IF(C37="n/a",0,ROUND(B37*C37,0))</f>
        <v>0</v>
      </c>
      <c r="E37" s="94">
        <v>2.99</v>
      </c>
      <c r="F37" s="88">
        <f>ROUND(E37*$B37,0)</f>
        <v>0</v>
      </c>
      <c r="G37" s="88"/>
      <c r="J37" s="94"/>
      <c r="Q37" s="94"/>
      <c r="R37" s="94"/>
    </row>
    <row r="38" spans="1:18" x14ac:dyDescent="0.2">
      <c r="A38" s="100" t="s">
        <v>250</v>
      </c>
      <c r="B38" s="111">
        <v>12</v>
      </c>
      <c r="C38" s="94">
        <v>5.57</v>
      </c>
      <c r="D38" s="88">
        <f>IF(C38="n/a",0,ROUND(B38*C38,0))</f>
        <v>67</v>
      </c>
      <c r="E38" s="94">
        <v>5.23</v>
      </c>
      <c r="F38" s="88">
        <f>ROUND(E38*$B38,0)</f>
        <v>63</v>
      </c>
      <c r="G38" s="88"/>
      <c r="J38" s="94"/>
      <c r="Q38" s="94"/>
      <c r="R38" s="94"/>
    </row>
    <row r="39" spans="1:18" x14ac:dyDescent="0.2">
      <c r="A39" s="100" t="s">
        <v>251</v>
      </c>
      <c r="B39" s="111">
        <v>0</v>
      </c>
      <c r="C39" s="94">
        <v>12.74</v>
      </c>
      <c r="D39" s="88">
        <f>IF(C39="n/a",0,ROUND(B39*C39,0))</f>
        <v>0</v>
      </c>
      <c r="E39" s="94">
        <v>11.95</v>
      </c>
      <c r="F39" s="88">
        <f>ROUND(E39*$B39,0)</f>
        <v>0</v>
      </c>
      <c r="G39" s="88"/>
      <c r="J39" s="94"/>
      <c r="Q39" s="94"/>
      <c r="R39" s="94"/>
    </row>
    <row r="40" spans="1:18" x14ac:dyDescent="0.2">
      <c r="A40" s="100" t="s">
        <v>252</v>
      </c>
      <c r="B40" s="111">
        <v>0</v>
      </c>
      <c r="C40" s="94">
        <v>22.3</v>
      </c>
      <c r="D40" s="88">
        <f>IF(C40="n/a",0,ROUND(B40*C40,0))</f>
        <v>0</v>
      </c>
      <c r="E40" s="94">
        <v>20.91</v>
      </c>
      <c r="F40" s="88">
        <f>ROUND(E40*$B40,0)</f>
        <v>0</v>
      </c>
      <c r="G40" s="88"/>
      <c r="J40" s="94"/>
      <c r="Q40" s="94"/>
      <c r="R40" s="94"/>
    </row>
    <row r="41" spans="1:18" x14ac:dyDescent="0.2">
      <c r="A41" s="96" t="s">
        <v>253</v>
      </c>
      <c r="B41" s="95">
        <f>SUM(B31:B40)</f>
        <v>1213</v>
      </c>
      <c r="C41" s="94"/>
      <c r="D41" s="106">
        <f>SUM(D31:D40)</f>
        <v>5757</v>
      </c>
      <c r="E41" s="94"/>
      <c r="F41" s="106">
        <f>SUM(F31:F40)</f>
        <v>5786</v>
      </c>
      <c r="G41" s="88"/>
      <c r="J41" s="94"/>
    </row>
    <row r="42" spans="1:18" x14ac:dyDescent="0.2">
      <c r="A42" s="90"/>
      <c r="B42" s="111"/>
      <c r="C42" s="122"/>
      <c r="D42" s="88"/>
      <c r="E42" s="122"/>
      <c r="F42" s="88"/>
      <c r="G42" s="88"/>
    </row>
    <row r="43" spans="1:18" x14ac:dyDescent="0.2">
      <c r="A43" s="90" t="s">
        <v>254</v>
      </c>
      <c r="B43" s="111">
        <v>53338</v>
      </c>
      <c r="D43" s="88"/>
      <c r="F43" s="88"/>
      <c r="G43" s="121"/>
      <c r="I43" s="98"/>
    </row>
    <row r="44" spans="1:18" x14ac:dyDescent="0.2">
      <c r="A44" s="90" t="s">
        <v>255</v>
      </c>
      <c r="B44" s="111">
        <v>225</v>
      </c>
      <c r="C44" s="89">
        <f>IF(B44=0,0,ROUND(D44/B44,6))</f>
        <v>0.25333299999999997</v>
      </c>
      <c r="D44" s="88">
        <f>$N$11</f>
        <v>57</v>
      </c>
      <c r="E44" s="89">
        <f>IF(B44=0,0,ROUND(F44/B44,6))</f>
        <v>0.25333299999999997</v>
      </c>
      <c r="F44" s="88">
        <f>ROUND(+D44*(1+H44),0)</f>
        <v>57</v>
      </c>
      <c r="G44" s="87"/>
      <c r="H44" s="86">
        <f>M22</f>
        <v>-5.889626608585493E-3</v>
      </c>
      <c r="I44" s="256"/>
      <c r="J44" s="256"/>
      <c r="K44" s="85"/>
      <c r="L44" s="85"/>
      <c r="M44" s="85"/>
      <c r="N44" s="85"/>
      <c r="O44" s="85"/>
      <c r="P44" s="85"/>
      <c r="Q44" s="85"/>
      <c r="R44" s="85"/>
    </row>
    <row r="45" spans="1:18" ht="12" thickBot="1" x14ac:dyDescent="0.25">
      <c r="A45" s="84" t="s">
        <v>19</v>
      </c>
      <c r="B45" s="110">
        <f>SUM(B43:B44)</f>
        <v>53563</v>
      </c>
      <c r="C45" s="82"/>
      <c r="D45" s="81">
        <f>SUM(D44,D41)</f>
        <v>5814</v>
      </c>
      <c r="E45" s="82"/>
      <c r="F45" s="81">
        <f>SUM(F44,F41)</f>
        <v>5843</v>
      </c>
      <c r="H45" s="256" t="s">
        <v>256</v>
      </c>
      <c r="I45" s="256"/>
    </row>
    <row r="46" spans="1:18" ht="12" thickTop="1" x14ac:dyDescent="0.2">
      <c r="A46" s="120"/>
      <c r="B46" s="105"/>
      <c r="C46" s="82"/>
      <c r="D46" s="82"/>
      <c r="E46" s="82"/>
      <c r="F46" s="82"/>
      <c r="G46" s="82"/>
    </row>
    <row r="47" spans="1:18" x14ac:dyDescent="0.2">
      <c r="A47" s="259" t="s">
        <v>257</v>
      </c>
      <c r="B47" s="259"/>
      <c r="C47" s="259"/>
      <c r="D47" s="259"/>
      <c r="E47" s="259"/>
      <c r="F47" s="259"/>
      <c r="G47" s="102"/>
    </row>
    <row r="48" spans="1:18" x14ac:dyDescent="0.2">
      <c r="A48" s="102"/>
      <c r="B48" s="102"/>
      <c r="C48" s="102"/>
      <c r="D48" s="102"/>
      <c r="E48" s="102"/>
      <c r="F48" s="102"/>
      <c r="G48" s="102"/>
    </row>
    <row r="49" spans="1:10" x14ac:dyDescent="0.2">
      <c r="A49" s="114" t="s">
        <v>410</v>
      </c>
      <c r="B49" s="111">
        <v>0</v>
      </c>
      <c r="C49" s="94">
        <v>1.43</v>
      </c>
      <c r="D49" s="88">
        <f t="shared" ref="D49:D58" si="4">IF(C49="n/a",0,ROUND(B49*C49,0))</f>
        <v>0</v>
      </c>
      <c r="E49" s="94">
        <v>0.44999999999999996</v>
      </c>
      <c r="F49" s="88">
        <f t="shared" ref="F49:F58" si="5">ROUND(E49*$B49,0)</f>
        <v>0</v>
      </c>
      <c r="G49" s="102"/>
    </row>
    <row r="50" spans="1:10" x14ac:dyDescent="0.2">
      <c r="A50" s="114" t="s">
        <v>411</v>
      </c>
      <c r="B50" s="111">
        <v>52217</v>
      </c>
      <c r="C50" s="94">
        <v>1.43</v>
      </c>
      <c r="D50" s="88">
        <f t="shared" si="4"/>
        <v>74670</v>
      </c>
      <c r="E50" s="94">
        <v>1.35</v>
      </c>
      <c r="F50" s="88">
        <f t="shared" si="5"/>
        <v>70493</v>
      </c>
      <c r="G50" s="102"/>
      <c r="J50" s="98"/>
    </row>
    <row r="51" spans="1:10" x14ac:dyDescent="0.2">
      <c r="A51" s="114" t="s">
        <v>258</v>
      </c>
      <c r="B51" s="111">
        <v>28562</v>
      </c>
      <c r="C51" s="94">
        <v>2.39</v>
      </c>
      <c r="D51" s="88">
        <f t="shared" si="4"/>
        <v>68263</v>
      </c>
      <c r="E51" s="94">
        <v>2.2400000000000002</v>
      </c>
      <c r="F51" s="88">
        <f t="shared" si="5"/>
        <v>63979</v>
      </c>
      <c r="G51" s="102"/>
      <c r="J51" s="98"/>
    </row>
    <row r="52" spans="1:10" x14ac:dyDescent="0.2">
      <c r="A52" s="114" t="s">
        <v>259</v>
      </c>
      <c r="B52" s="111">
        <v>12365</v>
      </c>
      <c r="C52" s="94">
        <v>3.34</v>
      </c>
      <c r="D52" s="88">
        <f t="shared" si="4"/>
        <v>41299</v>
      </c>
      <c r="E52" s="94">
        <v>3.13</v>
      </c>
      <c r="F52" s="88">
        <f t="shared" si="5"/>
        <v>38702</v>
      </c>
      <c r="G52" s="102"/>
      <c r="J52" s="98"/>
    </row>
    <row r="53" spans="1:10" x14ac:dyDescent="0.2">
      <c r="A53" s="114" t="s">
        <v>260</v>
      </c>
      <c r="B53" s="111">
        <v>5819</v>
      </c>
      <c r="C53" s="94">
        <v>4.3</v>
      </c>
      <c r="D53" s="88">
        <f t="shared" si="4"/>
        <v>25022</v>
      </c>
      <c r="E53" s="94">
        <v>4.0299999999999994</v>
      </c>
      <c r="F53" s="88">
        <f t="shared" si="5"/>
        <v>23451</v>
      </c>
      <c r="G53" s="102"/>
      <c r="J53" s="98"/>
    </row>
    <row r="54" spans="1:10" x14ac:dyDescent="0.2">
      <c r="A54" s="114" t="s">
        <v>261</v>
      </c>
      <c r="B54" s="111">
        <v>824</v>
      </c>
      <c r="C54" s="94">
        <v>5.26</v>
      </c>
      <c r="D54" s="88">
        <f t="shared" si="4"/>
        <v>4334</v>
      </c>
      <c r="E54" s="94">
        <v>4.93</v>
      </c>
      <c r="F54" s="88">
        <f t="shared" si="5"/>
        <v>4062</v>
      </c>
      <c r="G54" s="102"/>
      <c r="J54" s="98"/>
    </row>
    <row r="55" spans="1:10" x14ac:dyDescent="0.2">
      <c r="A55" s="114" t="s">
        <v>262</v>
      </c>
      <c r="B55" s="111">
        <v>2412</v>
      </c>
      <c r="C55" s="94">
        <v>6.21</v>
      </c>
      <c r="D55" s="88">
        <f t="shared" si="4"/>
        <v>14979</v>
      </c>
      <c r="E55" s="94">
        <v>5.83</v>
      </c>
      <c r="F55" s="88">
        <f t="shared" si="5"/>
        <v>14062</v>
      </c>
      <c r="G55" s="102"/>
      <c r="J55" s="98"/>
    </row>
    <row r="56" spans="1:10" x14ac:dyDescent="0.2">
      <c r="A56" s="114" t="s">
        <v>263</v>
      </c>
      <c r="B56" s="111">
        <v>705</v>
      </c>
      <c r="C56" s="94">
        <v>7.17</v>
      </c>
      <c r="D56" s="88">
        <f t="shared" si="4"/>
        <v>5055</v>
      </c>
      <c r="E56" s="94">
        <v>6.73</v>
      </c>
      <c r="F56" s="88">
        <f t="shared" si="5"/>
        <v>4745</v>
      </c>
      <c r="G56" s="102"/>
      <c r="J56" s="98"/>
    </row>
    <row r="57" spans="1:10" x14ac:dyDescent="0.2">
      <c r="A57" s="114" t="s">
        <v>264</v>
      </c>
      <c r="B57" s="111">
        <v>96</v>
      </c>
      <c r="C57" s="94">
        <v>8.1199999999999992</v>
      </c>
      <c r="D57" s="88">
        <f t="shared" si="4"/>
        <v>780</v>
      </c>
      <c r="E57" s="94">
        <v>7.62</v>
      </c>
      <c r="F57" s="88">
        <f t="shared" si="5"/>
        <v>732</v>
      </c>
      <c r="G57" s="102"/>
      <c r="J57" s="98"/>
    </row>
    <row r="58" spans="1:10" x14ac:dyDescent="0.2">
      <c r="A58" s="114" t="s">
        <v>265</v>
      </c>
      <c r="B58" s="111">
        <v>952</v>
      </c>
      <c r="C58" s="94">
        <v>9.08</v>
      </c>
      <c r="D58" s="88">
        <f t="shared" si="4"/>
        <v>8644</v>
      </c>
      <c r="E58" s="94">
        <v>8.51</v>
      </c>
      <c r="F58" s="88">
        <f t="shared" si="5"/>
        <v>8102</v>
      </c>
      <c r="G58" s="102"/>
      <c r="J58" s="98"/>
    </row>
    <row r="59" spans="1:10" x14ac:dyDescent="0.2">
      <c r="A59" s="102"/>
      <c r="B59" s="111"/>
      <c r="C59" s="119"/>
      <c r="D59" s="88"/>
      <c r="E59" s="119"/>
      <c r="F59" s="88"/>
      <c r="G59" s="88"/>
    </row>
    <row r="60" spans="1:10" x14ac:dyDescent="0.2">
      <c r="A60" s="114" t="s">
        <v>266</v>
      </c>
      <c r="B60" s="176">
        <v>0</v>
      </c>
      <c r="C60" s="177">
        <v>1.4200000000000001E-2</v>
      </c>
      <c r="D60" s="88">
        <f>IF(C60="n/a",0,ROUND(B60*C60,0))</f>
        <v>0</v>
      </c>
      <c r="E60" s="177">
        <v>1.304E-2</v>
      </c>
      <c r="F60" s="88">
        <f>ROUND(E60*$B60,0)</f>
        <v>0</v>
      </c>
      <c r="G60" s="88"/>
    </row>
    <row r="61" spans="1:10" x14ac:dyDescent="0.2">
      <c r="A61" s="114" t="s">
        <v>267</v>
      </c>
      <c r="B61" s="111">
        <v>507979166</v>
      </c>
      <c r="C61" s="177">
        <v>1.3600000000000001E-3</v>
      </c>
      <c r="D61" s="88">
        <f>IF(C61="n/a",0,ROUND(B61*C61,0))</f>
        <v>690852</v>
      </c>
      <c r="E61" s="177">
        <v>1.42E-3</v>
      </c>
      <c r="F61" s="88">
        <f>ROUND(E61*$B61,0)</f>
        <v>721330</v>
      </c>
      <c r="G61" s="88"/>
    </row>
    <row r="62" spans="1:10" x14ac:dyDescent="0.2">
      <c r="A62" s="114"/>
      <c r="B62" s="88"/>
      <c r="C62" s="118"/>
      <c r="D62" s="88"/>
      <c r="E62" s="118"/>
      <c r="F62" s="88"/>
      <c r="G62" s="88"/>
    </row>
    <row r="63" spans="1:10" x14ac:dyDescent="0.2">
      <c r="A63" s="96" t="s">
        <v>253</v>
      </c>
      <c r="B63" s="107">
        <f>SUM(B49:B58)</f>
        <v>103952</v>
      </c>
      <c r="C63" s="94"/>
      <c r="D63" s="93">
        <f>SUM(D49:D61)</f>
        <v>933898</v>
      </c>
      <c r="E63" s="94"/>
      <c r="F63" s="93">
        <f>SUM(F49:F61)</f>
        <v>949658</v>
      </c>
      <c r="G63" s="88"/>
    </row>
    <row r="64" spans="1:10" x14ac:dyDescent="0.2">
      <c r="A64" s="92"/>
      <c r="B64" s="117"/>
      <c r="D64" s="88"/>
      <c r="F64" s="88"/>
      <c r="G64" s="88"/>
    </row>
    <row r="65" spans="1:18" x14ac:dyDescent="0.2">
      <c r="A65" s="90" t="s">
        <v>254</v>
      </c>
      <c r="B65" s="111">
        <v>2714227</v>
      </c>
      <c r="D65" s="88"/>
      <c r="F65" s="88"/>
      <c r="G65" s="88"/>
      <c r="I65" s="98"/>
    </row>
    <row r="66" spans="1:18" x14ac:dyDescent="0.2">
      <c r="A66" s="90" t="s">
        <v>255</v>
      </c>
      <c r="B66" s="111">
        <v>11390</v>
      </c>
      <c r="C66" s="89">
        <f>ROUND(D66/B66,6)</f>
        <v>0.25443399999999999</v>
      </c>
      <c r="D66" s="88">
        <f>$N$12</f>
        <v>2898</v>
      </c>
      <c r="E66" s="89">
        <f>ROUND(F66/B66,6)</f>
        <v>0.25294100000000003</v>
      </c>
      <c r="F66" s="88">
        <f>ROUND(+D66*(1+H66),0)</f>
        <v>2881</v>
      </c>
      <c r="G66" s="87"/>
      <c r="H66" s="86">
        <f>+$H$44</f>
        <v>-5.889626608585493E-3</v>
      </c>
      <c r="I66" s="256"/>
      <c r="J66" s="256"/>
      <c r="K66" s="85"/>
      <c r="L66" s="85"/>
      <c r="M66" s="85"/>
      <c r="N66" s="85"/>
      <c r="O66" s="85"/>
      <c r="P66" s="85"/>
      <c r="Q66" s="85"/>
      <c r="R66" s="85"/>
    </row>
    <row r="67" spans="1:18" ht="12" thickBot="1" x14ac:dyDescent="0.25">
      <c r="A67" s="84" t="s">
        <v>19</v>
      </c>
      <c r="B67" s="83">
        <f>SUM(B65:B66)</f>
        <v>2725617</v>
      </c>
      <c r="C67" s="82"/>
      <c r="D67" s="116">
        <f>SUM(D63:D66)</f>
        <v>936796</v>
      </c>
      <c r="E67" s="82"/>
      <c r="F67" s="116">
        <f>SUM(F63:F66)</f>
        <v>952539</v>
      </c>
      <c r="H67" s="256" t="s">
        <v>256</v>
      </c>
      <c r="I67" s="256"/>
    </row>
    <row r="68" spans="1:18" ht="12" thickTop="1" x14ac:dyDescent="0.2">
      <c r="A68" s="102"/>
      <c r="B68" s="102"/>
      <c r="C68" s="103" t="s">
        <v>81</v>
      </c>
      <c r="D68" s="102"/>
      <c r="E68" s="103" t="s">
        <v>81</v>
      </c>
      <c r="F68" s="88" t="s">
        <v>81</v>
      </c>
      <c r="G68" s="88"/>
    </row>
    <row r="69" spans="1:18" x14ac:dyDescent="0.2">
      <c r="A69" s="259" t="s">
        <v>268</v>
      </c>
      <c r="B69" s="259"/>
      <c r="C69" s="259"/>
      <c r="D69" s="259"/>
      <c r="E69" s="259"/>
      <c r="F69" s="259"/>
      <c r="G69" s="102"/>
    </row>
    <row r="70" spans="1:18" x14ac:dyDescent="0.2">
      <c r="A70" s="92" t="s">
        <v>269</v>
      </c>
      <c r="B70" s="102"/>
      <c r="C70" s="102"/>
      <c r="D70" s="102"/>
      <c r="E70" s="102"/>
      <c r="F70" s="102"/>
      <c r="G70" s="102"/>
    </row>
    <row r="71" spans="1:18" x14ac:dyDescent="0.2">
      <c r="A71" s="97" t="s">
        <v>270</v>
      </c>
      <c r="B71" s="111">
        <v>0</v>
      </c>
      <c r="C71" s="94">
        <v>1.59</v>
      </c>
      <c r="D71" s="88">
        <f t="shared" ref="D71:D78" si="6">IF(C71="n/a",0,ROUND(B71*C71,0))</f>
        <v>0</v>
      </c>
      <c r="E71" s="94">
        <v>1.5</v>
      </c>
      <c r="F71" s="88">
        <f t="shared" ref="F71:F78" si="7">ROUND(E71*$B71,0)</f>
        <v>0</v>
      </c>
      <c r="G71" s="102"/>
      <c r="H71" s="94"/>
      <c r="I71" s="98"/>
    </row>
    <row r="72" spans="1:18" x14ac:dyDescent="0.2">
      <c r="A72" s="99" t="s">
        <v>271</v>
      </c>
      <c r="B72" s="111">
        <v>8040</v>
      </c>
      <c r="C72" s="94">
        <v>2.23</v>
      </c>
      <c r="D72" s="88">
        <f t="shared" si="6"/>
        <v>17929</v>
      </c>
      <c r="E72" s="94">
        <v>2.09</v>
      </c>
      <c r="F72" s="88">
        <f t="shared" si="7"/>
        <v>16804</v>
      </c>
      <c r="G72" s="102"/>
      <c r="H72" s="94"/>
      <c r="I72" s="98"/>
    </row>
    <row r="73" spans="1:18" x14ac:dyDescent="0.2">
      <c r="A73" s="99" t="s">
        <v>272</v>
      </c>
      <c r="B73" s="111">
        <v>115242</v>
      </c>
      <c r="C73" s="94">
        <v>3.19</v>
      </c>
      <c r="D73" s="88">
        <f t="shared" si="6"/>
        <v>367622</v>
      </c>
      <c r="E73" s="94">
        <v>2.99</v>
      </c>
      <c r="F73" s="88">
        <f t="shared" si="7"/>
        <v>344574</v>
      </c>
      <c r="G73" s="102"/>
      <c r="H73" s="94"/>
      <c r="I73" s="98"/>
    </row>
    <row r="74" spans="1:18" x14ac:dyDescent="0.2">
      <c r="A74" s="99" t="s">
        <v>273</v>
      </c>
      <c r="B74" s="111">
        <v>53643</v>
      </c>
      <c r="C74" s="94">
        <v>4.78</v>
      </c>
      <c r="D74" s="88">
        <f t="shared" si="6"/>
        <v>256414</v>
      </c>
      <c r="E74" s="94">
        <v>4.4800000000000004</v>
      </c>
      <c r="F74" s="88">
        <f t="shared" si="7"/>
        <v>240321</v>
      </c>
      <c r="G74" s="102"/>
      <c r="H74" s="94"/>
      <c r="I74" s="98"/>
    </row>
    <row r="75" spans="1:18" x14ac:dyDescent="0.2">
      <c r="A75" s="99" t="s">
        <v>274</v>
      </c>
      <c r="B75" s="111">
        <v>11381</v>
      </c>
      <c r="C75" s="94">
        <v>6.37</v>
      </c>
      <c r="D75" s="88">
        <f t="shared" si="6"/>
        <v>72497</v>
      </c>
      <c r="E75" s="94">
        <v>5.98</v>
      </c>
      <c r="F75" s="88">
        <f t="shared" si="7"/>
        <v>68058</v>
      </c>
      <c r="G75" s="102"/>
      <c r="H75" s="94"/>
      <c r="I75" s="98"/>
    </row>
    <row r="76" spans="1:18" x14ac:dyDescent="0.2">
      <c r="A76" s="99" t="s">
        <v>275</v>
      </c>
      <c r="B76" s="111">
        <v>16790</v>
      </c>
      <c r="C76" s="94">
        <v>7.96</v>
      </c>
      <c r="D76" s="88">
        <f t="shared" si="6"/>
        <v>133648</v>
      </c>
      <c r="E76" s="94">
        <v>7.47</v>
      </c>
      <c r="F76" s="88">
        <f t="shared" si="7"/>
        <v>125421</v>
      </c>
      <c r="G76" s="102"/>
      <c r="H76" s="94"/>
      <c r="I76" s="98"/>
    </row>
    <row r="77" spans="1:18" x14ac:dyDescent="0.2">
      <c r="A77" s="99" t="s">
        <v>276</v>
      </c>
      <c r="B77" s="111">
        <v>1692</v>
      </c>
      <c r="C77" s="94">
        <v>9.8699999999999992</v>
      </c>
      <c r="D77" s="88">
        <f t="shared" si="6"/>
        <v>16700</v>
      </c>
      <c r="E77" s="94">
        <v>9.26</v>
      </c>
      <c r="F77" s="88">
        <f t="shared" si="7"/>
        <v>15668</v>
      </c>
      <c r="G77" s="102"/>
      <c r="H77" s="94"/>
      <c r="I77" s="98"/>
    </row>
    <row r="78" spans="1:18" x14ac:dyDescent="0.2">
      <c r="A78" s="99" t="s">
        <v>277</v>
      </c>
      <c r="B78" s="111">
        <v>7064</v>
      </c>
      <c r="C78" s="94">
        <v>12.74</v>
      </c>
      <c r="D78" s="88">
        <f t="shared" si="6"/>
        <v>89995</v>
      </c>
      <c r="E78" s="94">
        <v>11.95</v>
      </c>
      <c r="F78" s="88">
        <f t="shared" si="7"/>
        <v>84415</v>
      </c>
      <c r="G78" s="102"/>
      <c r="H78" s="94"/>
      <c r="I78" s="98"/>
    </row>
    <row r="79" spans="1:18" x14ac:dyDescent="0.2">
      <c r="A79" s="99"/>
      <c r="B79" s="111"/>
      <c r="C79" s="94"/>
      <c r="D79" s="88"/>
      <c r="E79" s="94"/>
      <c r="F79" s="102"/>
      <c r="G79" s="102"/>
    </row>
    <row r="80" spans="1:18" x14ac:dyDescent="0.2">
      <c r="A80" s="99" t="s">
        <v>457</v>
      </c>
      <c r="B80" s="111">
        <v>840</v>
      </c>
      <c r="C80" s="94">
        <v>2.23</v>
      </c>
      <c r="D80" s="88">
        <f t="shared" ref="D80:D86" si="8">IF(C80="n/a",0,ROUND(B80*C80,0))</f>
        <v>1873</v>
      </c>
      <c r="E80" s="94">
        <v>2.09</v>
      </c>
      <c r="F80" s="88">
        <f t="shared" ref="F80:F86" si="9">ROUND(E80*$B80,0)</f>
        <v>1756</v>
      </c>
      <c r="G80" s="102"/>
      <c r="H80" s="94"/>
      <c r="I80" s="98"/>
    </row>
    <row r="81" spans="1:18" x14ac:dyDescent="0.2">
      <c r="A81" s="99" t="s">
        <v>458</v>
      </c>
      <c r="B81" s="111">
        <v>52</v>
      </c>
      <c r="C81" s="94">
        <v>3.19</v>
      </c>
      <c r="D81" s="88">
        <f t="shared" si="8"/>
        <v>166</v>
      </c>
      <c r="E81" s="94">
        <v>2.99</v>
      </c>
      <c r="F81" s="88">
        <f t="shared" si="9"/>
        <v>155</v>
      </c>
      <c r="G81" s="102"/>
      <c r="H81" s="94"/>
      <c r="I81" s="98"/>
    </row>
    <row r="82" spans="1:18" x14ac:dyDescent="0.2">
      <c r="A82" s="99" t="s">
        <v>459</v>
      </c>
      <c r="B82" s="111">
        <v>2416</v>
      </c>
      <c r="C82" s="94">
        <v>4.78</v>
      </c>
      <c r="D82" s="88">
        <f t="shared" si="8"/>
        <v>11548</v>
      </c>
      <c r="E82" s="94">
        <v>4.4800000000000004</v>
      </c>
      <c r="F82" s="88">
        <f t="shared" si="9"/>
        <v>10824</v>
      </c>
      <c r="G82" s="102"/>
      <c r="H82" s="94"/>
      <c r="I82" s="98"/>
    </row>
    <row r="83" spans="1:18" x14ac:dyDescent="0.2">
      <c r="A83" s="97" t="s">
        <v>460</v>
      </c>
      <c r="B83" s="111">
        <v>2543</v>
      </c>
      <c r="C83" s="94">
        <v>5.57</v>
      </c>
      <c r="D83" s="88">
        <f t="shared" si="8"/>
        <v>14165</v>
      </c>
      <c r="E83" s="94">
        <v>5.23</v>
      </c>
      <c r="F83" s="88">
        <f t="shared" si="9"/>
        <v>13300</v>
      </c>
      <c r="G83" s="102"/>
      <c r="H83" s="94"/>
      <c r="I83" s="98"/>
    </row>
    <row r="84" spans="1:18" x14ac:dyDescent="0.2">
      <c r="A84" s="99" t="s">
        <v>461</v>
      </c>
      <c r="B84" s="111">
        <v>432</v>
      </c>
      <c r="C84" s="94">
        <v>7.96</v>
      </c>
      <c r="D84" s="88">
        <f t="shared" si="8"/>
        <v>3439</v>
      </c>
      <c r="E84" s="94">
        <v>7.47</v>
      </c>
      <c r="F84" s="88">
        <f t="shared" si="9"/>
        <v>3227</v>
      </c>
      <c r="G84" s="102"/>
      <c r="H84" s="94"/>
      <c r="I84" s="98"/>
    </row>
    <row r="85" spans="1:18" x14ac:dyDescent="0.2">
      <c r="A85" s="99" t="s">
        <v>462</v>
      </c>
      <c r="B85" s="111">
        <v>684</v>
      </c>
      <c r="C85" s="94">
        <v>12.74</v>
      </c>
      <c r="D85" s="88">
        <f t="shared" si="8"/>
        <v>8714</v>
      </c>
      <c r="E85" s="94">
        <v>11.95</v>
      </c>
      <c r="F85" s="88">
        <f t="shared" si="9"/>
        <v>8174</v>
      </c>
      <c r="G85" s="102"/>
      <c r="H85" s="94"/>
      <c r="I85" s="98"/>
    </row>
    <row r="86" spans="1:18" x14ac:dyDescent="0.2">
      <c r="A86" s="97" t="s">
        <v>463</v>
      </c>
      <c r="B86" s="111">
        <v>216</v>
      </c>
      <c r="C86" s="94">
        <v>31.85</v>
      </c>
      <c r="D86" s="88">
        <f t="shared" si="8"/>
        <v>6880</v>
      </c>
      <c r="E86" s="94">
        <v>29.869999999999997</v>
      </c>
      <c r="F86" s="88">
        <f t="shared" si="9"/>
        <v>6452</v>
      </c>
      <c r="G86" s="102"/>
      <c r="H86" s="94"/>
      <c r="I86" s="98"/>
    </row>
    <row r="87" spans="1:18" x14ac:dyDescent="0.2">
      <c r="A87" s="96"/>
      <c r="B87" s="109"/>
      <c r="C87" s="94"/>
      <c r="D87" s="115"/>
      <c r="E87" s="94"/>
      <c r="F87" s="115"/>
      <c r="G87" s="102"/>
    </row>
    <row r="88" spans="1:18" x14ac:dyDescent="0.2">
      <c r="A88" s="114" t="s">
        <v>266</v>
      </c>
      <c r="B88" s="176">
        <v>0</v>
      </c>
      <c r="C88" s="177">
        <v>1.4200000000000001E-2</v>
      </c>
      <c r="D88" s="88">
        <f>IF(C88="n/a",0,ROUND(B88*C88,0))</f>
        <v>0</v>
      </c>
      <c r="E88" s="177">
        <v>1.304E-2</v>
      </c>
      <c r="F88" s="88">
        <f>ROUND(E88*$B88,0)</f>
        <v>0</v>
      </c>
      <c r="G88" s="88"/>
      <c r="H88" s="94"/>
      <c r="I88" s="98"/>
    </row>
    <row r="89" spans="1:18" x14ac:dyDescent="0.2">
      <c r="A89" s="114" t="s">
        <v>267</v>
      </c>
      <c r="B89" s="111">
        <v>612824431</v>
      </c>
      <c r="C89" s="177">
        <v>1.3600000000000001E-3</v>
      </c>
      <c r="D89" s="88">
        <f>IF(C89="n/a",0,ROUND(B89*C89,0))</f>
        <v>833441</v>
      </c>
      <c r="E89" s="177">
        <v>1.42E-3</v>
      </c>
      <c r="F89" s="88">
        <f>ROUND(E89*$B89,0)</f>
        <v>870211</v>
      </c>
      <c r="G89" s="88"/>
      <c r="H89" s="94"/>
      <c r="I89" s="98"/>
    </row>
    <row r="90" spans="1:18" x14ac:dyDescent="0.2">
      <c r="A90" s="92"/>
      <c r="B90" s="113"/>
      <c r="D90" s="88"/>
      <c r="F90" s="88"/>
      <c r="G90" s="88"/>
    </row>
    <row r="91" spans="1:18" x14ac:dyDescent="0.2">
      <c r="A91" s="96" t="s">
        <v>253</v>
      </c>
      <c r="B91" s="111">
        <f>SUM(B71:B86)</f>
        <v>221035</v>
      </c>
      <c r="C91" s="94"/>
      <c r="D91" s="106">
        <f>SUM(D71:D89)</f>
        <v>1835031</v>
      </c>
      <c r="E91" s="94"/>
      <c r="F91" s="106">
        <f>SUM(F71:F89)</f>
        <v>1809360</v>
      </c>
      <c r="G91" s="102"/>
    </row>
    <row r="92" spans="1:18" x14ac:dyDescent="0.2">
      <c r="A92" s="92"/>
      <c r="B92" s="91"/>
      <c r="D92" s="88"/>
      <c r="F92" s="88"/>
      <c r="G92" s="88"/>
      <c r="I92" s="98"/>
    </row>
    <row r="93" spans="1:18" x14ac:dyDescent="0.2">
      <c r="A93" s="90" t="s">
        <v>254</v>
      </c>
      <c r="B93" s="111">
        <v>12614287</v>
      </c>
      <c r="D93" s="88"/>
      <c r="F93" s="88"/>
      <c r="G93" s="82"/>
    </row>
    <row r="94" spans="1:18" x14ac:dyDescent="0.2">
      <c r="A94" s="90" t="s">
        <v>255</v>
      </c>
      <c r="B94" s="111">
        <v>1642</v>
      </c>
      <c r="C94" s="89">
        <f>ROUND(D94/B94,6)</f>
        <v>0.25456800000000002</v>
      </c>
      <c r="D94" s="88">
        <f>$N$13</f>
        <v>418</v>
      </c>
      <c r="E94" s="89">
        <f>ROUND(F94/B94,6)</f>
        <v>0.25335000000000002</v>
      </c>
      <c r="F94" s="88">
        <f>ROUND(+D94*(1+H94),0)</f>
        <v>416</v>
      </c>
      <c r="G94" s="87"/>
      <c r="H94" s="86">
        <f>+$H$44</f>
        <v>-5.889626608585493E-3</v>
      </c>
      <c r="I94" s="256"/>
      <c r="J94" s="256"/>
      <c r="K94" s="85"/>
      <c r="L94" s="85"/>
      <c r="M94" s="85"/>
      <c r="N94" s="85"/>
      <c r="O94" s="85"/>
      <c r="P94" s="85"/>
      <c r="Q94" s="85"/>
      <c r="R94" s="85"/>
    </row>
    <row r="95" spans="1:18" ht="12" thickBot="1" x14ac:dyDescent="0.25">
      <c r="A95" s="84" t="s">
        <v>19</v>
      </c>
      <c r="B95" s="110">
        <f>SUM(B93:B94)</f>
        <v>12615929</v>
      </c>
      <c r="C95" s="82"/>
      <c r="D95" s="81">
        <f>SUM(D91:D94)</f>
        <v>1835449</v>
      </c>
      <c r="E95" s="82"/>
      <c r="F95" s="81">
        <f>SUM(F91:F94)</f>
        <v>1809776</v>
      </c>
      <c r="H95" s="256" t="s">
        <v>256</v>
      </c>
      <c r="I95" s="256"/>
    </row>
    <row r="96" spans="1:18" ht="12" thickTop="1" x14ac:dyDescent="0.2">
      <c r="A96" s="102"/>
      <c r="B96" s="102"/>
      <c r="C96" s="103"/>
      <c r="D96" s="102"/>
      <c r="E96" s="103"/>
      <c r="F96" s="88"/>
      <c r="G96" s="88"/>
    </row>
    <row r="97" spans="1:10" x14ac:dyDescent="0.2">
      <c r="A97" s="259" t="s">
        <v>278</v>
      </c>
      <c r="B97" s="259"/>
      <c r="C97" s="259"/>
      <c r="D97" s="259"/>
      <c r="E97" s="259"/>
      <c r="F97" s="259"/>
      <c r="G97" s="102"/>
    </row>
    <row r="98" spans="1:10" x14ac:dyDescent="0.2">
      <c r="A98" s="92" t="s">
        <v>279</v>
      </c>
      <c r="B98" s="102"/>
      <c r="C98" s="102"/>
      <c r="D98" s="102"/>
      <c r="E98" s="102"/>
      <c r="F98" s="102"/>
      <c r="G98" s="102"/>
    </row>
    <row r="99" spans="1:10" x14ac:dyDescent="0.2">
      <c r="A99" s="99" t="s">
        <v>280</v>
      </c>
      <c r="B99" s="91">
        <v>0</v>
      </c>
      <c r="C99" s="94">
        <v>12.97</v>
      </c>
      <c r="D99" s="88">
        <f t="shared" ref="D99:D107" si="10">IF(C99="n/a",0,ROUND(B99*C99,0))</f>
        <v>0</v>
      </c>
      <c r="E99" s="94">
        <v>12.51</v>
      </c>
      <c r="F99" s="88">
        <f t="shared" ref="F99:F107" si="11">ROUND(E99*$B99,0)</f>
        <v>0</v>
      </c>
      <c r="G99" s="102"/>
      <c r="J99" s="98"/>
    </row>
    <row r="100" spans="1:10" x14ac:dyDescent="0.2">
      <c r="A100" s="99" t="s">
        <v>281</v>
      </c>
      <c r="B100" s="91">
        <v>46032</v>
      </c>
      <c r="C100" s="94">
        <v>13.61</v>
      </c>
      <c r="D100" s="88">
        <f t="shared" si="10"/>
        <v>626496</v>
      </c>
      <c r="E100" s="94">
        <v>13.73</v>
      </c>
      <c r="F100" s="88">
        <f t="shared" si="11"/>
        <v>632019</v>
      </c>
      <c r="G100" s="102"/>
      <c r="J100" s="98"/>
    </row>
    <row r="101" spans="1:10" x14ac:dyDescent="0.2">
      <c r="A101" s="99" t="s">
        <v>282</v>
      </c>
      <c r="B101" s="91">
        <v>340948</v>
      </c>
      <c r="C101" s="94">
        <v>14.01</v>
      </c>
      <c r="D101" s="88">
        <f t="shared" si="10"/>
        <v>4776681</v>
      </c>
      <c r="E101" s="94">
        <v>14.089999999999998</v>
      </c>
      <c r="F101" s="88">
        <f t="shared" si="11"/>
        <v>4803957</v>
      </c>
      <c r="G101" s="102"/>
      <c r="J101" s="98"/>
    </row>
    <row r="102" spans="1:10" x14ac:dyDescent="0.2">
      <c r="A102" s="99" t="s">
        <v>283</v>
      </c>
      <c r="B102" s="91">
        <v>41816</v>
      </c>
      <c r="C102" s="94">
        <v>15.62</v>
      </c>
      <c r="D102" s="88">
        <f t="shared" si="10"/>
        <v>653166</v>
      </c>
      <c r="E102" s="94">
        <v>15.590000000000002</v>
      </c>
      <c r="F102" s="88">
        <f t="shared" si="11"/>
        <v>651911</v>
      </c>
      <c r="G102" s="102"/>
      <c r="J102" s="98"/>
    </row>
    <row r="103" spans="1:10" x14ac:dyDescent="0.2">
      <c r="A103" s="99" t="s">
        <v>284</v>
      </c>
      <c r="B103" s="91">
        <v>52890</v>
      </c>
      <c r="C103" s="94">
        <v>17.73</v>
      </c>
      <c r="D103" s="88">
        <f t="shared" si="10"/>
        <v>937740</v>
      </c>
      <c r="E103" s="94">
        <v>17.600000000000001</v>
      </c>
      <c r="F103" s="88">
        <f t="shared" si="11"/>
        <v>930864</v>
      </c>
      <c r="G103" s="102"/>
      <c r="J103" s="98"/>
    </row>
    <row r="104" spans="1:10" x14ac:dyDescent="0.2">
      <c r="A104" s="99" t="s">
        <v>285</v>
      </c>
      <c r="B104" s="91">
        <v>19383</v>
      </c>
      <c r="C104" s="94">
        <v>19.489999999999998</v>
      </c>
      <c r="D104" s="88">
        <f t="shared" si="10"/>
        <v>377775</v>
      </c>
      <c r="E104" s="94">
        <v>19.259999999999998</v>
      </c>
      <c r="F104" s="88">
        <f t="shared" si="11"/>
        <v>373317</v>
      </c>
      <c r="G104" s="102"/>
      <c r="J104" s="98"/>
    </row>
    <row r="105" spans="1:10" x14ac:dyDescent="0.2">
      <c r="A105" s="99" t="s">
        <v>286</v>
      </c>
      <c r="B105" s="91">
        <v>181</v>
      </c>
      <c r="C105" s="94">
        <v>21.8</v>
      </c>
      <c r="D105" s="88">
        <f t="shared" si="10"/>
        <v>3946</v>
      </c>
      <c r="E105" s="94">
        <v>21.43</v>
      </c>
      <c r="F105" s="88">
        <f t="shared" si="11"/>
        <v>3879</v>
      </c>
      <c r="G105" s="102"/>
      <c r="J105" s="98"/>
    </row>
    <row r="106" spans="1:10" x14ac:dyDescent="0.2">
      <c r="A106" s="99" t="s">
        <v>287</v>
      </c>
      <c r="B106" s="91">
        <v>10607</v>
      </c>
      <c r="C106" s="94">
        <v>25.4</v>
      </c>
      <c r="D106" s="88">
        <f t="shared" si="10"/>
        <v>269418</v>
      </c>
      <c r="E106" s="94">
        <v>24.84</v>
      </c>
      <c r="F106" s="88">
        <f t="shared" si="11"/>
        <v>263478</v>
      </c>
      <c r="G106" s="102"/>
      <c r="J106" s="98"/>
    </row>
    <row r="107" spans="1:10" x14ac:dyDescent="0.2">
      <c r="A107" s="99" t="s">
        <v>288</v>
      </c>
      <c r="B107" s="91">
        <v>0</v>
      </c>
      <c r="C107" s="94">
        <v>46.5</v>
      </c>
      <c r="D107" s="88">
        <f t="shared" si="10"/>
        <v>0</v>
      </c>
      <c r="E107" s="94">
        <v>45.3</v>
      </c>
      <c r="F107" s="88">
        <f t="shared" si="11"/>
        <v>0</v>
      </c>
      <c r="G107" s="102"/>
    </row>
    <row r="108" spans="1:10" x14ac:dyDescent="0.2">
      <c r="A108" s="99"/>
      <c r="B108" s="111"/>
      <c r="C108" s="94"/>
      <c r="D108" s="102"/>
      <c r="E108" s="94"/>
      <c r="F108" s="102"/>
      <c r="G108" s="102"/>
    </row>
    <row r="109" spans="1:10" x14ac:dyDescent="0.2">
      <c r="A109" s="99" t="s">
        <v>464</v>
      </c>
      <c r="B109" s="91">
        <v>0</v>
      </c>
      <c r="C109" s="94">
        <v>14.1</v>
      </c>
      <c r="D109" s="88">
        <f>IF(C109="n/a",0,ROUND(B109*C109,0))</f>
        <v>0</v>
      </c>
      <c r="E109" s="94">
        <v>14.98</v>
      </c>
      <c r="F109" s="88">
        <f>ROUND(E109*$B109,0)</f>
        <v>0</v>
      </c>
      <c r="G109" s="102"/>
    </row>
    <row r="110" spans="1:10" x14ac:dyDescent="0.2">
      <c r="A110" s="99" t="s">
        <v>465</v>
      </c>
      <c r="B110" s="91">
        <v>0</v>
      </c>
      <c r="C110" s="94">
        <v>15.2</v>
      </c>
      <c r="D110" s="88">
        <f>IF(C110="n/a",0,ROUND(B110*C110,0))</f>
        <v>0</v>
      </c>
      <c r="E110" s="94">
        <v>16.02</v>
      </c>
      <c r="F110" s="88">
        <f>ROUND(E110*$B110,0)</f>
        <v>0</v>
      </c>
      <c r="G110" s="102"/>
    </row>
    <row r="111" spans="1:10" x14ac:dyDescent="0.2">
      <c r="A111" s="99" t="s">
        <v>466</v>
      </c>
      <c r="B111" s="91">
        <v>0</v>
      </c>
      <c r="C111" s="94">
        <v>17.04</v>
      </c>
      <c r="D111" s="88">
        <f>IF(C111="n/a",0,ROUND(B111*C111,0))</f>
        <v>0</v>
      </c>
      <c r="E111" s="94">
        <v>17.75</v>
      </c>
      <c r="F111" s="88">
        <f>ROUND(E111*$B111,0)</f>
        <v>0</v>
      </c>
      <c r="G111" s="102"/>
    </row>
    <row r="112" spans="1:10" x14ac:dyDescent="0.2">
      <c r="A112" s="99" t="s">
        <v>467</v>
      </c>
      <c r="B112" s="91">
        <v>0</v>
      </c>
      <c r="C112" s="94">
        <v>21.03</v>
      </c>
      <c r="D112" s="88">
        <f>IF(C112="n/a",0,ROUND(B112*C112,0))</f>
        <v>0</v>
      </c>
      <c r="E112" s="94">
        <v>21.5</v>
      </c>
      <c r="F112" s="88">
        <f>ROUND(E112*$B112,0)</f>
        <v>0</v>
      </c>
      <c r="G112" s="102"/>
    </row>
    <row r="113" spans="1:10" x14ac:dyDescent="0.2">
      <c r="A113" s="99" t="s">
        <v>468</v>
      </c>
      <c r="B113" s="91">
        <v>0</v>
      </c>
      <c r="C113" s="94">
        <v>25.85</v>
      </c>
      <c r="D113" s="88">
        <f>IF(C113="n/a",0,ROUND(B113*C113,0))</f>
        <v>0</v>
      </c>
      <c r="E113" s="94">
        <v>26.02</v>
      </c>
      <c r="F113" s="88">
        <f>ROUND(E113*$B113,0)</f>
        <v>0</v>
      </c>
      <c r="G113" s="102"/>
    </row>
    <row r="114" spans="1:10" x14ac:dyDescent="0.2">
      <c r="A114" s="99"/>
      <c r="B114" s="111"/>
      <c r="C114" s="94"/>
      <c r="D114" s="102"/>
      <c r="E114" s="94"/>
      <c r="F114" s="102"/>
      <c r="G114" s="102"/>
    </row>
    <row r="115" spans="1:10" x14ac:dyDescent="0.2">
      <c r="A115" s="100" t="s">
        <v>410</v>
      </c>
      <c r="B115" s="91">
        <v>0</v>
      </c>
      <c r="C115" s="94">
        <v>10.95</v>
      </c>
      <c r="D115" s="88">
        <f t="shared" ref="D115:D124" si="12">IF(C115="n/a",0,ROUND(B115*C115,0))</f>
        <v>0</v>
      </c>
      <c r="E115" s="94">
        <v>9.9</v>
      </c>
      <c r="F115" s="88">
        <f t="shared" ref="F115:F124" si="13">ROUND(E115*$B115,0)</f>
        <v>0</v>
      </c>
      <c r="G115" s="102"/>
    </row>
    <row r="116" spans="1:10" x14ac:dyDescent="0.2">
      <c r="A116" s="100" t="s">
        <v>411</v>
      </c>
      <c r="B116" s="91">
        <v>262761</v>
      </c>
      <c r="C116" s="94">
        <v>10.95</v>
      </c>
      <c r="D116" s="88">
        <f t="shared" si="12"/>
        <v>2877233</v>
      </c>
      <c r="E116" s="94">
        <v>10.75</v>
      </c>
      <c r="F116" s="88">
        <f t="shared" si="13"/>
        <v>2824681</v>
      </c>
      <c r="G116" s="102"/>
      <c r="H116" s="98"/>
    </row>
    <row r="117" spans="1:10" x14ac:dyDescent="0.2">
      <c r="A117" s="100" t="s">
        <v>258</v>
      </c>
      <c r="B117" s="91">
        <v>5160</v>
      </c>
      <c r="C117" s="94">
        <v>11.92</v>
      </c>
      <c r="D117" s="88">
        <f t="shared" si="12"/>
        <v>61507</v>
      </c>
      <c r="E117" s="94">
        <v>11.44</v>
      </c>
      <c r="F117" s="88">
        <f t="shared" si="13"/>
        <v>59030</v>
      </c>
      <c r="G117" s="102"/>
    </row>
    <row r="118" spans="1:10" x14ac:dyDescent="0.2">
      <c r="A118" s="100" t="s">
        <v>259</v>
      </c>
      <c r="B118" s="91">
        <v>29738</v>
      </c>
      <c r="C118" s="94">
        <v>13.4</v>
      </c>
      <c r="D118" s="88">
        <f t="shared" si="12"/>
        <v>398489</v>
      </c>
      <c r="E118" s="94">
        <v>12.94</v>
      </c>
      <c r="F118" s="88">
        <f t="shared" si="13"/>
        <v>384810</v>
      </c>
      <c r="G118" s="102"/>
      <c r="J118" s="98"/>
    </row>
    <row r="119" spans="1:10" x14ac:dyDescent="0.2">
      <c r="A119" s="100" t="s">
        <v>260</v>
      </c>
      <c r="B119" s="91">
        <v>22000</v>
      </c>
      <c r="C119" s="94">
        <v>13.82</v>
      </c>
      <c r="D119" s="88">
        <f t="shared" si="12"/>
        <v>304040</v>
      </c>
      <c r="E119" s="94">
        <v>14.14</v>
      </c>
      <c r="F119" s="88">
        <f t="shared" si="13"/>
        <v>311080</v>
      </c>
      <c r="G119" s="102"/>
      <c r="J119" s="98"/>
    </row>
    <row r="120" spans="1:10" x14ac:dyDescent="0.2">
      <c r="A120" s="100" t="s">
        <v>261</v>
      </c>
      <c r="B120" s="91">
        <v>1263</v>
      </c>
      <c r="C120" s="94">
        <v>15.48</v>
      </c>
      <c r="D120" s="88">
        <f t="shared" si="12"/>
        <v>19551</v>
      </c>
      <c r="E120" s="94">
        <v>14.719999999999999</v>
      </c>
      <c r="F120" s="88">
        <f t="shared" si="13"/>
        <v>18591</v>
      </c>
      <c r="G120" s="102"/>
      <c r="J120" s="98"/>
    </row>
    <row r="121" spans="1:10" x14ac:dyDescent="0.2">
      <c r="A121" s="100" t="s">
        <v>262</v>
      </c>
      <c r="B121" s="91">
        <v>5123</v>
      </c>
      <c r="C121" s="94">
        <v>16.27</v>
      </c>
      <c r="D121" s="88">
        <f t="shared" si="12"/>
        <v>83351</v>
      </c>
      <c r="E121" s="94">
        <v>15.620000000000001</v>
      </c>
      <c r="F121" s="88">
        <f t="shared" si="13"/>
        <v>80021</v>
      </c>
      <c r="G121" s="102"/>
      <c r="J121" s="98"/>
    </row>
    <row r="122" spans="1:10" x14ac:dyDescent="0.2">
      <c r="A122" s="100" t="s">
        <v>263</v>
      </c>
      <c r="B122" s="91">
        <v>426</v>
      </c>
      <c r="C122" s="94">
        <v>17.78</v>
      </c>
      <c r="D122" s="88">
        <f t="shared" si="12"/>
        <v>7574</v>
      </c>
      <c r="E122" s="94">
        <v>16.57</v>
      </c>
      <c r="F122" s="88">
        <f t="shared" si="13"/>
        <v>7059</v>
      </c>
      <c r="G122" s="102"/>
      <c r="H122" s="98"/>
      <c r="J122" s="98"/>
    </row>
    <row r="123" spans="1:10" x14ac:dyDescent="0.2">
      <c r="A123" s="100" t="s">
        <v>264</v>
      </c>
      <c r="B123" s="91">
        <v>285</v>
      </c>
      <c r="C123" s="94">
        <v>19.47</v>
      </c>
      <c r="D123" s="88">
        <f t="shared" si="12"/>
        <v>5549</v>
      </c>
      <c r="E123" s="94">
        <v>17.46</v>
      </c>
      <c r="F123" s="88">
        <f t="shared" si="13"/>
        <v>4976</v>
      </c>
      <c r="G123" s="102"/>
      <c r="H123" s="98"/>
      <c r="J123" s="98"/>
    </row>
    <row r="124" spans="1:10" x14ac:dyDescent="0.2">
      <c r="A124" s="100" t="s">
        <v>265</v>
      </c>
      <c r="B124" s="91">
        <v>1881</v>
      </c>
      <c r="C124" s="94">
        <v>20.43</v>
      </c>
      <c r="D124" s="88">
        <f t="shared" si="12"/>
        <v>38429</v>
      </c>
      <c r="E124" s="94">
        <v>18.350000000000001</v>
      </c>
      <c r="F124" s="88">
        <f t="shared" si="13"/>
        <v>34516</v>
      </c>
      <c r="G124" s="102"/>
      <c r="J124" s="98"/>
    </row>
    <row r="125" spans="1:10" x14ac:dyDescent="0.2">
      <c r="A125" s="99"/>
      <c r="B125" s="111"/>
      <c r="C125" s="94"/>
      <c r="D125" s="102"/>
      <c r="E125" s="94"/>
      <c r="F125" s="102"/>
      <c r="G125" s="102"/>
      <c r="J125" s="98"/>
    </row>
    <row r="126" spans="1:10" x14ac:dyDescent="0.2">
      <c r="A126" s="99" t="s">
        <v>289</v>
      </c>
      <c r="B126" s="91">
        <v>0</v>
      </c>
      <c r="C126" s="94">
        <v>3.22</v>
      </c>
      <c r="D126" s="88">
        <f t="shared" ref="D126:D134" si="14">IF(C126="n/a",0,ROUND(B126*C126,0))</f>
        <v>0</v>
      </c>
      <c r="E126" s="94">
        <v>3.8099999999999996</v>
      </c>
      <c r="F126" s="88">
        <f t="shared" ref="F126:F134" si="15">ROUND(E126*$B126,0)</f>
        <v>0</v>
      </c>
      <c r="G126" s="102"/>
      <c r="J126" s="98"/>
    </row>
    <row r="127" spans="1:10" x14ac:dyDescent="0.2">
      <c r="A127" s="99" t="s">
        <v>290</v>
      </c>
      <c r="B127" s="91">
        <v>624</v>
      </c>
      <c r="C127" s="94">
        <v>3.86</v>
      </c>
      <c r="D127" s="88">
        <f t="shared" si="14"/>
        <v>2409</v>
      </c>
      <c r="E127" s="94">
        <v>4.4000000000000004</v>
      </c>
      <c r="F127" s="88">
        <f t="shared" si="15"/>
        <v>2746</v>
      </c>
      <c r="G127" s="102"/>
      <c r="J127" s="98"/>
    </row>
    <row r="128" spans="1:10" x14ac:dyDescent="0.2">
      <c r="A128" s="99" t="s">
        <v>291</v>
      </c>
      <c r="B128" s="91">
        <v>2445</v>
      </c>
      <c r="C128" s="94">
        <v>4.82</v>
      </c>
      <c r="D128" s="88">
        <f t="shared" si="14"/>
        <v>11785</v>
      </c>
      <c r="E128" s="94">
        <v>5.3000000000000007</v>
      </c>
      <c r="F128" s="88">
        <f t="shared" si="15"/>
        <v>12959</v>
      </c>
      <c r="G128" s="102"/>
      <c r="J128" s="98"/>
    </row>
    <row r="129" spans="1:10" x14ac:dyDescent="0.2">
      <c r="A129" s="99" t="s">
        <v>292</v>
      </c>
      <c r="B129" s="91">
        <v>1146</v>
      </c>
      <c r="C129" s="94">
        <v>6.41</v>
      </c>
      <c r="D129" s="88">
        <f t="shared" si="14"/>
        <v>7346</v>
      </c>
      <c r="E129" s="94">
        <v>6.79</v>
      </c>
      <c r="F129" s="88">
        <f t="shared" si="15"/>
        <v>7781</v>
      </c>
      <c r="G129" s="102"/>
      <c r="J129" s="98"/>
    </row>
    <row r="130" spans="1:10" x14ac:dyDescent="0.2">
      <c r="A130" s="99" t="s">
        <v>293</v>
      </c>
      <c r="B130" s="91">
        <v>4468</v>
      </c>
      <c r="C130" s="94">
        <v>8</v>
      </c>
      <c r="D130" s="88">
        <f t="shared" si="14"/>
        <v>35744</v>
      </c>
      <c r="E130" s="94">
        <v>8.2899999999999991</v>
      </c>
      <c r="F130" s="88">
        <f t="shared" si="15"/>
        <v>37040</v>
      </c>
      <c r="G130" s="102"/>
      <c r="J130" s="98"/>
    </row>
    <row r="131" spans="1:10" x14ac:dyDescent="0.2">
      <c r="A131" s="99" t="s">
        <v>294</v>
      </c>
      <c r="B131" s="91">
        <v>2948</v>
      </c>
      <c r="C131" s="94">
        <v>9.59</v>
      </c>
      <c r="D131" s="88">
        <f t="shared" si="14"/>
        <v>28271</v>
      </c>
      <c r="E131" s="94">
        <v>9.7799999999999994</v>
      </c>
      <c r="F131" s="88">
        <f t="shared" si="15"/>
        <v>28831</v>
      </c>
      <c r="G131" s="102"/>
      <c r="J131" s="98"/>
    </row>
    <row r="132" spans="1:10" x14ac:dyDescent="0.2">
      <c r="A132" s="99" t="s">
        <v>295</v>
      </c>
      <c r="B132" s="91">
        <v>81</v>
      </c>
      <c r="C132" s="94">
        <v>11.51</v>
      </c>
      <c r="D132" s="88">
        <f t="shared" si="14"/>
        <v>932</v>
      </c>
      <c r="E132" s="94">
        <v>11.57</v>
      </c>
      <c r="F132" s="88">
        <f t="shared" si="15"/>
        <v>937</v>
      </c>
      <c r="G132" s="102"/>
      <c r="J132" s="98"/>
    </row>
    <row r="133" spans="1:10" x14ac:dyDescent="0.2">
      <c r="A133" s="99" t="s">
        <v>296</v>
      </c>
      <c r="B133" s="91">
        <v>4775</v>
      </c>
      <c r="C133" s="94">
        <v>14.37</v>
      </c>
      <c r="D133" s="88">
        <f t="shared" si="14"/>
        <v>68617</v>
      </c>
      <c r="E133" s="94">
        <v>14.26</v>
      </c>
      <c r="F133" s="88">
        <f t="shared" si="15"/>
        <v>68092</v>
      </c>
      <c r="G133" s="102"/>
      <c r="J133" s="98"/>
    </row>
    <row r="134" spans="1:10" x14ac:dyDescent="0.2">
      <c r="A134" s="99" t="s">
        <v>297</v>
      </c>
      <c r="B134" s="91">
        <v>0</v>
      </c>
      <c r="C134" s="94">
        <v>33.479999999999997</v>
      </c>
      <c r="D134" s="88">
        <f t="shared" si="14"/>
        <v>0</v>
      </c>
      <c r="E134" s="94">
        <v>32.18</v>
      </c>
      <c r="F134" s="88">
        <f t="shared" si="15"/>
        <v>0</v>
      </c>
      <c r="G134" s="102"/>
      <c r="J134" s="98"/>
    </row>
    <row r="135" spans="1:10" x14ac:dyDescent="0.2">
      <c r="A135" s="99"/>
      <c r="B135" s="111"/>
      <c r="C135" s="94"/>
      <c r="D135" s="102"/>
      <c r="E135" s="94"/>
      <c r="F135" s="102"/>
      <c r="G135" s="102"/>
      <c r="J135" s="98"/>
    </row>
    <row r="136" spans="1:10" x14ac:dyDescent="0.2">
      <c r="A136" s="99" t="s">
        <v>469</v>
      </c>
      <c r="B136" s="91">
        <v>0</v>
      </c>
      <c r="C136" s="94">
        <v>5.49</v>
      </c>
      <c r="D136" s="88">
        <f t="shared" ref="D136:D141" si="16">IF(C136="n/a",0,ROUND(B136*C136,0))</f>
        <v>0</v>
      </c>
      <c r="E136" s="94">
        <v>6.72</v>
      </c>
      <c r="F136" s="88">
        <f t="shared" ref="F136:F141" si="17">ROUND(E136*$B136,0)</f>
        <v>0</v>
      </c>
      <c r="G136" s="102"/>
      <c r="J136" s="98"/>
    </row>
    <row r="137" spans="1:10" x14ac:dyDescent="0.2">
      <c r="A137" s="99" t="s">
        <v>470</v>
      </c>
      <c r="B137" s="91">
        <v>0</v>
      </c>
      <c r="C137" s="94">
        <v>6.45</v>
      </c>
      <c r="D137" s="88">
        <f t="shared" si="16"/>
        <v>0</v>
      </c>
      <c r="E137" s="94">
        <v>7.6199999999999992</v>
      </c>
      <c r="F137" s="88">
        <f t="shared" si="17"/>
        <v>0</v>
      </c>
      <c r="G137" s="102"/>
      <c r="J137" s="98"/>
    </row>
    <row r="138" spans="1:10" x14ac:dyDescent="0.2">
      <c r="A138" s="99" t="s">
        <v>471</v>
      </c>
      <c r="B138" s="91">
        <v>0</v>
      </c>
      <c r="C138" s="94">
        <v>8.0399999999999991</v>
      </c>
      <c r="D138" s="88">
        <f t="shared" si="16"/>
        <v>0</v>
      </c>
      <c r="E138" s="94">
        <v>9.1100000000000012</v>
      </c>
      <c r="F138" s="88">
        <f t="shared" si="17"/>
        <v>0</v>
      </c>
      <c r="G138" s="102"/>
      <c r="J138" s="98"/>
    </row>
    <row r="139" spans="1:10" x14ac:dyDescent="0.2">
      <c r="A139" s="99" t="s">
        <v>472</v>
      </c>
      <c r="B139" s="91">
        <v>48</v>
      </c>
      <c r="C139" s="94">
        <v>8.84</v>
      </c>
      <c r="D139" s="88">
        <f t="shared" si="16"/>
        <v>424</v>
      </c>
      <c r="E139" s="94">
        <v>9.8600000000000012</v>
      </c>
      <c r="F139" s="88">
        <f t="shared" si="17"/>
        <v>473</v>
      </c>
      <c r="G139" s="102"/>
      <c r="J139" s="98"/>
    </row>
    <row r="140" spans="1:10" x14ac:dyDescent="0.2">
      <c r="A140" s="99" t="s">
        <v>473</v>
      </c>
      <c r="B140" s="91">
        <v>0</v>
      </c>
      <c r="C140" s="94">
        <v>11.23</v>
      </c>
      <c r="D140" s="88">
        <f t="shared" si="16"/>
        <v>0</v>
      </c>
      <c r="E140" s="94">
        <v>12.1</v>
      </c>
      <c r="F140" s="88">
        <f t="shared" si="17"/>
        <v>0</v>
      </c>
      <c r="G140" s="102"/>
      <c r="J140" s="98"/>
    </row>
    <row r="141" spans="1:10" x14ac:dyDescent="0.2">
      <c r="A141" s="99" t="s">
        <v>474</v>
      </c>
      <c r="B141" s="91">
        <v>0</v>
      </c>
      <c r="C141" s="94">
        <v>16</v>
      </c>
      <c r="D141" s="88">
        <f t="shared" si="16"/>
        <v>0</v>
      </c>
      <c r="E141" s="94">
        <v>16.579999999999998</v>
      </c>
      <c r="F141" s="88">
        <f t="shared" si="17"/>
        <v>0</v>
      </c>
      <c r="G141" s="102"/>
      <c r="J141" s="98"/>
    </row>
    <row r="142" spans="1:10" x14ac:dyDescent="0.2">
      <c r="A142" s="99"/>
      <c r="B142" s="111"/>
      <c r="C142" s="94"/>
      <c r="D142" s="102"/>
      <c r="E142" s="94"/>
      <c r="F142" s="102"/>
      <c r="G142" s="102"/>
      <c r="J142" s="98"/>
    </row>
    <row r="143" spans="1:10" x14ac:dyDescent="0.2">
      <c r="A143" s="100" t="s">
        <v>412</v>
      </c>
      <c r="B143" s="91">
        <v>0</v>
      </c>
      <c r="C143" s="94">
        <v>1.76</v>
      </c>
      <c r="D143" s="88">
        <f t="shared" ref="D143:D152" si="18">IF(C143="n/a",0,ROUND(B143*C143,0))</f>
        <v>0</v>
      </c>
      <c r="E143" s="94">
        <v>0.91000000000000014</v>
      </c>
      <c r="F143" s="88">
        <f t="shared" ref="F143:F152" si="19">ROUND(E143*$B143,0)</f>
        <v>0</v>
      </c>
      <c r="G143" s="102"/>
      <c r="J143" s="98"/>
    </row>
    <row r="144" spans="1:10" x14ac:dyDescent="0.2">
      <c r="A144" s="100" t="s">
        <v>413</v>
      </c>
      <c r="B144" s="91">
        <v>7875</v>
      </c>
      <c r="C144" s="94">
        <v>1.76</v>
      </c>
      <c r="D144" s="88">
        <f t="shared" si="18"/>
        <v>13860</v>
      </c>
      <c r="E144" s="94">
        <v>1.81</v>
      </c>
      <c r="F144" s="88">
        <f t="shared" si="19"/>
        <v>14254</v>
      </c>
      <c r="G144" s="102"/>
      <c r="J144" s="98"/>
    </row>
    <row r="145" spans="1:18" x14ac:dyDescent="0.2">
      <c r="A145" s="100" t="s">
        <v>298</v>
      </c>
      <c r="B145" s="91">
        <v>7608</v>
      </c>
      <c r="C145" s="94">
        <v>2.72</v>
      </c>
      <c r="D145" s="88">
        <f t="shared" si="18"/>
        <v>20694</v>
      </c>
      <c r="E145" s="94">
        <v>2.7</v>
      </c>
      <c r="F145" s="88">
        <f t="shared" si="19"/>
        <v>20542</v>
      </c>
      <c r="G145" s="102"/>
      <c r="J145" s="98"/>
    </row>
    <row r="146" spans="1:18" x14ac:dyDescent="0.2">
      <c r="A146" s="100" t="s">
        <v>299</v>
      </c>
      <c r="B146" s="91">
        <v>10423</v>
      </c>
      <c r="C146" s="94">
        <v>3.67</v>
      </c>
      <c r="D146" s="88">
        <f t="shared" si="18"/>
        <v>38252</v>
      </c>
      <c r="E146" s="94">
        <v>3.59</v>
      </c>
      <c r="F146" s="88">
        <f t="shared" si="19"/>
        <v>37419</v>
      </c>
      <c r="G146" s="102"/>
      <c r="J146" s="98"/>
    </row>
    <row r="147" spans="1:18" x14ac:dyDescent="0.2">
      <c r="A147" s="100" t="s">
        <v>300</v>
      </c>
      <c r="B147" s="91">
        <v>1210</v>
      </c>
      <c r="C147" s="94">
        <v>4.63</v>
      </c>
      <c r="D147" s="88">
        <f t="shared" si="18"/>
        <v>5602</v>
      </c>
      <c r="E147" s="94">
        <v>4.49</v>
      </c>
      <c r="F147" s="88">
        <f t="shared" si="19"/>
        <v>5433</v>
      </c>
      <c r="G147" s="102"/>
      <c r="J147" s="98"/>
    </row>
    <row r="148" spans="1:18" x14ac:dyDescent="0.2">
      <c r="A148" s="100" t="s">
        <v>301</v>
      </c>
      <c r="B148" s="91">
        <v>15954</v>
      </c>
      <c r="C148" s="94">
        <v>5.58</v>
      </c>
      <c r="D148" s="88">
        <f t="shared" si="18"/>
        <v>89023</v>
      </c>
      <c r="E148" s="94">
        <v>5.3900000000000006</v>
      </c>
      <c r="F148" s="88">
        <f t="shared" si="19"/>
        <v>85992</v>
      </c>
      <c r="G148" s="102"/>
      <c r="J148" s="98"/>
    </row>
    <row r="149" spans="1:18" x14ac:dyDescent="0.2">
      <c r="A149" s="100" t="s">
        <v>302</v>
      </c>
      <c r="B149" s="91">
        <v>1272</v>
      </c>
      <c r="C149" s="94">
        <v>6.54</v>
      </c>
      <c r="D149" s="88">
        <f t="shared" si="18"/>
        <v>8319</v>
      </c>
      <c r="E149" s="94">
        <v>6.2899999999999991</v>
      </c>
      <c r="F149" s="88">
        <f t="shared" si="19"/>
        <v>8001</v>
      </c>
      <c r="G149" s="102"/>
      <c r="J149" s="98"/>
    </row>
    <row r="150" spans="1:18" x14ac:dyDescent="0.2">
      <c r="A150" s="100" t="s">
        <v>303</v>
      </c>
      <c r="B150" s="91">
        <v>0</v>
      </c>
      <c r="C150" s="94">
        <v>7.49</v>
      </c>
      <c r="D150" s="88">
        <f t="shared" si="18"/>
        <v>0</v>
      </c>
      <c r="E150" s="94">
        <v>7.19</v>
      </c>
      <c r="F150" s="88">
        <f t="shared" si="19"/>
        <v>0</v>
      </c>
      <c r="G150" s="102"/>
      <c r="J150" s="98"/>
    </row>
    <row r="151" spans="1:18" x14ac:dyDescent="0.2">
      <c r="A151" s="100" t="s">
        <v>304</v>
      </c>
      <c r="B151" s="91">
        <v>24</v>
      </c>
      <c r="C151" s="94">
        <v>8.4499999999999993</v>
      </c>
      <c r="D151" s="88">
        <f t="shared" si="18"/>
        <v>203</v>
      </c>
      <c r="E151" s="94">
        <v>8.08</v>
      </c>
      <c r="F151" s="88">
        <f t="shared" si="19"/>
        <v>194</v>
      </c>
      <c r="G151" s="102"/>
      <c r="J151" s="98"/>
    </row>
    <row r="152" spans="1:18" x14ac:dyDescent="0.2">
      <c r="A152" s="100" t="s">
        <v>305</v>
      </c>
      <c r="B152" s="91">
        <v>0</v>
      </c>
      <c r="C152" s="94">
        <v>9.4</v>
      </c>
      <c r="D152" s="88">
        <f t="shared" si="18"/>
        <v>0</v>
      </c>
      <c r="E152" s="94">
        <v>8.9699999999999989</v>
      </c>
      <c r="F152" s="88">
        <f t="shared" si="19"/>
        <v>0</v>
      </c>
      <c r="G152" s="102"/>
      <c r="J152" s="98"/>
    </row>
    <row r="153" spans="1:18" x14ac:dyDescent="0.2">
      <c r="A153" s="96" t="s">
        <v>253</v>
      </c>
      <c r="B153" s="95">
        <f>SUM(B99:B152)</f>
        <v>901395</v>
      </c>
      <c r="C153" s="94"/>
      <c r="D153" s="93">
        <f>SUM(D99:D152)</f>
        <v>11772426</v>
      </c>
      <c r="E153" s="94"/>
      <c r="F153" s="93">
        <f>SUM(F99:F152)</f>
        <v>11714883</v>
      </c>
      <c r="G153" s="102"/>
    </row>
    <row r="154" spans="1:18" x14ac:dyDescent="0.2">
      <c r="A154" s="92"/>
      <c r="B154" s="91"/>
      <c r="D154" s="88"/>
      <c r="F154" s="88"/>
      <c r="G154" s="88"/>
      <c r="I154" s="98"/>
    </row>
    <row r="155" spans="1:18" x14ac:dyDescent="0.2">
      <c r="A155" s="90" t="s">
        <v>254</v>
      </c>
      <c r="B155" s="111">
        <v>36075891</v>
      </c>
      <c r="D155" s="88"/>
      <c r="F155" s="88"/>
      <c r="G155" s="82"/>
    </row>
    <row r="156" spans="1:18" x14ac:dyDescent="0.2">
      <c r="A156" s="90" t="s">
        <v>255</v>
      </c>
      <c r="B156" s="111">
        <v>676113</v>
      </c>
      <c r="C156" s="89">
        <f>ROUND(D156/B156,6)</f>
        <v>0.25444299999999997</v>
      </c>
      <c r="D156" s="88">
        <f>$N$14</f>
        <v>172032</v>
      </c>
      <c r="E156" s="89">
        <f>ROUND(F156/B156,6)</f>
        <v>0.252944</v>
      </c>
      <c r="F156" s="88">
        <f>ROUND(+D156*(1+H156),0)</f>
        <v>171019</v>
      </c>
      <c r="G156" s="87"/>
      <c r="H156" s="86">
        <f>+$H$44</f>
        <v>-5.889626608585493E-3</v>
      </c>
      <c r="I156" s="257"/>
      <c r="J156" s="257"/>
      <c r="K156" s="85"/>
      <c r="L156" s="85"/>
      <c r="M156" s="85"/>
      <c r="N156" s="85"/>
      <c r="O156" s="85"/>
      <c r="P156" s="85"/>
      <c r="Q156" s="85"/>
      <c r="R156" s="85"/>
    </row>
    <row r="157" spans="1:18" ht="12" thickBot="1" x14ac:dyDescent="0.25">
      <c r="A157" s="84" t="s">
        <v>19</v>
      </c>
      <c r="B157" s="110">
        <f>SUM(B155:B156)</f>
        <v>36752004</v>
      </c>
      <c r="C157" s="82"/>
      <c r="D157" s="81">
        <f>SUM(D156,D153)</f>
        <v>11944458</v>
      </c>
      <c r="E157" s="82"/>
      <c r="F157" s="81">
        <f>SUM(F156,F153)</f>
        <v>11885902</v>
      </c>
      <c r="G157" s="112"/>
      <c r="H157" s="257" t="s">
        <v>256</v>
      </c>
      <c r="I157" s="257"/>
    </row>
    <row r="158" spans="1:18" ht="12" thickTop="1" x14ac:dyDescent="0.2">
      <c r="A158" s="102"/>
      <c r="B158" s="105"/>
      <c r="C158" s="104" t="s">
        <v>81</v>
      </c>
      <c r="D158" s="82"/>
      <c r="E158" s="104" t="s">
        <v>81</v>
      </c>
      <c r="F158" s="82" t="s">
        <v>81</v>
      </c>
      <c r="G158" s="82"/>
    </row>
    <row r="159" spans="1:18" x14ac:dyDescent="0.2">
      <c r="A159" s="259" t="s">
        <v>306</v>
      </c>
      <c r="B159" s="259"/>
      <c r="C159" s="259"/>
      <c r="D159" s="259"/>
      <c r="E159" s="259"/>
      <c r="F159" s="259"/>
      <c r="G159" s="102"/>
    </row>
    <row r="160" spans="1:18" x14ac:dyDescent="0.2">
      <c r="A160" s="92" t="s">
        <v>307</v>
      </c>
      <c r="B160" s="102"/>
      <c r="C160" s="102"/>
      <c r="D160" s="102"/>
      <c r="E160" s="102"/>
      <c r="F160" s="102"/>
      <c r="G160" s="102"/>
    </row>
    <row r="161" spans="1:12" x14ac:dyDescent="0.2">
      <c r="A161" s="102"/>
      <c r="B161" s="102"/>
      <c r="C161" s="103"/>
      <c r="D161" s="102"/>
      <c r="E161" s="103"/>
      <c r="F161" s="102"/>
      <c r="G161" s="102"/>
    </row>
    <row r="162" spans="1:12" x14ac:dyDescent="0.2">
      <c r="A162" s="99" t="s">
        <v>308</v>
      </c>
      <c r="B162" s="91">
        <v>456</v>
      </c>
      <c r="C162" s="94">
        <v>1.59</v>
      </c>
      <c r="D162" s="88">
        <f t="shared" ref="D162:D170" si="20">IF(C162="n/a",0,ROUND(B162*C162,0))</f>
        <v>725</v>
      </c>
      <c r="E162" s="94">
        <v>1.5</v>
      </c>
      <c r="F162" s="88">
        <f t="shared" ref="F162:F170" si="21">ROUND(E162*$B162,0)</f>
        <v>684</v>
      </c>
      <c r="G162" s="88"/>
      <c r="H162" s="94"/>
      <c r="J162" s="98"/>
    </row>
    <row r="163" spans="1:12" x14ac:dyDescent="0.2">
      <c r="A163" s="99" t="s">
        <v>309</v>
      </c>
      <c r="B163" s="91">
        <v>8114</v>
      </c>
      <c r="C163" s="94">
        <v>2.23</v>
      </c>
      <c r="D163" s="88">
        <f t="shared" si="20"/>
        <v>18094</v>
      </c>
      <c r="E163" s="94">
        <v>2.09</v>
      </c>
      <c r="F163" s="88">
        <f t="shared" si="21"/>
        <v>16958</v>
      </c>
      <c r="G163" s="88"/>
      <c r="J163" s="98"/>
    </row>
    <row r="164" spans="1:12" x14ac:dyDescent="0.2">
      <c r="A164" s="99" t="s">
        <v>310</v>
      </c>
      <c r="B164" s="91">
        <v>18283</v>
      </c>
      <c r="C164" s="94">
        <v>3.19</v>
      </c>
      <c r="D164" s="88">
        <f t="shared" si="20"/>
        <v>58323</v>
      </c>
      <c r="E164" s="94">
        <v>2.99</v>
      </c>
      <c r="F164" s="88">
        <f t="shared" si="21"/>
        <v>54666</v>
      </c>
      <c r="G164" s="88"/>
      <c r="J164" s="98"/>
    </row>
    <row r="165" spans="1:12" x14ac:dyDescent="0.2">
      <c r="A165" s="99" t="s">
        <v>311</v>
      </c>
      <c r="B165" s="91">
        <v>5471</v>
      </c>
      <c r="C165" s="94">
        <v>4.78</v>
      </c>
      <c r="D165" s="88">
        <f t="shared" si="20"/>
        <v>26151</v>
      </c>
      <c r="E165" s="94">
        <v>4.4800000000000004</v>
      </c>
      <c r="F165" s="88">
        <f t="shared" si="21"/>
        <v>24510</v>
      </c>
      <c r="G165" s="88"/>
      <c r="J165" s="98"/>
    </row>
    <row r="166" spans="1:12" x14ac:dyDescent="0.2">
      <c r="A166" s="99" t="s">
        <v>312</v>
      </c>
      <c r="B166" s="91">
        <v>6574</v>
      </c>
      <c r="C166" s="94">
        <v>6.37</v>
      </c>
      <c r="D166" s="88">
        <f t="shared" si="20"/>
        <v>41876</v>
      </c>
      <c r="E166" s="94">
        <v>5.98</v>
      </c>
      <c r="F166" s="88">
        <f t="shared" si="21"/>
        <v>39313</v>
      </c>
      <c r="G166" s="88"/>
      <c r="J166" s="98"/>
    </row>
    <row r="167" spans="1:12" x14ac:dyDescent="0.2">
      <c r="A167" s="99" t="s">
        <v>313</v>
      </c>
      <c r="B167" s="91">
        <v>16345</v>
      </c>
      <c r="C167" s="94">
        <v>7.96</v>
      </c>
      <c r="D167" s="88">
        <f t="shared" si="20"/>
        <v>130106</v>
      </c>
      <c r="E167" s="94">
        <v>7.47</v>
      </c>
      <c r="F167" s="88">
        <f t="shared" si="21"/>
        <v>122097</v>
      </c>
      <c r="G167" s="88"/>
      <c r="J167" s="98"/>
    </row>
    <row r="168" spans="1:12" x14ac:dyDescent="0.2">
      <c r="A168" s="99" t="s">
        <v>314</v>
      </c>
      <c r="B168" s="91">
        <v>672</v>
      </c>
      <c r="C168" s="94">
        <v>9.8699999999999992</v>
      </c>
      <c r="D168" s="88">
        <f t="shared" si="20"/>
        <v>6633</v>
      </c>
      <c r="E168" s="94">
        <v>9.26</v>
      </c>
      <c r="F168" s="88">
        <f t="shared" si="21"/>
        <v>6223</v>
      </c>
      <c r="G168" s="88"/>
      <c r="J168" s="98"/>
    </row>
    <row r="169" spans="1:12" x14ac:dyDescent="0.2">
      <c r="A169" s="99" t="s">
        <v>315</v>
      </c>
      <c r="B169" s="91">
        <v>7389</v>
      </c>
      <c r="C169" s="94">
        <v>12.74</v>
      </c>
      <c r="D169" s="88">
        <f t="shared" si="20"/>
        <v>94136</v>
      </c>
      <c r="E169" s="94">
        <v>11.95</v>
      </c>
      <c r="F169" s="88">
        <f t="shared" si="21"/>
        <v>88299</v>
      </c>
      <c r="G169" s="88"/>
      <c r="J169" s="98"/>
    </row>
    <row r="170" spans="1:12" x14ac:dyDescent="0.2">
      <c r="A170" s="99" t="s">
        <v>316</v>
      </c>
      <c r="B170" s="91">
        <v>121</v>
      </c>
      <c r="C170" s="94">
        <v>31.85</v>
      </c>
      <c r="D170" s="88">
        <f t="shared" si="20"/>
        <v>3854</v>
      </c>
      <c r="E170" s="94">
        <v>29.869999999999997</v>
      </c>
      <c r="F170" s="88">
        <f t="shared" si="21"/>
        <v>3614</v>
      </c>
      <c r="G170" s="88"/>
      <c r="J170" s="98"/>
    </row>
    <row r="171" spans="1:12" ht="12.75" customHeight="1" x14ac:dyDescent="0.2">
      <c r="A171" s="99"/>
      <c r="B171" s="111"/>
      <c r="C171" s="94"/>
      <c r="D171" s="88"/>
      <c r="E171" s="94"/>
      <c r="F171" s="88"/>
      <c r="G171" s="88"/>
      <c r="J171" s="98"/>
    </row>
    <row r="172" spans="1:12" x14ac:dyDescent="0.2">
      <c r="A172" s="97" t="s">
        <v>414</v>
      </c>
      <c r="B172" s="91">
        <v>0</v>
      </c>
      <c r="C172" s="94">
        <v>1.43</v>
      </c>
      <c r="D172" s="88">
        <f t="shared" ref="D172:D181" si="22">IF(C172="n/a",0,ROUND(B172*C172,0))</f>
        <v>0</v>
      </c>
      <c r="E172" s="94">
        <v>0.44999999999999996</v>
      </c>
      <c r="F172" s="88">
        <f t="shared" ref="F172:F181" si="23">ROUND(E172*$B172,0)</f>
        <v>0</v>
      </c>
      <c r="G172" s="88"/>
      <c r="J172" s="98"/>
    </row>
    <row r="173" spans="1:12" x14ac:dyDescent="0.2">
      <c r="A173" s="97" t="s">
        <v>415</v>
      </c>
      <c r="B173" s="91">
        <v>15199</v>
      </c>
      <c r="C173" s="94">
        <v>1.43</v>
      </c>
      <c r="D173" s="88">
        <f t="shared" si="22"/>
        <v>21735</v>
      </c>
      <c r="E173" s="94">
        <v>1.35</v>
      </c>
      <c r="F173" s="88">
        <f t="shared" si="23"/>
        <v>20519</v>
      </c>
      <c r="G173" s="88"/>
      <c r="J173" s="98"/>
      <c r="L173" s="98"/>
    </row>
    <row r="174" spans="1:12" x14ac:dyDescent="0.2">
      <c r="A174" s="100" t="s">
        <v>317</v>
      </c>
      <c r="B174" s="91">
        <v>768</v>
      </c>
      <c r="C174" s="94">
        <v>2.39</v>
      </c>
      <c r="D174" s="88">
        <f t="shared" si="22"/>
        <v>1836</v>
      </c>
      <c r="E174" s="94">
        <v>2.2400000000000002</v>
      </c>
      <c r="F174" s="88">
        <f t="shared" si="23"/>
        <v>1720</v>
      </c>
      <c r="G174" s="88"/>
      <c r="J174" s="98"/>
      <c r="L174" s="98"/>
    </row>
    <row r="175" spans="1:12" x14ac:dyDescent="0.2">
      <c r="A175" s="100" t="s">
        <v>318</v>
      </c>
      <c r="B175" s="91">
        <v>15965</v>
      </c>
      <c r="C175" s="94">
        <v>3.34</v>
      </c>
      <c r="D175" s="88">
        <f t="shared" si="22"/>
        <v>53323</v>
      </c>
      <c r="E175" s="94">
        <v>3.13</v>
      </c>
      <c r="F175" s="88">
        <f t="shared" si="23"/>
        <v>49970</v>
      </c>
      <c r="G175" s="88"/>
      <c r="J175" s="98"/>
      <c r="L175" s="98"/>
    </row>
    <row r="176" spans="1:12" x14ac:dyDescent="0.2">
      <c r="A176" s="100" t="s">
        <v>319</v>
      </c>
      <c r="B176" s="91">
        <v>7993</v>
      </c>
      <c r="C176" s="94">
        <v>4.3</v>
      </c>
      <c r="D176" s="88">
        <f t="shared" si="22"/>
        <v>34370</v>
      </c>
      <c r="E176" s="94">
        <v>4.0299999999999994</v>
      </c>
      <c r="F176" s="88">
        <f t="shared" si="23"/>
        <v>32212</v>
      </c>
      <c r="G176" s="88"/>
      <c r="J176" s="98"/>
      <c r="L176" s="98"/>
    </row>
    <row r="177" spans="1:18" x14ac:dyDescent="0.2">
      <c r="A177" s="100" t="s">
        <v>320</v>
      </c>
      <c r="B177" s="91">
        <v>4396</v>
      </c>
      <c r="C177" s="94">
        <v>5.26</v>
      </c>
      <c r="D177" s="88">
        <f t="shared" si="22"/>
        <v>23123</v>
      </c>
      <c r="E177" s="94">
        <v>4.93</v>
      </c>
      <c r="F177" s="88">
        <f t="shared" si="23"/>
        <v>21672</v>
      </c>
      <c r="G177" s="88"/>
      <c r="J177" s="98"/>
      <c r="L177" s="98"/>
    </row>
    <row r="178" spans="1:18" x14ac:dyDescent="0.2">
      <c r="A178" s="100" t="s">
        <v>321</v>
      </c>
      <c r="B178" s="91">
        <v>164</v>
      </c>
      <c r="C178" s="94">
        <v>6.21</v>
      </c>
      <c r="D178" s="88">
        <f t="shared" si="22"/>
        <v>1018</v>
      </c>
      <c r="E178" s="94">
        <v>5.83</v>
      </c>
      <c r="F178" s="88">
        <f t="shared" si="23"/>
        <v>956</v>
      </c>
      <c r="G178" s="88"/>
      <c r="J178" s="98"/>
      <c r="L178" s="98"/>
    </row>
    <row r="179" spans="1:18" x14ac:dyDescent="0.2">
      <c r="A179" s="100" t="s">
        <v>322</v>
      </c>
      <c r="B179" s="91">
        <v>452</v>
      </c>
      <c r="C179" s="94">
        <v>7.17</v>
      </c>
      <c r="D179" s="88">
        <f t="shared" si="22"/>
        <v>3241</v>
      </c>
      <c r="E179" s="94">
        <v>6.73</v>
      </c>
      <c r="F179" s="88">
        <f t="shared" si="23"/>
        <v>3042</v>
      </c>
      <c r="G179" s="88"/>
      <c r="J179" s="98"/>
      <c r="L179" s="98"/>
    </row>
    <row r="180" spans="1:18" x14ac:dyDescent="0.2">
      <c r="A180" s="100" t="s">
        <v>323</v>
      </c>
      <c r="B180" s="91">
        <v>36</v>
      </c>
      <c r="C180" s="94">
        <v>8.1199999999999992</v>
      </c>
      <c r="D180" s="88">
        <f t="shared" si="22"/>
        <v>292</v>
      </c>
      <c r="E180" s="94">
        <v>7.62</v>
      </c>
      <c r="F180" s="88">
        <f t="shared" si="23"/>
        <v>274</v>
      </c>
      <c r="G180" s="88"/>
      <c r="J180" s="98"/>
      <c r="L180" s="98"/>
    </row>
    <row r="181" spans="1:18" x14ac:dyDescent="0.2">
      <c r="A181" s="100" t="s">
        <v>324</v>
      </c>
      <c r="B181" s="91">
        <v>0</v>
      </c>
      <c r="C181" s="94">
        <v>9.08</v>
      </c>
      <c r="D181" s="88">
        <f t="shared" si="22"/>
        <v>0</v>
      </c>
      <c r="E181" s="94">
        <v>8.51</v>
      </c>
      <c r="F181" s="88">
        <f t="shared" si="23"/>
        <v>0</v>
      </c>
      <c r="G181" s="88"/>
      <c r="J181" s="98"/>
      <c r="L181" s="98"/>
    </row>
    <row r="182" spans="1:18" x14ac:dyDescent="0.2">
      <c r="A182" s="96" t="s">
        <v>253</v>
      </c>
      <c r="B182" s="95">
        <f>SUM(B162:B181)</f>
        <v>108398</v>
      </c>
      <c r="C182" s="94"/>
      <c r="D182" s="93">
        <f>SUM(D162:D181)</f>
        <v>518836</v>
      </c>
      <c r="E182" s="94"/>
      <c r="F182" s="93">
        <f>SUM(F162:F181)</f>
        <v>486729</v>
      </c>
      <c r="G182" s="88"/>
      <c r="J182" s="98"/>
    </row>
    <row r="183" spans="1:18" x14ac:dyDescent="0.2">
      <c r="A183" s="92"/>
      <c r="B183" s="91"/>
      <c r="D183" s="88"/>
      <c r="F183" s="88"/>
      <c r="G183" s="88"/>
    </row>
    <row r="184" spans="1:18" x14ac:dyDescent="0.2">
      <c r="A184" s="90" t="s">
        <v>254</v>
      </c>
      <c r="B184" s="111">
        <v>6228929</v>
      </c>
      <c r="D184" s="88"/>
      <c r="F184" s="88"/>
      <c r="G184" s="88"/>
    </row>
    <row r="185" spans="1:18" x14ac:dyDescent="0.2">
      <c r="A185" s="90" t="s">
        <v>255</v>
      </c>
      <c r="B185" s="111">
        <v>170743</v>
      </c>
      <c r="C185" s="89">
        <f>ROUND(D185/B185,6)</f>
        <v>0.25444099999999997</v>
      </c>
      <c r="D185" s="88">
        <f>$N$15</f>
        <v>43444</v>
      </c>
      <c r="E185" s="89">
        <f>ROUND(F185/B185,6)</f>
        <v>0.252942</v>
      </c>
      <c r="F185" s="88">
        <f>ROUND(+D185*(1+H185),0)</f>
        <v>43188</v>
      </c>
      <c r="G185" s="87"/>
      <c r="H185" s="86">
        <f>+$H$44</f>
        <v>-5.889626608585493E-3</v>
      </c>
      <c r="I185" s="256"/>
      <c r="J185" s="256"/>
      <c r="K185" s="85"/>
      <c r="L185" s="85"/>
      <c r="M185" s="85"/>
      <c r="N185" s="85"/>
      <c r="O185" s="85"/>
      <c r="P185" s="85"/>
      <c r="Q185" s="85"/>
      <c r="R185" s="85"/>
    </row>
    <row r="186" spans="1:18" ht="12" thickBot="1" x14ac:dyDescent="0.25">
      <c r="A186" s="84" t="s">
        <v>19</v>
      </c>
      <c r="B186" s="110">
        <f>SUM(B184:B185)</f>
        <v>6399672</v>
      </c>
      <c r="C186" s="82"/>
      <c r="D186" s="81">
        <f>SUM(D182,D185)</f>
        <v>562280</v>
      </c>
      <c r="E186" s="82"/>
      <c r="F186" s="81">
        <f>SUM(F182,F185)</f>
        <v>529917</v>
      </c>
      <c r="G186" s="88"/>
      <c r="H186" s="256" t="s">
        <v>256</v>
      </c>
      <c r="I186" s="256"/>
    </row>
    <row r="187" spans="1:18" ht="12" thickTop="1" x14ac:dyDescent="0.2">
      <c r="A187" s="102"/>
      <c r="B187" s="105"/>
      <c r="C187" s="104" t="s">
        <v>81</v>
      </c>
      <c r="D187" s="82"/>
      <c r="E187" s="104" t="s">
        <v>81</v>
      </c>
      <c r="F187" s="82" t="s">
        <v>81</v>
      </c>
      <c r="G187" s="82"/>
    </row>
    <row r="188" spans="1:18" x14ac:dyDescent="0.2">
      <c r="A188" s="259" t="s">
        <v>325</v>
      </c>
      <c r="B188" s="259"/>
      <c r="C188" s="259"/>
      <c r="D188" s="259"/>
      <c r="E188" s="259"/>
      <c r="F188" s="259"/>
    </row>
    <row r="189" spans="1:18" x14ac:dyDescent="0.2">
      <c r="A189" s="92" t="s">
        <v>326</v>
      </c>
      <c r="B189" s="102"/>
      <c r="C189" s="102"/>
      <c r="D189" s="102"/>
      <c r="E189" s="102"/>
      <c r="F189" s="102"/>
      <c r="G189" s="98"/>
    </row>
    <row r="190" spans="1:18" x14ac:dyDescent="0.2">
      <c r="A190" s="102"/>
      <c r="B190" s="102"/>
      <c r="C190" s="103"/>
      <c r="D190" s="102"/>
      <c r="E190" s="103"/>
      <c r="F190" s="102"/>
    </row>
    <row r="191" spans="1:18" x14ac:dyDescent="0.2">
      <c r="A191" s="99" t="s">
        <v>327</v>
      </c>
      <c r="B191" s="91">
        <v>192</v>
      </c>
      <c r="C191" s="94">
        <v>13.618687765672663</v>
      </c>
      <c r="D191" s="88">
        <f t="shared" ref="D191:D196" si="24">IF(C191="n/a",0,ROUND(B191*C191,0))</f>
        <v>2615</v>
      </c>
      <c r="E191" s="94">
        <v>13.73</v>
      </c>
      <c r="F191" s="88">
        <f t="shared" ref="F191:F196" si="25">ROUND(E191*$B191,0)</f>
        <v>2636</v>
      </c>
    </row>
    <row r="192" spans="1:18" x14ac:dyDescent="0.2">
      <c r="A192" s="99" t="s">
        <v>328</v>
      </c>
      <c r="B192" s="91">
        <v>43754</v>
      </c>
      <c r="C192" s="94">
        <v>14.02804053242096</v>
      </c>
      <c r="D192" s="88">
        <f t="shared" si="24"/>
        <v>613783</v>
      </c>
      <c r="E192" s="94">
        <v>14.1</v>
      </c>
      <c r="F192" s="88">
        <f t="shared" si="25"/>
        <v>616931</v>
      </c>
    </row>
    <row r="193" spans="1:6" x14ac:dyDescent="0.2">
      <c r="A193" s="99" t="s">
        <v>329</v>
      </c>
      <c r="B193" s="91">
        <v>5852</v>
      </c>
      <c r="C193" s="94">
        <v>15.645435774644971</v>
      </c>
      <c r="D193" s="88">
        <f t="shared" si="24"/>
        <v>91557</v>
      </c>
      <c r="E193" s="94">
        <v>15.600000000000001</v>
      </c>
      <c r="F193" s="88">
        <f t="shared" si="25"/>
        <v>91291</v>
      </c>
    </row>
    <row r="194" spans="1:6" x14ac:dyDescent="0.2">
      <c r="A194" s="99" t="s">
        <v>330</v>
      </c>
      <c r="B194" s="91">
        <v>12513</v>
      </c>
      <c r="C194" s="94">
        <v>17.769437053484459</v>
      </c>
      <c r="D194" s="88">
        <f t="shared" si="24"/>
        <v>222349</v>
      </c>
      <c r="E194" s="94">
        <v>17.61</v>
      </c>
      <c r="F194" s="88">
        <f t="shared" si="25"/>
        <v>220354</v>
      </c>
    </row>
    <row r="195" spans="1:6" x14ac:dyDescent="0.2">
      <c r="A195" s="99" t="s">
        <v>331</v>
      </c>
      <c r="B195" s="91">
        <v>1336</v>
      </c>
      <c r="C195" s="94">
        <v>19.541445099369465</v>
      </c>
      <c r="D195" s="88">
        <f t="shared" si="24"/>
        <v>26107</v>
      </c>
      <c r="E195" s="94">
        <v>19.28</v>
      </c>
      <c r="F195" s="88">
        <f t="shared" si="25"/>
        <v>25758</v>
      </c>
    </row>
    <row r="196" spans="1:6" x14ac:dyDescent="0.2">
      <c r="A196" s="99" t="s">
        <v>332</v>
      </c>
      <c r="B196" s="91">
        <v>541</v>
      </c>
      <c r="C196" s="94">
        <v>25.472897609019007</v>
      </c>
      <c r="D196" s="88">
        <f t="shared" si="24"/>
        <v>13781</v>
      </c>
      <c r="E196" s="94">
        <v>24.860000000000003</v>
      </c>
      <c r="F196" s="88">
        <f t="shared" si="25"/>
        <v>13449</v>
      </c>
    </row>
    <row r="197" spans="1:6" x14ac:dyDescent="0.2">
      <c r="A197" s="99"/>
      <c r="B197" s="111"/>
      <c r="C197" s="94"/>
      <c r="D197" s="88"/>
      <c r="E197" s="94"/>
      <c r="F197" s="88"/>
    </row>
    <row r="198" spans="1:6" x14ac:dyDescent="0.2">
      <c r="A198" s="99" t="s">
        <v>333</v>
      </c>
      <c r="B198" s="91">
        <v>72</v>
      </c>
      <c r="C198" s="94">
        <v>21.078079212012458</v>
      </c>
      <c r="D198" s="88">
        <f>IF(C198="n/a",0,ROUND(B198*C198,0))</f>
        <v>1518</v>
      </c>
      <c r="E198" s="94">
        <v>21.52</v>
      </c>
      <c r="F198" s="88">
        <f>ROUND(E198*$B198,0)</f>
        <v>1549</v>
      </c>
    </row>
    <row r="199" spans="1:6" x14ac:dyDescent="0.2">
      <c r="A199" s="99"/>
      <c r="B199" s="111"/>
      <c r="C199" s="94"/>
      <c r="D199" s="88"/>
      <c r="E199" s="94"/>
      <c r="F199" s="88"/>
    </row>
    <row r="200" spans="1:6" x14ac:dyDescent="0.2">
      <c r="A200" s="97" t="s">
        <v>416</v>
      </c>
      <c r="B200" s="91">
        <v>0</v>
      </c>
      <c r="C200" s="94">
        <v>10.35</v>
      </c>
      <c r="D200" s="88">
        <f t="shared" ref="D200:D209" si="26">IF(C200="n/a",0,ROUND(B200*C200,0))</f>
        <v>0</v>
      </c>
      <c r="E200" s="94">
        <v>7.9999999999999991</v>
      </c>
      <c r="F200" s="88">
        <f t="shared" ref="F200:F209" si="27">ROUND(E200*$B200,0)</f>
        <v>0</v>
      </c>
    </row>
    <row r="201" spans="1:6" x14ac:dyDescent="0.2">
      <c r="A201" s="97" t="s">
        <v>417</v>
      </c>
      <c r="B201" s="91">
        <v>7188</v>
      </c>
      <c r="C201" s="94">
        <v>10.35</v>
      </c>
      <c r="D201" s="88">
        <f t="shared" si="26"/>
        <v>74396</v>
      </c>
      <c r="E201" s="94">
        <v>10.020000000000001</v>
      </c>
      <c r="F201" s="88">
        <f t="shared" si="27"/>
        <v>72024</v>
      </c>
    </row>
    <row r="202" spans="1:6" x14ac:dyDescent="0.2">
      <c r="A202" s="100" t="s">
        <v>334</v>
      </c>
      <c r="B202" s="91">
        <v>77</v>
      </c>
      <c r="C202" s="94">
        <v>12.72</v>
      </c>
      <c r="D202" s="88">
        <f t="shared" si="26"/>
        <v>979</v>
      </c>
      <c r="E202" s="94">
        <v>13.6</v>
      </c>
      <c r="F202" s="88">
        <f t="shared" si="27"/>
        <v>1047</v>
      </c>
    </row>
    <row r="203" spans="1:6" x14ac:dyDescent="0.2">
      <c r="A203" s="100" t="s">
        <v>335</v>
      </c>
      <c r="B203" s="91">
        <v>1795</v>
      </c>
      <c r="C203" s="94">
        <v>15.09</v>
      </c>
      <c r="D203" s="88">
        <f t="shared" si="26"/>
        <v>27087</v>
      </c>
      <c r="E203" s="94">
        <v>14.830000000000002</v>
      </c>
      <c r="F203" s="88">
        <f t="shared" si="27"/>
        <v>26620</v>
      </c>
    </row>
    <row r="204" spans="1:6" x14ac:dyDescent="0.2">
      <c r="A204" s="100" t="s">
        <v>336</v>
      </c>
      <c r="B204" s="91">
        <v>0</v>
      </c>
      <c r="C204" s="94">
        <v>16.38</v>
      </c>
      <c r="D204" s="88">
        <f t="shared" si="26"/>
        <v>0</v>
      </c>
      <c r="E204" s="94">
        <v>17.630000000000003</v>
      </c>
      <c r="F204" s="88">
        <f t="shared" si="27"/>
        <v>0</v>
      </c>
    </row>
    <row r="205" spans="1:6" x14ac:dyDescent="0.2">
      <c r="A205" s="100" t="s">
        <v>337</v>
      </c>
      <c r="B205" s="91">
        <v>0</v>
      </c>
      <c r="C205" s="94">
        <v>18.75</v>
      </c>
      <c r="D205" s="88">
        <f t="shared" si="26"/>
        <v>0</v>
      </c>
      <c r="E205" s="94">
        <v>20.030000000000005</v>
      </c>
      <c r="F205" s="88">
        <f t="shared" si="27"/>
        <v>0</v>
      </c>
    </row>
    <row r="206" spans="1:6" x14ac:dyDescent="0.2">
      <c r="A206" s="100" t="s">
        <v>338</v>
      </c>
      <c r="B206" s="91">
        <v>0</v>
      </c>
      <c r="C206" s="94">
        <v>20.8</v>
      </c>
      <c r="D206" s="88">
        <f t="shared" si="26"/>
        <v>0</v>
      </c>
      <c r="E206" s="94">
        <v>22.46</v>
      </c>
      <c r="F206" s="88">
        <f t="shared" si="27"/>
        <v>0</v>
      </c>
    </row>
    <row r="207" spans="1:6" x14ac:dyDescent="0.2">
      <c r="A207" s="100" t="s">
        <v>339</v>
      </c>
      <c r="B207" s="91">
        <v>0</v>
      </c>
      <c r="C207" s="94">
        <v>22.84</v>
      </c>
      <c r="D207" s="88">
        <f t="shared" si="26"/>
        <v>0</v>
      </c>
      <c r="E207" s="94">
        <v>24.870000000000005</v>
      </c>
      <c r="F207" s="88">
        <f t="shared" si="27"/>
        <v>0</v>
      </c>
    </row>
    <row r="208" spans="1:6" x14ac:dyDescent="0.2">
      <c r="A208" s="100" t="s">
        <v>340</v>
      </c>
      <c r="B208" s="91">
        <v>0</v>
      </c>
      <c r="C208" s="94">
        <v>24.89</v>
      </c>
      <c r="D208" s="88">
        <f t="shared" si="26"/>
        <v>0</v>
      </c>
      <c r="E208" s="94">
        <v>27.270000000000003</v>
      </c>
      <c r="F208" s="88">
        <f t="shared" si="27"/>
        <v>0</v>
      </c>
    </row>
    <row r="209" spans="1:18" x14ac:dyDescent="0.2">
      <c r="A209" s="100" t="s">
        <v>341</v>
      </c>
      <c r="B209" s="91">
        <v>0</v>
      </c>
      <c r="C209" s="94">
        <v>26.94</v>
      </c>
      <c r="D209" s="88">
        <f t="shared" si="26"/>
        <v>0</v>
      </c>
      <c r="E209" s="94">
        <v>29.680000000000003</v>
      </c>
      <c r="F209" s="88">
        <f t="shared" si="27"/>
        <v>0</v>
      </c>
    </row>
    <row r="210" spans="1:18" x14ac:dyDescent="0.2">
      <c r="A210" s="99"/>
      <c r="B210" s="111"/>
      <c r="C210" s="94"/>
      <c r="D210" s="88"/>
      <c r="E210" s="94"/>
      <c r="F210" s="88"/>
    </row>
    <row r="211" spans="1:18" x14ac:dyDescent="0.2">
      <c r="A211" s="99" t="s">
        <v>475</v>
      </c>
      <c r="B211" s="91">
        <v>7340</v>
      </c>
      <c r="C211" s="94">
        <v>6.34</v>
      </c>
      <c r="D211" s="88">
        <f>IF(C211="n/a",0,ROUND(B211*C211,0))</f>
        <v>46536</v>
      </c>
      <c r="E211" s="94">
        <v>5.3599999999999994</v>
      </c>
      <c r="F211" s="88">
        <f>ROUND(E211*$B211,0)</f>
        <v>39342</v>
      </c>
    </row>
    <row r="212" spans="1:18" x14ac:dyDescent="0.2">
      <c r="A212" s="99" t="s">
        <v>476</v>
      </c>
      <c r="B212" s="91">
        <v>4085</v>
      </c>
      <c r="C212" s="94">
        <v>11.05</v>
      </c>
      <c r="D212" s="88">
        <f>IF(C212="n/a",0,ROUND(B212*C212,0))</f>
        <v>45139</v>
      </c>
      <c r="E212" s="94">
        <v>8.4</v>
      </c>
      <c r="F212" s="88">
        <f>ROUND(E212*$B212,0)</f>
        <v>34314</v>
      </c>
    </row>
    <row r="213" spans="1:18" x14ac:dyDescent="0.2">
      <c r="A213" s="96" t="s">
        <v>253</v>
      </c>
      <c r="B213" s="95">
        <f>SUM(B191:B212)</f>
        <v>84745</v>
      </c>
      <c r="C213" s="94"/>
      <c r="D213" s="106">
        <f>SUM(D191:D212)</f>
        <v>1165847</v>
      </c>
      <c r="E213" s="94"/>
      <c r="F213" s="106">
        <f>SUM(F191:F212)</f>
        <v>1145315</v>
      </c>
    </row>
    <row r="214" spans="1:18" x14ac:dyDescent="0.2">
      <c r="A214" s="92"/>
      <c r="B214" s="91"/>
      <c r="D214" s="88"/>
      <c r="F214" s="88"/>
    </row>
    <row r="215" spans="1:18" x14ac:dyDescent="0.2">
      <c r="A215" s="90" t="s">
        <v>254</v>
      </c>
      <c r="B215" s="111">
        <v>3767304</v>
      </c>
      <c r="D215" s="88"/>
      <c r="F215" s="88"/>
    </row>
    <row r="216" spans="1:18" x14ac:dyDescent="0.2">
      <c r="A216" s="90" t="s">
        <v>255</v>
      </c>
      <c r="B216" s="111">
        <v>191</v>
      </c>
      <c r="C216" s="89">
        <f>ROUND(D216/B216,6)</f>
        <v>0.25654500000000002</v>
      </c>
      <c r="D216" s="88">
        <f>$N$16</f>
        <v>49</v>
      </c>
      <c r="E216" s="89">
        <f>ROUND(F216/B216,6)</f>
        <v>0.25654500000000002</v>
      </c>
      <c r="F216" s="88">
        <f>ROUND(+D216*(1+H216),0)</f>
        <v>49</v>
      </c>
      <c r="G216" s="87"/>
      <c r="H216" s="86">
        <f>+$H$44</f>
        <v>-5.889626608585493E-3</v>
      </c>
      <c r="I216" s="256"/>
      <c r="J216" s="256"/>
      <c r="K216" s="85"/>
      <c r="L216" s="85"/>
      <c r="M216" s="85"/>
      <c r="N216" s="85"/>
      <c r="O216" s="85"/>
      <c r="P216" s="85"/>
      <c r="Q216" s="85"/>
      <c r="R216" s="85"/>
    </row>
    <row r="217" spans="1:18" ht="12" thickBot="1" x14ac:dyDescent="0.25">
      <c r="A217" s="84" t="s">
        <v>19</v>
      </c>
      <c r="B217" s="110">
        <f>SUM(B215:B216)</f>
        <v>3767495</v>
      </c>
      <c r="C217" s="82"/>
      <c r="D217" s="81">
        <f>SUM(D213,D216)</f>
        <v>1165896</v>
      </c>
      <c r="E217" s="82"/>
      <c r="F217" s="81">
        <f>SUM(F213,F216)</f>
        <v>1145364</v>
      </c>
      <c r="H217" s="256" t="s">
        <v>256</v>
      </c>
      <c r="I217" s="256"/>
    </row>
    <row r="218" spans="1:18" ht="12" thickTop="1" x14ac:dyDescent="0.2">
      <c r="B218" s="105"/>
      <c r="C218" s="109"/>
      <c r="D218" s="108"/>
      <c r="F218" s="101"/>
    </row>
    <row r="219" spans="1:18" x14ac:dyDescent="0.2">
      <c r="A219" s="259" t="s">
        <v>342</v>
      </c>
      <c r="B219" s="259"/>
      <c r="C219" s="259"/>
      <c r="D219" s="259"/>
      <c r="E219" s="259"/>
      <c r="F219" s="259"/>
    </row>
    <row r="220" spans="1:18" x14ac:dyDescent="0.2">
      <c r="A220" s="92" t="s">
        <v>343</v>
      </c>
      <c r="B220" s="102"/>
      <c r="C220" s="102"/>
      <c r="D220" s="102"/>
      <c r="E220" s="102"/>
      <c r="F220" s="102"/>
    </row>
    <row r="221" spans="1:18" x14ac:dyDescent="0.2">
      <c r="A221" s="102"/>
      <c r="B221" s="102"/>
      <c r="C221" s="103"/>
      <c r="D221" s="102"/>
      <c r="E221" s="103"/>
      <c r="F221" s="102"/>
    </row>
    <row r="222" spans="1:18" x14ac:dyDescent="0.2">
      <c r="A222" s="99" t="s">
        <v>344</v>
      </c>
      <c r="B222" s="91">
        <v>11226169</v>
      </c>
      <c r="C222" s="108">
        <v>4.1930000000000002E-2</v>
      </c>
      <c r="D222" s="88">
        <f>IF(C222="n/a",0,ROUND(B222*C222,0))</f>
        <v>470713</v>
      </c>
      <c r="E222" s="108">
        <v>4.4510000000000001E-2</v>
      </c>
      <c r="F222" s="88">
        <f>ROUND(E222*$B222,0)</f>
        <v>499677</v>
      </c>
    </row>
    <row r="223" spans="1:18" x14ac:dyDescent="0.2">
      <c r="A223" s="96" t="s">
        <v>253</v>
      </c>
      <c r="B223" s="107">
        <f>SUM(B222:B222)</f>
        <v>11226169</v>
      </c>
      <c r="C223" s="94"/>
      <c r="D223" s="106">
        <f>SUM(D222:D222)</f>
        <v>470713</v>
      </c>
      <c r="E223" s="94"/>
      <c r="F223" s="106">
        <f>SUM(F222:F222)</f>
        <v>499677</v>
      </c>
    </row>
    <row r="224" spans="1:18" x14ac:dyDescent="0.2">
      <c r="A224" s="92"/>
      <c r="B224" s="91"/>
      <c r="D224" s="88"/>
      <c r="F224" s="88"/>
    </row>
    <row r="225" spans="1:18" x14ac:dyDescent="0.2">
      <c r="A225" s="90" t="s">
        <v>254</v>
      </c>
      <c r="B225" s="111">
        <v>3656529</v>
      </c>
      <c r="D225" s="88"/>
      <c r="F225" s="88"/>
    </row>
    <row r="226" spans="1:18" x14ac:dyDescent="0.2">
      <c r="A226" s="90" t="s">
        <v>255</v>
      </c>
      <c r="B226" s="111">
        <v>1713997</v>
      </c>
      <c r="C226" s="89">
        <f>ROUND(D226/B226,6)</f>
        <v>0.25444299999999997</v>
      </c>
      <c r="D226" s="88">
        <f>$N$17</f>
        <v>436114</v>
      </c>
      <c r="E226" s="89">
        <f>ROUND(F226/B226,6)</f>
        <v>0.252944</v>
      </c>
      <c r="F226" s="88">
        <f>ROUND(+D226*(1+H226),0)</f>
        <v>433545</v>
      </c>
      <c r="G226" s="87"/>
      <c r="H226" s="86">
        <f>+$H$44</f>
        <v>-5.889626608585493E-3</v>
      </c>
      <c r="I226" s="256"/>
      <c r="J226" s="256"/>
      <c r="K226" s="85"/>
      <c r="L226" s="85"/>
      <c r="M226" s="85"/>
      <c r="N226" s="85"/>
      <c r="O226" s="85"/>
      <c r="P226" s="85"/>
      <c r="Q226" s="85"/>
      <c r="R226" s="85"/>
    </row>
    <row r="227" spans="1:18" ht="12" thickBot="1" x14ac:dyDescent="0.25">
      <c r="A227" s="84" t="s">
        <v>19</v>
      </c>
      <c r="B227" s="83">
        <f>SUM(B225:B226)</f>
        <v>5370526</v>
      </c>
      <c r="C227" s="82"/>
      <c r="D227" s="81">
        <f>SUM(D223,D226)</f>
        <v>906827</v>
      </c>
      <c r="E227" s="82"/>
      <c r="F227" s="81">
        <f>SUM(F223,F226)</f>
        <v>933222</v>
      </c>
      <c r="H227" s="256" t="s">
        <v>256</v>
      </c>
      <c r="I227" s="256"/>
    </row>
    <row r="228" spans="1:18" ht="12" thickTop="1" x14ac:dyDescent="0.2">
      <c r="A228" s="102"/>
      <c r="B228" s="105"/>
      <c r="C228" s="104" t="s">
        <v>81</v>
      </c>
      <c r="D228" s="82"/>
      <c r="E228" s="104" t="s">
        <v>81</v>
      </c>
      <c r="F228" s="82" t="s">
        <v>81</v>
      </c>
    </row>
    <row r="229" spans="1:18" x14ac:dyDescent="0.2">
      <c r="A229" s="259" t="s">
        <v>345</v>
      </c>
      <c r="B229" s="259"/>
      <c r="C229" s="259"/>
      <c r="D229" s="259"/>
      <c r="E229" s="259"/>
      <c r="F229" s="259"/>
    </row>
    <row r="230" spans="1:18" x14ac:dyDescent="0.2">
      <c r="A230" s="92" t="s">
        <v>346</v>
      </c>
      <c r="B230" s="102"/>
      <c r="C230" s="102"/>
      <c r="D230" s="102"/>
      <c r="E230" s="102"/>
      <c r="F230" s="102"/>
    </row>
    <row r="231" spans="1:18" x14ac:dyDescent="0.2">
      <c r="A231" s="102"/>
      <c r="B231" s="102"/>
      <c r="C231" s="103"/>
      <c r="D231" s="102"/>
      <c r="E231" s="103"/>
      <c r="F231" s="102"/>
    </row>
    <row r="232" spans="1:18" x14ac:dyDescent="0.2">
      <c r="A232" s="99" t="s">
        <v>347</v>
      </c>
      <c r="B232" s="91">
        <v>636</v>
      </c>
      <c r="C232" s="94">
        <v>13.62</v>
      </c>
      <c r="D232" s="88">
        <f t="shared" ref="D232:D237" si="28">IF(C232="n/a",0,ROUND(B232*C232,0))</f>
        <v>8662</v>
      </c>
      <c r="E232" s="94">
        <v>13.73</v>
      </c>
      <c r="F232" s="88">
        <f t="shared" ref="F232:F237" si="29">ROUND(E232*$B232,0)</f>
        <v>8732</v>
      </c>
      <c r="J232" s="98"/>
    </row>
    <row r="233" spans="1:18" x14ac:dyDescent="0.2">
      <c r="A233" s="99" t="s">
        <v>348</v>
      </c>
      <c r="B233" s="91">
        <v>125</v>
      </c>
      <c r="C233" s="94">
        <v>14.03</v>
      </c>
      <c r="D233" s="88">
        <f t="shared" si="28"/>
        <v>1754</v>
      </c>
      <c r="E233" s="94">
        <v>14.1</v>
      </c>
      <c r="F233" s="88">
        <f t="shared" si="29"/>
        <v>1763</v>
      </c>
      <c r="J233" s="98"/>
    </row>
    <row r="234" spans="1:18" x14ac:dyDescent="0.2">
      <c r="A234" s="99" t="s">
        <v>349</v>
      </c>
      <c r="B234" s="91">
        <v>1738</v>
      </c>
      <c r="C234" s="94">
        <v>15.65</v>
      </c>
      <c r="D234" s="88">
        <f t="shared" si="28"/>
        <v>27200</v>
      </c>
      <c r="E234" s="94">
        <v>15.600000000000001</v>
      </c>
      <c r="F234" s="88">
        <f t="shared" si="29"/>
        <v>27113</v>
      </c>
      <c r="J234" s="98"/>
    </row>
    <row r="235" spans="1:18" x14ac:dyDescent="0.2">
      <c r="A235" s="99" t="s">
        <v>350</v>
      </c>
      <c r="B235" s="91">
        <v>3196</v>
      </c>
      <c r="C235" s="94">
        <v>17.77</v>
      </c>
      <c r="D235" s="88">
        <f t="shared" si="28"/>
        <v>56793</v>
      </c>
      <c r="E235" s="94">
        <v>17.61</v>
      </c>
      <c r="F235" s="88">
        <f t="shared" si="29"/>
        <v>56282</v>
      </c>
      <c r="J235" s="98"/>
    </row>
    <row r="236" spans="1:18" x14ac:dyDescent="0.2">
      <c r="A236" s="99" t="s">
        <v>351</v>
      </c>
      <c r="B236" s="91">
        <v>467</v>
      </c>
      <c r="C236" s="94">
        <v>19.54</v>
      </c>
      <c r="D236" s="88">
        <f t="shared" si="28"/>
        <v>9125</v>
      </c>
      <c r="E236" s="94">
        <v>19.28</v>
      </c>
      <c r="F236" s="88">
        <f t="shared" si="29"/>
        <v>9004</v>
      </c>
      <c r="J236" s="98"/>
    </row>
    <row r="237" spans="1:18" x14ac:dyDescent="0.2">
      <c r="A237" s="99" t="s">
        <v>352</v>
      </c>
      <c r="B237" s="91">
        <v>4245</v>
      </c>
      <c r="C237" s="94">
        <v>25.47</v>
      </c>
      <c r="D237" s="88">
        <f t="shared" si="28"/>
        <v>108120</v>
      </c>
      <c r="E237" s="94">
        <v>24.860000000000003</v>
      </c>
      <c r="F237" s="88">
        <f t="shared" si="29"/>
        <v>105531</v>
      </c>
      <c r="H237" s="98"/>
      <c r="I237" s="94"/>
      <c r="J237" s="98"/>
    </row>
    <row r="238" spans="1:18" x14ac:dyDescent="0.2">
      <c r="A238" s="99"/>
      <c r="B238" s="101"/>
      <c r="C238" s="94"/>
      <c r="D238" s="88"/>
      <c r="E238" s="94"/>
      <c r="F238" s="88"/>
      <c r="H238" s="98"/>
      <c r="I238" s="98"/>
      <c r="J238" s="98"/>
    </row>
    <row r="239" spans="1:18" x14ac:dyDescent="0.2">
      <c r="A239" s="99" t="s">
        <v>353</v>
      </c>
      <c r="B239" s="91">
        <v>36</v>
      </c>
      <c r="C239" s="94">
        <v>18</v>
      </c>
      <c r="D239" s="88">
        <f>IF(C239="n/a",0,ROUND(B239*C239,0))</f>
        <v>648</v>
      </c>
      <c r="E239" s="94">
        <v>18.619999999999997</v>
      </c>
      <c r="F239" s="88">
        <f>ROUND(E239*$B239,0)</f>
        <v>670</v>
      </c>
      <c r="H239" s="98"/>
      <c r="I239" s="98"/>
      <c r="J239" s="98"/>
    </row>
    <row r="240" spans="1:18" x14ac:dyDescent="0.2">
      <c r="A240" s="99" t="s">
        <v>354</v>
      </c>
      <c r="B240" s="91">
        <v>204</v>
      </c>
      <c r="C240" s="94">
        <v>21.08</v>
      </c>
      <c r="D240" s="88">
        <f>IF(C240="n/a",0,ROUND(B240*C240,0))</f>
        <v>4300</v>
      </c>
      <c r="E240" s="94">
        <v>21.52</v>
      </c>
      <c r="F240" s="88">
        <f>ROUND(E240*$B240,0)</f>
        <v>4390</v>
      </c>
      <c r="H240" s="98"/>
      <c r="I240" s="98"/>
      <c r="J240" s="98"/>
    </row>
    <row r="241" spans="1:10" x14ac:dyDescent="0.2">
      <c r="A241" s="99" t="s">
        <v>355</v>
      </c>
      <c r="B241" s="91">
        <v>1056</v>
      </c>
      <c r="C241" s="94">
        <v>25.92</v>
      </c>
      <c r="D241" s="88">
        <f>IF(C241="n/a",0,ROUND(B241*C241,0))</f>
        <v>27372</v>
      </c>
      <c r="E241" s="94">
        <v>26.040000000000003</v>
      </c>
      <c r="F241" s="88">
        <f>ROUND(E241*$B241,0)</f>
        <v>27498</v>
      </c>
      <c r="H241" s="98"/>
      <c r="I241" s="98"/>
      <c r="J241" s="98"/>
    </row>
    <row r="242" spans="1:10" x14ac:dyDescent="0.2">
      <c r="A242" s="99" t="s">
        <v>356</v>
      </c>
      <c r="B242" s="91">
        <v>1534</v>
      </c>
      <c r="C242" s="94">
        <v>48.57</v>
      </c>
      <c r="D242" s="88">
        <f>IF(C242="n/a",0,ROUND(B242*C242,0))</f>
        <v>74506</v>
      </c>
      <c r="E242" s="94">
        <v>47.260000000000005</v>
      </c>
      <c r="F242" s="88">
        <f>ROUND(E242*$B242,0)</f>
        <v>72497</v>
      </c>
      <c r="H242" s="98"/>
      <c r="I242" s="94"/>
      <c r="J242" s="98"/>
    </row>
    <row r="243" spans="1:10" x14ac:dyDescent="0.2">
      <c r="A243" s="99"/>
      <c r="B243" s="101"/>
      <c r="C243" s="94"/>
      <c r="D243" s="88"/>
      <c r="E243" s="94"/>
      <c r="F243" s="88"/>
      <c r="H243" s="98"/>
      <c r="I243" s="98"/>
      <c r="J243" s="98"/>
    </row>
    <row r="244" spans="1:10" x14ac:dyDescent="0.2">
      <c r="A244" s="99" t="s">
        <v>357</v>
      </c>
      <c r="B244" s="91">
        <v>9</v>
      </c>
      <c r="C244" s="94">
        <v>14.03</v>
      </c>
      <c r="D244" s="88">
        <f>IF(C244="n/a",0,ROUND(B244*C244,0))</f>
        <v>126</v>
      </c>
      <c r="E244" s="94">
        <v>14.1</v>
      </c>
      <c r="F244" s="88">
        <f>ROUND(E244*$B244,0)</f>
        <v>127</v>
      </c>
      <c r="H244" s="98"/>
      <c r="I244" s="98"/>
      <c r="J244" s="98"/>
    </row>
    <row r="245" spans="1:10" x14ac:dyDescent="0.2">
      <c r="A245" s="99" t="s">
        <v>358</v>
      </c>
      <c r="B245" s="91">
        <v>188</v>
      </c>
      <c r="C245" s="94">
        <v>15.65</v>
      </c>
      <c r="D245" s="88">
        <f>IF(C245="n/a",0,ROUND(B245*C245,0))</f>
        <v>2942</v>
      </c>
      <c r="E245" s="94">
        <v>15.600000000000001</v>
      </c>
      <c r="F245" s="88">
        <f>ROUND(E245*$B245,0)</f>
        <v>2933</v>
      </c>
      <c r="H245" s="98"/>
      <c r="I245" s="98"/>
      <c r="J245" s="98"/>
    </row>
    <row r="246" spans="1:10" x14ac:dyDescent="0.2">
      <c r="A246" s="99" t="s">
        <v>359</v>
      </c>
      <c r="B246" s="91">
        <v>108</v>
      </c>
      <c r="C246" s="94">
        <v>17.77</v>
      </c>
      <c r="D246" s="88">
        <f>IF(C246="n/a",0,ROUND(B246*C246,0))</f>
        <v>1919</v>
      </c>
      <c r="E246" s="94">
        <v>17.61</v>
      </c>
      <c r="F246" s="88">
        <f>ROUND(E246*$B246,0)</f>
        <v>1902</v>
      </c>
      <c r="H246" s="98"/>
      <c r="I246" s="98"/>
      <c r="J246" s="98"/>
    </row>
    <row r="247" spans="1:10" x14ac:dyDescent="0.2">
      <c r="A247" s="99" t="s">
        <v>360</v>
      </c>
      <c r="B247" s="91">
        <v>404</v>
      </c>
      <c r="C247" s="94">
        <v>19.54</v>
      </c>
      <c r="D247" s="88">
        <f>IF(C247="n/a",0,ROUND(B247*C247,0))</f>
        <v>7894</v>
      </c>
      <c r="E247" s="94">
        <v>19.28</v>
      </c>
      <c r="F247" s="88">
        <f>ROUND(E247*$B247,0)</f>
        <v>7789</v>
      </c>
      <c r="H247" s="98"/>
      <c r="I247" s="98"/>
      <c r="J247" s="98"/>
    </row>
    <row r="248" spans="1:10" x14ac:dyDescent="0.2">
      <c r="A248" s="99" t="s">
        <v>361</v>
      </c>
      <c r="B248" s="91">
        <v>579</v>
      </c>
      <c r="C248" s="94">
        <v>25.47</v>
      </c>
      <c r="D248" s="88">
        <f>IF(C248="n/a",0,ROUND(B248*C248,0))</f>
        <v>14747</v>
      </c>
      <c r="E248" s="94">
        <v>24.860000000000003</v>
      </c>
      <c r="F248" s="88">
        <f>ROUND(E248*$B248,0)</f>
        <v>14394</v>
      </c>
      <c r="H248" s="98"/>
      <c r="I248" s="94"/>
      <c r="J248" s="98"/>
    </row>
    <row r="249" spans="1:10" x14ac:dyDescent="0.2">
      <c r="A249" s="99"/>
      <c r="B249" s="101"/>
      <c r="C249" s="94"/>
      <c r="D249" s="88"/>
      <c r="E249" s="94"/>
      <c r="F249" s="88"/>
      <c r="H249" s="98"/>
      <c r="I249" s="98"/>
      <c r="J249" s="98"/>
    </row>
    <row r="250" spans="1:10" x14ac:dyDescent="0.2">
      <c r="A250" s="99" t="s">
        <v>362</v>
      </c>
      <c r="B250" s="91">
        <v>120</v>
      </c>
      <c r="C250" s="94">
        <v>21.08</v>
      </c>
      <c r="D250" s="88">
        <f>IF(C250="n/a",0,ROUND(B250*C250,0))</f>
        <v>2530</v>
      </c>
      <c r="E250" s="94">
        <v>21.52</v>
      </c>
      <c r="F250" s="88">
        <f>ROUND(E250*$B250,0)</f>
        <v>2582</v>
      </c>
      <c r="H250" s="98"/>
      <c r="I250" s="98"/>
      <c r="J250" s="98"/>
    </row>
    <row r="251" spans="1:10" x14ac:dyDescent="0.2">
      <c r="A251" s="99" t="s">
        <v>363</v>
      </c>
      <c r="B251" s="91">
        <v>480</v>
      </c>
      <c r="C251" s="94">
        <v>25.92</v>
      </c>
      <c r="D251" s="88">
        <f>IF(C251="n/a",0,ROUND(B251*C251,0))</f>
        <v>12442</v>
      </c>
      <c r="E251" s="94">
        <v>26.040000000000003</v>
      </c>
      <c r="F251" s="88">
        <f>ROUND(E251*$B251,0)</f>
        <v>12499</v>
      </c>
      <c r="H251" s="98"/>
      <c r="I251" s="94"/>
      <c r="J251" s="98"/>
    </row>
    <row r="252" spans="1:10" x14ac:dyDescent="0.2">
      <c r="A252" s="99"/>
      <c r="B252" s="101"/>
      <c r="C252" s="94"/>
      <c r="D252" s="88"/>
      <c r="E252" s="94"/>
      <c r="F252" s="88"/>
      <c r="J252" s="98"/>
    </row>
    <row r="253" spans="1:10" x14ac:dyDescent="0.2">
      <c r="A253" s="97" t="s">
        <v>418</v>
      </c>
      <c r="B253" s="91">
        <v>0</v>
      </c>
      <c r="C253" s="94">
        <v>12.16</v>
      </c>
      <c r="D253" s="88">
        <f t="shared" ref="D253:D268" si="30">IF(C253="n/a",0,ROUND(B253*C253,0))</f>
        <v>0</v>
      </c>
      <c r="E253" s="94">
        <v>8.76</v>
      </c>
      <c r="F253" s="88">
        <f t="shared" ref="F253:F268" si="31">ROUND(E253*$B253,0)</f>
        <v>0</v>
      </c>
      <c r="J253" s="98"/>
    </row>
    <row r="254" spans="1:10" x14ac:dyDescent="0.2">
      <c r="A254" s="97" t="s">
        <v>364</v>
      </c>
      <c r="B254" s="91">
        <v>34</v>
      </c>
      <c r="C254" s="94">
        <v>12.16</v>
      </c>
      <c r="D254" s="88">
        <f t="shared" si="30"/>
        <v>413</v>
      </c>
      <c r="E254" s="94">
        <v>11.24</v>
      </c>
      <c r="F254" s="88">
        <f t="shared" si="31"/>
        <v>382</v>
      </c>
      <c r="J254" s="98"/>
    </row>
    <row r="255" spans="1:10" x14ac:dyDescent="0.2">
      <c r="A255" s="100" t="s">
        <v>365</v>
      </c>
      <c r="B255" s="91">
        <v>601</v>
      </c>
      <c r="C255" s="94">
        <v>14.03</v>
      </c>
      <c r="D255" s="88">
        <f t="shared" si="30"/>
        <v>8432</v>
      </c>
      <c r="E255" s="94">
        <v>13.709999999999999</v>
      </c>
      <c r="F255" s="88">
        <f t="shared" si="31"/>
        <v>8240</v>
      </c>
      <c r="J255" s="98"/>
    </row>
    <row r="256" spans="1:10" x14ac:dyDescent="0.2">
      <c r="A256" s="100" t="s">
        <v>366</v>
      </c>
      <c r="B256" s="91">
        <v>184</v>
      </c>
      <c r="C256" s="94">
        <v>15.89</v>
      </c>
      <c r="D256" s="88">
        <f t="shared" si="30"/>
        <v>2924</v>
      </c>
      <c r="E256" s="94">
        <v>16.190000000000001</v>
      </c>
      <c r="F256" s="88">
        <f t="shared" si="31"/>
        <v>2979</v>
      </c>
      <c r="J256" s="98"/>
    </row>
    <row r="257" spans="1:10" x14ac:dyDescent="0.2">
      <c r="A257" s="100" t="s">
        <v>367</v>
      </c>
      <c r="B257" s="91">
        <v>1131</v>
      </c>
      <c r="C257" s="94">
        <v>17.760000000000002</v>
      </c>
      <c r="D257" s="88">
        <f t="shared" si="30"/>
        <v>20087</v>
      </c>
      <c r="E257" s="94">
        <v>18.670000000000002</v>
      </c>
      <c r="F257" s="88">
        <f t="shared" si="31"/>
        <v>21116</v>
      </c>
      <c r="J257" s="98"/>
    </row>
    <row r="258" spans="1:10" x14ac:dyDescent="0.2">
      <c r="A258" s="100" t="s">
        <v>368</v>
      </c>
      <c r="B258" s="91">
        <v>131</v>
      </c>
      <c r="C258" s="94">
        <v>19.62</v>
      </c>
      <c r="D258" s="88">
        <f t="shared" si="30"/>
        <v>2570</v>
      </c>
      <c r="E258" s="94">
        <v>21.130000000000003</v>
      </c>
      <c r="F258" s="88">
        <f t="shared" si="31"/>
        <v>2768</v>
      </c>
      <c r="J258" s="98"/>
    </row>
    <row r="259" spans="1:10" x14ac:dyDescent="0.2">
      <c r="A259" s="100" t="s">
        <v>369</v>
      </c>
      <c r="B259" s="91">
        <v>0</v>
      </c>
      <c r="C259" s="94">
        <v>21.49</v>
      </c>
      <c r="D259" s="88">
        <f t="shared" si="30"/>
        <v>0</v>
      </c>
      <c r="E259" s="94">
        <v>23.62</v>
      </c>
      <c r="F259" s="88">
        <f t="shared" si="31"/>
        <v>0</v>
      </c>
      <c r="J259" s="98"/>
    </row>
    <row r="260" spans="1:10" x14ac:dyDescent="0.2">
      <c r="A260" s="100" t="s">
        <v>370</v>
      </c>
      <c r="B260" s="91">
        <v>121</v>
      </c>
      <c r="C260" s="94">
        <v>23.35</v>
      </c>
      <c r="D260" s="88">
        <f t="shared" si="30"/>
        <v>2825</v>
      </c>
      <c r="E260" s="94">
        <v>26.1</v>
      </c>
      <c r="F260" s="88">
        <f t="shared" si="31"/>
        <v>3158</v>
      </c>
      <c r="J260" s="98"/>
    </row>
    <row r="261" spans="1:10" x14ac:dyDescent="0.2">
      <c r="A261" s="100" t="s">
        <v>371</v>
      </c>
      <c r="B261" s="91">
        <v>269</v>
      </c>
      <c r="C261" s="94">
        <v>25.22</v>
      </c>
      <c r="D261" s="88">
        <f t="shared" si="30"/>
        <v>6784</v>
      </c>
      <c r="E261" s="94">
        <v>28.570000000000004</v>
      </c>
      <c r="F261" s="88">
        <f t="shared" si="31"/>
        <v>7685</v>
      </c>
      <c r="J261" s="98"/>
    </row>
    <row r="262" spans="1:10" x14ac:dyDescent="0.2">
      <c r="A262" s="100" t="s">
        <v>372</v>
      </c>
      <c r="B262" s="91">
        <v>0</v>
      </c>
      <c r="C262" s="94">
        <v>27.08</v>
      </c>
      <c r="D262" s="88">
        <f t="shared" si="30"/>
        <v>0</v>
      </c>
      <c r="E262" s="94">
        <v>31.05</v>
      </c>
      <c r="F262" s="88">
        <f t="shared" si="31"/>
        <v>0</v>
      </c>
      <c r="J262" s="98"/>
    </row>
    <row r="263" spans="1:10" x14ac:dyDescent="0.2">
      <c r="A263" s="97" t="s">
        <v>373</v>
      </c>
      <c r="B263" s="91">
        <v>0</v>
      </c>
      <c r="C263" s="94">
        <v>31.12</v>
      </c>
      <c r="D263" s="88">
        <f t="shared" si="30"/>
        <v>0</v>
      </c>
      <c r="E263" s="94">
        <v>36.410000000000004</v>
      </c>
      <c r="F263" s="88">
        <f t="shared" si="31"/>
        <v>0</v>
      </c>
      <c r="J263" s="98"/>
    </row>
    <row r="264" spans="1:10" x14ac:dyDescent="0.2">
      <c r="A264" s="99" t="s">
        <v>374</v>
      </c>
      <c r="B264" s="91">
        <v>0</v>
      </c>
      <c r="C264" s="94">
        <v>37.340000000000003</v>
      </c>
      <c r="D264" s="88">
        <f t="shared" si="30"/>
        <v>0</v>
      </c>
      <c r="E264" s="94">
        <v>44.67</v>
      </c>
      <c r="F264" s="88">
        <f t="shared" si="31"/>
        <v>0</v>
      </c>
      <c r="J264" s="98"/>
    </row>
    <row r="265" spans="1:10" x14ac:dyDescent="0.2">
      <c r="A265" s="97" t="s">
        <v>375</v>
      </c>
      <c r="B265" s="91">
        <v>0</v>
      </c>
      <c r="C265" s="94">
        <v>43.55</v>
      </c>
      <c r="D265" s="88">
        <f t="shared" si="30"/>
        <v>0</v>
      </c>
      <c r="E265" s="94">
        <v>52.929999999999993</v>
      </c>
      <c r="F265" s="88">
        <f t="shared" si="31"/>
        <v>0</v>
      </c>
      <c r="J265" s="98"/>
    </row>
    <row r="266" spans="1:10" x14ac:dyDescent="0.2">
      <c r="A266" s="99" t="s">
        <v>376</v>
      </c>
      <c r="B266" s="91">
        <v>0</v>
      </c>
      <c r="C266" s="94">
        <v>49.77</v>
      </c>
      <c r="D266" s="88">
        <f t="shared" si="30"/>
        <v>0</v>
      </c>
      <c r="E266" s="94">
        <v>61.2</v>
      </c>
      <c r="F266" s="88">
        <f t="shared" si="31"/>
        <v>0</v>
      </c>
      <c r="J266" s="98"/>
    </row>
    <row r="267" spans="1:10" x14ac:dyDescent="0.2">
      <c r="A267" s="99" t="s">
        <v>377</v>
      </c>
      <c r="B267" s="91">
        <v>0</v>
      </c>
      <c r="C267" s="94">
        <v>55.99</v>
      </c>
      <c r="D267" s="88">
        <f t="shared" si="30"/>
        <v>0</v>
      </c>
      <c r="E267" s="94">
        <v>69.45</v>
      </c>
      <c r="F267" s="88">
        <f t="shared" si="31"/>
        <v>0</v>
      </c>
      <c r="J267" s="98"/>
    </row>
    <row r="268" spans="1:10" x14ac:dyDescent="0.2">
      <c r="A268" s="97" t="s">
        <v>378</v>
      </c>
      <c r="B268" s="91">
        <v>0</v>
      </c>
      <c r="C268" s="94">
        <v>62.2</v>
      </c>
      <c r="D268" s="88">
        <f t="shared" si="30"/>
        <v>0</v>
      </c>
      <c r="E268" s="94">
        <v>77.72</v>
      </c>
      <c r="F268" s="88">
        <f t="shared" si="31"/>
        <v>0</v>
      </c>
      <c r="J268" s="98"/>
    </row>
    <row r="270" spans="1:10" x14ac:dyDescent="0.2">
      <c r="A270" s="97" t="s">
        <v>477</v>
      </c>
      <c r="B270" s="91">
        <v>1869</v>
      </c>
      <c r="C270" s="94">
        <v>11.05</v>
      </c>
      <c r="D270" s="88">
        <f>IF(C270="n/a",0,ROUND(B270*C270,0))</f>
        <v>20652</v>
      </c>
      <c r="E270" s="94">
        <v>8.4</v>
      </c>
      <c r="F270" s="88">
        <f>ROUND(E270*$B270,0)</f>
        <v>15700</v>
      </c>
    </row>
    <row r="271" spans="1:10" x14ac:dyDescent="0.2">
      <c r="A271" s="96" t="s">
        <v>253</v>
      </c>
      <c r="B271" s="95">
        <f>SUM(B232:B270)</f>
        <v>19465</v>
      </c>
      <c r="C271" s="94"/>
      <c r="D271" s="93">
        <f>SUM(D232:D270)</f>
        <v>425767</v>
      </c>
      <c r="E271" s="94"/>
      <c r="F271" s="93">
        <f>SUM(F232:F270)</f>
        <v>417734</v>
      </c>
    </row>
    <row r="272" spans="1:10" x14ac:dyDescent="0.2">
      <c r="A272" s="92"/>
      <c r="B272" s="91"/>
      <c r="D272" s="88"/>
      <c r="F272" s="88"/>
    </row>
    <row r="273" spans="1:18" x14ac:dyDescent="0.2">
      <c r="A273" s="90" t="s">
        <v>254</v>
      </c>
      <c r="B273" s="111">
        <v>2199040</v>
      </c>
      <c r="D273" s="88"/>
      <c r="F273" s="88"/>
    </row>
    <row r="274" spans="1:18" x14ac:dyDescent="0.2">
      <c r="A274" s="90" t="s">
        <v>255</v>
      </c>
      <c r="B274" s="111">
        <v>1961</v>
      </c>
      <c r="C274" s="89">
        <f>ROUND(D274/B274,6)</f>
        <v>0.25446200000000002</v>
      </c>
      <c r="D274" s="88">
        <f>$N$18</f>
        <v>499</v>
      </c>
      <c r="E274" s="89">
        <f>ROUND(F274/B274,6)</f>
        <v>0.25293199999999999</v>
      </c>
      <c r="F274" s="88">
        <f>ROUND(+D274*(1+H274),0)</f>
        <v>496</v>
      </c>
      <c r="G274" s="87"/>
      <c r="H274" s="86">
        <f>+$H$44</f>
        <v>-5.889626608585493E-3</v>
      </c>
      <c r="I274" s="256"/>
      <c r="J274" s="256"/>
      <c r="K274" s="85"/>
      <c r="L274" s="85"/>
      <c r="M274" s="85"/>
      <c r="N274" s="85"/>
      <c r="O274" s="85"/>
      <c r="P274" s="85"/>
      <c r="Q274" s="85"/>
      <c r="R274" s="85"/>
    </row>
    <row r="275" spans="1:18" ht="12" thickBot="1" x14ac:dyDescent="0.25">
      <c r="A275" s="84" t="s">
        <v>19</v>
      </c>
      <c r="B275" s="83">
        <f>SUM(B273:B274)</f>
        <v>2201001</v>
      </c>
      <c r="C275" s="82"/>
      <c r="D275" s="81">
        <f>SUM(D271,D274)</f>
        <v>426266</v>
      </c>
      <c r="E275" s="82"/>
      <c r="F275" s="81">
        <f>SUM(F271,F274)</f>
        <v>418230</v>
      </c>
      <c r="H275" s="256" t="s">
        <v>256</v>
      </c>
      <c r="I275" s="256"/>
    </row>
    <row r="276" spans="1:18" ht="12" thickTop="1" x14ac:dyDescent="0.2"/>
  </sheetData>
  <mergeCells count="37">
    <mergeCell ref="E26:F26"/>
    <mergeCell ref="C8:D8"/>
    <mergeCell ref="E8:F8"/>
    <mergeCell ref="A229:F229"/>
    <mergeCell ref="I226:J226"/>
    <mergeCell ref="A47:F47"/>
    <mergeCell ref="I66:J66"/>
    <mergeCell ref="A69:F69"/>
    <mergeCell ref="A188:F188"/>
    <mergeCell ref="I216:J216"/>
    <mergeCell ref="A219:F219"/>
    <mergeCell ref="I185:J185"/>
    <mergeCell ref="A1:R1"/>
    <mergeCell ref="A2:R2"/>
    <mergeCell ref="A4:R4"/>
    <mergeCell ref="A5:R5"/>
    <mergeCell ref="A159:F159"/>
    <mergeCell ref="A97:F97"/>
    <mergeCell ref="I156:J156"/>
    <mergeCell ref="H7:J7"/>
    <mergeCell ref="L7:N7"/>
    <mergeCell ref="P7:R7"/>
    <mergeCell ref="A10:F10"/>
    <mergeCell ref="A28:F28"/>
    <mergeCell ref="I44:J44"/>
    <mergeCell ref="H45:I45"/>
    <mergeCell ref="A3:R3"/>
    <mergeCell ref="C26:D26"/>
    <mergeCell ref="H275:I275"/>
    <mergeCell ref="H67:I67"/>
    <mergeCell ref="H95:I95"/>
    <mergeCell ref="H157:I157"/>
    <mergeCell ref="H186:I186"/>
    <mergeCell ref="H217:I217"/>
    <mergeCell ref="H227:I227"/>
    <mergeCell ref="I94:J94"/>
    <mergeCell ref="I274:J274"/>
  </mergeCells>
  <pageMargins left="0.7" right="0.7" top="0.75" bottom="0.75" header="0.3" footer="0.3"/>
  <pageSetup scale="63" fitToHeight="0" orientation="landscape" r:id="rId1"/>
  <headerFooter>
    <oddFooter>&amp;R&amp;F
&amp;A
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D118"/>
  <sheetViews>
    <sheetView zoomScaleNormal="100" workbookViewId="0">
      <pane ySplit="7" topLeftCell="A8" activePane="bottomLeft" state="frozen"/>
      <selection activeCell="D32" sqref="D32"/>
      <selection pane="bottomLeft" activeCell="F20" sqref="F20"/>
    </sheetView>
  </sheetViews>
  <sheetFormatPr defaultColWidth="9.140625" defaultRowHeight="11.25" x14ac:dyDescent="0.2"/>
  <cols>
    <col min="1" max="1" width="4.85546875" style="15" customWidth="1"/>
    <col min="2" max="2" width="9.5703125" style="6" bestFit="1" customWidth="1"/>
    <col min="3" max="3" width="53.42578125" style="6" customWidth="1"/>
    <col min="4" max="4" width="21.85546875" style="6" customWidth="1"/>
    <col min="5" max="5" width="10.5703125" style="6" bestFit="1" customWidth="1"/>
    <col min="6" max="6" width="10.85546875" style="6" bestFit="1" customWidth="1"/>
    <col min="7" max="16384" width="9.140625" style="6"/>
  </cols>
  <sheetData>
    <row r="1" spans="1:4" ht="12" customHeight="1" x14ac:dyDescent="0.2">
      <c r="A1" s="249" t="str">
        <f>'BDJ-6 Base Revenue (Summary)'!A1</f>
        <v>Puget Sound Energy</v>
      </c>
      <c r="B1" s="249"/>
      <c r="C1" s="249"/>
      <c r="D1" s="249"/>
    </row>
    <row r="2" spans="1:4" ht="12" customHeight="1" x14ac:dyDescent="0.2">
      <c r="A2" s="249" t="s">
        <v>178</v>
      </c>
      <c r="B2" s="249"/>
      <c r="C2" s="249"/>
      <c r="D2" s="249"/>
    </row>
    <row r="3" spans="1:4" ht="12" customHeight="1" x14ac:dyDescent="0.2">
      <c r="A3" s="249" t="str">
        <f>'BDJ-6 Base Revenue (Summary)'!A4</f>
        <v>2022 General Rate Case (GRC)</v>
      </c>
      <c r="B3" s="249"/>
      <c r="C3" s="249"/>
      <c r="D3" s="249"/>
    </row>
    <row r="4" spans="1:4" ht="12" customHeight="1" x14ac:dyDescent="0.2">
      <c r="A4" s="249" t="str">
        <f>'BDJ-6 Base Revenue (Summary)'!A5</f>
        <v>Test Year Ending June 30, 2021</v>
      </c>
      <c r="B4" s="249"/>
      <c r="C4" s="249"/>
      <c r="D4" s="249"/>
    </row>
    <row r="6" spans="1:4" x14ac:dyDescent="0.2">
      <c r="D6" s="142" t="s">
        <v>222</v>
      </c>
    </row>
    <row r="7" spans="1:4" ht="22.5" x14ac:dyDescent="0.2">
      <c r="A7" s="1" t="s">
        <v>1</v>
      </c>
      <c r="B7" s="181" t="s">
        <v>82</v>
      </c>
      <c r="C7" s="181" t="s">
        <v>174</v>
      </c>
      <c r="D7" s="167" t="s">
        <v>220</v>
      </c>
    </row>
    <row r="8" spans="1:4" x14ac:dyDescent="0.2">
      <c r="A8" s="2"/>
      <c r="B8" s="3" t="s">
        <v>3</v>
      </c>
      <c r="C8" s="3" t="s">
        <v>4</v>
      </c>
      <c r="D8" s="3" t="s">
        <v>5</v>
      </c>
    </row>
    <row r="9" spans="1:4" x14ac:dyDescent="0.2">
      <c r="A9" s="15">
        <v>1</v>
      </c>
      <c r="B9" s="182" t="s">
        <v>157</v>
      </c>
      <c r="C9" s="183"/>
      <c r="D9" s="183"/>
    </row>
    <row r="10" spans="1:4" x14ac:dyDescent="0.2">
      <c r="A10" s="15">
        <f t="shared" ref="A10:A41" si="0">A9+1</f>
        <v>2</v>
      </c>
      <c r="C10" s="184" t="s">
        <v>441</v>
      </c>
      <c r="D10" s="183"/>
    </row>
    <row r="11" spans="1:4" x14ac:dyDescent="0.2">
      <c r="A11" s="15">
        <f t="shared" si="0"/>
        <v>3</v>
      </c>
      <c r="C11" s="6" t="s">
        <v>147</v>
      </c>
      <c r="D11" s="24">
        <f>'BDJ-6 Classification of Costs'!D52</f>
        <v>4817499.7229409078</v>
      </c>
    </row>
    <row r="12" spans="1:4" x14ac:dyDescent="0.2">
      <c r="A12" s="15">
        <f t="shared" si="0"/>
        <v>4</v>
      </c>
      <c r="C12" s="6" t="s">
        <v>146</v>
      </c>
      <c r="D12" s="24">
        <f>'BDJ-6 Classification of Costs'!E52</f>
        <v>3634420.9420268596</v>
      </c>
    </row>
    <row r="13" spans="1:4" x14ac:dyDescent="0.2">
      <c r="A13" s="15">
        <f t="shared" si="0"/>
        <v>5</v>
      </c>
      <c r="C13" s="6" t="s">
        <v>150</v>
      </c>
      <c r="D13" s="73">
        <v>1.6130980734759878E-2</v>
      </c>
    </row>
    <row r="14" spans="1:4" x14ac:dyDescent="0.2">
      <c r="A14" s="15">
        <f t="shared" si="0"/>
        <v>6</v>
      </c>
      <c r="C14" s="6" t="s">
        <v>151</v>
      </c>
      <c r="D14" s="24">
        <f>D12*D13</f>
        <v>58626.774197843115</v>
      </c>
    </row>
    <row r="15" spans="1:4" x14ac:dyDescent="0.2">
      <c r="A15" s="15">
        <f t="shared" si="0"/>
        <v>7</v>
      </c>
      <c r="C15" s="6" t="s">
        <v>152</v>
      </c>
      <c r="D15" s="24">
        <f>SUM(D11:D12)-D14</f>
        <v>8393293.890769925</v>
      </c>
    </row>
    <row r="16" spans="1:4" x14ac:dyDescent="0.2">
      <c r="A16" s="15">
        <f t="shared" si="0"/>
        <v>8</v>
      </c>
      <c r="C16" s="6" t="s">
        <v>119</v>
      </c>
      <c r="D16" s="24">
        <v>0</v>
      </c>
    </row>
    <row r="17" spans="1:4" ht="12" thickBot="1" x14ac:dyDescent="0.25">
      <c r="A17" s="15">
        <f t="shared" si="0"/>
        <v>9</v>
      </c>
      <c r="C17" s="185" t="s">
        <v>117</v>
      </c>
      <c r="D17" s="186">
        <f>D15-D16</f>
        <v>8393293.890769925</v>
      </c>
    </row>
    <row r="18" spans="1:4" ht="12" thickTop="1" x14ac:dyDescent="0.2">
      <c r="A18" s="15">
        <f t="shared" si="0"/>
        <v>10</v>
      </c>
      <c r="C18" s="6" t="s">
        <v>116</v>
      </c>
      <c r="D18" s="24">
        <v>68100922.699889734</v>
      </c>
    </row>
    <row r="19" spans="1:4" x14ac:dyDescent="0.2">
      <c r="A19" s="15">
        <f t="shared" si="0"/>
        <v>11</v>
      </c>
      <c r="C19" s="6" t="s">
        <v>403</v>
      </c>
      <c r="D19" s="31">
        <f>D17/D18</f>
        <v>0.12324787327416806</v>
      </c>
    </row>
    <row r="20" spans="1:4" ht="12" thickBot="1" x14ac:dyDescent="0.25">
      <c r="A20" s="15">
        <f t="shared" si="0"/>
        <v>12</v>
      </c>
      <c r="C20" s="6" t="s">
        <v>118</v>
      </c>
      <c r="D20" s="191">
        <f>(D19/12)</f>
        <v>1.0270656106180671E-2</v>
      </c>
    </row>
    <row r="21" spans="1:4" ht="12" thickTop="1" x14ac:dyDescent="0.2">
      <c r="A21" s="15">
        <f t="shared" si="0"/>
        <v>13</v>
      </c>
    </row>
    <row r="22" spans="1:4" x14ac:dyDescent="0.2">
      <c r="A22" s="15">
        <f t="shared" si="0"/>
        <v>14</v>
      </c>
      <c r="C22" s="184" t="s">
        <v>163</v>
      </c>
      <c r="D22" s="183"/>
    </row>
    <row r="23" spans="1:4" x14ac:dyDescent="0.2">
      <c r="A23" s="15">
        <f t="shared" si="0"/>
        <v>15</v>
      </c>
      <c r="C23" s="6" t="s">
        <v>153</v>
      </c>
      <c r="D23" s="24">
        <f>D14</f>
        <v>58626.774197843115</v>
      </c>
    </row>
    <row r="24" spans="1:4" x14ac:dyDescent="0.2">
      <c r="A24" s="15">
        <f t="shared" si="0"/>
        <v>16</v>
      </c>
      <c r="C24" s="6" t="s">
        <v>154</v>
      </c>
      <c r="D24" s="24">
        <v>1538649.7932336619</v>
      </c>
    </row>
    <row r="25" spans="1:4" x14ac:dyDescent="0.2">
      <c r="A25" s="15">
        <f t="shared" si="0"/>
        <v>17</v>
      </c>
      <c r="C25" s="6" t="s">
        <v>404</v>
      </c>
      <c r="D25" s="31">
        <f>D23/D24</f>
        <v>3.8102740763791179E-2</v>
      </c>
    </row>
    <row r="26" spans="1:4" ht="12" thickBot="1" x14ac:dyDescent="0.25">
      <c r="A26" s="15">
        <f t="shared" si="0"/>
        <v>18</v>
      </c>
      <c r="C26" s="6" t="s">
        <v>88</v>
      </c>
      <c r="D26" s="147">
        <f>D25/12</f>
        <v>3.1752283969825983E-3</v>
      </c>
    </row>
    <row r="27" spans="1:4" ht="12" thickTop="1" x14ac:dyDescent="0.2">
      <c r="A27" s="15">
        <f t="shared" si="0"/>
        <v>19</v>
      </c>
    </row>
    <row r="28" spans="1:4" x14ac:dyDescent="0.2">
      <c r="A28" s="15">
        <f t="shared" si="0"/>
        <v>20</v>
      </c>
      <c r="C28" s="184" t="s">
        <v>162</v>
      </c>
      <c r="D28" s="183"/>
    </row>
    <row r="29" spans="1:4" x14ac:dyDescent="0.2">
      <c r="A29" s="15">
        <f t="shared" si="0"/>
        <v>21</v>
      </c>
      <c r="C29" s="6" t="s">
        <v>155</v>
      </c>
      <c r="D29" s="24">
        <f>D15</f>
        <v>8393293.890769925</v>
      </c>
    </row>
    <row r="30" spans="1:4" x14ac:dyDescent="0.2">
      <c r="A30" s="15">
        <f t="shared" si="0"/>
        <v>22</v>
      </c>
      <c r="C30" s="6" t="s">
        <v>137</v>
      </c>
      <c r="D30" s="73">
        <v>0.13944993234892758</v>
      </c>
    </row>
    <row r="31" spans="1:4" x14ac:dyDescent="0.2">
      <c r="A31" s="15">
        <f t="shared" si="0"/>
        <v>23</v>
      </c>
      <c r="C31" s="6" t="s">
        <v>138</v>
      </c>
      <c r="D31" s="24">
        <v>0</v>
      </c>
    </row>
    <row r="32" spans="1:4" x14ac:dyDescent="0.2">
      <c r="A32" s="15">
        <f t="shared" si="0"/>
        <v>24</v>
      </c>
      <c r="C32" s="185" t="s">
        <v>139</v>
      </c>
      <c r="D32" s="24">
        <f>D30*D31</f>
        <v>0</v>
      </c>
    </row>
    <row r="33" spans="1:4" x14ac:dyDescent="0.2">
      <c r="A33" s="15">
        <f t="shared" si="0"/>
        <v>25</v>
      </c>
      <c r="C33" s="6" t="s">
        <v>396</v>
      </c>
      <c r="D33" s="187">
        <f>D30</f>
        <v>0.13944993234892758</v>
      </c>
    </row>
    <row r="34" spans="1:4" ht="12" thickBot="1" x14ac:dyDescent="0.25">
      <c r="A34" s="15">
        <f t="shared" si="0"/>
        <v>26</v>
      </c>
      <c r="C34" s="6" t="s">
        <v>397</v>
      </c>
      <c r="D34" s="192">
        <f>D33/12</f>
        <v>1.1620827695743964E-2</v>
      </c>
    </row>
    <row r="35" spans="1:4" ht="12" thickTop="1" x14ac:dyDescent="0.2">
      <c r="A35" s="15">
        <f t="shared" si="0"/>
        <v>27</v>
      </c>
      <c r="D35" s="73"/>
    </row>
    <row r="36" spans="1:4" x14ac:dyDescent="0.2">
      <c r="A36" s="15">
        <f t="shared" si="0"/>
        <v>28</v>
      </c>
      <c r="B36" s="182" t="s">
        <v>114</v>
      </c>
      <c r="C36" s="183"/>
      <c r="D36" s="183"/>
    </row>
    <row r="37" spans="1:4" x14ac:dyDescent="0.2">
      <c r="A37" s="15">
        <f t="shared" si="0"/>
        <v>29</v>
      </c>
      <c r="C37" s="188" t="s">
        <v>442</v>
      </c>
      <c r="D37" s="189"/>
    </row>
    <row r="38" spans="1:4" x14ac:dyDescent="0.2">
      <c r="A38" s="15">
        <f t="shared" si="0"/>
        <v>30</v>
      </c>
      <c r="C38" s="6" t="s">
        <v>84</v>
      </c>
      <c r="D38" s="24">
        <f>'BDJ-6 Classification of Costs'!F52</f>
        <v>3213473.8126451815</v>
      </c>
    </row>
    <row r="39" spans="1:4" x14ac:dyDescent="0.2">
      <c r="A39" s="15">
        <f t="shared" si="0"/>
        <v>31</v>
      </c>
      <c r="C39" s="6" t="s">
        <v>120</v>
      </c>
      <c r="D39" s="24">
        <v>1589355.8090113411</v>
      </c>
    </row>
    <row r="40" spans="1:4" x14ac:dyDescent="0.2">
      <c r="A40" s="15">
        <f t="shared" si="0"/>
        <v>32</v>
      </c>
      <c r="C40" s="185" t="s">
        <v>117</v>
      </c>
      <c r="D40" s="24">
        <f>D38-D39</f>
        <v>1624118.0036338405</v>
      </c>
    </row>
    <row r="41" spans="1:4" x14ac:dyDescent="0.2">
      <c r="A41" s="15">
        <f t="shared" si="0"/>
        <v>33</v>
      </c>
      <c r="C41" s="6" t="s">
        <v>85</v>
      </c>
      <c r="D41" s="74">
        <v>58504</v>
      </c>
    </row>
    <row r="42" spans="1:4" x14ac:dyDescent="0.2">
      <c r="A42" s="15">
        <f t="shared" ref="A42:A73" si="1">A41+1</f>
        <v>34</v>
      </c>
      <c r="C42" s="6" t="s">
        <v>405</v>
      </c>
      <c r="D42" s="31">
        <f>D40/D41</f>
        <v>27.760802742271306</v>
      </c>
    </row>
    <row r="43" spans="1:4" ht="12" thickBot="1" x14ac:dyDescent="0.25">
      <c r="A43" s="15">
        <f t="shared" si="1"/>
        <v>35</v>
      </c>
      <c r="C43" s="6" t="s">
        <v>86</v>
      </c>
      <c r="D43" s="147">
        <f>D42/12</f>
        <v>2.313400228522609</v>
      </c>
    </row>
    <row r="44" spans="1:4" ht="12" thickTop="1" x14ac:dyDescent="0.2">
      <c r="A44" s="15">
        <f t="shared" si="1"/>
        <v>36</v>
      </c>
    </row>
    <row r="45" spans="1:4" x14ac:dyDescent="0.2">
      <c r="A45" s="15">
        <f t="shared" si="1"/>
        <v>37</v>
      </c>
      <c r="C45" s="184" t="s">
        <v>185</v>
      </c>
      <c r="D45" s="183"/>
    </row>
    <row r="46" spans="1:4" x14ac:dyDescent="0.2">
      <c r="A46" s="15">
        <f t="shared" si="1"/>
        <v>38</v>
      </c>
      <c r="C46" s="6" t="s">
        <v>84</v>
      </c>
      <c r="D46" s="24">
        <f>'BDJ-6 Classification of Costs'!F52</f>
        <v>3213473.8126451815</v>
      </c>
    </row>
    <row r="47" spans="1:4" x14ac:dyDescent="0.2">
      <c r="A47" s="15">
        <f t="shared" si="1"/>
        <v>39</v>
      </c>
      <c r="C47" s="6" t="s">
        <v>140</v>
      </c>
      <c r="D47" s="73">
        <v>1.7016602872426446E-2</v>
      </c>
    </row>
    <row r="48" spans="1:4" x14ac:dyDescent="0.2">
      <c r="A48" s="15">
        <f t="shared" si="1"/>
        <v>40</v>
      </c>
      <c r="C48" s="6" t="s">
        <v>187</v>
      </c>
      <c r="D48" s="24">
        <v>42331597.166666664</v>
      </c>
    </row>
    <row r="49" spans="1:4" x14ac:dyDescent="0.2">
      <c r="A49" s="15">
        <f t="shared" si="1"/>
        <v>41</v>
      </c>
      <c r="C49" s="6" t="s">
        <v>188</v>
      </c>
      <c r="D49" s="24">
        <f>D48*D47</f>
        <v>720339.9779406992</v>
      </c>
    </row>
    <row r="50" spans="1:4" x14ac:dyDescent="0.2">
      <c r="A50" s="15">
        <f t="shared" si="1"/>
        <v>42</v>
      </c>
      <c r="C50" s="6" t="s">
        <v>406</v>
      </c>
      <c r="D50" s="75">
        <f>D47</f>
        <v>1.7016602872426446E-2</v>
      </c>
    </row>
    <row r="51" spans="1:4" ht="12" thickBot="1" x14ac:dyDescent="0.25">
      <c r="A51" s="15">
        <f t="shared" si="1"/>
        <v>43</v>
      </c>
      <c r="C51" s="6" t="s">
        <v>398</v>
      </c>
      <c r="D51" s="193">
        <f>D50/12</f>
        <v>1.4180502393688706E-3</v>
      </c>
    </row>
    <row r="52" spans="1:4" ht="12" thickTop="1" x14ac:dyDescent="0.2">
      <c r="A52" s="15">
        <f t="shared" si="1"/>
        <v>44</v>
      </c>
      <c r="D52" s="190"/>
    </row>
    <row r="53" spans="1:4" x14ac:dyDescent="0.2">
      <c r="A53" s="15">
        <f t="shared" si="1"/>
        <v>45</v>
      </c>
      <c r="C53" s="184" t="s">
        <v>186</v>
      </c>
      <c r="D53" s="183"/>
    </row>
    <row r="54" spans="1:4" x14ac:dyDescent="0.2">
      <c r="A54" s="15">
        <f t="shared" si="1"/>
        <v>46</v>
      </c>
      <c r="C54" s="6" t="s">
        <v>84</v>
      </c>
      <c r="D54" s="24">
        <f>'BDJ-6 Classification of Costs'!F52</f>
        <v>3213473.8126451815</v>
      </c>
    </row>
    <row r="55" spans="1:4" x14ac:dyDescent="0.2">
      <c r="A55" s="15">
        <f t="shared" si="1"/>
        <v>47</v>
      </c>
      <c r="C55" s="6" t="s">
        <v>140</v>
      </c>
      <c r="D55" s="73">
        <v>1.7016602872426449E-2</v>
      </c>
    </row>
    <row r="56" spans="1:4" x14ac:dyDescent="0.2">
      <c r="A56" s="15">
        <f t="shared" si="1"/>
        <v>48</v>
      </c>
      <c r="C56" s="6" t="s">
        <v>189</v>
      </c>
      <c r="D56" s="24">
        <v>51068702.583333336</v>
      </c>
    </row>
    <row r="57" spans="1:4" x14ac:dyDescent="0.2">
      <c r="A57" s="15">
        <f t="shared" si="1"/>
        <v>49</v>
      </c>
      <c r="C57" s="6" t="s">
        <v>120</v>
      </c>
      <c r="D57" s="24">
        <f>D56*D55</f>
        <v>869015.8310706421</v>
      </c>
    </row>
    <row r="58" spans="1:4" x14ac:dyDescent="0.2">
      <c r="A58" s="15">
        <f t="shared" si="1"/>
        <v>50</v>
      </c>
      <c r="C58" s="6" t="s">
        <v>406</v>
      </c>
      <c r="D58" s="75">
        <f>D55</f>
        <v>1.7016602872426449E-2</v>
      </c>
    </row>
    <row r="59" spans="1:4" ht="12" thickBot="1" x14ac:dyDescent="0.25">
      <c r="A59" s="15">
        <f t="shared" si="1"/>
        <v>51</v>
      </c>
      <c r="C59" s="6" t="s">
        <v>398</v>
      </c>
      <c r="D59" s="193">
        <f>D58/12</f>
        <v>1.4180502393688708E-3</v>
      </c>
    </row>
    <row r="60" spans="1:4" ht="12" thickTop="1" x14ac:dyDescent="0.2">
      <c r="A60" s="15">
        <f t="shared" si="1"/>
        <v>52</v>
      </c>
      <c r="B60" s="182" t="s">
        <v>18</v>
      </c>
      <c r="C60" s="183"/>
      <c r="D60" s="183"/>
    </row>
    <row r="61" spans="1:4" x14ac:dyDescent="0.2">
      <c r="A61" s="15">
        <f t="shared" si="1"/>
        <v>53</v>
      </c>
      <c r="C61" s="184" t="s">
        <v>172</v>
      </c>
      <c r="D61" s="183"/>
    </row>
    <row r="62" spans="1:4" x14ac:dyDescent="0.2">
      <c r="A62" s="15">
        <f t="shared" si="1"/>
        <v>54</v>
      </c>
      <c r="C62" s="6" t="s">
        <v>121</v>
      </c>
      <c r="D62" s="76">
        <v>8682.25</v>
      </c>
    </row>
    <row r="63" spans="1:4" x14ac:dyDescent="0.2">
      <c r="A63" s="15">
        <f t="shared" si="1"/>
        <v>55</v>
      </c>
      <c r="C63" s="6" t="s">
        <v>122</v>
      </c>
      <c r="D63" s="76">
        <v>104.41666666666667</v>
      </c>
    </row>
    <row r="64" spans="1:4" x14ac:dyDescent="0.2">
      <c r="A64" s="15">
        <f t="shared" si="1"/>
        <v>56</v>
      </c>
      <c r="C64" s="6" t="s">
        <v>123</v>
      </c>
      <c r="D64" s="76">
        <f>D62-D63</f>
        <v>8577.8333333333339</v>
      </c>
    </row>
    <row r="65" spans="1:4" x14ac:dyDescent="0.2">
      <c r="A65" s="15">
        <f t="shared" si="1"/>
        <v>57</v>
      </c>
      <c r="C65" s="6" t="s">
        <v>124</v>
      </c>
      <c r="D65" s="73">
        <f>D64/D62</f>
        <v>0.98797354756351563</v>
      </c>
    </row>
    <row r="66" spans="1:4" x14ac:dyDescent="0.2">
      <c r="A66" s="15">
        <f t="shared" si="1"/>
        <v>58</v>
      </c>
      <c r="C66" s="6" t="s">
        <v>84</v>
      </c>
      <c r="D66" s="24">
        <f>'BDJ-6 Classification of Costs'!I52</f>
        <v>1117209.8263389857</v>
      </c>
    </row>
    <row r="67" spans="1:4" x14ac:dyDescent="0.2">
      <c r="A67" s="15">
        <f t="shared" si="1"/>
        <v>59</v>
      </c>
      <c r="C67" s="6" t="s">
        <v>125</v>
      </c>
      <c r="D67" s="24">
        <f>D66*D65</f>
        <v>1103773.7555009469</v>
      </c>
    </row>
    <row r="68" spans="1:4" x14ac:dyDescent="0.2">
      <c r="A68" s="15">
        <f t="shared" si="1"/>
        <v>60</v>
      </c>
      <c r="C68" s="6" t="s">
        <v>395</v>
      </c>
      <c r="D68" s="74">
        <v>56955939.600000001</v>
      </c>
    </row>
    <row r="69" spans="1:4" ht="12" thickBot="1" x14ac:dyDescent="0.25">
      <c r="A69" s="15">
        <f t="shared" si="1"/>
        <v>61</v>
      </c>
      <c r="C69" s="6" t="s">
        <v>401</v>
      </c>
      <c r="D69" s="191">
        <f>D67/D68</f>
        <v>1.9379431947795431E-2</v>
      </c>
    </row>
    <row r="70" spans="1:4" ht="12" thickTop="1" x14ac:dyDescent="0.2">
      <c r="A70" s="15">
        <f t="shared" si="1"/>
        <v>62</v>
      </c>
    </row>
    <row r="71" spans="1:4" x14ac:dyDescent="0.2">
      <c r="A71" s="15">
        <f t="shared" si="1"/>
        <v>63</v>
      </c>
      <c r="C71" s="184" t="s">
        <v>173</v>
      </c>
      <c r="D71" s="183"/>
    </row>
    <row r="72" spans="1:4" x14ac:dyDescent="0.2">
      <c r="A72" s="15">
        <f t="shared" si="1"/>
        <v>64</v>
      </c>
      <c r="C72" s="6" t="s">
        <v>121</v>
      </c>
      <c r="D72" s="76">
        <v>8682.25</v>
      </c>
    </row>
    <row r="73" spans="1:4" x14ac:dyDescent="0.2">
      <c r="A73" s="15">
        <f t="shared" si="1"/>
        <v>65</v>
      </c>
      <c r="C73" s="6" t="s">
        <v>122</v>
      </c>
      <c r="D73" s="76">
        <v>104.41666666666667</v>
      </c>
    </row>
    <row r="74" spans="1:4" x14ac:dyDescent="0.2">
      <c r="A74" s="15">
        <f t="shared" ref="A74:A105" si="2">A73+1</f>
        <v>66</v>
      </c>
      <c r="C74" s="6" t="s">
        <v>123</v>
      </c>
      <c r="D74" s="76">
        <f>D72-D73</f>
        <v>8577.8333333333339</v>
      </c>
    </row>
    <row r="75" spans="1:4" x14ac:dyDescent="0.2">
      <c r="A75" s="15">
        <f t="shared" si="2"/>
        <v>67</v>
      </c>
      <c r="C75" s="6" t="s">
        <v>126</v>
      </c>
      <c r="D75" s="73">
        <f>D73/D72</f>
        <v>1.2026452436484399E-2</v>
      </c>
    </row>
    <row r="76" spans="1:4" x14ac:dyDescent="0.2">
      <c r="A76" s="15">
        <f t="shared" si="2"/>
        <v>68</v>
      </c>
      <c r="C76" s="6" t="s">
        <v>84</v>
      </c>
      <c r="D76" s="24">
        <f>'BDJ-6 Classification of Costs'!I52</f>
        <v>1117209.8263389857</v>
      </c>
    </row>
    <row r="77" spans="1:4" x14ac:dyDescent="0.2">
      <c r="A77" s="15">
        <f t="shared" si="2"/>
        <v>69</v>
      </c>
      <c r="C77" s="6" t="s">
        <v>125</v>
      </c>
      <c r="D77" s="24">
        <f>D76*D75</f>
        <v>13436.070838038806</v>
      </c>
    </row>
    <row r="78" spans="1:4" x14ac:dyDescent="0.2">
      <c r="A78" s="15">
        <f t="shared" si="2"/>
        <v>70</v>
      </c>
      <c r="C78" s="6" t="s">
        <v>127</v>
      </c>
      <c r="D78" s="74">
        <v>935514.08333333337</v>
      </c>
    </row>
    <row r="79" spans="1:4" x14ac:dyDescent="0.2">
      <c r="A79" s="15">
        <f t="shared" si="2"/>
        <v>71</v>
      </c>
      <c r="C79" s="6" t="s">
        <v>407</v>
      </c>
      <c r="D79" s="31">
        <f>D77/D78</f>
        <v>1.4362232570743027E-2</v>
      </c>
    </row>
    <row r="80" spans="1:4" ht="12" thickBot="1" x14ac:dyDescent="0.25">
      <c r="A80" s="15">
        <f t="shared" si="2"/>
        <v>72</v>
      </c>
      <c r="C80" s="6" t="s">
        <v>400</v>
      </c>
      <c r="D80" s="191">
        <f>D79/12</f>
        <v>1.1968527142285855E-3</v>
      </c>
    </row>
    <row r="81" spans="1:4" ht="12" thickTop="1" x14ac:dyDescent="0.2">
      <c r="A81" s="15">
        <f t="shared" si="2"/>
        <v>73</v>
      </c>
      <c r="B81" s="182" t="s">
        <v>16</v>
      </c>
      <c r="C81" s="183"/>
      <c r="D81" s="183"/>
    </row>
    <row r="82" spans="1:4" x14ac:dyDescent="0.2">
      <c r="A82" s="15">
        <f t="shared" si="2"/>
        <v>74</v>
      </c>
      <c r="C82" s="184" t="s">
        <v>165</v>
      </c>
      <c r="D82" s="183"/>
    </row>
    <row r="83" spans="1:4" x14ac:dyDescent="0.2">
      <c r="A83" s="15">
        <f t="shared" si="2"/>
        <v>75</v>
      </c>
      <c r="C83" s="185" t="s">
        <v>182</v>
      </c>
      <c r="D83" s="24">
        <f>'BDJ-6 Classification of Costs'!J52</f>
        <v>421243.72586886882</v>
      </c>
    </row>
    <row r="84" spans="1:4" x14ac:dyDescent="0.2">
      <c r="A84" s="15">
        <f t="shared" si="2"/>
        <v>76</v>
      </c>
      <c r="C84" s="185" t="s">
        <v>184</v>
      </c>
      <c r="D84" s="24">
        <f>'BDJ-6 Classification of Costs'!G52</f>
        <v>219243.76090219794</v>
      </c>
    </row>
    <row r="85" spans="1:4" x14ac:dyDescent="0.2">
      <c r="A85" s="15">
        <f t="shared" si="2"/>
        <v>77</v>
      </c>
      <c r="C85" s="6" t="s">
        <v>115</v>
      </c>
      <c r="D85" s="24">
        <f>SUM(D83:D84)</f>
        <v>640487.48677106679</v>
      </c>
    </row>
    <row r="86" spans="1:4" x14ac:dyDescent="0.2">
      <c r="A86" s="15">
        <f t="shared" si="2"/>
        <v>78</v>
      </c>
      <c r="C86" s="6" t="s">
        <v>128</v>
      </c>
      <c r="D86" s="73">
        <v>5.1158669229439277E-2</v>
      </c>
    </row>
    <row r="87" spans="1:4" x14ac:dyDescent="0.2">
      <c r="A87" s="15">
        <f t="shared" si="2"/>
        <v>79</v>
      </c>
      <c r="C87" s="185" t="s">
        <v>129</v>
      </c>
      <c r="D87" s="24">
        <f>D85*D86</f>
        <v>32766.487481315871</v>
      </c>
    </row>
    <row r="88" spans="1:4" x14ac:dyDescent="0.2">
      <c r="A88" s="15">
        <f t="shared" si="2"/>
        <v>80</v>
      </c>
      <c r="C88" s="6" t="s">
        <v>130</v>
      </c>
      <c r="D88" s="74">
        <v>935.51408333333336</v>
      </c>
    </row>
    <row r="89" spans="1:4" x14ac:dyDescent="0.2">
      <c r="A89" s="15">
        <f t="shared" si="2"/>
        <v>81</v>
      </c>
      <c r="C89" s="6" t="s">
        <v>402</v>
      </c>
      <c r="D89" s="31">
        <f>D87/D88</f>
        <v>35.02511406836922</v>
      </c>
    </row>
    <row r="90" spans="1:4" ht="12" thickBot="1" x14ac:dyDescent="0.25">
      <c r="A90" s="15">
        <f t="shared" si="2"/>
        <v>82</v>
      </c>
      <c r="C90" s="6" t="s">
        <v>87</v>
      </c>
      <c r="D90" s="147">
        <f>D89/12</f>
        <v>2.9187595056974351</v>
      </c>
    </row>
    <row r="91" spans="1:4" ht="12" thickTop="1" x14ac:dyDescent="0.2">
      <c r="A91" s="15">
        <f t="shared" si="2"/>
        <v>83</v>
      </c>
    </row>
    <row r="92" spans="1:4" x14ac:dyDescent="0.2">
      <c r="A92" s="15">
        <f t="shared" si="2"/>
        <v>84</v>
      </c>
      <c r="C92" s="184" t="s">
        <v>164</v>
      </c>
      <c r="D92" s="183"/>
    </row>
    <row r="93" spans="1:4" x14ac:dyDescent="0.2">
      <c r="A93" s="15">
        <f t="shared" si="2"/>
        <v>85</v>
      </c>
      <c r="C93" s="185" t="s">
        <v>182</v>
      </c>
      <c r="D93" s="24">
        <f>'BDJ-6 Classification of Costs'!J52</f>
        <v>421243.72586886882</v>
      </c>
    </row>
    <row r="94" spans="1:4" x14ac:dyDescent="0.2">
      <c r="A94" s="15">
        <f t="shared" si="2"/>
        <v>86</v>
      </c>
      <c r="C94" s="185" t="s">
        <v>184</v>
      </c>
      <c r="D94" s="24">
        <f>'BDJ-6 Classification of Costs'!G52</f>
        <v>219243.76090219794</v>
      </c>
    </row>
    <row r="95" spans="1:4" x14ac:dyDescent="0.2">
      <c r="A95" s="15">
        <f t="shared" si="2"/>
        <v>87</v>
      </c>
      <c r="C95" s="6" t="s">
        <v>84</v>
      </c>
      <c r="D95" s="24">
        <f>SUM(D93:D94)</f>
        <v>640487.48677106679</v>
      </c>
    </row>
    <row r="96" spans="1:4" x14ac:dyDescent="0.2">
      <c r="A96" s="15">
        <f t="shared" si="2"/>
        <v>88</v>
      </c>
      <c r="C96" s="6" t="s">
        <v>131</v>
      </c>
      <c r="D96" s="73">
        <v>0.86268146228042275</v>
      </c>
    </row>
    <row r="97" spans="1:4" x14ac:dyDescent="0.2">
      <c r="A97" s="15">
        <f t="shared" si="2"/>
        <v>89</v>
      </c>
      <c r="C97" s="185" t="s">
        <v>133</v>
      </c>
      <c r="D97" s="24">
        <f>D95*D96</f>
        <v>552536.68165997684</v>
      </c>
    </row>
    <row r="98" spans="1:4" x14ac:dyDescent="0.2">
      <c r="A98" s="15">
        <f t="shared" si="2"/>
        <v>90</v>
      </c>
      <c r="C98" s="6" t="s">
        <v>132</v>
      </c>
      <c r="D98" s="74">
        <v>12345.703</v>
      </c>
    </row>
    <row r="99" spans="1:4" x14ac:dyDescent="0.2">
      <c r="A99" s="15">
        <f t="shared" si="2"/>
        <v>91</v>
      </c>
      <c r="C99" s="6" t="s">
        <v>402</v>
      </c>
      <c r="D99" s="31">
        <f>D97/D98</f>
        <v>44.755384254746517</v>
      </c>
    </row>
    <row r="100" spans="1:4" ht="12" thickBot="1" x14ac:dyDescent="0.25">
      <c r="A100" s="15">
        <f t="shared" si="2"/>
        <v>92</v>
      </c>
      <c r="C100" s="6" t="s">
        <v>87</v>
      </c>
      <c r="D100" s="147">
        <f>D99/12</f>
        <v>3.7296153545622097</v>
      </c>
    </row>
    <row r="101" spans="1:4" ht="12" thickTop="1" x14ac:dyDescent="0.2">
      <c r="A101" s="15">
        <f t="shared" si="2"/>
        <v>93</v>
      </c>
    </row>
    <row r="102" spans="1:4" x14ac:dyDescent="0.2">
      <c r="A102" s="15">
        <f t="shared" si="2"/>
        <v>94</v>
      </c>
      <c r="C102" s="184" t="s">
        <v>166</v>
      </c>
      <c r="D102" s="183"/>
    </row>
    <row r="103" spans="1:4" x14ac:dyDescent="0.2">
      <c r="A103" s="15">
        <f t="shared" si="2"/>
        <v>95</v>
      </c>
      <c r="C103" s="185" t="s">
        <v>182</v>
      </c>
      <c r="D103" s="24">
        <f>'BDJ-6 Classification of Costs'!J52</f>
        <v>421243.72586886882</v>
      </c>
    </row>
    <row r="104" spans="1:4" x14ac:dyDescent="0.2">
      <c r="A104" s="15">
        <f t="shared" si="2"/>
        <v>96</v>
      </c>
      <c r="C104" s="185" t="s">
        <v>184</v>
      </c>
      <c r="D104" s="24">
        <f>'BDJ-6 Classification of Costs'!G52</f>
        <v>219243.76090219794</v>
      </c>
    </row>
    <row r="105" spans="1:4" x14ac:dyDescent="0.2">
      <c r="A105" s="15">
        <f t="shared" si="2"/>
        <v>97</v>
      </c>
      <c r="C105" s="6" t="s">
        <v>84</v>
      </c>
      <c r="D105" s="24">
        <f>SUM(D103:D104)</f>
        <v>640487.48677106679</v>
      </c>
    </row>
    <row r="106" spans="1:4" x14ac:dyDescent="0.2">
      <c r="A106" s="15">
        <f t="shared" ref="A106:A118" si="3">A105+1</f>
        <v>98</v>
      </c>
      <c r="C106" s="6" t="s">
        <v>134</v>
      </c>
      <c r="D106" s="73">
        <v>8.6159868490137972E-2</v>
      </c>
    </row>
    <row r="107" spans="1:4" x14ac:dyDescent="0.2">
      <c r="A107" s="15">
        <f t="shared" si="3"/>
        <v>99</v>
      </c>
      <c r="C107" s="185" t="s">
        <v>135</v>
      </c>
      <c r="D107" s="24">
        <f>D105*D106</f>
        <v>55184.317629774101</v>
      </c>
    </row>
    <row r="108" spans="1:4" x14ac:dyDescent="0.2">
      <c r="A108" s="15">
        <f t="shared" si="3"/>
        <v>100</v>
      </c>
      <c r="C108" s="6" t="s">
        <v>136</v>
      </c>
      <c r="D108" s="74">
        <v>1215.2350000000001</v>
      </c>
    </row>
    <row r="109" spans="1:4" x14ac:dyDescent="0.2">
      <c r="A109" s="15">
        <f t="shared" si="3"/>
        <v>101</v>
      </c>
      <c r="C109" s="6" t="s">
        <v>402</v>
      </c>
      <c r="D109" s="31">
        <f>D107/D108</f>
        <v>45.410408381732005</v>
      </c>
    </row>
    <row r="110" spans="1:4" ht="12" thickBot="1" x14ac:dyDescent="0.25">
      <c r="A110" s="15">
        <f t="shared" si="3"/>
        <v>102</v>
      </c>
      <c r="C110" s="6" t="s">
        <v>87</v>
      </c>
      <c r="D110" s="147">
        <f>D109/12</f>
        <v>3.784200698477667</v>
      </c>
    </row>
    <row r="111" spans="1:4" ht="12" thickTop="1" x14ac:dyDescent="0.2">
      <c r="A111" s="15">
        <f t="shared" si="3"/>
        <v>103</v>
      </c>
      <c r="B111" s="182" t="s">
        <v>17</v>
      </c>
      <c r="C111" s="183"/>
      <c r="D111" s="183"/>
    </row>
    <row r="112" spans="1:4" x14ac:dyDescent="0.2">
      <c r="A112" s="15">
        <f t="shared" si="3"/>
        <v>104</v>
      </c>
      <c r="C112" s="184" t="s">
        <v>167</v>
      </c>
      <c r="D112" s="183"/>
    </row>
    <row r="113" spans="1:4" x14ac:dyDescent="0.2">
      <c r="A113" s="15">
        <f t="shared" si="3"/>
        <v>105</v>
      </c>
      <c r="C113" s="185" t="s">
        <v>183</v>
      </c>
      <c r="D113" s="24">
        <f>'BDJ-6 Classification of Costs'!K52</f>
        <v>3568251.2490836903</v>
      </c>
    </row>
    <row r="114" spans="1:4" x14ac:dyDescent="0.2">
      <c r="A114" s="15">
        <f t="shared" si="3"/>
        <v>106</v>
      </c>
      <c r="C114" s="185" t="s">
        <v>184</v>
      </c>
      <c r="D114" s="24">
        <f>'BDJ-6 Classification of Costs'!H52</f>
        <v>36029.951455547809</v>
      </c>
    </row>
    <row r="115" spans="1:4" x14ac:dyDescent="0.2">
      <c r="A115" s="15">
        <f t="shared" si="3"/>
        <v>107</v>
      </c>
      <c r="C115" s="6" t="s">
        <v>84</v>
      </c>
      <c r="D115" s="24">
        <f>SUM(D113:D114)</f>
        <v>3604281.2005392383</v>
      </c>
    </row>
    <row r="116" spans="1:4" x14ac:dyDescent="0.2">
      <c r="A116" s="15">
        <f t="shared" si="3"/>
        <v>108</v>
      </c>
      <c r="C116" s="6" t="s">
        <v>395</v>
      </c>
      <c r="D116" s="143">
        <v>65151042.969999999</v>
      </c>
    </row>
    <row r="117" spans="1:4" ht="12" thickBot="1" x14ac:dyDescent="0.25">
      <c r="A117" s="15">
        <f t="shared" si="3"/>
        <v>109</v>
      </c>
      <c r="C117" s="6" t="s">
        <v>399</v>
      </c>
      <c r="D117" s="147">
        <f>D115/D116</f>
        <v>5.5321926345813011E-2</v>
      </c>
    </row>
    <row r="118" spans="1:4" ht="12" thickTop="1" x14ac:dyDescent="0.2">
      <c r="A118" s="15">
        <f t="shared" si="3"/>
        <v>110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fitToHeight="10" orientation="landscape" r:id="rId1"/>
  <headerFooter>
    <oddFooter>&amp;R&amp;F
&amp;A
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69"/>
  <sheetViews>
    <sheetView topLeftCell="A3" zoomScaleNormal="100" workbookViewId="0">
      <pane ySplit="7" topLeftCell="A10" activePane="bottomLeft" state="frozen"/>
      <selection activeCell="D32" sqref="D32"/>
      <selection pane="bottomLeft" activeCell="E16" sqref="E16"/>
    </sheetView>
  </sheetViews>
  <sheetFormatPr defaultRowHeight="11.25" x14ac:dyDescent="0.2"/>
  <cols>
    <col min="1" max="1" width="4.5703125" style="32" customWidth="1"/>
    <col min="2" max="2" width="41.85546875" style="32" customWidth="1"/>
    <col min="3" max="3" width="11.28515625" style="32" customWidth="1"/>
    <col min="4" max="4" width="13.85546875" style="32" bestFit="1" customWidth="1"/>
    <col min="5" max="5" width="13.5703125" style="32" bestFit="1" customWidth="1"/>
    <col min="6" max="6" width="13" style="32" customWidth="1"/>
    <col min="7" max="7" width="12.85546875" style="32" bestFit="1" customWidth="1"/>
    <col min="8" max="8" width="11.85546875" style="32" bestFit="1" customWidth="1"/>
    <col min="9" max="9" width="13.7109375" style="32" bestFit="1" customWidth="1"/>
    <col min="10" max="10" width="14.28515625" style="32" customWidth="1"/>
    <col min="11" max="11" width="12.85546875" style="32" customWidth="1"/>
    <col min="12" max="12" width="14.5703125" style="32" bestFit="1" customWidth="1"/>
    <col min="13" max="13" width="13.85546875" style="32" bestFit="1" customWidth="1"/>
    <col min="14" max="259" width="8.85546875" style="32"/>
    <col min="260" max="260" width="32.85546875" style="32" customWidth="1"/>
    <col min="261" max="261" width="15.42578125" style="32" bestFit="1" customWidth="1"/>
    <col min="262" max="262" width="15.7109375" style="32" bestFit="1" customWidth="1"/>
    <col min="263" max="263" width="14.140625" style="32" bestFit="1" customWidth="1"/>
    <col min="264" max="264" width="11.28515625" style="32" customWidth="1"/>
    <col min="265" max="265" width="15.140625" style="32" bestFit="1" customWidth="1"/>
    <col min="266" max="266" width="8.85546875" style="32"/>
    <col min="267" max="267" width="12.28515625" style="32" bestFit="1" customWidth="1"/>
    <col min="268" max="515" width="8.85546875" style="32"/>
    <col min="516" max="516" width="32.85546875" style="32" customWidth="1"/>
    <col min="517" max="517" width="15.42578125" style="32" bestFit="1" customWidth="1"/>
    <col min="518" max="518" width="15.7109375" style="32" bestFit="1" customWidth="1"/>
    <col min="519" max="519" width="14.140625" style="32" bestFit="1" customWidth="1"/>
    <col min="520" max="520" width="11.28515625" style="32" customWidth="1"/>
    <col min="521" max="521" width="15.140625" style="32" bestFit="1" customWidth="1"/>
    <col min="522" max="522" width="8.85546875" style="32"/>
    <col min="523" max="523" width="12.28515625" style="32" bestFit="1" customWidth="1"/>
    <col min="524" max="771" width="8.85546875" style="32"/>
    <col min="772" max="772" width="32.85546875" style="32" customWidth="1"/>
    <col min="773" max="773" width="15.42578125" style="32" bestFit="1" customWidth="1"/>
    <col min="774" max="774" width="15.7109375" style="32" bestFit="1" customWidth="1"/>
    <col min="775" max="775" width="14.140625" style="32" bestFit="1" customWidth="1"/>
    <col min="776" max="776" width="11.28515625" style="32" customWidth="1"/>
    <col min="777" max="777" width="15.140625" style="32" bestFit="1" customWidth="1"/>
    <col min="778" max="778" width="8.85546875" style="32"/>
    <col min="779" max="779" width="12.28515625" style="32" bestFit="1" customWidth="1"/>
    <col min="780" max="1027" width="8.85546875" style="32"/>
    <col min="1028" max="1028" width="32.85546875" style="32" customWidth="1"/>
    <col min="1029" max="1029" width="15.42578125" style="32" bestFit="1" customWidth="1"/>
    <col min="1030" max="1030" width="15.7109375" style="32" bestFit="1" customWidth="1"/>
    <col min="1031" max="1031" width="14.140625" style="32" bestFit="1" customWidth="1"/>
    <col min="1032" max="1032" width="11.28515625" style="32" customWidth="1"/>
    <col min="1033" max="1033" width="15.140625" style="32" bestFit="1" customWidth="1"/>
    <col min="1034" max="1034" width="8.85546875" style="32"/>
    <col min="1035" max="1035" width="12.28515625" style="32" bestFit="1" customWidth="1"/>
    <col min="1036" max="1283" width="8.85546875" style="32"/>
    <col min="1284" max="1284" width="32.85546875" style="32" customWidth="1"/>
    <col min="1285" max="1285" width="15.42578125" style="32" bestFit="1" customWidth="1"/>
    <col min="1286" max="1286" width="15.7109375" style="32" bestFit="1" customWidth="1"/>
    <col min="1287" max="1287" width="14.140625" style="32" bestFit="1" customWidth="1"/>
    <col min="1288" max="1288" width="11.28515625" style="32" customWidth="1"/>
    <col min="1289" max="1289" width="15.140625" style="32" bestFit="1" customWidth="1"/>
    <col min="1290" max="1290" width="8.85546875" style="32"/>
    <col min="1291" max="1291" width="12.28515625" style="32" bestFit="1" customWidth="1"/>
    <col min="1292" max="1539" width="8.85546875" style="32"/>
    <col min="1540" max="1540" width="32.85546875" style="32" customWidth="1"/>
    <col min="1541" max="1541" width="15.42578125" style="32" bestFit="1" customWidth="1"/>
    <col min="1542" max="1542" width="15.7109375" style="32" bestFit="1" customWidth="1"/>
    <col min="1543" max="1543" width="14.140625" style="32" bestFit="1" customWidth="1"/>
    <col min="1544" max="1544" width="11.28515625" style="32" customWidth="1"/>
    <col min="1545" max="1545" width="15.140625" style="32" bestFit="1" customWidth="1"/>
    <col min="1546" max="1546" width="8.85546875" style="32"/>
    <col min="1547" max="1547" width="12.28515625" style="32" bestFit="1" customWidth="1"/>
    <col min="1548" max="1795" width="8.85546875" style="32"/>
    <col min="1796" max="1796" width="32.85546875" style="32" customWidth="1"/>
    <col min="1797" max="1797" width="15.42578125" style="32" bestFit="1" customWidth="1"/>
    <col min="1798" max="1798" width="15.7109375" style="32" bestFit="1" customWidth="1"/>
    <col min="1799" max="1799" width="14.140625" style="32" bestFit="1" customWidth="1"/>
    <col min="1800" max="1800" width="11.28515625" style="32" customWidth="1"/>
    <col min="1801" max="1801" width="15.140625" style="32" bestFit="1" customWidth="1"/>
    <col min="1802" max="1802" width="8.85546875" style="32"/>
    <col min="1803" max="1803" width="12.28515625" style="32" bestFit="1" customWidth="1"/>
    <col min="1804" max="2051" width="8.85546875" style="32"/>
    <col min="2052" max="2052" width="32.85546875" style="32" customWidth="1"/>
    <col min="2053" max="2053" width="15.42578125" style="32" bestFit="1" customWidth="1"/>
    <col min="2054" max="2054" width="15.7109375" style="32" bestFit="1" customWidth="1"/>
    <col min="2055" max="2055" width="14.140625" style="32" bestFit="1" customWidth="1"/>
    <col min="2056" max="2056" width="11.28515625" style="32" customWidth="1"/>
    <col min="2057" max="2057" width="15.140625" style="32" bestFit="1" customWidth="1"/>
    <col min="2058" max="2058" width="8.85546875" style="32"/>
    <col min="2059" max="2059" width="12.28515625" style="32" bestFit="1" customWidth="1"/>
    <col min="2060" max="2307" width="8.85546875" style="32"/>
    <col min="2308" max="2308" width="32.85546875" style="32" customWidth="1"/>
    <col min="2309" max="2309" width="15.42578125" style="32" bestFit="1" customWidth="1"/>
    <col min="2310" max="2310" width="15.7109375" style="32" bestFit="1" customWidth="1"/>
    <col min="2311" max="2311" width="14.140625" style="32" bestFit="1" customWidth="1"/>
    <col min="2312" max="2312" width="11.28515625" style="32" customWidth="1"/>
    <col min="2313" max="2313" width="15.140625" style="32" bestFit="1" customWidth="1"/>
    <col min="2314" max="2314" width="8.85546875" style="32"/>
    <col min="2315" max="2315" width="12.28515625" style="32" bestFit="1" customWidth="1"/>
    <col min="2316" max="2563" width="8.85546875" style="32"/>
    <col min="2564" max="2564" width="32.85546875" style="32" customWidth="1"/>
    <col min="2565" max="2565" width="15.42578125" style="32" bestFit="1" customWidth="1"/>
    <col min="2566" max="2566" width="15.7109375" style="32" bestFit="1" customWidth="1"/>
    <col min="2567" max="2567" width="14.140625" style="32" bestFit="1" customWidth="1"/>
    <col min="2568" max="2568" width="11.28515625" style="32" customWidth="1"/>
    <col min="2569" max="2569" width="15.140625" style="32" bestFit="1" customWidth="1"/>
    <col min="2570" max="2570" width="8.85546875" style="32"/>
    <col min="2571" max="2571" width="12.28515625" style="32" bestFit="1" customWidth="1"/>
    <col min="2572" max="2819" width="8.85546875" style="32"/>
    <col min="2820" max="2820" width="32.85546875" style="32" customWidth="1"/>
    <col min="2821" max="2821" width="15.42578125" style="32" bestFit="1" customWidth="1"/>
    <col min="2822" max="2822" width="15.7109375" style="32" bestFit="1" customWidth="1"/>
    <col min="2823" max="2823" width="14.140625" style="32" bestFit="1" customWidth="1"/>
    <col min="2824" max="2824" width="11.28515625" style="32" customWidth="1"/>
    <col min="2825" max="2825" width="15.140625" style="32" bestFit="1" customWidth="1"/>
    <col min="2826" max="2826" width="8.85546875" style="32"/>
    <col min="2827" max="2827" width="12.28515625" style="32" bestFit="1" customWidth="1"/>
    <col min="2828" max="3075" width="8.85546875" style="32"/>
    <col min="3076" max="3076" width="32.85546875" style="32" customWidth="1"/>
    <col min="3077" max="3077" width="15.42578125" style="32" bestFit="1" customWidth="1"/>
    <col min="3078" max="3078" width="15.7109375" style="32" bestFit="1" customWidth="1"/>
    <col min="3079" max="3079" width="14.140625" style="32" bestFit="1" customWidth="1"/>
    <col min="3080" max="3080" width="11.28515625" style="32" customWidth="1"/>
    <col min="3081" max="3081" width="15.140625" style="32" bestFit="1" customWidth="1"/>
    <col min="3082" max="3082" width="8.85546875" style="32"/>
    <col min="3083" max="3083" width="12.28515625" style="32" bestFit="1" customWidth="1"/>
    <col min="3084" max="3331" width="8.85546875" style="32"/>
    <col min="3332" max="3332" width="32.85546875" style="32" customWidth="1"/>
    <col min="3333" max="3333" width="15.42578125" style="32" bestFit="1" customWidth="1"/>
    <col min="3334" max="3334" width="15.7109375" style="32" bestFit="1" customWidth="1"/>
    <col min="3335" max="3335" width="14.140625" style="32" bestFit="1" customWidth="1"/>
    <col min="3336" max="3336" width="11.28515625" style="32" customWidth="1"/>
    <col min="3337" max="3337" width="15.140625" style="32" bestFit="1" customWidth="1"/>
    <col min="3338" max="3338" width="8.85546875" style="32"/>
    <col min="3339" max="3339" width="12.28515625" style="32" bestFit="1" customWidth="1"/>
    <col min="3340" max="3587" width="8.85546875" style="32"/>
    <col min="3588" max="3588" width="32.85546875" style="32" customWidth="1"/>
    <col min="3589" max="3589" width="15.42578125" style="32" bestFit="1" customWidth="1"/>
    <col min="3590" max="3590" width="15.7109375" style="32" bestFit="1" customWidth="1"/>
    <col min="3591" max="3591" width="14.140625" style="32" bestFit="1" customWidth="1"/>
    <col min="3592" max="3592" width="11.28515625" style="32" customWidth="1"/>
    <col min="3593" max="3593" width="15.140625" style="32" bestFit="1" customWidth="1"/>
    <col min="3594" max="3594" width="8.85546875" style="32"/>
    <col min="3595" max="3595" width="12.28515625" style="32" bestFit="1" customWidth="1"/>
    <col min="3596" max="3843" width="8.85546875" style="32"/>
    <col min="3844" max="3844" width="32.85546875" style="32" customWidth="1"/>
    <col min="3845" max="3845" width="15.42578125" style="32" bestFit="1" customWidth="1"/>
    <col min="3846" max="3846" width="15.7109375" style="32" bestFit="1" customWidth="1"/>
    <col min="3847" max="3847" width="14.140625" style="32" bestFit="1" customWidth="1"/>
    <col min="3848" max="3848" width="11.28515625" style="32" customWidth="1"/>
    <col min="3849" max="3849" width="15.140625" style="32" bestFit="1" customWidth="1"/>
    <col min="3850" max="3850" width="8.85546875" style="32"/>
    <col min="3851" max="3851" width="12.28515625" style="32" bestFit="1" customWidth="1"/>
    <col min="3852" max="4099" width="8.85546875" style="32"/>
    <col min="4100" max="4100" width="32.85546875" style="32" customWidth="1"/>
    <col min="4101" max="4101" width="15.42578125" style="32" bestFit="1" customWidth="1"/>
    <col min="4102" max="4102" width="15.7109375" style="32" bestFit="1" customWidth="1"/>
    <col min="4103" max="4103" width="14.140625" style="32" bestFit="1" customWidth="1"/>
    <col min="4104" max="4104" width="11.28515625" style="32" customWidth="1"/>
    <col min="4105" max="4105" width="15.140625" style="32" bestFit="1" customWidth="1"/>
    <col min="4106" max="4106" width="8.85546875" style="32"/>
    <col min="4107" max="4107" width="12.28515625" style="32" bestFit="1" customWidth="1"/>
    <col min="4108" max="4355" width="8.85546875" style="32"/>
    <col min="4356" max="4356" width="32.85546875" style="32" customWidth="1"/>
    <col min="4357" max="4357" width="15.42578125" style="32" bestFit="1" customWidth="1"/>
    <col min="4358" max="4358" width="15.7109375" style="32" bestFit="1" customWidth="1"/>
    <col min="4359" max="4359" width="14.140625" style="32" bestFit="1" customWidth="1"/>
    <col min="4360" max="4360" width="11.28515625" style="32" customWidth="1"/>
    <col min="4361" max="4361" width="15.140625" style="32" bestFit="1" customWidth="1"/>
    <col min="4362" max="4362" width="8.85546875" style="32"/>
    <col min="4363" max="4363" width="12.28515625" style="32" bestFit="1" customWidth="1"/>
    <col min="4364" max="4611" width="8.85546875" style="32"/>
    <col min="4612" max="4612" width="32.85546875" style="32" customWidth="1"/>
    <col min="4613" max="4613" width="15.42578125" style="32" bestFit="1" customWidth="1"/>
    <col min="4614" max="4614" width="15.7109375" style="32" bestFit="1" customWidth="1"/>
    <col min="4615" max="4615" width="14.140625" style="32" bestFit="1" customWidth="1"/>
    <col min="4616" max="4616" width="11.28515625" style="32" customWidth="1"/>
    <col min="4617" max="4617" width="15.140625" style="32" bestFit="1" customWidth="1"/>
    <col min="4618" max="4618" width="8.85546875" style="32"/>
    <col min="4619" max="4619" width="12.28515625" style="32" bestFit="1" customWidth="1"/>
    <col min="4620" max="4867" width="8.85546875" style="32"/>
    <col min="4868" max="4868" width="32.85546875" style="32" customWidth="1"/>
    <col min="4869" max="4869" width="15.42578125" style="32" bestFit="1" customWidth="1"/>
    <col min="4870" max="4870" width="15.7109375" style="32" bestFit="1" customWidth="1"/>
    <col min="4871" max="4871" width="14.140625" style="32" bestFit="1" customWidth="1"/>
    <col min="4872" max="4872" width="11.28515625" style="32" customWidth="1"/>
    <col min="4873" max="4873" width="15.140625" style="32" bestFit="1" customWidth="1"/>
    <col min="4874" max="4874" width="8.85546875" style="32"/>
    <col min="4875" max="4875" width="12.28515625" style="32" bestFit="1" customWidth="1"/>
    <col min="4876" max="5123" width="8.85546875" style="32"/>
    <col min="5124" max="5124" width="32.85546875" style="32" customWidth="1"/>
    <col min="5125" max="5125" width="15.42578125" style="32" bestFit="1" customWidth="1"/>
    <col min="5126" max="5126" width="15.7109375" style="32" bestFit="1" customWidth="1"/>
    <col min="5127" max="5127" width="14.140625" style="32" bestFit="1" customWidth="1"/>
    <col min="5128" max="5128" width="11.28515625" style="32" customWidth="1"/>
    <col min="5129" max="5129" width="15.140625" style="32" bestFit="1" customWidth="1"/>
    <col min="5130" max="5130" width="8.85546875" style="32"/>
    <col min="5131" max="5131" width="12.28515625" style="32" bestFit="1" customWidth="1"/>
    <col min="5132" max="5379" width="8.85546875" style="32"/>
    <col min="5380" max="5380" width="32.85546875" style="32" customWidth="1"/>
    <col min="5381" max="5381" width="15.42578125" style="32" bestFit="1" customWidth="1"/>
    <col min="5382" max="5382" width="15.7109375" style="32" bestFit="1" customWidth="1"/>
    <col min="5383" max="5383" width="14.140625" style="32" bestFit="1" customWidth="1"/>
    <col min="5384" max="5384" width="11.28515625" style="32" customWidth="1"/>
    <col min="5385" max="5385" width="15.140625" style="32" bestFit="1" customWidth="1"/>
    <col min="5386" max="5386" width="8.85546875" style="32"/>
    <col min="5387" max="5387" width="12.28515625" style="32" bestFit="1" customWidth="1"/>
    <col min="5388" max="5635" width="8.85546875" style="32"/>
    <col min="5636" max="5636" width="32.85546875" style="32" customWidth="1"/>
    <col min="5637" max="5637" width="15.42578125" style="32" bestFit="1" customWidth="1"/>
    <col min="5638" max="5638" width="15.7109375" style="32" bestFit="1" customWidth="1"/>
    <col min="5639" max="5639" width="14.140625" style="32" bestFit="1" customWidth="1"/>
    <col min="5640" max="5640" width="11.28515625" style="32" customWidth="1"/>
    <col min="5641" max="5641" width="15.140625" style="32" bestFit="1" customWidth="1"/>
    <col min="5642" max="5642" width="8.85546875" style="32"/>
    <col min="5643" max="5643" width="12.28515625" style="32" bestFit="1" customWidth="1"/>
    <col min="5644" max="5891" width="8.85546875" style="32"/>
    <col min="5892" max="5892" width="32.85546875" style="32" customWidth="1"/>
    <col min="5893" max="5893" width="15.42578125" style="32" bestFit="1" customWidth="1"/>
    <col min="5894" max="5894" width="15.7109375" style="32" bestFit="1" customWidth="1"/>
    <col min="5895" max="5895" width="14.140625" style="32" bestFit="1" customWidth="1"/>
    <col min="5896" max="5896" width="11.28515625" style="32" customWidth="1"/>
    <col min="5897" max="5897" width="15.140625" style="32" bestFit="1" customWidth="1"/>
    <col min="5898" max="5898" width="8.85546875" style="32"/>
    <col min="5899" max="5899" width="12.28515625" style="32" bestFit="1" customWidth="1"/>
    <col min="5900" max="6147" width="8.85546875" style="32"/>
    <col min="6148" max="6148" width="32.85546875" style="32" customWidth="1"/>
    <col min="6149" max="6149" width="15.42578125" style="32" bestFit="1" customWidth="1"/>
    <col min="6150" max="6150" width="15.7109375" style="32" bestFit="1" customWidth="1"/>
    <col min="6151" max="6151" width="14.140625" style="32" bestFit="1" customWidth="1"/>
    <col min="6152" max="6152" width="11.28515625" style="32" customWidth="1"/>
    <col min="6153" max="6153" width="15.140625" style="32" bestFit="1" customWidth="1"/>
    <col min="6154" max="6154" width="8.85546875" style="32"/>
    <col min="6155" max="6155" width="12.28515625" style="32" bestFit="1" customWidth="1"/>
    <col min="6156" max="6403" width="8.85546875" style="32"/>
    <col min="6404" max="6404" width="32.85546875" style="32" customWidth="1"/>
    <col min="6405" max="6405" width="15.42578125" style="32" bestFit="1" customWidth="1"/>
    <col min="6406" max="6406" width="15.7109375" style="32" bestFit="1" customWidth="1"/>
    <col min="6407" max="6407" width="14.140625" style="32" bestFit="1" customWidth="1"/>
    <col min="6408" max="6408" width="11.28515625" style="32" customWidth="1"/>
    <col min="6409" max="6409" width="15.140625" style="32" bestFit="1" customWidth="1"/>
    <col min="6410" max="6410" width="8.85546875" style="32"/>
    <col min="6411" max="6411" width="12.28515625" style="32" bestFit="1" customWidth="1"/>
    <col min="6412" max="6659" width="8.85546875" style="32"/>
    <col min="6660" max="6660" width="32.85546875" style="32" customWidth="1"/>
    <col min="6661" max="6661" width="15.42578125" style="32" bestFit="1" customWidth="1"/>
    <col min="6662" max="6662" width="15.7109375" style="32" bestFit="1" customWidth="1"/>
    <col min="6663" max="6663" width="14.140625" style="32" bestFit="1" customWidth="1"/>
    <col min="6664" max="6664" width="11.28515625" style="32" customWidth="1"/>
    <col min="6665" max="6665" width="15.140625" style="32" bestFit="1" customWidth="1"/>
    <col min="6666" max="6666" width="8.85546875" style="32"/>
    <col min="6667" max="6667" width="12.28515625" style="32" bestFit="1" customWidth="1"/>
    <col min="6668" max="6915" width="8.85546875" style="32"/>
    <col min="6916" max="6916" width="32.85546875" style="32" customWidth="1"/>
    <col min="6917" max="6917" width="15.42578125" style="32" bestFit="1" customWidth="1"/>
    <col min="6918" max="6918" width="15.7109375" style="32" bestFit="1" customWidth="1"/>
    <col min="6919" max="6919" width="14.140625" style="32" bestFit="1" customWidth="1"/>
    <col min="6920" max="6920" width="11.28515625" style="32" customWidth="1"/>
    <col min="6921" max="6921" width="15.140625" style="32" bestFit="1" customWidth="1"/>
    <col min="6922" max="6922" width="8.85546875" style="32"/>
    <col min="6923" max="6923" width="12.28515625" style="32" bestFit="1" customWidth="1"/>
    <col min="6924" max="7171" width="8.85546875" style="32"/>
    <col min="7172" max="7172" width="32.85546875" style="32" customWidth="1"/>
    <col min="7173" max="7173" width="15.42578125" style="32" bestFit="1" customWidth="1"/>
    <col min="7174" max="7174" width="15.7109375" style="32" bestFit="1" customWidth="1"/>
    <col min="7175" max="7175" width="14.140625" style="32" bestFit="1" customWidth="1"/>
    <col min="7176" max="7176" width="11.28515625" style="32" customWidth="1"/>
    <col min="7177" max="7177" width="15.140625" style="32" bestFit="1" customWidth="1"/>
    <col min="7178" max="7178" width="8.85546875" style="32"/>
    <col min="7179" max="7179" width="12.28515625" style="32" bestFit="1" customWidth="1"/>
    <col min="7180" max="7427" width="8.85546875" style="32"/>
    <col min="7428" max="7428" width="32.85546875" style="32" customWidth="1"/>
    <col min="7429" max="7429" width="15.42578125" style="32" bestFit="1" customWidth="1"/>
    <col min="7430" max="7430" width="15.7109375" style="32" bestFit="1" customWidth="1"/>
    <col min="7431" max="7431" width="14.140625" style="32" bestFit="1" customWidth="1"/>
    <col min="7432" max="7432" width="11.28515625" style="32" customWidth="1"/>
    <col min="7433" max="7433" width="15.140625" style="32" bestFit="1" customWidth="1"/>
    <col min="7434" max="7434" width="8.85546875" style="32"/>
    <col min="7435" max="7435" width="12.28515625" style="32" bestFit="1" customWidth="1"/>
    <col min="7436" max="7683" width="8.85546875" style="32"/>
    <col min="7684" max="7684" width="32.85546875" style="32" customWidth="1"/>
    <col min="7685" max="7685" width="15.42578125" style="32" bestFit="1" customWidth="1"/>
    <col min="7686" max="7686" width="15.7109375" style="32" bestFit="1" customWidth="1"/>
    <col min="7687" max="7687" width="14.140625" style="32" bestFit="1" customWidth="1"/>
    <col min="7688" max="7688" width="11.28515625" style="32" customWidth="1"/>
    <col min="7689" max="7689" width="15.140625" style="32" bestFit="1" customWidth="1"/>
    <col min="7690" max="7690" width="8.85546875" style="32"/>
    <col min="7691" max="7691" width="12.28515625" style="32" bestFit="1" customWidth="1"/>
    <col min="7692" max="7939" width="8.85546875" style="32"/>
    <col min="7940" max="7940" width="32.85546875" style="32" customWidth="1"/>
    <col min="7941" max="7941" width="15.42578125" style="32" bestFit="1" customWidth="1"/>
    <col min="7942" max="7942" width="15.7109375" style="32" bestFit="1" customWidth="1"/>
    <col min="7943" max="7943" width="14.140625" style="32" bestFit="1" customWidth="1"/>
    <col min="7944" max="7944" width="11.28515625" style="32" customWidth="1"/>
    <col min="7945" max="7945" width="15.140625" style="32" bestFit="1" customWidth="1"/>
    <col min="7946" max="7946" width="8.85546875" style="32"/>
    <col min="7947" max="7947" width="12.28515625" style="32" bestFit="1" customWidth="1"/>
    <col min="7948" max="8195" width="8.85546875" style="32"/>
    <col min="8196" max="8196" width="32.85546875" style="32" customWidth="1"/>
    <col min="8197" max="8197" width="15.42578125" style="32" bestFit="1" customWidth="1"/>
    <col min="8198" max="8198" width="15.7109375" style="32" bestFit="1" customWidth="1"/>
    <col min="8199" max="8199" width="14.140625" style="32" bestFit="1" customWidth="1"/>
    <col min="8200" max="8200" width="11.28515625" style="32" customWidth="1"/>
    <col min="8201" max="8201" width="15.140625" style="32" bestFit="1" customWidth="1"/>
    <col min="8202" max="8202" width="8.85546875" style="32"/>
    <col min="8203" max="8203" width="12.28515625" style="32" bestFit="1" customWidth="1"/>
    <col min="8204" max="8451" width="8.85546875" style="32"/>
    <col min="8452" max="8452" width="32.85546875" style="32" customWidth="1"/>
    <col min="8453" max="8453" width="15.42578125" style="32" bestFit="1" customWidth="1"/>
    <col min="8454" max="8454" width="15.7109375" style="32" bestFit="1" customWidth="1"/>
    <col min="8455" max="8455" width="14.140625" style="32" bestFit="1" customWidth="1"/>
    <col min="8456" max="8456" width="11.28515625" style="32" customWidth="1"/>
    <col min="8457" max="8457" width="15.140625" style="32" bestFit="1" customWidth="1"/>
    <col min="8458" max="8458" width="8.85546875" style="32"/>
    <col min="8459" max="8459" width="12.28515625" style="32" bestFit="1" customWidth="1"/>
    <col min="8460" max="8707" width="8.85546875" style="32"/>
    <col min="8708" max="8708" width="32.85546875" style="32" customWidth="1"/>
    <col min="8709" max="8709" width="15.42578125" style="32" bestFit="1" customWidth="1"/>
    <col min="8710" max="8710" width="15.7109375" style="32" bestFit="1" customWidth="1"/>
    <col min="8711" max="8711" width="14.140625" style="32" bestFit="1" customWidth="1"/>
    <col min="8712" max="8712" width="11.28515625" style="32" customWidth="1"/>
    <col min="8713" max="8713" width="15.140625" style="32" bestFit="1" customWidth="1"/>
    <col min="8714" max="8714" width="8.85546875" style="32"/>
    <col min="8715" max="8715" width="12.28515625" style="32" bestFit="1" customWidth="1"/>
    <col min="8716" max="8963" width="8.85546875" style="32"/>
    <col min="8964" max="8964" width="32.85546875" style="32" customWidth="1"/>
    <col min="8965" max="8965" width="15.42578125" style="32" bestFit="1" customWidth="1"/>
    <col min="8966" max="8966" width="15.7109375" style="32" bestFit="1" customWidth="1"/>
    <col min="8967" max="8967" width="14.140625" style="32" bestFit="1" customWidth="1"/>
    <col min="8968" max="8968" width="11.28515625" style="32" customWidth="1"/>
    <col min="8969" max="8969" width="15.140625" style="32" bestFit="1" customWidth="1"/>
    <col min="8970" max="8970" width="8.85546875" style="32"/>
    <col min="8971" max="8971" width="12.28515625" style="32" bestFit="1" customWidth="1"/>
    <col min="8972" max="9219" width="8.85546875" style="32"/>
    <col min="9220" max="9220" width="32.85546875" style="32" customWidth="1"/>
    <col min="9221" max="9221" width="15.42578125" style="32" bestFit="1" customWidth="1"/>
    <col min="9222" max="9222" width="15.7109375" style="32" bestFit="1" customWidth="1"/>
    <col min="9223" max="9223" width="14.140625" style="32" bestFit="1" customWidth="1"/>
    <col min="9224" max="9224" width="11.28515625" style="32" customWidth="1"/>
    <col min="9225" max="9225" width="15.140625" style="32" bestFit="1" customWidth="1"/>
    <col min="9226" max="9226" width="8.85546875" style="32"/>
    <col min="9227" max="9227" width="12.28515625" style="32" bestFit="1" customWidth="1"/>
    <col min="9228" max="9475" width="8.85546875" style="32"/>
    <col min="9476" max="9476" width="32.85546875" style="32" customWidth="1"/>
    <col min="9477" max="9477" width="15.42578125" style="32" bestFit="1" customWidth="1"/>
    <col min="9478" max="9478" width="15.7109375" style="32" bestFit="1" customWidth="1"/>
    <col min="9479" max="9479" width="14.140625" style="32" bestFit="1" customWidth="1"/>
    <col min="9480" max="9480" width="11.28515625" style="32" customWidth="1"/>
    <col min="9481" max="9481" width="15.140625" style="32" bestFit="1" customWidth="1"/>
    <col min="9482" max="9482" width="8.85546875" style="32"/>
    <col min="9483" max="9483" width="12.28515625" style="32" bestFit="1" customWidth="1"/>
    <col min="9484" max="9731" width="8.85546875" style="32"/>
    <col min="9732" max="9732" width="32.85546875" style="32" customWidth="1"/>
    <col min="9733" max="9733" width="15.42578125" style="32" bestFit="1" customWidth="1"/>
    <col min="9734" max="9734" width="15.7109375" style="32" bestFit="1" customWidth="1"/>
    <col min="9735" max="9735" width="14.140625" style="32" bestFit="1" customWidth="1"/>
    <col min="9736" max="9736" width="11.28515625" style="32" customWidth="1"/>
    <col min="9737" max="9737" width="15.140625" style="32" bestFit="1" customWidth="1"/>
    <col min="9738" max="9738" width="8.85546875" style="32"/>
    <col min="9739" max="9739" width="12.28515625" style="32" bestFit="1" customWidth="1"/>
    <col min="9740" max="9987" width="8.85546875" style="32"/>
    <col min="9988" max="9988" width="32.85546875" style="32" customWidth="1"/>
    <col min="9989" max="9989" width="15.42578125" style="32" bestFit="1" customWidth="1"/>
    <col min="9990" max="9990" width="15.7109375" style="32" bestFit="1" customWidth="1"/>
    <col min="9991" max="9991" width="14.140625" style="32" bestFit="1" customWidth="1"/>
    <col min="9992" max="9992" width="11.28515625" style="32" customWidth="1"/>
    <col min="9993" max="9993" width="15.140625" style="32" bestFit="1" customWidth="1"/>
    <col min="9994" max="9994" width="8.85546875" style="32"/>
    <col min="9995" max="9995" width="12.28515625" style="32" bestFit="1" customWidth="1"/>
    <col min="9996" max="10243" width="8.85546875" style="32"/>
    <col min="10244" max="10244" width="32.85546875" style="32" customWidth="1"/>
    <col min="10245" max="10245" width="15.42578125" style="32" bestFit="1" customWidth="1"/>
    <col min="10246" max="10246" width="15.7109375" style="32" bestFit="1" customWidth="1"/>
    <col min="10247" max="10247" width="14.140625" style="32" bestFit="1" customWidth="1"/>
    <col min="10248" max="10248" width="11.28515625" style="32" customWidth="1"/>
    <col min="10249" max="10249" width="15.140625" style="32" bestFit="1" customWidth="1"/>
    <col min="10250" max="10250" width="8.85546875" style="32"/>
    <col min="10251" max="10251" width="12.28515625" style="32" bestFit="1" customWidth="1"/>
    <col min="10252" max="10499" width="8.85546875" style="32"/>
    <col min="10500" max="10500" width="32.85546875" style="32" customWidth="1"/>
    <col min="10501" max="10501" width="15.42578125" style="32" bestFit="1" customWidth="1"/>
    <col min="10502" max="10502" width="15.7109375" style="32" bestFit="1" customWidth="1"/>
    <col min="10503" max="10503" width="14.140625" style="32" bestFit="1" customWidth="1"/>
    <col min="10504" max="10504" width="11.28515625" style="32" customWidth="1"/>
    <col min="10505" max="10505" width="15.140625" style="32" bestFit="1" customWidth="1"/>
    <col min="10506" max="10506" width="8.85546875" style="32"/>
    <col min="10507" max="10507" width="12.28515625" style="32" bestFit="1" customWidth="1"/>
    <col min="10508" max="10755" width="8.85546875" style="32"/>
    <col min="10756" max="10756" width="32.85546875" style="32" customWidth="1"/>
    <col min="10757" max="10757" width="15.42578125" style="32" bestFit="1" customWidth="1"/>
    <col min="10758" max="10758" width="15.7109375" style="32" bestFit="1" customWidth="1"/>
    <col min="10759" max="10759" width="14.140625" style="32" bestFit="1" customWidth="1"/>
    <col min="10760" max="10760" width="11.28515625" style="32" customWidth="1"/>
    <col min="10761" max="10761" width="15.140625" style="32" bestFit="1" customWidth="1"/>
    <col min="10762" max="10762" width="8.85546875" style="32"/>
    <col min="10763" max="10763" width="12.28515625" style="32" bestFit="1" customWidth="1"/>
    <col min="10764" max="11011" width="8.85546875" style="32"/>
    <col min="11012" max="11012" width="32.85546875" style="32" customWidth="1"/>
    <col min="11013" max="11013" width="15.42578125" style="32" bestFit="1" customWidth="1"/>
    <col min="11014" max="11014" width="15.7109375" style="32" bestFit="1" customWidth="1"/>
    <col min="11015" max="11015" width="14.140625" style="32" bestFit="1" customWidth="1"/>
    <col min="11016" max="11016" width="11.28515625" style="32" customWidth="1"/>
    <col min="11017" max="11017" width="15.140625" style="32" bestFit="1" customWidth="1"/>
    <col min="11018" max="11018" width="8.85546875" style="32"/>
    <col min="11019" max="11019" width="12.28515625" style="32" bestFit="1" customWidth="1"/>
    <col min="11020" max="11267" width="8.85546875" style="32"/>
    <col min="11268" max="11268" width="32.85546875" style="32" customWidth="1"/>
    <col min="11269" max="11269" width="15.42578125" style="32" bestFit="1" customWidth="1"/>
    <col min="11270" max="11270" width="15.7109375" style="32" bestFit="1" customWidth="1"/>
    <col min="11271" max="11271" width="14.140625" style="32" bestFit="1" customWidth="1"/>
    <col min="11272" max="11272" width="11.28515625" style="32" customWidth="1"/>
    <col min="11273" max="11273" width="15.140625" style="32" bestFit="1" customWidth="1"/>
    <col min="11274" max="11274" width="8.85546875" style="32"/>
    <col min="11275" max="11275" width="12.28515625" style="32" bestFit="1" customWidth="1"/>
    <col min="11276" max="11523" width="8.85546875" style="32"/>
    <col min="11524" max="11524" width="32.85546875" style="32" customWidth="1"/>
    <col min="11525" max="11525" width="15.42578125" style="32" bestFit="1" customWidth="1"/>
    <col min="11526" max="11526" width="15.7109375" style="32" bestFit="1" customWidth="1"/>
    <col min="11527" max="11527" width="14.140625" style="32" bestFit="1" customWidth="1"/>
    <col min="11528" max="11528" width="11.28515625" style="32" customWidth="1"/>
    <col min="11529" max="11529" width="15.140625" style="32" bestFit="1" customWidth="1"/>
    <col min="11530" max="11530" width="8.85546875" style="32"/>
    <col min="11531" max="11531" width="12.28515625" style="32" bestFit="1" customWidth="1"/>
    <col min="11532" max="11779" width="8.85546875" style="32"/>
    <col min="11780" max="11780" width="32.85546875" style="32" customWidth="1"/>
    <col min="11781" max="11781" width="15.42578125" style="32" bestFit="1" customWidth="1"/>
    <col min="11782" max="11782" width="15.7109375" style="32" bestFit="1" customWidth="1"/>
    <col min="11783" max="11783" width="14.140625" style="32" bestFit="1" customWidth="1"/>
    <col min="11784" max="11784" width="11.28515625" style="32" customWidth="1"/>
    <col min="11785" max="11785" width="15.140625" style="32" bestFit="1" customWidth="1"/>
    <col min="11786" max="11786" width="8.85546875" style="32"/>
    <col min="11787" max="11787" width="12.28515625" style="32" bestFit="1" customWidth="1"/>
    <col min="11788" max="12035" width="8.85546875" style="32"/>
    <col min="12036" max="12036" width="32.85546875" style="32" customWidth="1"/>
    <col min="12037" max="12037" width="15.42578125" style="32" bestFit="1" customWidth="1"/>
    <col min="12038" max="12038" width="15.7109375" style="32" bestFit="1" customWidth="1"/>
    <col min="12039" max="12039" width="14.140625" style="32" bestFit="1" customWidth="1"/>
    <col min="12040" max="12040" width="11.28515625" style="32" customWidth="1"/>
    <col min="12041" max="12041" width="15.140625" style="32" bestFit="1" customWidth="1"/>
    <col min="12042" max="12042" width="8.85546875" style="32"/>
    <col min="12043" max="12043" width="12.28515625" style="32" bestFit="1" customWidth="1"/>
    <col min="12044" max="12291" width="8.85546875" style="32"/>
    <col min="12292" max="12292" width="32.85546875" style="32" customWidth="1"/>
    <col min="12293" max="12293" width="15.42578125" style="32" bestFit="1" customWidth="1"/>
    <col min="12294" max="12294" width="15.7109375" style="32" bestFit="1" customWidth="1"/>
    <col min="12295" max="12295" width="14.140625" style="32" bestFit="1" customWidth="1"/>
    <col min="12296" max="12296" width="11.28515625" style="32" customWidth="1"/>
    <col min="12297" max="12297" width="15.140625" style="32" bestFit="1" customWidth="1"/>
    <col min="12298" max="12298" width="8.85546875" style="32"/>
    <col min="12299" max="12299" width="12.28515625" style="32" bestFit="1" customWidth="1"/>
    <col min="12300" max="12547" width="8.85546875" style="32"/>
    <col min="12548" max="12548" width="32.85546875" style="32" customWidth="1"/>
    <col min="12549" max="12549" width="15.42578125" style="32" bestFit="1" customWidth="1"/>
    <col min="12550" max="12550" width="15.7109375" style="32" bestFit="1" customWidth="1"/>
    <col min="12551" max="12551" width="14.140625" style="32" bestFit="1" customWidth="1"/>
    <col min="12552" max="12552" width="11.28515625" style="32" customWidth="1"/>
    <col min="12553" max="12553" width="15.140625" style="32" bestFit="1" customWidth="1"/>
    <col min="12554" max="12554" width="8.85546875" style="32"/>
    <col min="12555" max="12555" width="12.28515625" style="32" bestFit="1" customWidth="1"/>
    <col min="12556" max="12803" width="8.85546875" style="32"/>
    <col min="12804" max="12804" width="32.85546875" style="32" customWidth="1"/>
    <col min="12805" max="12805" width="15.42578125" style="32" bestFit="1" customWidth="1"/>
    <col min="12806" max="12806" width="15.7109375" style="32" bestFit="1" customWidth="1"/>
    <col min="12807" max="12807" width="14.140625" style="32" bestFit="1" customWidth="1"/>
    <col min="12808" max="12808" width="11.28515625" style="32" customWidth="1"/>
    <col min="12809" max="12809" width="15.140625" style="32" bestFit="1" customWidth="1"/>
    <col min="12810" max="12810" width="8.85546875" style="32"/>
    <col min="12811" max="12811" width="12.28515625" style="32" bestFit="1" customWidth="1"/>
    <col min="12812" max="13059" width="8.85546875" style="32"/>
    <col min="13060" max="13060" width="32.85546875" style="32" customWidth="1"/>
    <col min="13061" max="13061" width="15.42578125" style="32" bestFit="1" customWidth="1"/>
    <col min="13062" max="13062" width="15.7109375" style="32" bestFit="1" customWidth="1"/>
    <col min="13063" max="13063" width="14.140625" style="32" bestFit="1" customWidth="1"/>
    <col min="13064" max="13064" width="11.28515625" style="32" customWidth="1"/>
    <col min="13065" max="13065" width="15.140625" style="32" bestFit="1" customWidth="1"/>
    <col min="13066" max="13066" width="8.85546875" style="32"/>
    <col min="13067" max="13067" width="12.28515625" style="32" bestFit="1" customWidth="1"/>
    <col min="13068" max="13315" width="8.85546875" style="32"/>
    <col min="13316" max="13316" width="32.85546875" style="32" customWidth="1"/>
    <col min="13317" max="13317" width="15.42578125" style="32" bestFit="1" customWidth="1"/>
    <col min="13318" max="13318" width="15.7109375" style="32" bestFit="1" customWidth="1"/>
    <col min="13319" max="13319" width="14.140625" style="32" bestFit="1" customWidth="1"/>
    <col min="13320" max="13320" width="11.28515625" style="32" customWidth="1"/>
    <col min="13321" max="13321" width="15.140625" style="32" bestFit="1" customWidth="1"/>
    <col min="13322" max="13322" width="8.85546875" style="32"/>
    <col min="13323" max="13323" width="12.28515625" style="32" bestFit="1" customWidth="1"/>
    <col min="13324" max="13571" width="8.85546875" style="32"/>
    <col min="13572" max="13572" width="32.85546875" style="32" customWidth="1"/>
    <col min="13573" max="13573" width="15.42578125" style="32" bestFit="1" customWidth="1"/>
    <col min="13574" max="13574" width="15.7109375" style="32" bestFit="1" customWidth="1"/>
    <col min="13575" max="13575" width="14.140625" style="32" bestFit="1" customWidth="1"/>
    <col min="13576" max="13576" width="11.28515625" style="32" customWidth="1"/>
    <col min="13577" max="13577" width="15.140625" style="32" bestFit="1" customWidth="1"/>
    <col min="13578" max="13578" width="8.85546875" style="32"/>
    <col min="13579" max="13579" width="12.28515625" style="32" bestFit="1" customWidth="1"/>
    <col min="13580" max="13827" width="8.85546875" style="32"/>
    <col min="13828" max="13828" width="32.85546875" style="32" customWidth="1"/>
    <col min="13829" max="13829" width="15.42578125" style="32" bestFit="1" customWidth="1"/>
    <col min="13830" max="13830" width="15.7109375" style="32" bestFit="1" customWidth="1"/>
    <col min="13831" max="13831" width="14.140625" style="32" bestFit="1" customWidth="1"/>
    <col min="13832" max="13832" width="11.28515625" style="32" customWidth="1"/>
    <col min="13833" max="13833" width="15.140625" style="32" bestFit="1" customWidth="1"/>
    <col min="13834" max="13834" width="8.85546875" style="32"/>
    <col min="13835" max="13835" width="12.28515625" style="32" bestFit="1" customWidth="1"/>
    <col min="13836" max="14083" width="8.85546875" style="32"/>
    <col min="14084" max="14084" width="32.85546875" style="32" customWidth="1"/>
    <col min="14085" max="14085" width="15.42578125" style="32" bestFit="1" customWidth="1"/>
    <col min="14086" max="14086" width="15.7109375" style="32" bestFit="1" customWidth="1"/>
    <col min="14087" max="14087" width="14.140625" style="32" bestFit="1" customWidth="1"/>
    <col min="14088" max="14088" width="11.28515625" style="32" customWidth="1"/>
    <col min="14089" max="14089" width="15.140625" style="32" bestFit="1" customWidth="1"/>
    <col min="14090" max="14090" width="8.85546875" style="32"/>
    <col min="14091" max="14091" width="12.28515625" style="32" bestFit="1" customWidth="1"/>
    <col min="14092" max="14339" width="8.85546875" style="32"/>
    <col min="14340" max="14340" width="32.85546875" style="32" customWidth="1"/>
    <col min="14341" max="14341" width="15.42578125" style="32" bestFit="1" customWidth="1"/>
    <col min="14342" max="14342" width="15.7109375" style="32" bestFit="1" customWidth="1"/>
    <col min="14343" max="14343" width="14.140625" style="32" bestFit="1" customWidth="1"/>
    <col min="14344" max="14344" width="11.28515625" style="32" customWidth="1"/>
    <col min="14345" max="14345" width="15.140625" style="32" bestFit="1" customWidth="1"/>
    <col min="14346" max="14346" width="8.85546875" style="32"/>
    <col min="14347" max="14347" width="12.28515625" style="32" bestFit="1" customWidth="1"/>
    <col min="14348" max="14595" width="8.85546875" style="32"/>
    <col min="14596" max="14596" width="32.85546875" style="32" customWidth="1"/>
    <col min="14597" max="14597" width="15.42578125" style="32" bestFit="1" customWidth="1"/>
    <col min="14598" max="14598" width="15.7109375" style="32" bestFit="1" customWidth="1"/>
    <col min="14599" max="14599" width="14.140625" style="32" bestFit="1" customWidth="1"/>
    <col min="14600" max="14600" width="11.28515625" style="32" customWidth="1"/>
    <col min="14601" max="14601" width="15.140625" style="32" bestFit="1" customWidth="1"/>
    <col min="14602" max="14602" width="8.85546875" style="32"/>
    <col min="14603" max="14603" width="12.28515625" style="32" bestFit="1" customWidth="1"/>
    <col min="14604" max="14851" width="8.85546875" style="32"/>
    <col min="14852" max="14852" width="32.85546875" style="32" customWidth="1"/>
    <col min="14853" max="14853" width="15.42578125" style="32" bestFit="1" customWidth="1"/>
    <col min="14854" max="14854" width="15.7109375" style="32" bestFit="1" customWidth="1"/>
    <col min="14855" max="14855" width="14.140625" style="32" bestFit="1" customWidth="1"/>
    <col min="14856" max="14856" width="11.28515625" style="32" customWidth="1"/>
    <col min="14857" max="14857" width="15.140625" style="32" bestFit="1" customWidth="1"/>
    <col min="14858" max="14858" width="8.85546875" style="32"/>
    <col min="14859" max="14859" width="12.28515625" style="32" bestFit="1" customWidth="1"/>
    <col min="14860" max="15107" width="8.85546875" style="32"/>
    <col min="15108" max="15108" width="32.85546875" style="32" customWidth="1"/>
    <col min="15109" max="15109" width="15.42578125" style="32" bestFit="1" customWidth="1"/>
    <col min="15110" max="15110" width="15.7109375" style="32" bestFit="1" customWidth="1"/>
    <col min="15111" max="15111" width="14.140625" style="32" bestFit="1" customWidth="1"/>
    <col min="15112" max="15112" width="11.28515625" style="32" customWidth="1"/>
    <col min="15113" max="15113" width="15.140625" style="32" bestFit="1" customWidth="1"/>
    <col min="15114" max="15114" width="8.85546875" style="32"/>
    <col min="15115" max="15115" width="12.28515625" style="32" bestFit="1" customWidth="1"/>
    <col min="15116" max="15363" width="8.85546875" style="32"/>
    <col min="15364" max="15364" width="32.85546875" style="32" customWidth="1"/>
    <col min="15365" max="15365" width="15.42578125" style="32" bestFit="1" customWidth="1"/>
    <col min="15366" max="15366" width="15.7109375" style="32" bestFit="1" customWidth="1"/>
    <col min="15367" max="15367" width="14.140625" style="32" bestFit="1" customWidth="1"/>
    <col min="15368" max="15368" width="11.28515625" style="32" customWidth="1"/>
    <col min="15369" max="15369" width="15.140625" style="32" bestFit="1" customWidth="1"/>
    <col min="15370" max="15370" width="8.85546875" style="32"/>
    <col min="15371" max="15371" width="12.28515625" style="32" bestFit="1" customWidth="1"/>
    <col min="15372" max="15619" width="8.85546875" style="32"/>
    <col min="15620" max="15620" width="32.85546875" style="32" customWidth="1"/>
    <col min="15621" max="15621" width="15.42578125" style="32" bestFit="1" customWidth="1"/>
    <col min="15622" max="15622" width="15.7109375" style="32" bestFit="1" customWidth="1"/>
    <col min="15623" max="15623" width="14.140625" style="32" bestFit="1" customWidth="1"/>
    <col min="15624" max="15624" width="11.28515625" style="32" customWidth="1"/>
    <col min="15625" max="15625" width="15.140625" style="32" bestFit="1" customWidth="1"/>
    <col min="15626" max="15626" width="8.85546875" style="32"/>
    <col min="15627" max="15627" width="12.28515625" style="32" bestFit="1" customWidth="1"/>
    <col min="15628" max="15875" width="8.85546875" style="32"/>
    <col min="15876" max="15876" width="32.85546875" style="32" customWidth="1"/>
    <col min="15877" max="15877" width="15.42578125" style="32" bestFit="1" customWidth="1"/>
    <col min="15878" max="15878" width="15.7109375" style="32" bestFit="1" customWidth="1"/>
    <col min="15879" max="15879" width="14.140625" style="32" bestFit="1" customWidth="1"/>
    <col min="15880" max="15880" width="11.28515625" style="32" customWidth="1"/>
    <col min="15881" max="15881" width="15.140625" style="32" bestFit="1" customWidth="1"/>
    <col min="15882" max="15882" width="8.85546875" style="32"/>
    <col min="15883" max="15883" width="12.28515625" style="32" bestFit="1" customWidth="1"/>
    <col min="15884" max="16131" width="8.85546875" style="32"/>
    <col min="16132" max="16132" width="32.85546875" style="32" customWidth="1"/>
    <col min="16133" max="16133" width="15.42578125" style="32" bestFit="1" customWidth="1"/>
    <col min="16134" max="16134" width="15.7109375" style="32" bestFit="1" customWidth="1"/>
    <col min="16135" max="16135" width="14.140625" style="32" bestFit="1" customWidth="1"/>
    <col min="16136" max="16136" width="11.28515625" style="32" customWidth="1"/>
    <col min="16137" max="16137" width="15.140625" style="32" bestFit="1" customWidth="1"/>
    <col min="16138" max="16138" width="8.85546875" style="32"/>
    <col min="16139" max="16139" width="12.28515625" style="32" bestFit="1" customWidth="1"/>
    <col min="16140" max="16383" width="8.85546875" style="32"/>
    <col min="16384" max="16384" width="8.85546875" style="32" customWidth="1"/>
  </cols>
  <sheetData>
    <row r="1" spans="1:13" x14ac:dyDescent="0.2">
      <c r="A1" s="249" t="str">
        <f>'BDJ-6 Base Revenue (Summary)'!A1:I1</f>
        <v>Puget Sound Energy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3" x14ac:dyDescent="0.2">
      <c r="A2" s="249" t="s">
        <v>72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3" s="80" customFormat="1" ht="11.25" customHeight="1" x14ac:dyDescent="0.2">
      <c r="A3" s="249" t="str">
        <f>'BDJ-6 Base Revenue (Summary)'!A1</f>
        <v>Puget Sound Energy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3" x14ac:dyDescent="0.2">
      <c r="A4" s="249" t="s">
        <v>221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3" ht="11.25" customHeight="1" x14ac:dyDescent="0.2">
      <c r="A5" s="249" t="str">
        <f>'BDJ-6 Base Revenue (Summary)'!A4</f>
        <v>2022 General Rate Case (GRC)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</row>
    <row r="6" spans="1:13" ht="11.25" customHeight="1" x14ac:dyDescent="0.2">
      <c r="A6" s="249" t="str">
        <f>'BDJ-6 Base Revenue (Summary)'!A5</f>
        <v>Test Year Ending June 30, 2021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</row>
    <row r="8" spans="1:13" ht="15" customHeight="1" x14ac:dyDescent="0.2">
      <c r="A8" s="194"/>
      <c r="B8" s="204"/>
      <c r="C8" s="276" t="s">
        <v>19</v>
      </c>
      <c r="D8" s="268" t="s">
        <v>157</v>
      </c>
      <c r="E8" s="269"/>
      <c r="F8" s="271" t="s">
        <v>42</v>
      </c>
      <c r="G8" s="268" t="s">
        <v>175</v>
      </c>
      <c r="H8" s="270"/>
      <c r="I8" s="269"/>
      <c r="J8" s="271" t="s">
        <v>177</v>
      </c>
      <c r="K8" s="274" t="s">
        <v>176</v>
      </c>
    </row>
    <row r="9" spans="1:13" ht="32.25" customHeight="1" x14ac:dyDescent="0.2">
      <c r="A9" s="61" t="s">
        <v>1</v>
      </c>
      <c r="B9" s="57" t="s">
        <v>2</v>
      </c>
      <c r="C9" s="277"/>
      <c r="D9" s="59" t="s">
        <v>141</v>
      </c>
      <c r="E9" s="58" t="s">
        <v>142</v>
      </c>
      <c r="F9" s="272"/>
      <c r="G9" s="57" t="s">
        <v>143</v>
      </c>
      <c r="H9" s="57" t="s">
        <v>145</v>
      </c>
      <c r="I9" s="166" t="s">
        <v>144</v>
      </c>
      <c r="J9" s="272"/>
      <c r="K9" s="275"/>
    </row>
    <row r="10" spans="1:13" x14ac:dyDescent="0.2">
      <c r="A10" s="23"/>
      <c r="B10" s="54" t="s">
        <v>3</v>
      </c>
      <c r="C10" s="53" t="s">
        <v>4</v>
      </c>
      <c r="D10" s="56" t="s">
        <v>5</v>
      </c>
      <c r="E10" s="55" t="s">
        <v>6</v>
      </c>
      <c r="F10" s="52" t="s">
        <v>156</v>
      </c>
      <c r="G10" s="54" t="s">
        <v>20</v>
      </c>
      <c r="H10" s="54" t="s">
        <v>8</v>
      </c>
      <c r="I10" s="53" t="s">
        <v>9</v>
      </c>
      <c r="J10" s="52" t="s">
        <v>21</v>
      </c>
      <c r="K10" s="209" t="s">
        <v>22</v>
      </c>
    </row>
    <row r="11" spans="1:13" x14ac:dyDescent="0.2">
      <c r="A11" s="195"/>
      <c r="B11" s="151" t="s">
        <v>483</v>
      </c>
      <c r="C11" s="36"/>
      <c r="D11" s="151"/>
      <c r="E11" s="36"/>
      <c r="F11" s="35"/>
      <c r="G11" s="151"/>
      <c r="H11" s="151"/>
      <c r="I11" s="36"/>
      <c r="J11" s="35"/>
      <c r="K11" s="210"/>
      <c r="M11" s="51"/>
    </row>
    <row r="12" spans="1:13" x14ac:dyDescent="0.2">
      <c r="A12" s="196">
        <v>1</v>
      </c>
      <c r="B12" s="151" t="s">
        <v>25</v>
      </c>
      <c r="C12" s="43"/>
      <c r="D12" s="47"/>
      <c r="E12" s="43"/>
      <c r="F12" s="42"/>
      <c r="G12" s="47"/>
      <c r="H12" s="47"/>
      <c r="I12" s="43"/>
      <c r="J12" s="42"/>
      <c r="K12" s="211"/>
    </row>
    <row r="13" spans="1:13" x14ac:dyDescent="0.2">
      <c r="A13" s="196">
        <f t="shared" ref="A13:A52" si="0">A12+1</f>
        <v>2</v>
      </c>
      <c r="B13" s="152" t="s">
        <v>34</v>
      </c>
      <c r="C13" s="43">
        <f t="shared" ref="C13:C18" si="1">SUM(D13:K13)</f>
        <v>60608997.957916662</v>
      </c>
      <c r="D13" s="47">
        <v>26884580.480796691</v>
      </c>
      <c r="E13" s="43">
        <v>33724417.477119975</v>
      </c>
      <c r="F13" s="42"/>
      <c r="G13" s="47"/>
      <c r="H13" s="47"/>
      <c r="I13" s="43"/>
      <c r="J13" s="42"/>
      <c r="K13" s="211"/>
    </row>
    <row r="14" spans="1:13" x14ac:dyDescent="0.2">
      <c r="A14" s="196">
        <f t="shared" si="0"/>
        <v>3</v>
      </c>
      <c r="B14" s="152" t="s">
        <v>35</v>
      </c>
      <c r="C14" s="43">
        <f t="shared" si="1"/>
        <v>-28462557.079999998</v>
      </c>
      <c r="D14" s="47">
        <v>-12625252.558008669</v>
      </c>
      <c r="E14" s="43">
        <v>-15837304.521991331</v>
      </c>
      <c r="F14" s="42"/>
      <c r="G14" s="47"/>
      <c r="H14" s="47"/>
      <c r="I14" s="43"/>
      <c r="J14" s="42"/>
      <c r="K14" s="211"/>
    </row>
    <row r="15" spans="1:13" x14ac:dyDescent="0.2">
      <c r="A15" s="196">
        <f t="shared" si="0"/>
        <v>4</v>
      </c>
      <c r="B15" s="152" t="s">
        <v>36</v>
      </c>
      <c r="C15" s="43">
        <f t="shared" si="1"/>
        <v>57111508.336254723</v>
      </c>
      <c r="D15" s="47">
        <v>50501729.100087032</v>
      </c>
      <c r="E15" s="43"/>
      <c r="F15" s="42"/>
      <c r="G15" s="47"/>
      <c r="H15" s="47"/>
      <c r="I15" s="43"/>
      <c r="J15" s="42">
        <v>4401713.5094317142</v>
      </c>
      <c r="K15" s="211">
        <v>2208065.7267359761</v>
      </c>
    </row>
    <row r="16" spans="1:13" x14ac:dyDescent="0.2">
      <c r="A16" s="196">
        <f t="shared" si="0"/>
        <v>5</v>
      </c>
      <c r="B16" s="152" t="s">
        <v>37</v>
      </c>
      <c r="C16" s="43">
        <f t="shared" si="1"/>
        <v>-21699220.413692817</v>
      </c>
      <c r="D16" s="47">
        <v>-18767035.093509048</v>
      </c>
      <c r="E16" s="43"/>
      <c r="F16" s="42"/>
      <c r="G16" s="47"/>
      <c r="H16" s="47"/>
      <c r="I16" s="43"/>
      <c r="J16" s="42">
        <v>-1890297.3657058706</v>
      </c>
      <c r="K16" s="211">
        <v>-1041887.9544778977</v>
      </c>
    </row>
    <row r="17" spans="1:12" x14ac:dyDescent="0.2">
      <c r="A17" s="196">
        <f t="shared" si="0"/>
        <v>6</v>
      </c>
      <c r="B17" s="152" t="s">
        <v>478</v>
      </c>
      <c r="C17" s="43">
        <f t="shared" si="1"/>
        <v>-3307651.7391166342</v>
      </c>
      <c r="D17" s="47">
        <v>-3034451.8394718049</v>
      </c>
      <c r="E17" s="47"/>
      <c r="F17" s="42"/>
      <c r="G17" s="47"/>
      <c r="H17" s="47"/>
      <c r="I17" s="43"/>
      <c r="J17" s="42">
        <v>-133655.42637754616</v>
      </c>
      <c r="K17" s="211">
        <v>-139544.47326728341</v>
      </c>
    </row>
    <row r="18" spans="1:12" x14ac:dyDescent="0.2">
      <c r="A18" s="196">
        <f t="shared" si="0"/>
        <v>7</v>
      </c>
      <c r="B18" s="151" t="s">
        <v>26</v>
      </c>
      <c r="C18" s="49">
        <f t="shared" si="1"/>
        <v>64251077.061361939</v>
      </c>
      <c r="D18" s="50">
        <f t="shared" ref="D18:K18" si="2">SUM(D13:D17)</f>
        <v>42959570.089894205</v>
      </c>
      <c r="E18" s="49">
        <f t="shared" si="2"/>
        <v>17887112.955128644</v>
      </c>
      <c r="F18" s="48">
        <f t="shared" si="2"/>
        <v>0</v>
      </c>
      <c r="G18" s="50">
        <f t="shared" si="2"/>
        <v>0</v>
      </c>
      <c r="H18" s="50">
        <f t="shared" si="2"/>
        <v>0</v>
      </c>
      <c r="I18" s="49">
        <f t="shared" si="2"/>
        <v>0</v>
      </c>
      <c r="J18" s="48">
        <f t="shared" si="2"/>
        <v>2377760.7173482976</v>
      </c>
      <c r="K18" s="212">
        <f t="shared" si="2"/>
        <v>1026633.2989907948</v>
      </c>
      <c r="L18" s="34"/>
    </row>
    <row r="19" spans="1:12" x14ac:dyDescent="0.2">
      <c r="A19" s="196">
        <f t="shared" si="0"/>
        <v>8</v>
      </c>
      <c r="B19" s="197"/>
      <c r="C19" s="67"/>
      <c r="D19" s="47"/>
      <c r="E19" s="43"/>
      <c r="F19" s="42"/>
      <c r="G19" s="47"/>
      <c r="H19" s="47"/>
      <c r="I19" s="43"/>
      <c r="J19" s="42"/>
      <c r="K19" s="211"/>
    </row>
    <row r="20" spans="1:12" x14ac:dyDescent="0.2">
      <c r="A20" s="196">
        <f t="shared" si="0"/>
        <v>9</v>
      </c>
      <c r="B20" s="151" t="s">
        <v>27</v>
      </c>
      <c r="C20" s="41">
        <v>7.3899999999999993E-2</v>
      </c>
      <c r="D20" s="47"/>
      <c r="E20" s="43"/>
      <c r="F20" s="42"/>
      <c r="G20" s="47"/>
      <c r="H20" s="47"/>
      <c r="I20" s="43"/>
      <c r="J20" s="42"/>
      <c r="K20" s="211"/>
    </row>
    <row r="21" spans="1:12" x14ac:dyDescent="0.2">
      <c r="A21" s="196">
        <f t="shared" si="0"/>
        <v>10</v>
      </c>
      <c r="B21" s="198" t="s">
        <v>479</v>
      </c>
      <c r="C21" s="43">
        <f>SUM(D21:K21)</f>
        <v>4748154.5948346471</v>
      </c>
      <c r="D21" s="47">
        <f t="shared" ref="D21:K21" si="3">+D18*$C$20</f>
        <v>3174712.2296431814</v>
      </c>
      <c r="E21" s="43">
        <f t="shared" si="3"/>
        <v>1321857.6473840068</v>
      </c>
      <c r="F21" s="42">
        <f t="shared" si="3"/>
        <v>0</v>
      </c>
      <c r="G21" s="47">
        <f t="shared" si="3"/>
        <v>0</v>
      </c>
      <c r="H21" s="47">
        <f t="shared" si="3"/>
        <v>0</v>
      </c>
      <c r="I21" s="43">
        <f t="shared" si="3"/>
        <v>0</v>
      </c>
      <c r="J21" s="42">
        <f t="shared" si="3"/>
        <v>175716.51701203917</v>
      </c>
      <c r="K21" s="211">
        <f t="shared" si="3"/>
        <v>75868.200795419732</v>
      </c>
    </row>
    <row r="22" spans="1:12" x14ac:dyDescent="0.2">
      <c r="A22" s="196">
        <f t="shared" si="0"/>
        <v>11</v>
      </c>
      <c r="B22" s="151"/>
      <c r="C22" s="43"/>
      <c r="D22" s="47"/>
      <c r="E22" s="43"/>
      <c r="F22" s="42"/>
      <c r="G22" s="47"/>
      <c r="H22" s="47"/>
      <c r="I22" s="43"/>
      <c r="J22" s="42"/>
      <c r="K22" s="211"/>
    </row>
    <row r="23" spans="1:12" x14ac:dyDescent="0.2">
      <c r="A23" s="196">
        <f t="shared" si="0"/>
        <v>12</v>
      </c>
      <c r="B23" s="151" t="s">
        <v>23</v>
      </c>
      <c r="C23" s="43"/>
      <c r="D23" s="47"/>
      <c r="E23" s="43"/>
      <c r="F23" s="42"/>
      <c r="G23" s="47"/>
      <c r="H23" s="47"/>
      <c r="I23" s="43"/>
      <c r="J23" s="42"/>
      <c r="K23" s="211"/>
    </row>
    <row r="24" spans="1:12" x14ac:dyDescent="0.2">
      <c r="A24" s="196">
        <f t="shared" si="0"/>
        <v>13</v>
      </c>
      <c r="B24" s="151" t="s">
        <v>28</v>
      </c>
      <c r="C24" s="43">
        <f t="shared" ref="C24:C30" si="4">SUM(D24:K24)</f>
        <v>0</v>
      </c>
      <c r="D24" s="47"/>
      <c r="E24" s="43"/>
      <c r="F24" s="42">
        <v>0</v>
      </c>
      <c r="G24" s="47"/>
      <c r="H24" s="47"/>
      <c r="I24" s="43"/>
      <c r="J24" s="42"/>
      <c r="K24" s="211"/>
    </row>
    <row r="25" spans="1:12" x14ac:dyDescent="0.2">
      <c r="A25" s="196">
        <f t="shared" si="0"/>
        <v>14</v>
      </c>
      <c r="B25" s="152" t="s">
        <v>29</v>
      </c>
      <c r="C25" s="43">
        <f t="shared" si="4"/>
        <v>2620715.0577569148</v>
      </c>
      <c r="D25" s="47"/>
      <c r="E25" s="43"/>
      <c r="F25" s="42">
        <v>2620715.0577569148</v>
      </c>
      <c r="G25" s="47"/>
      <c r="H25" s="47"/>
      <c r="I25" s="43"/>
      <c r="J25" s="42"/>
      <c r="K25" s="211"/>
    </row>
    <row r="26" spans="1:12" x14ac:dyDescent="0.2">
      <c r="A26" s="196">
        <f t="shared" si="0"/>
        <v>15</v>
      </c>
      <c r="B26" s="152" t="s">
        <v>30</v>
      </c>
      <c r="C26" s="43">
        <f t="shared" si="4"/>
        <v>0</v>
      </c>
      <c r="D26" s="47"/>
      <c r="E26" s="43"/>
      <c r="F26" s="42"/>
      <c r="G26" s="47">
        <v>0</v>
      </c>
      <c r="H26" s="47">
        <v>0</v>
      </c>
      <c r="I26" s="43">
        <v>0</v>
      </c>
      <c r="J26" s="42"/>
      <c r="K26" s="211"/>
    </row>
    <row r="27" spans="1:12" x14ac:dyDescent="0.2">
      <c r="A27" s="196">
        <f t="shared" si="0"/>
        <v>16</v>
      </c>
      <c r="B27" s="152" t="s">
        <v>38</v>
      </c>
      <c r="C27" s="43">
        <f t="shared" si="4"/>
        <v>4036700.631718114</v>
      </c>
      <c r="D27" s="47"/>
      <c r="E27" s="43"/>
      <c r="F27" s="42">
        <v>591954.69255711511</v>
      </c>
      <c r="G27" s="47"/>
      <c r="H27" s="47"/>
      <c r="I27" s="43"/>
      <c r="J27" s="199">
        <v>67826.641131963581</v>
      </c>
      <c r="K27" s="213">
        <v>3376919.2980290353</v>
      </c>
      <c r="L27" s="72"/>
    </row>
    <row r="28" spans="1:12" x14ac:dyDescent="0.2">
      <c r="A28" s="196">
        <f t="shared" si="0"/>
        <v>17</v>
      </c>
      <c r="B28" s="198" t="s">
        <v>41</v>
      </c>
      <c r="C28" s="43">
        <f t="shared" si="4"/>
        <v>4097565.6842988599</v>
      </c>
      <c r="D28" s="47">
        <v>1695250.4268311439</v>
      </c>
      <c r="E28" s="47">
        <v>2126547.3405306092</v>
      </c>
      <c r="F28" s="42"/>
      <c r="G28" s="47"/>
      <c r="H28" s="47"/>
      <c r="I28" s="43"/>
      <c r="J28" s="199">
        <v>169514.11780986912</v>
      </c>
      <c r="K28" s="213">
        <v>106253.79912723781</v>
      </c>
    </row>
    <row r="29" spans="1:12" x14ac:dyDescent="0.2">
      <c r="A29" s="196">
        <f t="shared" si="0"/>
        <v>18</v>
      </c>
      <c r="B29" s="198" t="s">
        <v>217</v>
      </c>
      <c r="C29" s="43">
        <f t="shared" si="4"/>
        <v>598334.31092387345</v>
      </c>
      <c r="D29" s="47">
        <v>247543.68181775164</v>
      </c>
      <c r="E29" s="47">
        <v>310522.4749706721</v>
      </c>
      <c r="F29" s="42"/>
      <c r="G29" s="47"/>
      <c r="H29" s="47"/>
      <c r="I29" s="47"/>
      <c r="J29" s="47">
        <v>24752.772911068416</v>
      </c>
      <c r="K29" s="213">
        <v>15515.381224381264</v>
      </c>
    </row>
    <row r="30" spans="1:12" x14ac:dyDescent="0.2">
      <c r="A30" s="196">
        <f t="shared" si="0"/>
        <v>19</v>
      </c>
      <c r="B30" s="151" t="s">
        <v>39</v>
      </c>
      <c r="C30" s="148">
        <f t="shared" si="4"/>
        <v>1372140.1214548515</v>
      </c>
      <c r="D30" s="144"/>
      <c r="E30" s="145"/>
      <c r="F30" s="46"/>
      <c r="G30" s="200">
        <v>219188.9026211726</v>
      </c>
      <c r="H30" s="200">
        <v>36020.936187819578</v>
      </c>
      <c r="I30" s="200">
        <v>1116930.2826458593</v>
      </c>
      <c r="J30" s="146"/>
      <c r="K30" s="214"/>
    </row>
    <row r="31" spans="1:12" x14ac:dyDescent="0.2">
      <c r="A31" s="196">
        <f t="shared" si="0"/>
        <v>20</v>
      </c>
      <c r="B31" s="151" t="s">
        <v>43</v>
      </c>
      <c r="C31" s="43">
        <f t="shared" ref="C31:K31" si="5">SUM(C24:C30)</f>
        <v>12725455.806152614</v>
      </c>
      <c r="D31" s="47">
        <f t="shared" si="5"/>
        <v>1942794.1086488955</v>
      </c>
      <c r="E31" s="43">
        <f t="shared" si="5"/>
        <v>2437069.8155012815</v>
      </c>
      <c r="F31" s="42">
        <f t="shared" si="5"/>
        <v>3212669.7503140299</v>
      </c>
      <c r="G31" s="47">
        <f t="shared" si="5"/>
        <v>219188.9026211726</v>
      </c>
      <c r="H31" s="47">
        <f t="shared" si="5"/>
        <v>36020.936187819578</v>
      </c>
      <c r="I31" s="43">
        <f t="shared" si="5"/>
        <v>1116930.2826458593</v>
      </c>
      <c r="J31" s="42">
        <f t="shared" si="5"/>
        <v>262093.5318529011</v>
      </c>
      <c r="K31" s="211">
        <f t="shared" si="5"/>
        <v>3498688.4783806545</v>
      </c>
    </row>
    <row r="32" spans="1:12" x14ac:dyDescent="0.2">
      <c r="A32" s="196">
        <f t="shared" si="0"/>
        <v>21</v>
      </c>
      <c r="B32" s="151" t="s">
        <v>44</v>
      </c>
      <c r="C32" s="43"/>
      <c r="D32" s="153">
        <f t="shared" ref="D32:K32" si="6">+D31/$C$31</f>
        <v>0.15266990340020486</v>
      </c>
      <c r="E32" s="45">
        <f t="shared" si="6"/>
        <v>0.19151139673307307</v>
      </c>
      <c r="F32" s="44">
        <f t="shared" si="6"/>
        <v>0.25246009253049628</v>
      </c>
      <c r="G32" s="153">
        <f t="shared" si="6"/>
        <v>1.7224444134660958E-2</v>
      </c>
      <c r="H32" s="153">
        <f t="shared" si="6"/>
        <v>2.8306205087289577E-3</v>
      </c>
      <c r="I32" s="45">
        <f t="shared" si="6"/>
        <v>8.7771337990568174E-2</v>
      </c>
      <c r="J32" s="44">
        <f t="shared" si="6"/>
        <v>2.0596003463088673E-2</v>
      </c>
      <c r="K32" s="215">
        <f t="shared" si="6"/>
        <v>0.27493620123917906</v>
      </c>
    </row>
    <row r="33" spans="1:11" x14ac:dyDescent="0.2">
      <c r="A33" s="196">
        <f t="shared" si="0"/>
        <v>22</v>
      </c>
      <c r="B33" s="152" t="s">
        <v>40</v>
      </c>
      <c r="C33" s="43">
        <v>1333934.2672543228</v>
      </c>
      <c r="D33" s="47">
        <f t="shared" ref="D33:K33" si="7">$C$33*D32</f>
        <v>203651.61572394051</v>
      </c>
      <c r="E33" s="43">
        <f t="shared" si="7"/>
        <v>255463.61467198373</v>
      </c>
      <c r="F33" s="42">
        <f t="shared" si="7"/>
        <v>336765.16854062607</v>
      </c>
      <c r="G33" s="47">
        <f t="shared" si="7"/>
        <v>22976.276265631983</v>
      </c>
      <c r="H33" s="47">
        <f t="shared" si="7"/>
        <v>3775.8616941864207</v>
      </c>
      <c r="I33" s="43">
        <f t="shared" si="7"/>
        <v>117081.19542838006</v>
      </c>
      <c r="J33" s="42">
        <f t="shared" si="7"/>
        <v>27473.714787902685</v>
      </c>
      <c r="K33" s="211">
        <f t="shared" si="7"/>
        <v>366746.82014167134</v>
      </c>
    </row>
    <row r="34" spans="1:11" x14ac:dyDescent="0.2">
      <c r="A34" s="196">
        <f t="shared" si="0"/>
        <v>23</v>
      </c>
      <c r="B34" s="151" t="s">
        <v>45</v>
      </c>
      <c r="C34" s="43">
        <f>SUM(D34:K34)</f>
        <v>14059390.073406935</v>
      </c>
      <c r="D34" s="47">
        <f t="shared" ref="D34:K34" si="8">SUM(D31,D33)</f>
        <v>2146445.7243728358</v>
      </c>
      <c r="E34" s="43">
        <f t="shared" si="8"/>
        <v>2692533.4301732653</v>
      </c>
      <c r="F34" s="42">
        <f t="shared" si="8"/>
        <v>3549434.9188546557</v>
      </c>
      <c r="G34" s="47">
        <f t="shared" si="8"/>
        <v>242165.17888680458</v>
      </c>
      <c r="H34" s="47">
        <f t="shared" si="8"/>
        <v>39796.797882006002</v>
      </c>
      <c r="I34" s="43">
        <f t="shared" si="8"/>
        <v>1234011.4780742393</v>
      </c>
      <c r="J34" s="42">
        <f t="shared" si="8"/>
        <v>289567.24664080376</v>
      </c>
      <c r="K34" s="211">
        <f t="shared" si="8"/>
        <v>3865435.2985223257</v>
      </c>
    </row>
    <row r="35" spans="1:11" x14ac:dyDescent="0.2">
      <c r="A35" s="196">
        <f t="shared" si="0"/>
        <v>24</v>
      </c>
      <c r="B35" s="197"/>
      <c r="C35" s="43"/>
      <c r="D35" s="47"/>
      <c r="E35" s="43"/>
      <c r="F35" s="42"/>
      <c r="G35" s="47"/>
      <c r="H35" s="47"/>
      <c r="I35" s="43"/>
      <c r="J35" s="42"/>
      <c r="K35" s="211"/>
    </row>
    <row r="36" spans="1:11" x14ac:dyDescent="0.2">
      <c r="A36" s="196">
        <f t="shared" si="0"/>
        <v>25</v>
      </c>
      <c r="B36" s="151" t="s">
        <v>24</v>
      </c>
      <c r="C36" s="43">
        <f>SUM(D36:K36)</f>
        <v>18807544.668241583</v>
      </c>
      <c r="D36" s="47">
        <f t="shared" ref="D36:K36" si="9">SUM(D21,D34)</f>
        <v>5321157.9540160168</v>
      </c>
      <c r="E36" s="43">
        <f t="shared" si="9"/>
        <v>4014391.0775572723</v>
      </c>
      <c r="F36" s="42">
        <f t="shared" si="9"/>
        <v>3549434.9188546557</v>
      </c>
      <c r="G36" s="47">
        <f t="shared" si="9"/>
        <v>242165.17888680458</v>
      </c>
      <c r="H36" s="47">
        <f t="shared" si="9"/>
        <v>39796.797882006002</v>
      </c>
      <c r="I36" s="43">
        <f t="shared" si="9"/>
        <v>1234011.4780742393</v>
      </c>
      <c r="J36" s="42">
        <f t="shared" si="9"/>
        <v>465283.76365284296</v>
      </c>
      <c r="K36" s="211">
        <f t="shared" si="9"/>
        <v>3941303.4993177452</v>
      </c>
    </row>
    <row r="37" spans="1:11" x14ac:dyDescent="0.2">
      <c r="A37" s="196">
        <f t="shared" si="0"/>
        <v>26</v>
      </c>
      <c r="B37" s="151"/>
      <c r="C37" s="43"/>
      <c r="D37" s="153">
        <f t="shared" ref="D37:K37" si="10">+D36/$C$36</f>
        <v>0.28292677475339584</v>
      </c>
      <c r="E37" s="45">
        <f t="shared" si="10"/>
        <v>0.21344578191197772</v>
      </c>
      <c r="F37" s="44">
        <f t="shared" si="10"/>
        <v>0.18872399249691699</v>
      </c>
      <c r="G37" s="153">
        <f t="shared" si="10"/>
        <v>1.287595925776131E-2</v>
      </c>
      <c r="H37" s="153">
        <f t="shared" si="10"/>
        <v>2.1160017739692981E-3</v>
      </c>
      <c r="I37" s="45">
        <f t="shared" si="10"/>
        <v>6.5612577284369866E-2</v>
      </c>
      <c r="J37" s="44">
        <f t="shared" si="10"/>
        <v>2.4739208219907678E-2</v>
      </c>
      <c r="K37" s="215">
        <f t="shared" si="10"/>
        <v>0.20955970430170132</v>
      </c>
    </row>
    <row r="38" spans="1:11" x14ac:dyDescent="0.2">
      <c r="A38" s="196">
        <f t="shared" si="0"/>
        <v>27</v>
      </c>
      <c r="B38" s="151" t="s">
        <v>31</v>
      </c>
      <c r="C38" s="43">
        <v>-21391.294091615826</v>
      </c>
      <c r="D38" s="47">
        <f t="shared" ref="D38:K38" si="11">$C$38*D37</f>
        <v>-6052.169845142238</v>
      </c>
      <c r="E38" s="43">
        <f t="shared" si="11"/>
        <v>-4565.8814934940092</v>
      </c>
      <c r="F38" s="42">
        <f t="shared" si="11"/>
        <v>-4037.0504256454496</v>
      </c>
      <c r="G38" s="47">
        <f t="shared" si="11"/>
        <v>-275.43343119443563</v>
      </c>
      <c r="H38" s="47">
        <f t="shared" si="11"/>
        <v>-45.26401624535805</v>
      </c>
      <c r="I38" s="43">
        <f t="shared" si="11"/>
        <v>-1403.5379367988278</v>
      </c>
      <c r="J38" s="42">
        <f t="shared" si="11"/>
        <v>-529.20367862576472</v>
      </c>
      <c r="K38" s="211">
        <f t="shared" si="11"/>
        <v>-4482.753264469743</v>
      </c>
    </row>
    <row r="39" spans="1:11" x14ac:dyDescent="0.2">
      <c r="A39" s="196">
        <f t="shared" si="0"/>
        <v>28</v>
      </c>
      <c r="B39" s="151"/>
      <c r="C39" s="43"/>
      <c r="D39" s="153"/>
      <c r="E39" s="43"/>
      <c r="F39" s="42"/>
      <c r="G39" s="47"/>
      <c r="H39" s="47"/>
      <c r="I39" s="43"/>
      <c r="J39" s="42"/>
      <c r="K39" s="211"/>
    </row>
    <row r="40" spans="1:11" x14ac:dyDescent="0.2">
      <c r="A40" s="196">
        <f t="shared" si="0"/>
        <v>29</v>
      </c>
      <c r="B40" s="152" t="s">
        <v>480</v>
      </c>
      <c r="C40" s="43">
        <v>17783746.025385197</v>
      </c>
      <c r="D40" s="47">
        <f t="shared" ref="D40:K40" si="12">$C$40*D37</f>
        <v>5031497.9059957564</v>
      </c>
      <c r="E40" s="43">
        <f t="shared" si="12"/>
        <v>3795865.5757123693</v>
      </c>
      <c r="F40" s="42">
        <f t="shared" si="12"/>
        <v>3356219.5514618731</v>
      </c>
      <c r="G40" s="47">
        <f t="shared" si="12"/>
        <v>228982.78927323443</v>
      </c>
      <c r="H40" s="47">
        <f t="shared" si="12"/>
        <v>37630.438137534533</v>
      </c>
      <c r="I40" s="43">
        <f t="shared" si="12"/>
        <v>1166837.4104961916</v>
      </c>
      <c r="J40" s="42">
        <f t="shared" si="12"/>
        <v>439955.79585195996</v>
      </c>
      <c r="K40" s="211">
        <f t="shared" si="12"/>
        <v>3726756.5584562779</v>
      </c>
    </row>
    <row r="41" spans="1:11" x14ac:dyDescent="0.2">
      <c r="A41" s="196">
        <f t="shared" si="0"/>
        <v>30</v>
      </c>
      <c r="B41" s="151"/>
      <c r="C41" s="43"/>
      <c r="D41" s="47"/>
      <c r="E41" s="43"/>
      <c r="F41" s="42"/>
      <c r="G41" s="47"/>
      <c r="H41" s="47"/>
      <c r="I41" s="43"/>
      <c r="J41" s="42"/>
      <c r="K41" s="211"/>
    </row>
    <row r="42" spans="1:11" x14ac:dyDescent="0.2">
      <c r="A42" s="196">
        <f t="shared" si="0"/>
        <v>31</v>
      </c>
      <c r="B42" s="151"/>
      <c r="C42" s="41">
        <v>-3.6859164792924948E-2</v>
      </c>
      <c r="D42" s="154">
        <f t="shared" ref="D42:K42" si="13">$C$42</f>
        <v>-3.6859164792924948E-2</v>
      </c>
      <c r="E42" s="41">
        <f t="shared" si="13"/>
        <v>-3.6859164792924948E-2</v>
      </c>
      <c r="F42" s="40">
        <f t="shared" si="13"/>
        <v>-3.6859164792924948E-2</v>
      </c>
      <c r="G42" s="154">
        <f t="shared" si="13"/>
        <v>-3.6859164792924948E-2</v>
      </c>
      <c r="H42" s="154">
        <f t="shared" si="13"/>
        <v>-3.6859164792924948E-2</v>
      </c>
      <c r="I42" s="41">
        <f t="shared" si="13"/>
        <v>-3.6859164792924948E-2</v>
      </c>
      <c r="J42" s="40">
        <f t="shared" si="13"/>
        <v>-3.6859164792924948E-2</v>
      </c>
      <c r="K42" s="216">
        <f t="shared" si="13"/>
        <v>-3.6859164792924948E-2</v>
      </c>
    </row>
    <row r="43" spans="1:11" x14ac:dyDescent="0.2">
      <c r="A43" s="196">
        <f t="shared" si="0"/>
        <v>32</v>
      </c>
      <c r="B43" s="151" t="s">
        <v>481</v>
      </c>
      <c r="C43" s="67">
        <f>SUM(D43:K43)</f>
        <v>-655494.02538519702</v>
      </c>
      <c r="D43" s="47">
        <f t="shared" ref="D43:K43" si="14">D40*D42</f>
        <v>-185456.81047235438</v>
      </c>
      <c r="E43" s="43">
        <f t="shared" si="14"/>
        <v>-139912.43478697314</v>
      </c>
      <c r="F43" s="42">
        <f t="shared" si="14"/>
        <v>-123707.44952856984</v>
      </c>
      <c r="G43" s="47">
        <f t="shared" si="14"/>
        <v>-8440.1143645657557</v>
      </c>
      <c r="H43" s="47">
        <f t="shared" si="14"/>
        <v>-1387.0265205413532</v>
      </c>
      <c r="I43" s="43">
        <f t="shared" si="14"/>
        <v>-43008.652400028943</v>
      </c>
      <c r="J43" s="42">
        <f t="shared" si="14"/>
        <v>-16216.403180909838</v>
      </c>
      <c r="K43" s="211">
        <f t="shared" si="14"/>
        <v>-137365.13413125378</v>
      </c>
    </row>
    <row r="44" spans="1:11" x14ac:dyDescent="0.2">
      <c r="A44" s="196">
        <f t="shared" si="0"/>
        <v>33</v>
      </c>
      <c r="B44" s="151" t="s">
        <v>482</v>
      </c>
      <c r="C44" s="67">
        <f>SUM(D44:K44)</f>
        <v>17128252</v>
      </c>
      <c r="D44" s="64">
        <f t="shared" ref="D44:K44" si="15">D43+D40</f>
        <v>4846041.0955234021</v>
      </c>
      <c r="E44" s="67">
        <f t="shared" si="15"/>
        <v>3655953.1409253962</v>
      </c>
      <c r="F44" s="68">
        <f t="shared" si="15"/>
        <v>3232512.1019333033</v>
      </c>
      <c r="G44" s="64">
        <f t="shared" si="15"/>
        <v>220542.67490866868</v>
      </c>
      <c r="H44" s="64">
        <f t="shared" si="15"/>
        <v>36243.41161699318</v>
      </c>
      <c r="I44" s="67">
        <f t="shared" si="15"/>
        <v>1123828.7580961627</v>
      </c>
      <c r="J44" s="68">
        <f t="shared" si="15"/>
        <v>423739.39267105015</v>
      </c>
      <c r="K44" s="217">
        <f t="shared" si="15"/>
        <v>3589391.4243250242</v>
      </c>
    </row>
    <row r="45" spans="1:11" x14ac:dyDescent="0.2">
      <c r="A45" s="196">
        <f t="shared" si="0"/>
        <v>34</v>
      </c>
      <c r="B45" s="151"/>
      <c r="C45" s="201"/>
      <c r="D45" s="202"/>
      <c r="E45" s="201"/>
      <c r="F45" s="203"/>
      <c r="G45" s="202"/>
      <c r="H45" s="202"/>
      <c r="I45" s="201"/>
      <c r="J45" s="203"/>
      <c r="K45" s="218"/>
    </row>
    <row r="46" spans="1:11" x14ac:dyDescent="0.2">
      <c r="A46" s="196">
        <f t="shared" si="0"/>
        <v>35</v>
      </c>
      <c r="B46" s="151" t="s">
        <v>169</v>
      </c>
      <c r="C46" s="49">
        <f>SUM(D46:K46)</f>
        <v>17106860.705908388</v>
      </c>
      <c r="D46" s="50">
        <f>+D44+D38</f>
        <v>4839988.9256782597</v>
      </c>
      <c r="E46" s="50">
        <f t="shared" ref="E46:K46" si="16">+E44+E38</f>
        <v>3651387.2594319023</v>
      </c>
      <c r="F46" s="50">
        <f t="shared" si="16"/>
        <v>3228475.0515076579</v>
      </c>
      <c r="G46" s="50">
        <f t="shared" si="16"/>
        <v>220267.24147747425</v>
      </c>
      <c r="H46" s="50">
        <f t="shared" si="16"/>
        <v>36198.14760074782</v>
      </c>
      <c r="I46" s="50">
        <f t="shared" si="16"/>
        <v>1122425.2201593639</v>
      </c>
      <c r="J46" s="50">
        <f t="shared" si="16"/>
        <v>423210.1889924244</v>
      </c>
      <c r="K46" s="211">
        <f t="shared" si="16"/>
        <v>3584908.6710605547</v>
      </c>
    </row>
    <row r="47" spans="1:11" x14ac:dyDescent="0.2">
      <c r="A47" s="196">
        <f t="shared" si="0"/>
        <v>36</v>
      </c>
      <c r="B47" s="197"/>
      <c r="C47" s="67"/>
      <c r="D47" s="39"/>
      <c r="E47" s="38"/>
      <c r="F47" s="37"/>
      <c r="G47" s="39"/>
      <c r="H47" s="39"/>
      <c r="I47" s="38"/>
      <c r="J47" s="37"/>
      <c r="K47" s="219"/>
    </row>
    <row r="48" spans="1:11" x14ac:dyDescent="0.2">
      <c r="A48" s="196">
        <f t="shared" si="0"/>
        <v>37</v>
      </c>
      <c r="B48" s="151"/>
      <c r="C48" s="67"/>
      <c r="D48" s="39"/>
      <c r="E48" s="38"/>
      <c r="F48" s="37"/>
      <c r="G48" s="39"/>
      <c r="H48" s="39"/>
      <c r="I48" s="38"/>
      <c r="J48" s="37"/>
      <c r="K48" s="219"/>
    </row>
    <row r="49" spans="1:11" x14ac:dyDescent="0.2">
      <c r="A49" s="196">
        <f t="shared" si="0"/>
        <v>38</v>
      </c>
      <c r="B49" s="151"/>
      <c r="C49" s="41">
        <v>-4.6465401228579228E-3</v>
      </c>
      <c r="D49" s="154">
        <f t="shared" ref="D49:K49" si="17">$C$49</f>
        <v>-4.6465401228579228E-3</v>
      </c>
      <c r="E49" s="41">
        <f t="shared" si="17"/>
        <v>-4.6465401228579228E-3</v>
      </c>
      <c r="F49" s="40">
        <f t="shared" si="17"/>
        <v>-4.6465401228579228E-3</v>
      </c>
      <c r="G49" s="154">
        <f t="shared" si="17"/>
        <v>-4.6465401228579228E-3</v>
      </c>
      <c r="H49" s="154">
        <f t="shared" si="17"/>
        <v>-4.6465401228579228E-3</v>
      </c>
      <c r="I49" s="41">
        <f t="shared" si="17"/>
        <v>-4.6465401228579228E-3</v>
      </c>
      <c r="J49" s="40">
        <f t="shared" si="17"/>
        <v>-4.6465401228579228E-3</v>
      </c>
      <c r="K49" s="216">
        <f t="shared" si="17"/>
        <v>-4.6465401228579228E-3</v>
      </c>
    </row>
    <row r="50" spans="1:11" x14ac:dyDescent="0.2">
      <c r="A50" s="196">
        <f t="shared" si="0"/>
        <v>39</v>
      </c>
      <c r="B50" s="151" t="s">
        <v>171</v>
      </c>
      <c r="C50" s="43">
        <f>SUM(D50:K50)</f>
        <v>-79487.714646144916</v>
      </c>
      <c r="D50" s="47">
        <f t="shared" ref="D50:K50" si="18">D46*D49</f>
        <v>-22489.202737352047</v>
      </c>
      <c r="E50" s="43">
        <f t="shared" si="18"/>
        <v>-16966.317405042566</v>
      </c>
      <c r="F50" s="42">
        <f t="shared" si="18"/>
        <v>-15001.238862476132</v>
      </c>
      <c r="G50" s="47">
        <f t="shared" si="18"/>
        <v>-1023.480575276319</v>
      </c>
      <c r="H50" s="47">
        <f t="shared" si="18"/>
        <v>-168.196145200008</v>
      </c>
      <c r="I50" s="43">
        <f t="shared" si="18"/>
        <v>-5215.3938203781217</v>
      </c>
      <c r="J50" s="42">
        <f t="shared" si="18"/>
        <v>-1966.4631235555844</v>
      </c>
      <c r="K50" s="211">
        <f t="shared" si="18"/>
        <v>-16657.421976864141</v>
      </c>
    </row>
    <row r="51" spans="1:11" x14ac:dyDescent="0.2">
      <c r="A51" s="196">
        <f t="shared" si="0"/>
        <v>40</v>
      </c>
      <c r="B51" s="151"/>
      <c r="C51" s="43"/>
      <c r="D51" s="64"/>
      <c r="E51" s="67"/>
      <c r="F51" s="68"/>
      <c r="G51" s="155"/>
      <c r="H51" s="64"/>
      <c r="I51" s="67"/>
      <c r="J51" s="68"/>
      <c r="K51" s="217"/>
    </row>
    <row r="52" spans="1:11" ht="12" thickBot="1" x14ac:dyDescent="0.25">
      <c r="A52" s="196">
        <f t="shared" si="0"/>
        <v>41</v>
      </c>
      <c r="B52" s="204" t="s">
        <v>32</v>
      </c>
      <c r="C52" s="69">
        <f>SUM(D52:K52)</f>
        <v>17027372.991262242</v>
      </c>
      <c r="D52" s="70">
        <f t="shared" ref="D52:K52" si="19">D50+D46</f>
        <v>4817499.7229409078</v>
      </c>
      <c r="E52" s="69">
        <f t="shared" si="19"/>
        <v>3634420.9420268596</v>
      </c>
      <c r="F52" s="71">
        <f t="shared" si="19"/>
        <v>3213473.8126451815</v>
      </c>
      <c r="G52" s="70">
        <f t="shared" si="19"/>
        <v>219243.76090219794</v>
      </c>
      <c r="H52" s="70">
        <f t="shared" si="19"/>
        <v>36029.951455547809</v>
      </c>
      <c r="I52" s="69">
        <f t="shared" si="19"/>
        <v>1117209.8263389857</v>
      </c>
      <c r="J52" s="71">
        <f t="shared" si="19"/>
        <v>421243.72586886882</v>
      </c>
      <c r="K52" s="220">
        <f t="shared" si="19"/>
        <v>3568251.2490836903</v>
      </c>
    </row>
    <row r="53" spans="1:11" ht="12" thickTop="1" x14ac:dyDescent="0.2">
      <c r="A53" s="195"/>
      <c r="B53" s="151"/>
      <c r="C53" s="64"/>
      <c r="D53" s="151"/>
      <c r="E53" s="151"/>
      <c r="F53" s="151"/>
      <c r="G53" s="151"/>
      <c r="H53" s="151"/>
      <c r="I53" s="151"/>
      <c r="J53" s="151"/>
      <c r="K53" s="151"/>
    </row>
    <row r="54" spans="1:11" x14ac:dyDescent="0.2">
      <c r="A54" s="205"/>
      <c r="B54" s="151" t="s">
        <v>33</v>
      </c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11" x14ac:dyDescent="0.2">
      <c r="C55" s="34"/>
      <c r="J55" s="34"/>
    </row>
    <row r="56" spans="1:11" x14ac:dyDescent="0.2">
      <c r="C56" s="33"/>
    </row>
    <row r="57" spans="1:11" x14ac:dyDescent="0.2">
      <c r="C57" s="206"/>
    </row>
    <row r="58" spans="1:11" x14ac:dyDescent="0.2">
      <c r="C58" s="34"/>
      <c r="E58" s="207"/>
    </row>
    <row r="59" spans="1:11" x14ac:dyDescent="0.2">
      <c r="C59" s="34"/>
      <c r="E59" s="34"/>
    </row>
    <row r="60" spans="1:11" x14ac:dyDescent="0.2">
      <c r="F60" s="34"/>
      <c r="H60" s="34"/>
    </row>
    <row r="61" spans="1:11" x14ac:dyDescent="0.2">
      <c r="F61" s="34"/>
    </row>
    <row r="62" spans="1:11" x14ac:dyDescent="0.2">
      <c r="C62" s="34"/>
      <c r="E62" s="34"/>
      <c r="F62" s="34"/>
    </row>
    <row r="64" spans="1:11" x14ac:dyDescent="0.2">
      <c r="F64" s="34"/>
    </row>
    <row r="66" spans="3:6" x14ac:dyDescent="0.2">
      <c r="F66" s="208"/>
    </row>
    <row r="67" spans="3:6" x14ac:dyDescent="0.2">
      <c r="C67" s="34"/>
      <c r="F67" s="34"/>
    </row>
    <row r="68" spans="3:6" x14ac:dyDescent="0.2">
      <c r="C68" s="34"/>
      <c r="E68" s="34"/>
      <c r="F68" s="34"/>
    </row>
    <row r="69" spans="3:6" x14ac:dyDescent="0.2">
      <c r="F69" s="34"/>
    </row>
  </sheetData>
  <mergeCells count="12">
    <mergeCell ref="D8:E8"/>
    <mergeCell ref="G8:I8"/>
    <mergeCell ref="F8:F9"/>
    <mergeCell ref="J8:J9"/>
    <mergeCell ref="A1:K1"/>
    <mergeCell ref="A5:K5"/>
    <mergeCell ref="A6:K6"/>
    <mergeCell ref="A2:K2"/>
    <mergeCell ref="A4:K4"/>
    <mergeCell ref="K8:K9"/>
    <mergeCell ref="C8:C9"/>
    <mergeCell ref="A3:K3"/>
  </mergeCells>
  <printOptions horizontalCentered="1"/>
  <pageMargins left="0.75" right="0.75" top="1" bottom="1" header="0.5" footer="0.5"/>
  <pageSetup scale="74" orientation="landscape" r:id="rId1"/>
  <headerFooter alignWithMargins="0">
    <oddFooter>&amp;R&amp;F
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G233"/>
  <sheetViews>
    <sheetView zoomScaleNormal="100" workbookViewId="0">
      <pane ySplit="8" topLeftCell="A147" activePane="bottomLeft" state="frozen"/>
      <selection activeCell="D32" sqref="D32"/>
      <selection pane="bottomLeft" activeCell="O169" sqref="O169"/>
    </sheetView>
  </sheetViews>
  <sheetFormatPr defaultColWidth="9.140625" defaultRowHeight="11.25" x14ac:dyDescent="0.2"/>
  <cols>
    <col min="1" max="1" width="9.140625" style="15" bestFit="1" customWidth="1"/>
    <col min="2" max="2" width="17.42578125" style="6" customWidth="1"/>
    <col min="3" max="3" width="5.7109375" style="6" customWidth="1"/>
    <col min="4" max="4" width="16.85546875" style="6" bestFit="1" customWidth="1"/>
    <col min="5" max="5" width="12" style="6" bestFit="1" customWidth="1"/>
    <col min="6" max="6" width="8.28515625" style="6" bestFit="1" customWidth="1"/>
    <col min="7" max="7" width="8.28515625" style="10" bestFit="1" customWidth="1"/>
    <col min="8" max="8" width="9" style="10" bestFit="1" customWidth="1"/>
    <col min="9" max="10" width="8.28515625" style="10" bestFit="1" customWidth="1"/>
    <col min="11" max="13" width="12.7109375" style="10" bestFit="1" customWidth="1"/>
    <col min="14" max="14" width="0.7109375" style="10" customWidth="1"/>
    <col min="15" max="17" width="12.7109375" style="10" bestFit="1" customWidth="1"/>
    <col min="18" max="18" width="0.7109375" style="10" customWidth="1"/>
    <col min="19" max="21" width="12.7109375" style="10" bestFit="1" customWidth="1"/>
    <col min="22" max="22" width="0.7109375" style="10" customWidth="1"/>
    <col min="23" max="25" width="12.7109375" style="10" bestFit="1" customWidth="1"/>
    <col min="26" max="26" width="0.7109375" style="10" customWidth="1"/>
    <col min="27" max="28" width="12.7109375" style="10" bestFit="1" customWidth="1"/>
    <col min="29" max="29" width="12.85546875" style="10" bestFit="1" customWidth="1"/>
    <col min="30" max="30" width="0.85546875" style="10" customWidth="1"/>
    <col min="31" max="16384" width="9.140625" style="10"/>
  </cols>
  <sheetData>
    <row r="1" spans="1:33" ht="15" x14ac:dyDescent="0.25">
      <c r="A1" s="249" t="str">
        <f>'BDJ-6 Base Revenue (Summary)'!A1</f>
        <v>Puget Sound Energy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33" ht="15" x14ac:dyDescent="0.25">
      <c r="A2" s="249" t="s">
        <v>179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1:33" ht="15" x14ac:dyDescent="0.25">
      <c r="A3" s="249" t="str">
        <f>'BDJ-6 Base Revenue (Summary)'!A4</f>
        <v>2022 General Rate Case (GRC)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</row>
    <row r="4" spans="1:33" ht="15" x14ac:dyDescent="0.25">
      <c r="A4" s="249" t="str">
        <f>'BDJ-6 Base Revenue (Summary)'!A5</f>
        <v>Test Year Ending June 30, 2021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</row>
    <row r="5" spans="1:33" x14ac:dyDescent="0.2">
      <c r="A5" s="162"/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spans="1:33" ht="15" x14ac:dyDescent="0.25">
      <c r="A6" s="162"/>
      <c r="B6" s="165"/>
      <c r="C6" s="165"/>
      <c r="D6" s="165"/>
      <c r="E6" s="165"/>
      <c r="F6" s="165"/>
      <c r="G6" s="165"/>
      <c r="H6" s="165"/>
      <c r="I6" s="165"/>
      <c r="J6" s="165"/>
      <c r="K6" s="278" t="s">
        <v>383</v>
      </c>
      <c r="L6" s="279"/>
      <c r="M6" s="280"/>
      <c r="O6" s="278" t="s">
        <v>390</v>
      </c>
      <c r="P6" s="279"/>
      <c r="Q6" s="280"/>
      <c r="S6" s="278" t="s">
        <v>384</v>
      </c>
      <c r="T6" s="279"/>
      <c r="U6" s="280"/>
      <c r="W6" s="278" t="s">
        <v>385</v>
      </c>
      <c r="X6" s="279"/>
      <c r="Y6" s="280"/>
      <c r="AA6" s="278" t="s">
        <v>386</v>
      </c>
      <c r="AB6" s="279"/>
      <c r="AC6" s="280"/>
    </row>
    <row r="7" spans="1:33" ht="26.25" customHeight="1" x14ac:dyDescent="0.2">
      <c r="A7" s="162"/>
      <c r="B7" s="165"/>
      <c r="C7" s="165"/>
      <c r="D7" s="165"/>
      <c r="E7" s="165"/>
      <c r="F7" s="165"/>
      <c r="G7" s="165"/>
      <c r="H7" s="165"/>
      <c r="I7" s="165"/>
      <c r="J7" s="165"/>
      <c r="K7" s="221" t="s">
        <v>222</v>
      </c>
      <c r="L7" s="221" t="s">
        <v>223</v>
      </c>
      <c r="M7" s="221" t="s">
        <v>224</v>
      </c>
      <c r="O7" s="221" t="s">
        <v>222</v>
      </c>
      <c r="P7" s="221" t="s">
        <v>223</v>
      </c>
      <c r="Q7" s="221" t="s">
        <v>224</v>
      </c>
      <c r="S7" s="221" t="s">
        <v>222</v>
      </c>
      <c r="T7" s="221" t="s">
        <v>223</v>
      </c>
      <c r="U7" s="221" t="s">
        <v>224</v>
      </c>
      <c r="W7" s="221" t="s">
        <v>222</v>
      </c>
      <c r="X7" s="221" t="s">
        <v>223</v>
      </c>
      <c r="Y7" s="221" t="s">
        <v>224</v>
      </c>
      <c r="AA7" s="221" t="s">
        <v>222</v>
      </c>
      <c r="AB7" s="221" t="s">
        <v>223</v>
      </c>
      <c r="AC7" s="221" t="s">
        <v>224</v>
      </c>
    </row>
    <row r="8" spans="1:33" s="156" customFormat="1" ht="22.5" x14ac:dyDescent="0.2">
      <c r="A8" s="168" t="s">
        <v>1</v>
      </c>
      <c r="B8" s="168" t="s">
        <v>52</v>
      </c>
      <c r="C8" s="142"/>
      <c r="D8" s="142" t="s">
        <v>65</v>
      </c>
      <c r="E8" s="168" t="s">
        <v>96</v>
      </c>
      <c r="F8" s="168" t="s">
        <v>157</v>
      </c>
      <c r="G8" s="168" t="s">
        <v>114</v>
      </c>
      <c r="H8" s="168" t="s">
        <v>18</v>
      </c>
      <c r="I8" s="168" t="s">
        <v>181</v>
      </c>
      <c r="J8" s="168" t="s">
        <v>180</v>
      </c>
      <c r="K8" s="168" t="s">
        <v>19</v>
      </c>
      <c r="L8" s="168" t="s">
        <v>19</v>
      </c>
      <c r="M8" s="168" t="s">
        <v>19</v>
      </c>
      <c r="O8" s="168" t="s">
        <v>19</v>
      </c>
      <c r="P8" s="168" t="s">
        <v>19</v>
      </c>
      <c r="Q8" s="168" t="s">
        <v>19</v>
      </c>
      <c r="S8" s="168" t="s">
        <v>19</v>
      </c>
      <c r="T8" s="168" t="s">
        <v>19</v>
      </c>
      <c r="U8" s="168" t="s">
        <v>19</v>
      </c>
      <c r="W8" s="168" t="s">
        <v>19</v>
      </c>
      <c r="X8" s="168" t="s">
        <v>19</v>
      </c>
      <c r="Y8" s="168" t="s">
        <v>19</v>
      </c>
      <c r="AA8" s="168" t="s">
        <v>19</v>
      </c>
      <c r="AB8" s="168" t="s">
        <v>19</v>
      </c>
      <c r="AC8" s="168" t="s">
        <v>19</v>
      </c>
    </row>
    <row r="9" spans="1:33" x14ac:dyDescent="0.2">
      <c r="B9" s="3" t="s">
        <v>3</v>
      </c>
      <c r="C9" s="3"/>
      <c r="D9" s="4" t="s">
        <v>4</v>
      </c>
      <c r="E9" s="66" t="s">
        <v>5</v>
      </c>
      <c r="F9" s="5" t="s">
        <v>6</v>
      </c>
      <c r="G9" s="15" t="s">
        <v>156</v>
      </c>
      <c r="H9" s="15" t="s">
        <v>20</v>
      </c>
      <c r="I9" s="15" t="s">
        <v>8</v>
      </c>
      <c r="J9" s="15" t="s">
        <v>9</v>
      </c>
      <c r="K9" s="15" t="s">
        <v>21</v>
      </c>
      <c r="L9" s="15" t="s">
        <v>22</v>
      </c>
      <c r="M9" s="15" t="s">
        <v>10</v>
      </c>
      <c r="O9" s="15" t="s">
        <v>11</v>
      </c>
      <c r="P9" s="15" t="s">
        <v>12</v>
      </c>
      <c r="Q9" s="15" t="s">
        <v>13</v>
      </c>
      <c r="S9" s="15" t="s">
        <v>14</v>
      </c>
      <c r="T9" s="15" t="s">
        <v>381</v>
      </c>
      <c r="U9" s="15" t="s">
        <v>427</v>
      </c>
      <c r="W9" s="27" t="s">
        <v>428</v>
      </c>
      <c r="X9" s="15" t="s">
        <v>429</v>
      </c>
      <c r="Y9" s="15" t="s">
        <v>430</v>
      </c>
      <c r="AA9" s="15" t="s">
        <v>431</v>
      </c>
      <c r="AB9" s="15" t="s">
        <v>432</v>
      </c>
      <c r="AC9" s="15" t="s">
        <v>433</v>
      </c>
    </row>
    <row r="10" spans="1:33" ht="22.5" x14ac:dyDescent="0.2">
      <c r="A10" s="15" t="s">
        <v>159</v>
      </c>
      <c r="B10" s="3"/>
      <c r="C10" s="3"/>
      <c r="D10" s="3"/>
      <c r="E10" s="8"/>
      <c r="F10" s="5"/>
      <c r="G10" s="5"/>
      <c r="H10" s="5"/>
      <c r="I10" s="5"/>
      <c r="J10" s="5"/>
      <c r="K10" s="5" t="s">
        <v>160</v>
      </c>
      <c r="L10" s="27" t="s">
        <v>437</v>
      </c>
      <c r="M10" s="27" t="s">
        <v>438</v>
      </c>
      <c r="O10" s="5"/>
      <c r="S10" s="5"/>
      <c r="W10" s="5"/>
      <c r="AA10" s="5" t="s">
        <v>434</v>
      </c>
      <c r="AB10" s="5" t="s">
        <v>435</v>
      </c>
      <c r="AC10" s="5" t="s">
        <v>436</v>
      </c>
    </row>
    <row r="11" spans="1:33" x14ac:dyDescent="0.2">
      <c r="A11" s="15">
        <v>1</v>
      </c>
      <c r="B11" s="9" t="s">
        <v>89</v>
      </c>
      <c r="C11" s="9"/>
      <c r="F11" s="3"/>
    </row>
    <row r="12" spans="1:33" x14ac:dyDescent="0.2">
      <c r="A12" s="15">
        <f t="shared" ref="A12:A75" si="0">A11+1</f>
        <v>2</v>
      </c>
      <c r="B12" s="9">
        <v>3</v>
      </c>
      <c r="C12" s="9"/>
      <c r="D12" s="222" t="s">
        <v>408</v>
      </c>
      <c r="E12" s="22" t="s">
        <v>494</v>
      </c>
      <c r="F12" s="223">
        <v>0</v>
      </c>
      <c r="G12" s="224">
        <v>0</v>
      </c>
      <c r="H12" s="224">
        <v>0.15</v>
      </c>
      <c r="I12" s="224">
        <v>0.08</v>
      </c>
      <c r="J12" s="224">
        <v>0.43</v>
      </c>
      <c r="K12" s="224">
        <v>0.65999999999999992</v>
      </c>
      <c r="L12" s="224">
        <v>0.65999999999999992</v>
      </c>
      <c r="M12" s="224">
        <v>0.65999999999999992</v>
      </c>
      <c r="O12" s="224">
        <v>0.01</v>
      </c>
      <c r="P12" s="224">
        <v>0.01</v>
      </c>
      <c r="Q12" s="224">
        <v>0.02</v>
      </c>
      <c r="S12" s="224">
        <v>0.35</v>
      </c>
      <c r="T12" s="224">
        <v>0.27</v>
      </c>
      <c r="U12" s="224">
        <v>0.12</v>
      </c>
      <c r="W12" s="224">
        <v>0.15</v>
      </c>
      <c r="X12" s="224">
        <v>0.33</v>
      </c>
      <c r="Y12" s="224">
        <v>0.51</v>
      </c>
      <c r="AA12" s="224">
        <f>K12+O12+S12+W12</f>
        <v>1.17</v>
      </c>
      <c r="AB12" s="224">
        <f>L12+P12+T12+X12</f>
        <v>1.27</v>
      </c>
      <c r="AC12" s="224">
        <f>M12+Q12+U12+Y12</f>
        <v>1.31</v>
      </c>
      <c r="AE12" s="238"/>
      <c r="AF12" s="238"/>
      <c r="AG12" s="238"/>
    </row>
    <row r="13" spans="1:33" x14ac:dyDescent="0.2">
      <c r="A13" s="15">
        <f t="shared" si="0"/>
        <v>3</v>
      </c>
      <c r="B13" s="9"/>
      <c r="C13" s="9"/>
      <c r="D13" s="222"/>
      <c r="E13" s="22"/>
      <c r="F13" s="223"/>
      <c r="G13" s="224"/>
      <c r="H13" s="224"/>
      <c r="I13" s="224"/>
      <c r="J13" s="224"/>
      <c r="K13" s="224"/>
      <c r="O13" s="224"/>
      <c r="S13" s="224"/>
      <c r="W13" s="224"/>
      <c r="AA13" s="224"/>
      <c r="AE13" s="238"/>
      <c r="AF13" s="238"/>
      <c r="AG13" s="238"/>
    </row>
    <row r="14" spans="1:33" x14ac:dyDescent="0.2">
      <c r="A14" s="15">
        <f t="shared" si="0"/>
        <v>4</v>
      </c>
      <c r="B14" s="9" t="s">
        <v>54</v>
      </c>
      <c r="C14" s="9"/>
      <c r="D14" s="222" t="s">
        <v>71</v>
      </c>
      <c r="E14" s="22" t="s">
        <v>198</v>
      </c>
      <c r="F14" s="223">
        <v>0</v>
      </c>
      <c r="G14" s="224">
        <v>2.31</v>
      </c>
      <c r="H14" s="224">
        <v>0.68</v>
      </c>
      <c r="I14" s="224">
        <v>0.37</v>
      </c>
      <c r="J14" s="224">
        <v>1.94</v>
      </c>
      <c r="K14" s="224">
        <v>5.3000000000000007</v>
      </c>
      <c r="L14" s="224">
        <v>5.3000000000000007</v>
      </c>
      <c r="M14" s="224">
        <v>5.3000000000000007</v>
      </c>
      <c r="O14" s="224">
        <v>0.05</v>
      </c>
      <c r="P14" s="224">
        <v>0.05</v>
      </c>
      <c r="Q14" s="224">
        <v>7.0000000000000007E-2</v>
      </c>
      <c r="S14" s="224">
        <v>1.58</v>
      </c>
      <c r="T14" s="224">
        <v>1.24</v>
      </c>
      <c r="U14" s="224">
        <v>0.55000000000000004</v>
      </c>
      <c r="W14" s="224">
        <v>0.67</v>
      </c>
      <c r="X14" s="224">
        <v>1.48</v>
      </c>
      <c r="Y14" s="224">
        <v>2.2999999999999998</v>
      </c>
      <c r="AA14" s="224">
        <f t="shared" ref="AA14:AC16" si="1">K14+O14+S14+W14</f>
        <v>7.6000000000000005</v>
      </c>
      <c r="AB14" s="224">
        <f t="shared" si="1"/>
        <v>8.07</v>
      </c>
      <c r="AC14" s="224">
        <f t="shared" si="1"/>
        <v>8.2200000000000006</v>
      </c>
      <c r="AE14" s="238"/>
      <c r="AF14" s="238"/>
      <c r="AG14" s="238"/>
    </row>
    <row r="15" spans="1:33" x14ac:dyDescent="0.2">
      <c r="A15" s="15">
        <f t="shared" si="0"/>
        <v>5</v>
      </c>
      <c r="B15" s="9" t="s">
        <v>54</v>
      </c>
      <c r="C15" s="9"/>
      <c r="D15" s="222" t="s">
        <v>71</v>
      </c>
      <c r="E15" s="22" t="s">
        <v>495</v>
      </c>
      <c r="F15" s="223">
        <v>0</v>
      </c>
      <c r="G15" s="224">
        <v>2.31</v>
      </c>
      <c r="H15" s="224">
        <v>1.19</v>
      </c>
      <c r="I15" s="224">
        <v>0.65</v>
      </c>
      <c r="J15" s="224">
        <v>3.39</v>
      </c>
      <c r="K15" s="224">
        <v>7.5400000000000009</v>
      </c>
      <c r="L15" s="224">
        <v>7.5400000000000009</v>
      </c>
      <c r="M15" s="224">
        <v>7.5400000000000009</v>
      </c>
      <c r="O15" s="224">
        <v>0.08</v>
      </c>
      <c r="P15" s="224">
        <v>0.09</v>
      </c>
      <c r="Q15" s="224">
        <v>0.13</v>
      </c>
      <c r="S15" s="224">
        <v>2.76</v>
      </c>
      <c r="T15" s="224">
        <v>2.17</v>
      </c>
      <c r="U15" s="224">
        <v>0.97</v>
      </c>
      <c r="W15" s="224">
        <v>1.17</v>
      </c>
      <c r="X15" s="224">
        <v>2.59</v>
      </c>
      <c r="Y15" s="224">
        <v>4.0199999999999996</v>
      </c>
      <c r="AA15" s="224">
        <f t="shared" si="1"/>
        <v>11.55</v>
      </c>
      <c r="AB15" s="224">
        <f t="shared" si="1"/>
        <v>12.39</v>
      </c>
      <c r="AC15" s="224">
        <f t="shared" si="1"/>
        <v>12.66</v>
      </c>
      <c r="AE15" s="238"/>
      <c r="AF15" s="238"/>
      <c r="AG15" s="238"/>
    </row>
    <row r="16" spans="1:33" x14ac:dyDescent="0.2">
      <c r="A16" s="15">
        <f t="shared" si="0"/>
        <v>6</v>
      </c>
      <c r="B16" s="9" t="s">
        <v>54</v>
      </c>
      <c r="C16" s="9"/>
      <c r="D16" s="222" t="s">
        <v>71</v>
      </c>
      <c r="E16" s="22" t="s">
        <v>199</v>
      </c>
      <c r="F16" s="223">
        <v>0</v>
      </c>
      <c r="G16" s="224">
        <v>2.31</v>
      </c>
      <c r="H16" s="224">
        <v>2.71</v>
      </c>
      <c r="I16" s="224">
        <v>1.49</v>
      </c>
      <c r="J16" s="224">
        <v>7.75</v>
      </c>
      <c r="K16" s="224">
        <v>14.26</v>
      </c>
      <c r="L16" s="224">
        <v>14.26</v>
      </c>
      <c r="M16" s="224">
        <v>14.26</v>
      </c>
      <c r="O16" s="224">
        <v>0.18</v>
      </c>
      <c r="P16" s="224">
        <v>0.2</v>
      </c>
      <c r="Q16" s="224">
        <v>0.28999999999999998</v>
      </c>
      <c r="S16" s="224">
        <v>6.31</v>
      </c>
      <c r="T16" s="224">
        <v>4.96</v>
      </c>
      <c r="U16" s="224">
        <v>2.21</v>
      </c>
      <c r="W16" s="224">
        <v>2.68</v>
      </c>
      <c r="X16" s="224">
        <v>5.92</v>
      </c>
      <c r="Y16" s="224">
        <v>9.19</v>
      </c>
      <c r="AA16" s="224">
        <f t="shared" si="1"/>
        <v>23.43</v>
      </c>
      <c r="AB16" s="224">
        <f t="shared" si="1"/>
        <v>25.339999999999996</v>
      </c>
      <c r="AC16" s="224">
        <f t="shared" si="1"/>
        <v>25.949999999999996</v>
      </c>
      <c r="AE16" s="238"/>
      <c r="AF16" s="238"/>
      <c r="AG16" s="238"/>
    </row>
    <row r="17" spans="1:33" x14ac:dyDescent="0.2">
      <c r="A17" s="15">
        <f t="shared" si="0"/>
        <v>7</v>
      </c>
      <c r="B17" s="9"/>
      <c r="C17" s="9"/>
      <c r="D17" s="222"/>
      <c r="E17" s="22"/>
      <c r="F17" s="223"/>
      <c r="G17" s="224"/>
      <c r="H17" s="224"/>
      <c r="I17" s="224"/>
      <c r="J17" s="224"/>
      <c r="K17" s="224"/>
      <c r="O17" s="224"/>
      <c r="S17" s="224"/>
      <c r="W17" s="224"/>
      <c r="AA17" s="224"/>
      <c r="AE17" s="238"/>
      <c r="AF17" s="238"/>
      <c r="AG17" s="238"/>
    </row>
    <row r="18" spans="1:33" x14ac:dyDescent="0.2">
      <c r="A18" s="15">
        <f t="shared" si="0"/>
        <v>8</v>
      </c>
      <c r="B18" s="9" t="s">
        <v>55</v>
      </c>
      <c r="C18" s="9"/>
      <c r="D18" s="222" t="s">
        <v>71</v>
      </c>
      <c r="E18" s="22" t="s">
        <v>198</v>
      </c>
      <c r="F18" s="223">
        <v>0</v>
      </c>
      <c r="G18" s="224">
        <v>0</v>
      </c>
      <c r="H18" s="224">
        <v>0.68</v>
      </c>
      <c r="I18" s="224">
        <v>0.37</v>
      </c>
      <c r="J18" s="224">
        <v>1.94</v>
      </c>
      <c r="K18" s="224">
        <v>2.99</v>
      </c>
      <c r="L18" s="224">
        <v>2.99</v>
      </c>
      <c r="M18" s="224">
        <v>2.99</v>
      </c>
      <c r="O18" s="224">
        <v>0.05</v>
      </c>
      <c r="P18" s="224">
        <v>0.05</v>
      </c>
      <c r="Q18" s="224">
        <v>7.0000000000000007E-2</v>
      </c>
      <c r="S18" s="224">
        <v>1.58</v>
      </c>
      <c r="T18" s="224">
        <v>1.24</v>
      </c>
      <c r="U18" s="224">
        <v>0.55000000000000004</v>
      </c>
      <c r="W18" s="224">
        <v>0.67</v>
      </c>
      <c r="X18" s="224">
        <v>1.48</v>
      </c>
      <c r="Y18" s="224">
        <v>2.2999999999999998</v>
      </c>
      <c r="AA18" s="224">
        <f t="shared" ref="AA18:AC21" si="2">K18+O18+S18+W18</f>
        <v>5.29</v>
      </c>
      <c r="AB18" s="224">
        <f t="shared" si="2"/>
        <v>5.76</v>
      </c>
      <c r="AC18" s="224">
        <f t="shared" si="2"/>
        <v>5.91</v>
      </c>
      <c r="AE18" s="238"/>
      <c r="AF18" s="238"/>
      <c r="AG18" s="238"/>
    </row>
    <row r="19" spans="1:33" x14ac:dyDescent="0.2">
      <c r="A19" s="15">
        <f t="shared" si="0"/>
        <v>9</v>
      </c>
      <c r="B19" s="9" t="s">
        <v>55</v>
      </c>
      <c r="C19" s="9"/>
      <c r="D19" s="222" t="s">
        <v>71</v>
      </c>
      <c r="E19" s="22" t="s">
        <v>495</v>
      </c>
      <c r="F19" s="223">
        <v>0</v>
      </c>
      <c r="G19" s="224">
        <v>0</v>
      </c>
      <c r="H19" s="224">
        <v>1.19</v>
      </c>
      <c r="I19" s="224">
        <v>0.65</v>
      </c>
      <c r="J19" s="224">
        <v>3.39</v>
      </c>
      <c r="K19" s="224">
        <v>5.23</v>
      </c>
      <c r="L19" s="224">
        <v>5.23</v>
      </c>
      <c r="M19" s="224">
        <v>5.23</v>
      </c>
      <c r="O19" s="224">
        <v>0.08</v>
      </c>
      <c r="P19" s="224">
        <v>0.09</v>
      </c>
      <c r="Q19" s="224">
        <v>0.13</v>
      </c>
      <c r="S19" s="224">
        <v>2.76</v>
      </c>
      <c r="T19" s="224">
        <v>2.17</v>
      </c>
      <c r="U19" s="224">
        <v>0.97</v>
      </c>
      <c r="W19" s="224">
        <v>1.17</v>
      </c>
      <c r="X19" s="224">
        <v>2.59</v>
      </c>
      <c r="Y19" s="224">
        <v>4.0199999999999996</v>
      </c>
      <c r="AA19" s="224">
        <f t="shared" si="2"/>
        <v>9.24</v>
      </c>
      <c r="AB19" s="224">
        <f t="shared" si="2"/>
        <v>10.08</v>
      </c>
      <c r="AC19" s="224">
        <f t="shared" si="2"/>
        <v>10.35</v>
      </c>
      <c r="AE19" s="238"/>
      <c r="AF19" s="238"/>
      <c r="AG19" s="238"/>
    </row>
    <row r="20" spans="1:33" x14ac:dyDescent="0.2">
      <c r="A20" s="15">
        <f t="shared" si="0"/>
        <v>10</v>
      </c>
      <c r="B20" s="9" t="s">
        <v>55</v>
      </c>
      <c r="C20" s="9"/>
      <c r="D20" s="222" t="s">
        <v>71</v>
      </c>
      <c r="E20" s="22" t="s">
        <v>199</v>
      </c>
      <c r="F20" s="223">
        <v>0</v>
      </c>
      <c r="G20" s="224">
        <v>0</v>
      </c>
      <c r="H20" s="224">
        <v>2.71</v>
      </c>
      <c r="I20" s="224">
        <v>1.49</v>
      </c>
      <c r="J20" s="224">
        <v>7.75</v>
      </c>
      <c r="K20" s="224">
        <v>11.95</v>
      </c>
      <c r="L20" s="224">
        <v>11.95</v>
      </c>
      <c r="M20" s="224">
        <v>11.95</v>
      </c>
      <c r="O20" s="224">
        <v>0.18</v>
      </c>
      <c r="P20" s="224">
        <v>0.2</v>
      </c>
      <c r="Q20" s="224">
        <v>0.28999999999999998</v>
      </c>
      <c r="S20" s="224">
        <v>6.31</v>
      </c>
      <c r="T20" s="224">
        <v>4.96</v>
      </c>
      <c r="U20" s="224">
        <v>2.21</v>
      </c>
      <c r="W20" s="224">
        <v>2.68</v>
      </c>
      <c r="X20" s="224">
        <v>5.92</v>
      </c>
      <c r="Y20" s="224">
        <v>9.19</v>
      </c>
      <c r="AA20" s="224">
        <f t="shared" si="2"/>
        <v>21.119999999999997</v>
      </c>
      <c r="AB20" s="224">
        <f t="shared" si="2"/>
        <v>23.03</v>
      </c>
      <c r="AC20" s="224">
        <f t="shared" si="2"/>
        <v>23.64</v>
      </c>
      <c r="AE20" s="238"/>
      <c r="AF20" s="238"/>
      <c r="AG20" s="238"/>
    </row>
    <row r="21" spans="1:33" x14ac:dyDescent="0.2">
      <c r="A21" s="15">
        <f t="shared" si="0"/>
        <v>11</v>
      </c>
      <c r="B21" s="9" t="s">
        <v>55</v>
      </c>
      <c r="C21" s="9"/>
      <c r="D21" s="222" t="s">
        <v>71</v>
      </c>
      <c r="E21" s="22" t="s">
        <v>200</v>
      </c>
      <c r="F21" s="223">
        <v>0</v>
      </c>
      <c r="G21" s="224">
        <v>0</v>
      </c>
      <c r="H21" s="224">
        <v>4.75</v>
      </c>
      <c r="I21" s="224">
        <v>2.61</v>
      </c>
      <c r="J21" s="224">
        <v>13.55</v>
      </c>
      <c r="K21" s="224">
        <v>20.91</v>
      </c>
      <c r="L21" s="224">
        <v>20.91</v>
      </c>
      <c r="M21" s="224">
        <v>20.91</v>
      </c>
      <c r="O21" s="224">
        <v>0.32</v>
      </c>
      <c r="P21" s="224">
        <v>0.35</v>
      </c>
      <c r="Q21" s="224">
        <v>0.5</v>
      </c>
      <c r="S21" s="224">
        <v>11.05</v>
      </c>
      <c r="T21" s="224">
        <v>8.68</v>
      </c>
      <c r="U21" s="224">
        <v>3.87</v>
      </c>
      <c r="W21" s="224">
        <v>4.7</v>
      </c>
      <c r="X21" s="224">
        <v>10.35</v>
      </c>
      <c r="Y21" s="224">
        <v>16.09</v>
      </c>
      <c r="AA21" s="224">
        <f t="shared" si="2"/>
        <v>36.980000000000004</v>
      </c>
      <c r="AB21" s="224">
        <f t="shared" si="2"/>
        <v>40.29</v>
      </c>
      <c r="AC21" s="224">
        <f t="shared" si="2"/>
        <v>41.370000000000005</v>
      </c>
      <c r="AE21" s="238"/>
      <c r="AF21" s="238"/>
      <c r="AG21" s="238"/>
    </row>
    <row r="22" spans="1:33" x14ac:dyDescent="0.2">
      <c r="A22" s="15">
        <f t="shared" si="0"/>
        <v>12</v>
      </c>
      <c r="B22" s="9"/>
      <c r="C22" s="9"/>
      <c r="D22" s="222"/>
      <c r="E22" s="22"/>
      <c r="F22" s="223"/>
      <c r="G22" s="224"/>
      <c r="H22" s="224"/>
      <c r="I22" s="224"/>
      <c r="J22" s="224"/>
      <c r="K22" s="224"/>
      <c r="O22" s="224"/>
      <c r="S22" s="224"/>
      <c r="W22" s="224"/>
      <c r="AA22" s="224"/>
      <c r="AE22" s="238"/>
      <c r="AF22" s="238"/>
      <c r="AG22" s="238"/>
    </row>
    <row r="23" spans="1:33" x14ac:dyDescent="0.2">
      <c r="A23" s="15">
        <f t="shared" si="0"/>
        <v>13</v>
      </c>
      <c r="B23" s="9" t="s">
        <v>90</v>
      </c>
      <c r="C23" s="9"/>
      <c r="D23" s="222"/>
      <c r="E23" s="22"/>
      <c r="F23" s="223"/>
      <c r="G23" s="224"/>
      <c r="H23" s="224"/>
      <c r="I23" s="224"/>
      <c r="J23" s="224"/>
      <c r="K23" s="224"/>
      <c r="O23" s="224"/>
      <c r="S23" s="224"/>
      <c r="W23" s="224"/>
      <c r="AA23" s="224"/>
      <c r="AE23" s="238"/>
      <c r="AF23" s="238"/>
      <c r="AG23" s="238"/>
    </row>
    <row r="24" spans="1:33" x14ac:dyDescent="0.2">
      <c r="A24" s="15">
        <f t="shared" si="0"/>
        <v>14</v>
      </c>
      <c r="B24" s="9" t="s">
        <v>75</v>
      </c>
      <c r="C24" s="9"/>
      <c r="D24" s="222" t="s">
        <v>83</v>
      </c>
      <c r="E24" s="22" t="s">
        <v>409</v>
      </c>
      <c r="F24" s="223">
        <v>0</v>
      </c>
      <c r="G24" s="224">
        <v>0</v>
      </c>
      <c r="H24" s="224">
        <v>0.1</v>
      </c>
      <c r="I24" s="224">
        <v>0.06</v>
      </c>
      <c r="J24" s="224">
        <v>0.28999999999999998</v>
      </c>
      <c r="K24" s="224">
        <v>0.44999999999999996</v>
      </c>
      <c r="L24" s="224">
        <v>0.44999999999999996</v>
      </c>
      <c r="M24" s="224">
        <v>0.44999999999999996</v>
      </c>
      <c r="O24" s="224">
        <v>0.01</v>
      </c>
      <c r="P24" s="224">
        <v>0.01</v>
      </c>
      <c r="Q24" s="224">
        <v>0.01</v>
      </c>
      <c r="S24" s="224">
        <v>0.24</v>
      </c>
      <c r="T24" s="224">
        <v>0.19</v>
      </c>
      <c r="U24" s="224">
        <v>0.08</v>
      </c>
      <c r="W24" s="224">
        <v>0.1</v>
      </c>
      <c r="X24" s="224">
        <v>0.22</v>
      </c>
      <c r="Y24" s="224">
        <v>0.34</v>
      </c>
      <c r="AA24" s="224">
        <f t="shared" ref="AA24:AA33" si="3">K24+O24+S24+W24</f>
        <v>0.79999999999999993</v>
      </c>
      <c r="AB24" s="224">
        <f t="shared" ref="AB24:AB33" si="4">L24+P24+T24+X24</f>
        <v>0.86999999999999988</v>
      </c>
      <c r="AC24" s="224">
        <f t="shared" ref="AC24:AC33" si="5">M24+Q24+U24+Y24</f>
        <v>0.87999999999999989</v>
      </c>
      <c r="AE24" s="238"/>
      <c r="AF24" s="238"/>
      <c r="AG24" s="238"/>
    </row>
    <row r="25" spans="1:33" x14ac:dyDescent="0.2">
      <c r="A25" s="15">
        <f t="shared" si="0"/>
        <v>15</v>
      </c>
      <c r="B25" s="9" t="s">
        <v>75</v>
      </c>
      <c r="C25" s="9"/>
      <c r="D25" s="222" t="s">
        <v>83</v>
      </c>
      <c r="E25" s="22" t="s">
        <v>190</v>
      </c>
      <c r="F25" s="223">
        <v>0</v>
      </c>
      <c r="G25" s="224">
        <v>0</v>
      </c>
      <c r="H25" s="224">
        <v>0.31</v>
      </c>
      <c r="I25" s="224">
        <v>0.17</v>
      </c>
      <c r="J25" s="224">
        <v>0.87</v>
      </c>
      <c r="K25" s="224">
        <v>1.35</v>
      </c>
      <c r="L25" s="224">
        <v>1.35</v>
      </c>
      <c r="M25" s="224">
        <v>1.35</v>
      </c>
      <c r="O25" s="224">
        <v>0.02</v>
      </c>
      <c r="P25" s="224">
        <v>0.02</v>
      </c>
      <c r="Q25" s="224">
        <v>0.03</v>
      </c>
      <c r="S25" s="224">
        <v>0.71</v>
      </c>
      <c r="T25" s="224">
        <v>0.56000000000000005</v>
      </c>
      <c r="U25" s="224">
        <v>0.25</v>
      </c>
      <c r="W25" s="224">
        <v>0.3</v>
      </c>
      <c r="X25" s="224">
        <v>0.67</v>
      </c>
      <c r="Y25" s="224">
        <v>1.03</v>
      </c>
      <c r="AA25" s="224">
        <f t="shared" si="3"/>
        <v>2.38</v>
      </c>
      <c r="AB25" s="224">
        <f t="shared" si="4"/>
        <v>2.6</v>
      </c>
      <c r="AC25" s="224">
        <f t="shared" si="5"/>
        <v>2.66</v>
      </c>
      <c r="AE25" s="238"/>
      <c r="AF25" s="238"/>
      <c r="AG25" s="238"/>
    </row>
    <row r="26" spans="1:33" x14ac:dyDescent="0.2">
      <c r="A26" s="15">
        <f t="shared" si="0"/>
        <v>16</v>
      </c>
      <c r="B26" s="9" t="s">
        <v>75</v>
      </c>
      <c r="C26" s="9"/>
      <c r="D26" s="222" t="s">
        <v>83</v>
      </c>
      <c r="E26" s="22" t="s">
        <v>191</v>
      </c>
      <c r="F26" s="223">
        <v>0</v>
      </c>
      <c r="G26" s="224">
        <v>0</v>
      </c>
      <c r="H26" s="224">
        <v>0.51</v>
      </c>
      <c r="I26" s="224">
        <v>0.28000000000000003</v>
      </c>
      <c r="J26" s="224">
        <v>1.45</v>
      </c>
      <c r="K26" s="224">
        <v>2.2400000000000002</v>
      </c>
      <c r="L26" s="224">
        <v>2.2400000000000002</v>
      </c>
      <c r="M26" s="224">
        <v>2.2400000000000002</v>
      </c>
      <c r="O26" s="224">
        <v>0.03</v>
      </c>
      <c r="P26" s="224">
        <v>0.04</v>
      </c>
      <c r="Q26" s="224">
        <v>0.05</v>
      </c>
      <c r="S26" s="224">
        <v>1.18</v>
      </c>
      <c r="T26" s="224">
        <v>0.93</v>
      </c>
      <c r="U26" s="224">
        <v>0.41</v>
      </c>
      <c r="W26" s="224">
        <v>0.5</v>
      </c>
      <c r="X26" s="224">
        <v>1.1100000000000001</v>
      </c>
      <c r="Y26" s="224">
        <v>1.72</v>
      </c>
      <c r="AA26" s="224">
        <f t="shared" si="3"/>
        <v>3.95</v>
      </c>
      <c r="AB26" s="224">
        <f t="shared" si="4"/>
        <v>4.32</v>
      </c>
      <c r="AC26" s="224">
        <f t="shared" si="5"/>
        <v>4.42</v>
      </c>
      <c r="AE26" s="238"/>
      <c r="AF26" s="238"/>
      <c r="AG26" s="238"/>
    </row>
    <row r="27" spans="1:33" x14ac:dyDescent="0.2">
      <c r="A27" s="15">
        <f t="shared" si="0"/>
        <v>17</v>
      </c>
      <c r="B27" s="9" t="s">
        <v>75</v>
      </c>
      <c r="C27" s="9"/>
      <c r="D27" s="222" t="s">
        <v>83</v>
      </c>
      <c r="E27" s="22" t="s">
        <v>192</v>
      </c>
      <c r="F27" s="223">
        <v>0</v>
      </c>
      <c r="G27" s="224">
        <v>0</v>
      </c>
      <c r="H27" s="224">
        <v>0.71</v>
      </c>
      <c r="I27" s="224">
        <v>0.39</v>
      </c>
      <c r="J27" s="224">
        <v>2.0299999999999998</v>
      </c>
      <c r="K27" s="224">
        <v>3.13</v>
      </c>
      <c r="L27" s="224">
        <v>3.13</v>
      </c>
      <c r="M27" s="224">
        <v>3.13</v>
      </c>
      <c r="O27" s="224">
        <v>0.05</v>
      </c>
      <c r="P27" s="224">
        <v>0.05</v>
      </c>
      <c r="Q27" s="224">
        <v>0.08</v>
      </c>
      <c r="S27" s="224">
        <v>1.66</v>
      </c>
      <c r="T27" s="224">
        <v>1.3</v>
      </c>
      <c r="U27" s="224">
        <v>0.57999999999999996</v>
      </c>
      <c r="W27" s="224">
        <v>0.7</v>
      </c>
      <c r="X27" s="224">
        <v>1.55</v>
      </c>
      <c r="Y27" s="224">
        <v>2.41</v>
      </c>
      <c r="AA27" s="224">
        <f t="shared" si="3"/>
        <v>5.54</v>
      </c>
      <c r="AB27" s="224">
        <f t="shared" si="4"/>
        <v>6.0299999999999994</v>
      </c>
      <c r="AC27" s="224">
        <f t="shared" si="5"/>
        <v>6.2</v>
      </c>
      <c r="AE27" s="238"/>
      <c r="AF27" s="238"/>
      <c r="AG27" s="238"/>
    </row>
    <row r="28" spans="1:33" x14ac:dyDescent="0.2">
      <c r="A28" s="15">
        <f t="shared" si="0"/>
        <v>18</v>
      </c>
      <c r="B28" s="9" t="s">
        <v>75</v>
      </c>
      <c r="C28" s="9"/>
      <c r="D28" s="222" t="s">
        <v>83</v>
      </c>
      <c r="E28" s="22" t="s">
        <v>193</v>
      </c>
      <c r="F28" s="223">
        <v>0</v>
      </c>
      <c r="G28" s="224">
        <v>0</v>
      </c>
      <c r="H28" s="224">
        <v>0.92</v>
      </c>
      <c r="I28" s="224">
        <v>0.5</v>
      </c>
      <c r="J28" s="224">
        <v>2.61</v>
      </c>
      <c r="K28" s="224">
        <v>4.0299999999999994</v>
      </c>
      <c r="L28" s="224">
        <v>4.0299999999999994</v>
      </c>
      <c r="M28" s="224">
        <v>4.0299999999999994</v>
      </c>
      <c r="O28" s="224">
        <v>0.06</v>
      </c>
      <c r="P28" s="224">
        <v>7.0000000000000007E-2</v>
      </c>
      <c r="Q28" s="224">
        <v>0.1</v>
      </c>
      <c r="S28" s="224">
        <v>2.13</v>
      </c>
      <c r="T28" s="224">
        <v>1.67</v>
      </c>
      <c r="U28" s="224">
        <v>0.75</v>
      </c>
      <c r="W28" s="224">
        <v>0.91</v>
      </c>
      <c r="X28" s="224">
        <v>2</v>
      </c>
      <c r="Y28" s="224">
        <v>3.1</v>
      </c>
      <c r="AA28" s="224">
        <f t="shared" si="3"/>
        <v>7.129999999999999</v>
      </c>
      <c r="AB28" s="224">
        <f t="shared" si="4"/>
        <v>7.77</v>
      </c>
      <c r="AC28" s="224">
        <f t="shared" si="5"/>
        <v>7.9799999999999986</v>
      </c>
      <c r="AE28" s="238"/>
      <c r="AF28" s="238"/>
      <c r="AG28" s="238"/>
    </row>
    <row r="29" spans="1:33" x14ac:dyDescent="0.2">
      <c r="A29" s="15">
        <f t="shared" si="0"/>
        <v>19</v>
      </c>
      <c r="B29" s="9" t="s">
        <v>75</v>
      </c>
      <c r="C29" s="9"/>
      <c r="D29" s="222" t="s">
        <v>83</v>
      </c>
      <c r="E29" s="22" t="s">
        <v>194</v>
      </c>
      <c r="F29" s="223">
        <v>0</v>
      </c>
      <c r="G29" s="224">
        <v>0</v>
      </c>
      <c r="H29" s="224">
        <v>1.1200000000000001</v>
      </c>
      <c r="I29" s="224">
        <v>0.62</v>
      </c>
      <c r="J29" s="224">
        <v>3.19</v>
      </c>
      <c r="K29" s="224">
        <v>4.93</v>
      </c>
      <c r="L29" s="224">
        <v>4.93</v>
      </c>
      <c r="M29" s="224">
        <v>4.93</v>
      </c>
      <c r="O29" s="224">
        <v>0.08</v>
      </c>
      <c r="P29" s="224">
        <v>0.08</v>
      </c>
      <c r="Q29" s="224">
        <v>0.12</v>
      </c>
      <c r="S29" s="224">
        <v>2.6</v>
      </c>
      <c r="T29" s="224">
        <v>2.0499999999999998</v>
      </c>
      <c r="U29" s="224">
        <v>0.91</v>
      </c>
      <c r="W29" s="224">
        <v>1.1100000000000001</v>
      </c>
      <c r="X29" s="224">
        <v>2.44</v>
      </c>
      <c r="Y29" s="224">
        <v>3.79</v>
      </c>
      <c r="AA29" s="224">
        <f t="shared" si="3"/>
        <v>8.7199999999999989</v>
      </c>
      <c r="AB29" s="224">
        <f t="shared" si="4"/>
        <v>9.5</v>
      </c>
      <c r="AC29" s="224">
        <f t="shared" si="5"/>
        <v>9.75</v>
      </c>
      <c r="AE29" s="238"/>
      <c r="AF29" s="238"/>
      <c r="AG29" s="238"/>
    </row>
    <row r="30" spans="1:33" x14ac:dyDescent="0.2">
      <c r="A30" s="15">
        <f t="shared" si="0"/>
        <v>20</v>
      </c>
      <c r="B30" s="9" t="s">
        <v>75</v>
      </c>
      <c r="C30" s="9"/>
      <c r="D30" s="222" t="s">
        <v>83</v>
      </c>
      <c r="E30" s="22" t="s">
        <v>195</v>
      </c>
      <c r="F30" s="223">
        <v>0</v>
      </c>
      <c r="G30" s="224">
        <v>0</v>
      </c>
      <c r="H30" s="224">
        <v>1.32</v>
      </c>
      <c r="I30" s="224">
        <v>0.73</v>
      </c>
      <c r="J30" s="224">
        <v>3.78</v>
      </c>
      <c r="K30" s="224">
        <v>5.83</v>
      </c>
      <c r="L30" s="224">
        <v>5.83</v>
      </c>
      <c r="M30" s="224">
        <v>5.83</v>
      </c>
      <c r="O30" s="224">
        <v>0.09</v>
      </c>
      <c r="P30" s="224">
        <v>0.1</v>
      </c>
      <c r="Q30" s="224">
        <v>0.14000000000000001</v>
      </c>
      <c r="S30" s="224">
        <v>3.08</v>
      </c>
      <c r="T30" s="224">
        <v>2.42</v>
      </c>
      <c r="U30" s="224">
        <v>1.08</v>
      </c>
      <c r="W30" s="224">
        <v>1.31</v>
      </c>
      <c r="X30" s="224">
        <v>2.88</v>
      </c>
      <c r="Y30" s="224">
        <v>4.4800000000000004</v>
      </c>
      <c r="AA30" s="224">
        <f t="shared" si="3"/>
        <v>10.31</v>
      </c>
      <c r="AB30" s="224">
        <f t="shared" si="4"/>
        <v>11.23</v>
      </c>
      <c r="AC30" s="224">
        <f t="shared" si="5"/>
        <v>11.530000000000001</v>
      </c>
      <c r="AE30" s="238"/>
      <c r="AF30" s="238"/>
      <c r="AG30" s="238"/>
    </row>
    <row r="31" spans="1:33" x14ac:dyDescent="0.2">
      <c r="A31" s="15">
        <f t="shared" si="0"/>
        <v>21</v>
      </c>
      <c r="B31" s="9" t="s">
        <v>75</v>
      </c>
      <c r="C31" s="9"/>
      <c r="D31" s="222" t="s">
        <v>83</v>
      </c>
      <c r="E31" s="22" t="s">
        <v>209</v>
      </c>
      <c r="F31" s="223">
        <v>0</v>
      </c>
      <c r="G31" s="224">
        <v>0</v>
      </c>
      <c r="H31" s="224">
        <v>1.53</v>
      </c>
      <c r="I31" s="224">
        <v>0.84</v>
      </c>
      <c r="J31" s="224">
        <v>4.3600000000000003</v>
      </c>
      <c r="K31" s="224">
        <v>6.73</v>
      </c>
      <c r="L31" s="224">
        <v>6.73</v>
      </c>
      <c r="M31" s="224">
        <v>6.73</v>
      </c>
      <c r="O31" s="224">
        <v>0.1</v>
      </c>
      <c r="P31" s="224">
        <v>0.11</v>
      </c>
      <c r="Q31" s="224">
        <v>0.16</v>
      </c>
      <c r="S31" s="224">
        <v>3.55</v>
      </c>
      <c r="T31" s="224">
        <v>2.79</v>
      </c>
      <c r="U31" s="224">
        <v>1.24</v>
      </c>
      <c r="W31" s="224">
        <v>1.51</v>
      </c>
      <c r="X31" s="224">
        <v>3.33</v>
      </c>
      <c r="Y31" s="224">
        <v>5.17</v>
      </c>
      <c r="AA31" s="224">
        <f t="shared" si="3"/>
        <v>11.889999999999999</v>
      </c>
      <c r="AB31" s="224">
        <f t="shared" si="4"/>
        <v>12.96</v>
      </c>
      <c r="AC31" s="224">
        <f t="shared" si="5"/>
        <v>13.3</v>
      </c>
      <c r="AE31" s="238"/>
      <c r="AF31" s="238"/>
      <c r="AG31" s="238"/>
    </row>
    <row r="32" spans="1:33" x14ac:dyDescent="0.2">
      <c r="A32" s="15">
        <f t="shared" si="0"/>
        <v>22</v>
      </c>
      <c r="B32" s="9" t="s">
        <v>75</v>
      </c>
      <c r="C32" s="9"/>
      <c r="D32" s="222" t="s">
        <v>83</v>
      </c>
      <c r="E32" s="22" t="s">
        <v>196</v>
      </c>
      <c r="F32" s="223">
        <v>0</v>
      </c>
      <c r="G32" s="224">
        <v>0</v>
      </c>
      <c r="H32" s="224">
        <v>1.73</v>
      </c>
      <c r="I32" s="224">
        <v>0.95</v>
      </c>
      <c r="J32" s="224">
        <v>4.9400000000000004</v>
      </c>
      <c r="K32" s="224">
        <v>7.62</v>
      </c>
      <c r="L32" s="224">
        <v>7.62</v>
      </c>
      <c r="M32" s="224">
        <v>7.62</v>
      </c>
      <c r="O32" s="224">
        <v>0.12</v>
      </c>
      <c r="P32" s="224">
        <v>0.13</v>
      </c>
      <c r="Q32" s="224">
        <v>0.18</v>
      </c>
      <c r="S32" s="224">
        <v>4.0199999999999996</v>
      </c>
      <c r="T32" s="224">
        <v>3.16</v>
      </c>
      <c r="U32" s="224">
        <v>1.41</v>
      </c>
      <c r="W32" s="224">
        <v>1.71</v>
      </c>
      <c r="X32" s="224">
        <v>3.77</v>
      </c>
      <c r="Y32" s="224">
        <v>5.86</v>
      </c>
      <c r="AA32" s="224">
        <f t="shared" si="3"/>
        <v>13.469999999999999</v>
      </c>
      <c r="AB32" s="224">
        <f t="shared" si="4"/>
        <v>14.68</v>
      </c>
      <c r="AC32" s="224">
        <f t="shared" si="5"/>
        <v>15.07</v>
      </c>
      <c r="AE32" s="238"/>
      <c r="AF32" s="238"/>
      <c r="AG32" s="238"/>
    </row>
    <row r="33" spans="1:33" x14ac:dyDescent="0.2">
      <c r="A33" s="15">
        <f t="shared" si="0"/>
        <v>23</v>
      </c>
      <c r="B33" s="9" t="s">
        <v>75</v>
      </c>
      <c r="C33" s="9"/>
      <c r="D33" s="222" t="s">
        <v>83</v>
      </c>
      <c r="E33" s="22" t="s">
        <v>197</v>
      </c>
      <c r="F33" s="223">
        <v>0</v>
      </c>
      <c r="G33" s="224">
        <v>0</v>
      </c>
      <c r="H33" s="224">
        <v>1.93</v>
      </c>
      <c r="I33" s="224">
        <v>1.06</v>
      </c>
      <c r="J33" s="224">
        <v>5.52</v>
      </c>
      <c r="K33" s="224">
        <v>8.51</v>
      </c>
      <c r="L33" s="224">
        <v>8.51</v>
      </c>
      <c r="M33" s="224">
        <v>8.51</v>
      </c>
      <c r="O33" s="224">
        <v>0.13</v>
      </c>
      <c r="P33" s="224">
        <v>0.14000000000000001</v>
      </c>
      <c r="Q33" s="224">
        <v>0.2</v>
      </c>
      <c r="S33" s="224">
        <v>4.5</v>
      </c>
      <c r="T33" s="224">
        <v>3.53</v>
      </c>
      <c r="U33" s="224">
        <v>1.58</v>
      </c>
      <c r="W33" s="224">
        <v>1.91</v>
      </c>
      <c r="X33" s="224">
        <v>4.21</v>
      </c>
      <c r="Y33" s="224">
        <v>6.55</v>
      </c>
      <c r="AA33" s="224">
        <f t="shared" si="3"/>
        <v>15.05</v>
      </c>
      <c r="AB33" s="224">
        <f t="shared" si="4"/>
        <v>16.39</v>
      </c>
      <c r="AC33" s="224">
        <f t="shared" si="5"/>
        <v>16.84</v>
      </c>
      <c r="AE33" s="238"/>
      <c r="AF33" s="238"/>
      <c r="AG33" s="238"/>
    </row>
    <row r="34" spans="1:33" x14ac:dyDescent="0.2">
      <c r="A34" s="15">
        <f t="shared" si="0"/>
        <v>24</v>
      </c>
      <c r="B34" s="9"/>
      <c r="C34" s="9"/>
      <c r="D34" s="222"/>
      <c r="E34" s="22"/>
      <c r="F34" s="223"/>
      <c r="G34" s="224"/>
      <c r="H34" s="224"/>
      <c r="I34" s="224"/>
      <c r="J34" s="224"/>
      <c r="K34" s="224"/>
      <c r="L34" s="224"/>
      <c r="M34" s="224"/>
      <c r="O34" s="224"/>
      <c r="P34" s="224"/>
      <c r="Q34" s="224"/>
      <c r="S34" s="224"/>
      <c r="T34" s="224"/>
      <c r="U34" s="224"/>
      <c r="W34" s="224"/>
      <c r="X34" s="224"/>
      <c r="Y34" s="224"/>
      <c r="AA34" s="224"/>
      <c r="AB34" s="224"/>
      <c r="AC34" s="224"/>
      <c r="AE34" s="238"/>
      <c r="AF34" s="238"/>
      <c r="AG34" s="238"/>
    </row>
    <row r="35" spans="1:33" x14ac:dyDescent="0.2">
      <c r="A35" s="15">
        <f t="shared" si="0"/>
        <v>25</v>
      </c>
      <c r="B35" s="225" t="s">
        <v>75</v>
      </c>
      <c r="C35" s="225" t="s">
        <v>439</v>
      </c>
      <c r="D35" s="226" t="s">
        <v>83</v>
      </c>
      <c r="E35" s="227" t="s">
        <v>409</v>
      </c>
      <c r="F35" s="228">
        <v>0</v>
      </c>
      <c r="G35" s="229">
        <v>0</v>
      </c>
      <c r="H35" s="229">
        <v>1.9379E-2</v>
      </c>
      <c r="I35" s="229">
        <v>1.0656000000000001E-2</v>
      </c>
      <c r="J35" s="229">
        <v>5.5322000000000003E-2</v>
      </c>
      <c r="K35" s="229">
        <v>8.5357000000000002E-2</v>
      </c>
      <c r="L35" s="229">
        <v>8.5357000000000002E-2</v>
      </c>
      <c r="M35" s="229">
        <v>8.5357000000000002E-2</v>
      </c>
      <c r="N35" s="229"/>
      <c r="O35" s="229">
        <v>1.3110000000000001E-3</v>
      </c>
      <c r="P35" s="229">
        <v>1.4419999999999999E-3</v>
      </c>
      <c r="Q35" s="229">
        <v>2.049E-3</v>
      </c>
      <c r="R35" s="229"/>
      <c r="S35" s="229">
        <v>4.5088999999999997E-2</v>
      </c>
      <c r="T35" s="229">
        <v>3.5428000000000001E-2</v>
      </c>
      <c r="U35" s="229">
        <v>1.5796999999999999E-2</v>
      </c>
      <c r="V35" s="229"/>
      <c r="W35" s="229">
        <v>1.9172000000000002E-2</v>
      </c>
      <c r="X35" s="229">
        <v>4.2255000000000001E-2</v>
      </c>
      <c r="Y35" s="229">
        <v>6.5659999999999996E-2</v>
      </c>
      <c r="Z35" s="229"/>
      <c r="AA35" s="229">
        <f t="shared" ref="AA35:AA44" si="6">K35+O35+S35+W35</f>
        <v>0.15092900000000001</v>
      </c>
      <c r="AB35" s="229">
        <f t="shared" ref="AB35:AB44" si="7">L35+P35+T35+X35</f>
        <v>0.16448200000000002</v>
      </c>
      <c r="AC35" s="229">
        <f t="shared" ref="AC35:AC44" si="8">M35+Q35+U35+Y35</f>
        <v>0.16886299999999999</v>
      </c>
      <c r="AE35" s="238"/>
      <c r="AF35" s="238"/>
      <c r="AG35" s="238"/>
    </row>
    <row r="36" spans="1:33" x14ac:dyDescent="0.2">
      <c r="A36" s="15">
        <f t="shared" si="0"/>
        <v>26</v>
      </c>
      <c r="B36" s="225" t="s">
        <v>75</v>
      </c>
      <c r="C36" s="225" t="s">
        <v>439</v>
      </c>
      <c r="D36" s="226" t="s">
        <v>83</v>
      </c>
      <c r="E36" s="227" t="s">
        <v>190</v>
      </c>
      <c r="F36" s="228">
        <v>0</v>
      </c>
      <c r="G36" s="229">
        <v>0</v>
      </c>
      <c r="H36" s="229">
        <v>1.9379E-2</v>
      </c>
      <c r="I36" s="229">
        <v>1.0656000000000001E-2</v>
      </c>
      <c r="J36" s="229">
        <v>5.5322000000000003E-2</v>
      </c>
      <c r="K36" s="229">
        <v>8.5357000000000002E-2</v>
      </c>
      <c r="L36" s="229">
        <v>8.5357000000000002E-2</v>
      </c>
      <c r="M36" s="229">
        <v>8.5357000000000002E-2</v>
      </c>
      <c r="N36" s="229"/>
      <c r="O36" s="229">
        <v>1.3110000000000001E-3</v>
      </c>
      <c r="P36" s="229">
        <v>1.4419999999999999E-3</v>
      </c>
      <c r="Q36" s="229">
        <v>2.049E-3</v>
      </c>
      <c r="R36" s="229"/>
      <c r="S36" s="229">
        <v>4.5088999999999997E-2</v>
      </c>
      <c r="T36" s="229">
        <v>3.5428000000000001E-2</v>
      </c>
      <c r="U36" s="229">
        <v>1.5796999999999999E-2</v>
      </c>
      <c r="V36" s="229"/>
      <c r="W36" s="229">
        <v>1.9172000000000002E-2</v>
      </c>
      <c r="X36" s="229">
        <v>4.2255000000000001E-2</v>
      </c>
      <c r="Y36" s="229">
        <v>6.5659999999999996E-2</v>
      </c>
      <c r="Z36" s="229"/>
      <c r="AA36" s="229">
        <f t="shared" si="6"/>
        <v>0.15092900000000001</v>
      </c>
      <c r="AB36" s="229">
        <f t="shared" si="7"/>
        <v>0.16448200000000002</v>
      </c>
      <c r="AC36" s="229">
        <f t="shared" si="8"/>
        <v>0.16886299999999999</v>
      </c>
      <c r="AE36" s="238"/>
      <c r="AF36" s="238"/>
      <c r="AG36" s="238"/>
    </row>
    <row r="37" spans="1:33" x14ac:dyDescent="0.2">
      <c r="A37" s="15">
        <f t="shared" si="0"/>
        <v>27</v>
      </c>
      <c r="B37" s="225" t="s">
        <v>75</v>
      </c>
      <c r="C37" s="225" t="s">
        <v>439</v>
      </c>
      <c r="D37" s="226" t="s">
        <v>83</v>
      </c>
      <c r="E37" s="227" t="s">
        <v>191</v>
      </c>
      <c r="F37" s="228">
        <v>0</v>
      </c>
      <c r="G37" s="229">
        <v>0</v>
      </c>
      <c r="H37" s="229">
        <v>1.9379E-2</v>
      </c>
      <c r="I37" s="229">
        <v>1.0656000000000001E-2</v>
      </c>
      <c r="J37" s="229">
        <v>5.5322000000000003E-2</v>
      </c>
      <c r="K37" s="229">
        <v>8.5357000000000002E-2</v>
      </c>
      <c r="L37" s="229">
        <v>8.5357000000000002E-2</v>
      </c>
      <c r="M37" s="229">
        <v>8.5357000000000002E-2</v>
      </c>
      <c r="N37" s="229"/>
      <c r="O37" s="229">
        <v>1.3110000000000001E-3</v>
      </c>
      <c r="P37" s="229">
        <v>1.4419999999999999E-3</v>
      </c>
      <c r="Q37" s="229">
        <v>2.049E-3</v>
      </c>
      <c r="R37" s="229"/>
      <c r="S37" s="229">
        <v>4.5088999999999997E-2</v>
      </c>
      <c r="T37" s="229">
        <v>3.5428000000000001E-2</v>
      </c>
      <c r="U37" s="229">
        <v>1.5796999999999999E-2</v>
      </c>
      <c r="V37" s="229"/>
      <c r="W37" s="229">
        <v>1.9172000000000002E-2</v>
      </c>
      <c r="X37" s="229">
        <v>4.2255000000000001E-2</v>
      </c>
      <c r="Y37" s="229">
        <v>6.5659999999999996E-2</v>
      </c>
      <c r="Z37" s="229"/>
      <c r="AA37" s="229">
        <f t="shared" si="6"/>
        <v>0.15092900000000001</v>
      </c>
      <c r="AB37" s="229">
        <f t="shared" si="7"/>
        <v>0.16448200000000002</v>
      </c>
      <c r="AC37" s="229">
        <f t="shared" si="8"/>
        <v>0.16886299999999999</v>
      </c>
      <c r="AE37" s="238"/>
      <c r="AF37" s="238"/>
      <c r="AG37" s="238"/>
    </row>
    <row r="38" spans="1:33" x14ac:dyDescent="0.2">
      <c r="A38" s="15">
        <f t="shared" si="0"/>
        <v>28</v>
      </c>
      <c r="B38" s="225" t="s">
        <v>75</v>
      </c>
      <c r="C38" s="225" t="s">
        <v>439</v>
      </c>
      <c r="D38" s="226" t="s">
        <v>83</v>
      </c>
      <c r="E38" s="227" t="s">
        <v>192</v>
      </c>
      <c r="F38" s="228">
        <v>0</v>
      </c>
      <c r="G38" s="229">
        <v>0</v>
      </c>
      <c r="H38" s="229">
        <v>1.9379E-2</v>
      </c>
      <c r="I38" s="229">
        <v>1.0656000000000001E-2</v>
      </c>
      <c r="J38" s="229">
        <v>5.5322000000000003E-2</v>
      </c>
      <c r="K38" s="229">
        <v>8.5357000000000002E-2</v>
      </c>
      <c r="L38" s="229">
        <v>8.5357000000000002E-2</v>
      </c>
      <c r="M38" s="229">
        <v>8.5357000000000002E-2</v>
      </c>
      <c r="N38" s="229"/>
      <c r="O38" s="229">
        <v>1.3110000000000001E-3</v>
      </c>
      <c r="P38" s="229">
        <v>1.4419999999999999E-3</v>
      </c>
      <c r="Q38" s="229">
        <v>2.049E-3</v>
      </c>
      <c r="R38" s="229"/>
      <c r="S38" s="229">
        <v>4.5088999999999997E-2</v>
      </c>
      <c r="T38" s="229">
        <v>3.5428000000000001E-2</v>
      </c>
      <c r="U38" s="229">
        <v>1.5796999999999999E-2</v>
      </c>
      <c r="V38" s="229"/>
      <c r="W38" s="229">
        <v>1.9172000000000002E-2</v>
      </c>
      <c r="X38" s="229">
        <v>4.2255000000000001E-2</v>
      </c>
      <c r="Y38" s="229">
        <v>6.5659999999999996E-2</v>
      </c>
      <c r="Z38" s="229"/>
      <c r="AA38" s="229">
        <f t="shared" si="6"/>
        <v>0.15092900000000001</v>
      </c>
      <c r="AB38" s="229">
        <f t="shared" si="7"/>
        <v>0.16448200000000002</v>
      </c>
      <c r="AC38" s="229">
        <f t="shared" si="8"/>
        <v>0.16886299999999999</v>
      </c>
      <c r="AE38" s="238"/>
      <c r="AF38" s="238"/>
      <c r="AG38" s="238"/>
    </row>
    <row r="39" spans="1:33" x14ac:dyDescent="0.2">
      <c r="A39" s="15">
        <f t="shared" si="0"/>
        <v>29</v>
      </c>
      <c r="B39" s="225" t="s">
        <v>75</v>
      </c>
      <c r="C39" s="225" t="s">
        <v>439</v>
      </c>
      <c r="D39" s="226" t="s">
        <v>83</v>
      </c>
      <c r="E39" s="227" t="s">
        <v>193</v>
      </c>
      <c r="F39" s="228">
        <v>0</v>
      </c>
      <c r="G39" s="229">
        <v>0</v>
      </c>
      <c r="H39" s="229">
        <v>1.9379E-2</v>
      </c>
      <c r="I39" s="229">
        <v>1.0656000000000001E-2</v>
      </c>
      <c r="J39" s="229">
        <v>5.5322000000000003E-2</v>
      </c>
      <c r="K39" s="229">
        <v>8.5357000000000002E-2</v>
      </c>
      <c r="L39" s="229">
        <v>8.5357000000000002E-2</v>
      </c>
      <c r="M39" s="229">
        <v>8.5357000000000002E-2</v>
      </c>
      <c r="N39" s="229"/>
      <c r="O39" s="229">
        <v>1.3110000000000001E-3</v>
      </c>
      <c r="P39" s="229">
        <v>1.4419999999999999E-3</v>
      </c>
      <c r="Q39" s="229">
        <v>2.049E-3</v>
      </c>
      <c r="R39" s="229"/>
      <c r="S39" s="229">
        <v>4.5088999999999997E-2</v>
      </c>
      <c r="T39" s="229">
        <v>3.5428000000000001E-2</v>
      </c>
      <c r="U39" s="229">
        <v>1.5796999999999999E-2</v>
      </c>
      <c r="V39" s="229"/>
      <c r="W39" s="229">
        <v>1.9172000000000002E-2</v>
      </c>
      <c r="X39" s="229">
        <v>4.2255000000000001E-2</v>
      </c>
      <c r="Y39" s="229">
        <v>6.5659999999999996E-2</v>
      </c>
      <c r="Z39" s="229"/>
      <c r="AA39" s="229">
        <f t="shared" si="6"/>
        <v>0.15092900000000001</v>
      </c>
      <c r="AB39" s="229">
        <f t="shared" si="7"/>
        <v>0.16448200000000002</v>
      </c>
      <c r="AC39" s="229">
        <f t="shared" si="8"/>
        <v>0.16886299999999999</v>
      </c>
      <c r="AE39" s="238"/>
      <c r="AF39" s="238"/>
      <c r="AG39" s="238"/>
    </row>
    <row r="40" spans="1:33" x14ac:dyDescent="0.2">
      <c r="A40" s="15">
        <f t="shared" si="0"/>
        <v>30</v>
      </c>
      <c r="B40" s="225" t="s">
        <v>75</v>
      </c>
      <c r="C40" s="225" t="s">
        <v>439</v>
      </c>
      <c r="D40" s="226" t="s">
        <v>83</v>
      </c>
      <c r="E40" s="227" t="s">
        <v>194</v>
      </c>
      <c r="F40" s="228">
        <v>0</v>
      </c>
      <c r="G40" s="229">
        <v>0</v>
      </c>
      <c r="H40" s="229">
        <v>1.9379E-2</v>
      </c>
      <c r="I40" s="229">
        <v>1.0656000000000001E-2</v>
      </c>
      <c r="J40" s="229">
        <v>5.5322000000000003E-2</v>
      </c>
      <c r="K40" s="229">
        <v>8.5357000000000002E-2</v>
      </c>
      <c r="L40" s="229">
        <v>8.5357000000000002E-2</v>
      </c>
      <c r="M40" s="229">
        <v>8.5357000000000002E-2</v>
      </c>
      <c r="N40" s="229"/>
      <c r="O40" s="229">
        <v>1.3110000000000001E-3</v>
      </c>
      <c r="P40" s="229">
        <v>1.4419999999999999E-3</v>
      </c>
      <c r="Q40" s="229">
        <v>2.049E-3</v>
      </c>
      <c r="R40" s="229"/>
      <c r="S40" s="229">
        <v>4.5088999999999997E-2</v>
      </c>
      <c r="T40" s="229">
        <v>3.5428000000000001E-2</v>
      </c>
      <c r="U40" s="229">
        <v>1.5796999999999999E-2</v>
      </c>
      <c r="V40" s="229"/>
      <c r="W40" s="229">
        <v>1.9172000000000002E-2</v>
      </c>
      <c r="X40" s="229">
        <v>4.2255000000000001E-2</v>
      </c>
      <c r="Y40" s="229">
        <v>6.5659999999999996E-2</v>
      </c>
      <c r="Z40" s="229"/>
      <c r="AA40" s="229">
        <f t="shared" si="6"/>
        <v>0.15092900000000001</v>
      </c>
      <c r="AB40" s="229">
        <f t="shared" si="7"/>
        <v>0.16448200000000002</v>
      </c>
      <c r="AC40" s="229">
        <f t="shared" si="8"/>
        <v>0.16886299999999999</v>
      </c>
      <c r="AE40" s="238"/>
      <c r="AF40" s="238"/>
      <c r="AG40" s="238"/>
    </row>
    <row r="41" spans="1:33" x14ac:dyDescent="0.2">
      <c r="A41" s="15">
        <f t="shared" si="0"/>
        <v>31</v>
      </c>
      <c r="B41" s="225" t="s">
        <v>75</v>
      </c>
      <c r="C41" s="225" t="s">
        <v>439</v>
      </c>
      <c r="D41" s="226" t="s">
        <v>83</v>
      </c>
      <c r="E41" s="227" t="s">
        <v>195</v>
      </c>
      <c r="F41" s="228">
        <v>0</v>
      </c>
      <c r="G41" s="229">
        <v>0</v>
      </c>
      <c r="H41" s="229">
        <v>1.9379E-2</v>
      </c>
      <c r="I41" s="229">
        <v>1.0656000000000001E-2</v>
      </c>
      <c r="J41" s="229">
        <v>5.5322000000000003E-2</v>
      </c>
      <c r="K41" s="229">
        <v>8.5357000000000002E-2</v>
      </c>
      <c r="L41" s="229">
        <v>8.5357000000000002E-2</v>
      </c>
      <c r="M41" s="229">
        <v>8.5357000000000002E-2</v>
      </c>
      <c r="N41" s="229"/>
      <c r="O41" s="229">
        <v>1.3110000000000001E-3</v>
      </c>
      <c r="P41" s="229">
        <v>1.4419999999999999E-3</v>
      </c>
      <c r="Q41" s="229">
        <v>2.049E-3</v>
      </c>
      <c r="R41" s="229"/>
      <c r="S41" s="229">
        <v>4.5088999999999997E-2</v>
      </c>
      <c r="T41" s="229">
        <v>3.5428000000000001E-2</v>
      </c>
      <c r="U41" s="229">
        <v>1.5796999999999999E-2</v>
      </c>
      <c r="V41" s="229"/>
      <c r="W41" s="229">
        <v>1.9172000000000002E-2</v>
      </c>
      <c r="X41" s="229">
        <v>4.2255000000000001E-2</v>
      </c>
      <c r="Y41" s="229">
        <v>6.5659999999999996E-2</v>
      </c>
      <c r="Z41" s="229"/>
      <c r="AA41" s="229">
        <f t="shared" si="6"/>
        <v>0.15092900000000001</v>
      </c>
      <c r="AB41" s="229">
        <f t="shared" si="7"/>
        <v>0.16448200000000002</v>
      </c>
      <c r="AC41" s="229">
        <f t="shared" si="8"/>
        <v>0.16886299999999999</v>
      </c>
      <c r="AE41" s="238"/>
      <c r="AF41" s="238"/>
      <c r="AG41" s="238"/>
    </row>
    <row r="42" spans="1:33" x14ac:dyDescent="0.2">
      <c r="A42" s="15">
        <f t="shared" si="0"/>
        <v>32</v>
      </c>
      <c r="B42" s="225" t="s">
        <v>75</v>
      </c>
      <c r="C42" s="225" t="s">
        <v>439</v>
      </c>
      <c r="D42" s="226" t="s">
        <v>83</v>
      </c>
      <c r="E42" s="227" t="s">
        <v>209</v>
      </c>
      <c r="F42" s="228">
        <v>0</v>
      </c>
      <c r="G42" s="229">
        <v>0</v>
      </c>
      <c r="H42" s="229">
        <v>1.9379E-2</v>
      </c>
      <c r="I42" s="229">
        <v>1.0656000000000001E-2</v>
      </c>
      <c r="J42" s="229">
        <v>5.5322000000000003E-2</v>
      </c>
      <c r="K42" s="229">
        <v>8.5357000000000002E-2</v>
      </c>
      <c r="L42" s="229">
        <v>8.5357000000000002E-2</v>
      </c>
      <c r="M42" s="229">
        <v>8.5357000000000002E-2</v>
      </c>
      <c r="N42" s="229"/>
      <c r="O42" s="229">
        <v>1.3110000000000001E-3</v>
      </c>
      <c r="P42" s="229">
        <v>1.4419999999999999E-3</v>
      </c>
      <c r="Q42" s="229">
        <v>2.049E-3</v>
      </c>
      <c r="R42" s="229"/>
      <c r="S42" s="229">
        <v>4.5088999999999997E-2</v>
      </c>
      <c r="T42" s="229">
        <v>3.5428000000000001E-2</v>
      </c>
      <c r="U42" s="229">
        <v>1.5796999999999999E-2</v>
      </c>
      <c r="V42" s="229"/>
      <c r="W42" s="229">
        <v>1.9172000000000002E-2</v>
      </c>
      <c r="X42" s="229">
        <v>4.2255000000000001E-2</v>
      </c>
      <c r="Y42" s="229">
        <v>6.5659999999999996E-2</v>
      </c>
      <c r="Z42" s="229"/>
      <c r="AA42" s="229">
        <f t="shared" si="6"/>
        <v>0.15092900000000001</v>
      </c>
      <c r="AB42" s="229">
        <f t="shared" si="7"/>
        <v>0.16448200000000002</v>
      </c>
      <c r="AC42" s="229">
        <f t="shared" si="8"/>
        <v>0.16886299999999999</v>
      </c>
      <c r="AE42" s="238"/>
      <c r="AF42" s="238"/>
      <c r="AG42" s="238"/>
    </row>
    <row r="43" spans="1:33" x14ac:dyDescent="0.2">
      <c r="A43" s="15">
        <f t="shared" si="0"/>
        <v>33</v>
      </c>
      <c r="B43" s="225" t="s">
        <v>75</v>
      </c>
      <c r="C43" s="225" t="s">
        <v>439</v>
      </c>
      <c r="D43" s="226" t="s">
        <v>83</v>
      </c>
      <c r="E43" s="227" t="s">
        <v>196</v>
      </c>
      <c r="F43" s="228">
        <v>0</v>
      </c>
      <c r="G43" s="229">
        <v>0</v>
      </c>
      <c r="H43" s="229">
        <v>1.9379E-2</v>
      </c>
      <c r="I43" s="229">
        <v>1.0656000000000001E-2</v>
      </c>
      <c r="J43" s="229">
        <v>5.5322000000000003E-2</v>
      </c>
      <c r="K43" s="229">
        <v>8.5357000000000002E-2</v>
      </c>
      <c r="L43" s="229">
        <v>8.5357000000000002E-2</v>
      </c>
      <c r="M43" s="229">
        <v>8.5357000000000002E-2</v>
      </c>
      <c r="N43" s="229"/>
      <c r="O43" s="229">
        <v>1.3110000000000001E-3</v>
      </c>
      <c r="P43" s="229">
        <v>1.4419999999999999E-3</v>
      </c>
      <c r="Q43" s="229">
        <v>2.049E-3</v>
      </c>
      <c r="R43" s="229"/>
      <c r="S43" s="229">
        <v>4.5088999999999997E-2</v>
      </c>
      <c r="T43" s="229">
        <v>3.5428000000000001E-2</v>
      </c>
      <c r="U43" s="229">
        <v>1.5796999999999999E-2</v>
      </c>
      <c r="V43" s="229"/>
      <c r="W43" s="229">
        <v>1.9172000000000002E-2</v>
      </c>
      <c r="X43" s="229">
        <v>4.2255000000000001E-2</v>
      </c>
      <c r="Y43" s="229">
        <v>6.5659999999999996E-2</v>
      </c>
      <c r="Z43" s="229"/>
      <c r="AA43" s="229">
        <f t="shared" si="6"/>
        <v>0.15092900000000001</v>
      </c>
      <c r="AB43" s="229">
        <f t="shared" si="7"/>
        <v>0.16448200000000002</v>
      </c>
      <c r="AC43" s="229">
        <f t="shared" si="8"/>
        <v>0.16886299999999999</v>
      </c>
      <c r="AE43" s="238"/>
      <c r="AF43" s="238"/>
      <c r="AG43" s="238"/>
    </row>
    <row r="44" spans="1:33" x14ac:dyDescent="0.2">
      <c r="A44" s="15">
        <f t="shared" si="0"/>
        <v>34</v>
      </c>
      <c r="B44" s="225" t="s">
        <v>75</v>
      </c>
      <c r="C44" s="225" t="s">
        <v>439</v>
      </c>
      <c r="D44" s="226" t="s">
        <v>83</v>
      </c>
      <c r="E44" s="227" t="s">
        <v>197</v>
      </c>
      <c r="F44" s="228">
        <v>0</v>
      </c>
      <c r="G44" s="229">
        <v>0</v>
      </c>
      <c r="H44" s="229">
        <v>1.9379E-2</v>
      </c>
      <c r="I44" s="229">
        <v>1.0656000000000001E-2</v>
      </c>
      <c r="J44" s="229">
        <v>5.5322000000000003E-2</v>
      </c>
      <c r="K44" s="229">
        <v>8.5357000000000002E-2</v>
      </c>
      <c r="L44" s="229">
        <v>8.5357000000000002E-2</v>
      </c>
      <c r="M44" s="229">
        <v>8.5357000000000002E-2</v>
      </c>
      <c r="N44" s="229"/>
      <c r="O44" s="229">
        <v>1.3110000000000001E-3</v>
      </c>
      <c r="P44" s="229">
        <v>1.4419999999999999E-3</v>
      </c>
      <c r="Q44" s="229">
        <v>2.049E-3</v>
      </c>
      <c r="R44" s="229"/>
      <c r="S44" s="229">
        <v>4.5088999999999997E-2</v>
      </c>
      <c r="T44" s="229">
        <v>3.5428000000000001E-2</v>
      </c>
      <c r="U44" s="229">
        <v>1.5796999999999999E-2</v>
      </c>
      <c r="V44" s="229"/>
      <c r="W44" s="229">
        <v>1.9172000000000002E-2</v>
      </c>
      <c r="X44" s="229">
        <v>4.2255000000000001E-2</v>
      </c>
      <c r="Y44" s="229">
        <v>6.5659999999999996E-2</v>
      </c>
      <c r="Z44" s="229"/>
      <c r="AA44" s="229">
        <f t="shared" si="6"/>
        <v>0.15092900000000001</v>
      </c>
      <c r="AB44" s="229">
        <f t="shared" si="7"/>
        <v>0.16448200000000002</v>
      </c>
      <c r="AC44" s="229">
        <f t="shared" si="8"/>
        <v>0.16886299999999999</v>
      </c>
      <c r="AE44" s="238"/>
      <c r="AF44" s="238"/>
      <c r="AG44" s="238"/>
    </row>
    <row r="45" spans="1:33" x14ac:dyDescent="0.2">
      <c r="A45" s="15">
        <f t="shared" si="0"/>
        <v>35</v>
      </c>
      <c r="B45" s="9"/>
      <c r="C45" s="9"/>
      <c r="D45" s="222"/>
      <c r="E45" s="22"/>
      <c r="F45" s="223"/>
      <c r="G45" s="224"/>
      <c r="H45" s="224"/>
      <c r="I45" s="224"/>
      <c r="J45" s="224"/>
      <c r="K45" s="224"/>
      <c r="O45" s="224"/>
      <c r="S45" s="224"/>
      <c r="W45" s="224"/>
      <c r="AA45" s="224"/>
      <c r="AE45" s="238"/>
      <c r="AF45" s="238"/>
      <c r="AG45" s="238"/>
    </row>
    <row r="46" spans="1:33" x14ac:dyDescent="0.2">
      <c r="A46" s="15">
        <f t="shared" si="0"/>
        <v>36</v>
      </c>
      <c r="B46" s="9" t="s">
        <v>91</v>
      </c>
      <c r="C46" s="9"/>
      <c r="D46" s="222"/>
      <c r="E46" s="22"/>
      <c r="F46" s="223"/>
      <c r="G46" s="224"/>
      <c r="H46" s="224"/>
      <c r="I46" s="224"/>
      <c r="J46" s="224"/>
      <c r="K46" s="224"/>
      <c r="O46" s="224"/>
      <c r="S46" s="224"/>
      <c r="W46" s="224"/>
      <c r="AA46" s="224"/>
      <c r="AE46" s="238"/>
      <c r="AF46" s="238"/>
      <c r="AG46" s="238"/>
    </row>
    <row r="47" spans="1:33" x14ac:dyDescent="0.2">
      <c r="A47" s="15">
        <f t="shared" si="0"/>
        <v>37</v>
      </c>
      <c r="B47" s="9" t="s">
        <v>76</v>
      </c>
      <c r="C47" s="9"/>
      <c r="D47" s="222" t="s">
        <v>67</v>
      </c>
      <c r="E47" s="22" t="s">
        <v>208</v>
      </c>
      <c r="F47" s="223">
        <v>0</v>
      </c>
      <c r="G47" s="224">
        <v>0</v>
      </c>
      <c r="H47" s="224">
        <v>0.34</v>
      </c>
      <c r="I47" s="224">
        <v>0.19</v>
      </c>
      <c r="J47" s="224">
        <v>0.97</v>
      </c>
      <c r="K47" s="224">
        <v>1.5</v>
      </c>
      <c r="L47" s="224">
        <v>1.5</v>
      </c>
      <c r="M47" s="224">
        <v>1.5</v>
      </c>
      <c r="O47" s="224">
        <v>0.02</v>
      </c>
      <c r="P47" s="224">
        <v>0.03</v>
      </c>
      <c r="Q47" s="224">
        <v>0.04</v>
      </c>
      <c r="S47" s="224">
        <v>0.79</v>
      </c>
      <c r="T47" s="224">
        <v>0.62</v>
      </c>
      <c r="U47" s="224">
        <v>0.28000000000000003</v>
      </c>
      <c r="W47" s="224">
        <v>0.34</v>
      </c>
      <c r="X47" s="224">
        <v>0.74</v>
      </c>
      <c r="Y47" s="224">
        <v>1.1499999999999999</v>
      </c>
      <c r="AA47" s="224">
        <f t="shared" ref="AA47:AC54" si="9">K47+O47+S47+W47</f>
        <v>2.65</v>
      </c>
      <c r="AB47" s="224">
        <f t="shared" si="9"/>
        <v>2.8899999999999997</v>
      </c>
      <c r="AC47" s="224">
        <f t="shared" si="9"/>
        <v>2.9699999999999998</v>
      </c>
      <c r="AE47" s="238"/>
      <c r="AF47" s="238"/>
      <c r="AG47" s="238"/>
    </row>
    <row r="48" spans="1:33" x14ac:dyDescent="0.2">
      <c r="A48" s="15">
        <f t="shared" si="0"/>
        <v>38</v>
      </c>
      <c r="B48" s="9" t="s">
        <v>76</v>
      </c>
      <c r="C48" s="9"/>
      <c r="D48" s="222" t="s">
        <v>67</v>
      </c>
      <c r="E48" s="22" t="s">
        <v>496</v>
      </c>
      <c r="F48" s="223">
        <v>0</v>
      </c>
      <c r="G48" s="224">
        <v>0</v>
      </c>
      <c r="H48" s="224">
        <v>0.47</v>
      </c>
      <c r="I48" s="224">
        <v>0.26</v>
      </c>
      <c r="J48" s="224">
        <v>1.36</v>
      </c>
      <c r="K48" s="224">
        <v>2.09</v>
      </c>
      <c r="L48" s="224">
        <v>2.09</v>
      </c>
      <c r="M48" s="224">
        <v>2.09</v>
      </c>
      <c r="O48" s="224">
        <v>0.03</v>
      </c>
      <c r="P48" s="224">
        <v>0.04</v>
      </c>
      <c r="Q48" s="224">
        <v>0.05</v>
      </c>
      <c r="S48" s="224">
        <v>1.1000000000000001</v>
      </c>
      <c r="T48" s="224">
        <v>0.87</v>
      </c>
      <c r="U48" s="224">
        <v>0.39</v>
      </c>
      <c r="W48" s="224">
        <v>0.47</v>
      </c>
      <c r="X48" s="224">
        <v>1.04</v>
      </c>
      <c r="Y48" s="224">
        <v>1.61</v>
      </c>
      <c r="AA48" s="224">
        <f t="shared" si="9"/>
        <v>3.6899999999999995</v>
      </c>
      <c r="AB48" s="224">
        <f t="shared" si="9"/>
        <v>4.04</v>
      </c>
      <c r="AC48" s="224">
        <f t="shared" si="9"/>
        <v>4.1399999999999997</v>
      </c>
      <c r="AE48" s="238"/>
      <c r="AF48" s="238"/>
      <c r="AG48" s="238"/>
    </row>
    <row r="49" spans="1:33" x14ac:dyDescent="0.2">
      <c r="A49" s="15">
        <f t="shared" si="0"/>
        <v>39</v>
      </c>
      <c r="B49" s="9" t="s">
        <v>76</v>
      </c>
      <c r="C49" s="9"/>
      <c r="D49" s="222" t="s">
        <v>67</v>
      </c>
      <c r="E49" s="22" t="s">
        <v>497</v>
      </c>
      <c r="F49" s="223">
        <v>0</v>
      </c>
      <c r="G49" s="224">
        <v>0</v>
      </c>
      <c r="H49" s="224">
        <v>0.68</v>
      </c>
      <c r="I49" s="224">
        <v>0.37</v>
      </c>
      <c r="J49" s="224">
        <v>1.94</v>
      </c>
      <c r="K49" s="224">
        <v>2.99</v>
      </c>
      <c r="L49" s="224">
        <v>2.99</v>
      </c>
      <c r="M49" s="224">
        <v>2.99</v>
      </c>
      <c r="O49" s="224">
        <v>0.05</v>
      </c>
      <c r="P49" s="224">
        <v>0.05</v>
      </c>
      <c r="Q49" s="224">
        <v>7.0000000000000007E-2</v>
      </c>
      <c r="S49" s="224">
        <v>1.58</v>
      </c>
      <c r="T49" s="224">
        <v>1.24</v>
      </c>
      <c r="U49" s="224">
        <v>0.55000000000000004</v>
      </c>
      <c r="W49" s="224">
        <v>0.67</v>
      </c>
      <c r="X49" s="224">
        <v>1.48</v>
      </c>
      <c r="Y49" s="224">
        <v>2.2999999999999998</v>
      </c>
      <c r="AA49" s="224">
        <f t="shared" si="9"/>
        <v>5.29</v>
      </c>
      <c r="AB49" s="224">
        <f t="shared" si="9"/>
        <v>5.76</v>
      </c>
      <c r="AC49" s="224">
        <f t="shared" si="9"/>
        <v>5.91</v>
      </c>
      <c r="AE49" s="238"/>
      <c r="AF49" s="238"/>
      <c r="AG49" s="238"/>
    </row>
    <row r="50" spans="1:33" x14ac:dyDescent="0.2">
      <c r="A50" s="15">
        <f t="shared" si="0"/>
        <v>40</v>
      </c>
      <c r="B50" s="9" t="s">
        <v>76</v>
      </c>
      <c r="C50" s="9"/>
      <c r="D50" s="222" t="s">
        <v>67</v>
      </c>
      <c r="E50" s="22" t="s">
        <v>498</v>
      </c>
      <c r="F50" s="223">
        <v>0</v>
      </c>
      <c r="G50" s="224">
        <v>0</v>
      </c>
      <c r="H50" s="224">
        <v>1.02</v>
      </c>
      <c r="I50" s="224">
        <v>0.56000000000000005</v>
      </c>
      <c r="J50" s="224">
        <v>2.9</v>
      </c>
      <c r="K50" s="224">
        <v>4.4800000000000004</v>
      </c>
      <c r="L50" s="224">
        <v>4.4800000000000004</v>
      </c>
      <c r="M50" s="224">
        <v>4.4800000000000004</v>
      </c>
      <c r="O50" s="224">
        <v>7.0000000000000007E-2</v>
      </c>
      <c r="P50" s="224">
        <v>0.08</v>
      </c>
      <c r="Q50" s="224">
        <v>0.11</v>
      </c>
      <c r="S50" s="224">
        <v>2.37</v>
      </c>
      <c r="T50" s="224">
        <v>1.86</v>
      </c>
      <c r="U50" s="224">
        <v>0.83</v>
      </c>
      <c r="W50" s="224">
        <v>1.01</v>
      </c>
      <c r="X50" s="224">
        <v>2.2200000000000002</v>
      </c>
      <c r="Y50" s="224">
        <v>3.45</v>
      </c>
      <c r="AA50" s="224">
        <f t="shared" si="9"/>
        <v>7.9300000000000006</v>
      </c>
      <c r="AB50" s="224">
        <f t="shared" si="9"/>
        <v>8.64</v>
      </c>
      <c r="AC50" s="224">
        <f t="shared" si="9"/>
        <v>8.870000000000001</v>
      </c>
      <c r="AE50" s="238"/>
      <c r="AF50" s="238"/>
      <c r="AG50" s="238"/>
    </row>
    <row r="51" spans="1:33" x14ac:dyDescent="0.2">
      <c r="A51" s="15">
        <f t="shared" si="0"/>
        <v>41</v>
      </c>
      <c r="B51" s="9" t="s">
        <v>76</v>
      </c>
      <c r="C51" s="9"/>
      <c r="D51" s="222" t="s">
        <v>67</v>
      </c>
      <c r="E51" s="22" t="s">
        <v>499</v>
      </c>
      <c r="F51" s="223">
        <v>0</v>
      </c>
      <c r="G51" s="224">
        <v>0</v>
      </c>
      <c r="H51" s="224">
        <v>1.36</v>
      </c>
      <c r="I51" s="224">
        <v>0.75</v>
      </c>
      <c r="J51" s="224">
        <v>3.87</v>
      </c>
      <c r="K51" s="224">
        <v>5.98</v>
      </c>
      <c r="L51" s="224">
        <v>5.98</v>
      </c>
      <c r="M51" s="224">
        <v>5.98</v>
      </c>
      <c r="O51" s="224">
        <v>0.09</v>
      </c>
      <c r="P51" s="224">
        <v>0.1</v>
      </c>
      <c r="Q51" s="224">
        <v>0.14000000000000001</v>
      </c>
      <c r="S51" s="224">
        <v>3.16</v>
      </c>
      <c r="T51" s="224">
        <v>2.48</v>
      </c>
      <c r="U51" s="224">
        <v>1.1100000000000001</v>
      </c>
      <c r="W51" s="224">
        <v>1.34</v>
      </c>
      <c r="X51" s="224">
        <v>2.96</v>
      </c>
      <c r="Y51" s="224">
        <v>4.5999999999999996</v>
      </c>
      <c r="AA51" s="224">
        <f t="shared" si="9"/>
        <v>10.57</v>
      </c>
      <c r="AB51" s="224">
        <f t="shared" si="9"/>
        <v>11.52</v>
      </c>
      <c r="AC51" s="224">
        <f t="shared" si="9"/>
        <v>11.83</v>
      </c>
      <c r="AE51" s="238"/>
      <c r="AF51" s="238"/>
      <c r="AG51" s="238"/>
    </row>
    <row r="52" spans="1:33" x14ac:dyDescent="0.2">
      <c r="A52" s="15">
        <f t="shared" si="0"/>
        <v>42</v>
      </c>
      <c r="B52" s="9" t="s">
        <v>76</v>
      </c>
      <c r="C52" s="9"/>
      <c r="D52" s="222" t="s">
        <v>67</v>
      </c>
      <c r="E52" s="22" t="s">
        <v>500</v>
      </c>
      <c r="F52" s="223">
        <v>0</v>
      </c>
      <c r="G52" s="224">
        <v>0</v>
      </c>
      <c r="H52" s="224">
        <v>1.7</v>
      </c>
      <c r="I52" s="224">
        <v>0.93</v>
      </c>
      <c r="J52" s="224">
        <v>4.84</v>
      </c>
      <c r="K52" s="224">
        <v>7.47</v>
      </c>
      <c r="L52" s="224">
        <v>7.47</v>
      </c>
      <c r="M52" s="224">
        <v>7.47</v>
      </c>
      <c r="O52" s="224">
        <v>0.11</v>
      </c>
      <c r="P52" s="224">
        <v>0.13</v>
      </c>
      <c r="Q52" s="224">
        <v>0.18</v>
      </c>
      <c r="S52" s="224">
        <v>3.95</v>
      </c>
      <c r="T52" s="224">
        <v>3.1</v>
      </c>
      <c r="U52" s="224">
        <v>1.38</v>
      </c>
      <c r="W52" s="224">
        <v>1.68</v>
      </c>
      <c r="X52" s="224">
        <v>3.7</v>
      </c>
      <c r="Y52" s="224">
        <v>5.75</v>
      </c>
      <c r="AA52" s="224">
        <f t="shared" si="9"/>
        <v>13.21</v>
      </c>
      <c r="AB52" s="224">
        <f t="shared" si="9"/>
        <v>14.399999999999999</v>
      </c>
      <c r="AC52" s="224">
        <f t="shared" si="9"/>
        <v>14.78</v>
      </c>
      <c r="AE52" s="238"/>
      <c r="AF52" s="238"/>
      <c r="AG52" s="238"/>
    </row>
    <row r="53" spans="1:33" x14ac:dyDescent="0.2">
      <c r="A53" s="15">
        <f t="shared" si="0"/>
        <v>43</v>
      </c>
      <c r="B53" s="9" t="s">
        <v>76</v>
      </c>
      <c r="C53" s="9"/>
      <c r="D53" s="222" t="s">
        <v>67</v>
      </c>
      <c r="E53" s="22" t="s">
        <v>501</v>
      </c>
      <c r="F53" s="223">
        <v>0</v>
      </c>
      <c r="G53" s="224">
        <v>0</v>
      </c>
      <c r="H53" s="224">
        <v>2.1</v>
      </c>
      <c r="I53" s="224">
        <v>1.1599999999999999</v>
      </c>
      <c r="J53" s="224">
        <v>6</v>
      </c>
      <c r="K53" s="224">
        <v>9.26</v>
      </c>
      <c r="L53" s="224">
        <v>9.26</v>
      </c>
      <c r="M53" s="224">
        <v>9.26</v>
      </c>
      <c r="O53" s="224">
        <v>0.14000000000000001</v>
      </c>
      <c r="P53" s="224">
        <v>0.16</v>
      </c>
      <c r="Q53" s="224">
        <v>0.22</v>
      </c>
      <c r="S53" s="224">
        <v>4.8899999999999997</v>
      </c>
      <c r="T53" s="224">
        <v>3.84</v>
      </c>
      <c r="U53" s="224">
        <v>1.71</v>
      </c>
      <c r="W53" s="224">
        <v>2.08</v>
      </c>
      <c r="X53" s="224">
        <v>4.58</v>
      </c>
      <c r="Y53" s="224">
        <v>7.12</v>
      </c>
      <c r="AA53" s="224">
        <f t="shared" si="9"/>
        <v>16.369999999999997</v>
      </c>
      <c r="AB53" s="224">
        <f t="shared" si="9"/>
        <v>17.84</v>
      </c>
      <c r="AC53" s="224">
        <f t="shared" si="9"/>
        <v>18.310000000000002</v>
      </c>
      <c r="AE53" s="238"/>
      <c r="AF53" s="238"/>
      <c r="AG53" s="238"/>
    </row>
    <row r="54" spans="1:33" x14ac:dyDescent="0.2">
      <c r="A54" s="15">
        <f t="shared" si="0"/>
        <v>44</v>
      </c>
      <c r="B54" s="9" t="s">
        <v>76</v>
      </c>
      <c r="C54" s="9"/>
      <c r="D54" s="222" t="s">
        <v>67</v>
      </c>
      <c r="E54" s="22" t="s">
        <v>502</v>
      </c>
      <c r="F54" s="223">
        <v>0</v>
      </c>
      <c r="G54" s="224">
        <v>0</v>
      </c>
      <c r="H54" s="224">
        <v>2.71</v>
      </c>
      <c r="I54" s="224">
        <v>1.49</v>
      </c>
      <c r="J54" s="224">
        <v>7.75</v>
      </c>
      <c r="K54" s="224">
        <v>11.95</v>
      </c>
      <c r="L54" s="224">
        <v>11.95</v>
      </c>
      <c r="M54" s="224">
        <v>11.95</v>
      </c>
      <c r="O54" s="224">
        <v>0.18</v>
      </c>
      <c r="P54" s="224">
        <v>0.2</v>
      </c>
      <c r="Q54" s="224">
        <v>0.28999999999999998</v>
      </c>
      <c r="S54" s="224">
        <v>6.31</v>
      </c>
      <c r="T54" s="224">
        <v>4.96</v>
      </c>
      <c r="U54" s="224">
        <v>2.21</v>
      </c>
      <c r="W54" s="224">
        <v>2.68</v>
      </c>
      <c r="X54" s="224">
        <v>5.92</v>
      </c>
      <c r="Y54" s="224">
        <v>9.19</v>
      </c>
      <c r="AA54" s="224">
        <f t="shared" si="9"/>
        <v>21.119999999999997</v>
      </c>
      <c r="AB54" s="224">
        <f t="shared" si="9"/>
        <v>23.03</v>
      </c>
      <c r="AC54" s="224">
        <f t="shared" si="9"/>
        <v>23.64</v>
      </c>
      <c r="AE54" s="238"/>
      <c r="AF54" s="238"/>
      <c r="AG54" s="238"/>
    </row>
    <row r="55" spans="1:33" x14ac:dyDescent="0.2">
      <c r="A55" s="15">
        <f t="shared" si="0"/>
        <v>45</v>
      </c>
      <c r="B55" s="9"/>
      <c r="C55" s="9"/>
      <c r="D55" s="222"/>
      <c r="E55" s="22"/>
      <c r="F55" s="223"/>
      <c r="G55" s="224"/>
      <c r="H55" s="224"/>
      <c r="I55" s="224"/>
      <c r="J55" s="224"/>
      <c r="K55" s="224"/>
      <c r="O55" s="224"/>
      <c r="P55" s="224"/>
      <c r="Q55" s="224"/>
      <c r="S55" s="224"/>
      <c r="W55" s="224"/>
      <c r="AA55" s="224"/>
      <c r="AE55" s="238"/>
      <c r="AF55" s="238"/>
      <c r="AG55" s="238"/>
    </row>
    <row r="56" spans="1:33" x14ac:dyDescent="0.2">
      <c r="A56" s="15">
        <f t="shared" si="0"/>
        <v>46</v>
      </c>
      <c r="B56" s="9" t="s">
        <v>76</v>
      </c>
      <c r="C56" s="9"/>
      <c r="D56" s="222" t="s">
        <v>77</v>
      </c>
      <c r="E56" s="22" t="s">
        <v>206</v>
      </c>
      <c r="F56" s="223">
        <v>0</v>
      </c>
      <c r="G56" s="224">
        <v>0</v>
      </c>
      <c r="H56" s="224">
        <v>0.47</v>
      </c>
      <c r="I56" s="224">
        <v>0.26</v>
      </c>
      <c r="J56" s="224">
        <v>1.36</v>
      </c>
      <c r="K56" s="224">
        <v>2.09</v>
      </c>
      <c r="L56" s="224">
        <v>2.09</v>
      </c>
      <c r="M56" s="224">
        <v>2.09</v>
      </c>
      <c r="O56" s="224">
        <v>0.03</v>
      </c>
      <c r="P56" s="224">
        <v>0.04</v>
      </c>
      <c r="Q56" s="224">
        <v>0.05</v>
      </c>
      <c r="S56" s="224">
        <v>1.1000000000000001</v>
      </c>
      <c r="T56" s="224">
        <v>0.87</v>
      </c>
      <c r="U56" s="224">
        <v>0.39</v>
      </c>
      <c r="W56" s="224">
        <v>0.47</v>
      </c>
      <c r="X56" s="224">
        <v>1.04</v>
      </c>
      <c r="Y56" s="224">
        <v>1.61</v>
      </c>
      <c r="AA56" s="224">
        <f t="shared" ref="AA56:AC62" si="10">K56+O56+S56+W56</f>
        <v>3.6899999999999995</v>
      </c>
      <c r="AB56" s="224">
        <f t="shared" si="10"/>
        <v>4.04</v>
      </c>
      <c r="AC56" s="224">
        <f t="shared" si="10"/>
        <v>4.1399999999999997</v>
      </c>
      <c r="AE56" s="238"/>
      <c r="AF56" s="238"/>
      <c r="AG56" s="238"/>
    </row>
    <row r="57" spans="1:33" x14ac:dyDescent="0.2">
      <c r="A57" s="15">
        <f t="shared" si="0"/>
        <v>47</v>
      </c>
      <c r="B57" s="9" t="s">
        <v>76</v>
      </c>
      <c r="C57" s="9"/>
      <c r="D57" s="222" t="s">
        <v>77</v>
      </c>
      <c r="E57" s="22" t="s">
        <v>202</v>
      </c>
      <c r="F57" s="223">
        <v>0</v>
      </c>
      <c r="G57" s="224">
        <v>0</v>
      </c>
      <c r="H57" s="224">
        <v>0.68</v>
      </c>
      <c r="I57" s="224">
        <v>0.37</v>
      </c>
      <c r="J57" s="224">
        <v>1.94</v>
      </c>
      <c r="K57" s="224">
        <v>2.99</v>
      </c>
      <c r="L57" s="224">
        <v>2.99</v>
      </c>
      <c r="M57" s="224">
        <v>2.99</v>
      </c>
      <c r="O57" s="224">
        <v>0.05</v>
      </c>
      <c r="P57" s="224">
        <v>0.05</v>
      </c>
      <c r="Q57" s="224">
        <v>7.0000000000000007E-2</v>
      </c>
      <c r="S57" s="224">
        <v>1.58</v>
      </c>
      <c r="T57" s="224">
        <v>1.24</v>
      </c>
      <c r="U57" s="224">
        <v>0.55000000000000004</v>
      </c>
      <c r="W57" s="224">
        <v>0.67</v>
      </c>
      <c r="X57" s="224">
        <v>1.48</v>
      </c>
      <c r="Y57" s="224">
        <v>2.2999999999999998</v>
      </c>
      <c r="AA57" s="224">
        <f t="shared" si="10"/>
        <v>5.29</v>
      </c>
      <c r="AB57" s="224">
        <f t="shared" si="10"/>
        <v>5.76</v>
      </c>
      <c r="AC57" s="224">
        <f t="shared" si="10"/>
        <v>5.91</v>
      </c>
      <c r="AE57" s="238"/>
      <c r="AF57" s="238"/>
      <c r="AG57" s="238"/>
    </row>
    <row r="58" spans="1:33" x14ac:dyDescent="0.2">
      <c r="A58" s="15">
        <f t="shared" si="0"/>
        <v>48</v>
      </c>
      <c r="B58" s="9" t="s">
        <v>76</v>
      </c>
      <c r="C58" s="9"/>
      <c r="D58" s="222" t="s">
        <v>77</v>
      </c>
      <c r="E58" s="22" t="s">
        <v>203</v>
      </c>
      <c r="F58" s="223">
        <v>0</v>
      </c>
      <c r="G58" s="224">
        <v>0</v>
      </c>
      <c r="H58" s="224">
        <v>1.02</v>
      </c>
      <c r="I58" s="224">
        <v>0.56000000000000005</v>
      </c>
      <c r="J58" s="224">
        <v>2.9</v>
      </c>
      <c r="K58" s="224">
        <v>4.4800000000000004</v>
      </c>
      <c r="L58" s="224">
        <v>4.4800000000000004</v>
      </c>
      <c r="M58" s="224">
        <v>4.4800000000000004</v>
      </c>
      <c r="O58" s="224">
        <v>7.0000000000000007E-2</v>
      </c>
      <c r="P58" s="224">
        <v>0.08</v>
      </c>
      <c r="Q58" s="224">
        <v>0.11</v>
      </c>
      <c r="S58" s="224">
        <v>2.37</v>
      </c>
      <c r="T58" s="224">
        <v>1.86</v>
      </c>
      <c r="U58" s="224">
        <v>0.83</v>
      </c>
      <c r="W58" s="224">
        <v>1.01</v>
      </c>
      <c r="X58" s="224">
        <v>2.2200000000000002</v>
      </c>
      <c r="Y58" s="224">
        <v>3.45</v>
      </c>
      <c r="AA58" s="224">
        <f t="shared" si="10"/>
        <v>7.9300000000000006</v>
      </c>
      <c r="AB58" s="224">
        <f t="shared" si="10"/>
        <v>8.64</v>
      </c>
      <c r="AC58" s="224">
        <f t="shared" si="10"/>
        <v>8.870000000000001</v>
      </c>
      <c r="AE58" s="238"/>
      <c r="AF58" s="238"/>
      <c r="AG58" s="238"/>
    </row>
    <row r="59" spans="1:33" x14ac:dyDescent="0.2">
      <c r="A59" s="15">
        <f t="shared" si="0"/>
        <v>49</v>
      </c>
      <c r="B59" s="9" t="s">
        <v>76</v>
      </c>
      <c r="C59" s="9"/>
      <c r="D59" s="222" t="s">
        <v>77</v>
      </c>
      <c r="E59" s="22" t="s">
        <v>503</v>
      </c>
      <c r="F59" s="223">
        <v>0</v>
      </c>
      <c r="G59" s="224">
        <v>0</v>
      </c>
      <c r="H59" s="224">
        <v>1.19</v>
      </c>
      <c r="I59" s="224">
        <v>0.65</v>
      </c>
      <c r="J59" s="224">
        <v>3.39</v>
      </c>
      <c r="K59" s="224">
        <v>5.23</v>
      </c>
      <c r="L59" s="224">
        <v>5.23</v>
      </c>
      <c r="M59" s="224">
        <v>5.23</v>
      </c>
      <c r="O59" s="224">
        <v>0.08</v>
      </c>
      <c r="P59" s="224">
        <v>0.09</v>
      </c>
      <c r="Q59" s="224">
        <v>0.13</v>
      </c>
      <c r="S59" s="224">
        <v>2.76</v>
      </c>
      <c r="T59" s="224">
        <v>2.17</v>
      </c>
      <c r="U59" s="224">
        <v>0.97</v>
      </c>
      <c r="W59" s="224">
        <v>1.17</v>
      </c>
      <c r="X59" s="224">
        <v>2.59</v>
      </c>
      <c r="Y59" s="224">
        <v>4.0199999999999996</v>
      </c>
      <c r="AA59" s="224">
        <f t="shared" si="10"/>
        <v>9.24</v>
      </c>
      <c r="AB59" s="224">
        <f t="shared" si="10"/>
        <v>10.08</v>
      </c>
      <c r="AC59" s="224">
        <f t="shared" si="10"/>
        <v>10.35</v>
      </c>
      <c r="AE59" s="238"/>
      <c r="AF59" s="238"/>
      <c r="AG59" s="238"/>
    </row>
    <row r="60" spans="1:33" x14ac:dyDescent="0.2">
      <c r="A60" s="15">
        <f t="shared" si="0"/>
        <v>50</v>
      </c>
      <c r="B60" s="9" t="s">
        <v>76</v>
      </c>
      <c r="C60" s="9"/>
      <c r="D60" s="222" t="s">
        <v>77</v>
      </c>
      <c r="E60" s="22" t="s">
        <v>204</v>
      </c>
      <c r="F60" s="223">
        <v>0</v>
      </c>
      <c r="G60" s="224">
        <v>0</v>
      </c>
      <c r="H60" s="224">
        <v>1.7</v>
      </c>
      <c r="I60" s="224">
        <v>0.93</v>
      </c>
      <c r="J60" s="224">
        <v>4.84</v>
      </c>
      <c r="K60" s="224">
        <v>7.47</v>
      </c>
      <c r="L60" s="224">
        <v>7.47</v>
      </c>
      <c r="M60" s="224">
        <v>7.47</v>
      </c>
      <c r="O60" s="224">
        <v>0.11</v>
      </c>
      <c r="P60" s="224">
        <v>0.13</v>
      </c>
      <c r="Q60" s="224">
        <v>0.18</v>
      </c>
      <c r="S60" s="224">
        <v>3.95</v>
      </c>
      <c r="T60" s="224">
        <v>3.1</v>
      </c>
      <c r="U60" s="224">
        <v>1.38</v>
      </c>
      <c r="W60" s="224">
        <v>1.68</v>
      </c>
      <c r="X60" s="224">
        <v>3.7</v>
      </c>
      <c r="Y60" s="224">
        <v>5.75</v>
      </c>
      <c r="AA60" s="224">
        <f t="shared" si="10"/>
        <v>13.21</v>
      </c>
      <c r="AB60" s="224">
        <f t="shared" si="10"/>
        <v>14.399999999999999</v>
      </c>
      <c r="AC60" s="224">
        <f t="shared" si="10"/>
        <v>14.78</v>
      </c>
      <c r="AE60" s="238"/>
      <c r="AF60" s="238"/>
      <c r="AG60" s="238"/>
    </row>
    <row r="61" spans="1:33" x14ac:dyDescent="0.2">
      <c r="A61" s="15">
        <f t="shared" si="0"/>
        <v>51</v>
      </c>
      <c r="B61" s="9" t="s">
        <v>76</v>
      </c>
      <c r="C61" s="9"/>
      <c r="D61" s="222" t="s">
        <v>77</v>
      </c>
      <c r="E61" s="22" t="s">
        <v>205</v>
      </c>
      <c r="F61" s="223">
        <v>0</v>
      </c>
      <c r="G61" s="224">
        <v>0</v>
      </c>
      <c r="H61" s="224">
        <v>2.71</v>
      </c>
      <c r="I61" s="224">
        <v>1.49</v>
      </c>
      <c r="J61" s="224">
        <v>7.75</v>
      </c>
      <c r="K61" s="224">
        <v>11.95</v>
      </c>
      <c r="L61" s="224">
        <v>11.95</v>
      </c>
      <c r="M61" s="224">
        <v>11.95</v>
      </c>
      <c r="O61" s="224">
        <v>0.18</v>
      </c>
      <c r="P61" s="224">
        <v>0.2</v>
      </c>
      <c r="Q61" s="224">
        <v>0.28999999999999998</v>
      </c>
      <c r="S61" s="224">
        <v>6.31</v>
      </c>
      <c r="T61" s="224">
        <v>4.96</v>
      </c>
      <c r="U61" s="224">
        <v>2.21</v>
      </c>
      <c r="W61" s="224">
        <v>2.68</v>
      </c>
      <c r="X61" s="224">
        <v>5.92</v>
      </c>
      <c r="Y61" s="224">
        <v>9.19</v>
      </c>
      <c r="AA61" s="224">
        <f t="shared" si="10"/>
        <v>21.119999999999997</v>
      </c>
      <c r="AB61" s="224">
        <f t="shared" si="10"/>
        <v>23.03</v>
      </c>
      <c r="AC61" s="224">
        <f t="shared" si="10"/>
        <v>23.64</v>
      </c>
      <c r="AE61" s="238"/>
      <c r="AF61" s="238"/>
      <c r="AG61" s="238"/>
    </row>
    <row r="62" spans="1:33" x14ac:dyDescent="0.2">
      <c r="A62" s="15">
        <f t="shared" si="0"/>
        <v>52</v>
      </c>
      <c r="B62" s="9" t="s">
        <v>76</v>
      </c>
      <c r="C62" s="9"/>
      <c r="D62" s="222" t="s">
        <v>77</v>
      </c>
      <c r="E62" s="22" t="s">
        <v>504</v>
      </c>
      <c r="F62" s="223">
        <v>0</v>
      </c>
      <c r="G62" s="224">
        <v>0</v>
      </c>
      <c r="H62" s="224">
        <v>6.78</v>
      </c>
      <c r="I62" s="224">
        <v>3.73</v>
      </c>
      <c r="J62" s="224">
        <v>19.36</v>
      </c>
      <c r="K62" s="224">
        <v>29.869999999999997</v>
      </c>
      <c r="L62" s="224">
        <v>29.869999999999997</v>
      </c>
      <c r="M62" s="224">
        <v>29.869999999999997</v>
      </c>
      <c r="O62" s="224">
        <v>0.46</v>
      </c>
      <c r="P62" s="224">
        <v>0.5</v>
      </c>
      <c r="Q62" s="224">
        <v>0.72</v>
      </c>
      <c r="S62" s="224">
        <v>15.78</v>
      </c>
      <c r="T62" s="224">
        <v>12.4</v>
      </c>
      <c r="U62" s="224">
        <v>5.53</v>
      </c>
      <c r="W62" s="224">
        <v>6.71</v>
      </c>
      <c r="X62" s="224">
        <v>14.79</v>
      </c>
      <c r="Y62" s="224">
        <v>22.98</v>
      </c>
      <c r="AA62" s="224">
        <f t="shared" si="10"/>
        <v>52.82</v>
      </c>
      <c r="AB62" s="224">
        <f t="shared" si="10"/>
        <v>57.559999999999995</v>
      </c>
      <c r="AC62" s="224">
        <f t="shared" si="10"/>
        <v>59.099999999999994</v>
      </c>
      <c r="AE62" s="238"/>
      <c r="AF62" s="238"/>
      <c r="AG62" s="238"/>
    </row>
    <row r="63" spans="1:33" x14ac:dyDescent="0.2">
      <c r="A63" s="15">
        <f t="shared" si="0"/>
        <v>53</v>
      </c>
      <c r="B63" s="9"/>
      <c r="C63" s="9"/>
      <c r="D63" s="222"/>
      <c r="E63" s="22"/>
      <c r="F63" s="223"/>
      <c r="G63" s="224"/>
      <c r="H63" s="224"/>
      <c r="I63" s="224"/>
      <c r="J63" s="224"/>
      <c r="K63" s="224"/>
      <c r="O63" s="224"/>
      <c r="S63" s="224"/>
      <c r="W63" s="224"/>
      <c r="AA63" s="224"/>
      <c r="AE63" s="238"/>
      <c r="AF63" s="238"/>
      <c r="AG63" s="238"/>
    </row>
    <row r="64" spans="1:33" x14ac:dyDescent="0.2">
      <c r="A64" s="15">
        <f t="shared" si="0"/>
        <v>54</v>
      </c>
      <c r="B64" s="9" t="s">
        <v>92</v>
      </c>
      <c r="C64" s="9"/>
      <c r="D64" s="222"/>
      <c r="E64" s="22"/>
      <c r="F64" s="223"/>
      <c r="G64" s="224"/>
      <c r="H64" s="224"/>
      <c r="I64" s="224"/>
      <c r="J64" s="224"/>
      <c r="K64" s="224"/>
      <c r="O64" s="224"/>
      <c r="S64" s="224"/>
      <c r="W64" s="224"/>
      <c r="AA64" s="224"/>
      <c r="AE64" s="238"/>
      <c r="AF64" s="238"/>
      <c r="AG64" s="238"/>
    </row>
    <row r="65" spans="1:33" x14ac:dyDescent="0.2">
      <c r="A65" s="15">
        <f t="shared" si="0"/>
        <v>55</v>
      </c>
      <c r="B65" s="9" t="s">
        <v>66</v>
      </c>
      <c r="C65" s="9"/>
      <c r="D65" s="222" t="s">
        <v>67</v>
      </c>
      <c r="E65" s="22" t="s">
        <v>505</v>
      </c>
      <c r="F65" s="223">
        <v>8.6999999999999993</v>
      </c>
      <c r="G65" s="224">
        <v>2.31</v>
      </c>
      <c r="H65" s="224">
        <v>0.34</v>
      </c>
      <c r="I65" s="224">
        <v>0.19</v>
      </c>
      <c r="J65" s="224">
        <v>0.97</v>
      </c>
      <c r="K65" s="224">
        <v>12.51</v>
      </c>
      <c r="L65" s="224">
        <v>12.51</v>
      </c>
      <c r="M65" s="224">
        <v>12.51</v>
      </c>
      <c r="O65" s="224">
        <v>0.02</v>
      </c>
      <c r="P65" s="224">
        <v>0.03</v>
      </c>
      <c r="Q65" s="224">
        <v>0.04</v>
      </c>
      <c r="S65" s="224">
        <v>0.79</v>
      </c>
      <c r="T65" s="224">
        <v>0.62</v>
      </c>
      <c r="U65" s="224">
        <v>0.28000000000000003</v>
      </c>
      <c r="W65" s="224">
        <v>0.34</v>
      </c>
      <c r="X65" s="224">
        <v>0.74</v>
      </c>
      <c r="Y65" s="224">
        <v>1.1499999999999999</v>
      </c>
      <c r="AA65" s="224">
        <f t="shared" ref="AA65:AA73" si="11">K65+O65+S65+W65</f>
        <v>13.66</v>
      </c>
      <c r="AB65" s="224">
        <f t="shared" ref="AB65:AB73" si="12">L65+P65+T65+X65</f>
        <v>13.899999999999999</v>
      </c>
      <c r="AC65" s="224">
        <f t="shared" ref="AC65:AC73" si="13">M65+Q65+U65+Y65</f>
        <v>13.979999999999999</v>
      </c>
      <c r="AE65" s="238"/>
      <c r="AF65" s="238"/>
      <c r="AG65" s="238"/>
    </row>
    <row r="66" spans="1:33" x14ac:dyDescent="0.2">
      <c r="A66" s="15">
        <f t="shared" si="0"/>
        <v>56</v>
      </c>
      <c r="B66" s="9" t="s">
        <v>66</v>
      </c>
      <c r="C66" s="9"/>
      <c r="D66" s="222" t="s">
        <v>67</v>
      </c>
      <c r="E66" s="22" t="s">
        <v>496</v>
      </c>
      <c r="F66" s="223">
        <v>9.33</v>
      </c>
      <c r="G66" s="224">
        <v>2.31</v>
      </c>
      <c r="H66" s="224">
        <v>0.47</v>
      </c>
      <c r="I66" s="224">
        <v>0.26</v>
      </c>
      <c r="J66" s="224">
        <v>1.36</v>
      </c>
      <c r="K66" s="224">
        <v>13.73</v>
      </c>
      <c r="L66" s="224">
        <v>13.73</v>
      </c>
      <c r="M66" s="224">
        <v>13.73</v>
      </c>
      <c r="O66" s="224">
        <v>0.03</v>
      </c>
      <c r="P66" s="224">
        <v>0.04</v>
      </c>
      <c r="Q66" s="224">
        <v>0.05</v>
      </c>
      <c r="S66" s="224">
        <v>1.1000000000000001</v>
      </c>
      <c r="T66" s="224">
        <v>0.87</v>
      </c>
      <c r="U66" s="224">
        <v>0.39</v>
      </c>
      <c r="W66" s="224">
        <v>0.47</v>
      </c>
      <c r="X66" s="224">
        <v>1.04</v>
      </c>
      <c r="Y66" s="224">
        <v>1.61</v>
      </c>
      <c r="AA66" s="224">
        <f t="shared" si="11"/>
        <v>15.33</v>
      </c>
      <c r="AB66" s="224">
        <f t="shared" si="12"/>
        <v>15.68</v>
      </c>
      <c r="AC66" s="224">
        <f t="shared" si="13"/>
        <v>15.780000000000001</v>
      </c>
      <c r="AE66" s="238"/>
      <c r="AF66" s="238"/>
      <c r="AG66" s="238"/>
    </row>
    <row r="67" spans="1:33" x14ac:dyDescent="0.2">
      <c r="A67" s="15">
        <f t="shared" si="0"/>
        <v>57</v>
      </c>
      <c r="B67" s="9" t="s">
        <v>66</v>
      </c>
      <c r="C67" s="9"/>
      <c r="D67" s="222" t="s">
        <v>67</v>
      </c>
      <c r="E67" s="22" t="s">
        <v>497</v>
      </c>
      <c r="F67" s="223">
        <v>8.7899999999999991</v>
      </c>
      <c r="G67" s="224">
        <v>2.31</v>
      </c>
      <c r="H67" s="224">
        <v>0.68</v>
      </c>
      <c r="I67" s="224">
        <v>0.37</v>
      </c>
      <c r="J67" s="224">
        <v>1.94</v>
      </c>
      <c r="K67" s="224">
        <v>14.089999999999998</v>
      </c>
      <c r="L67" s="224">
        <v>14.089999999999998</v>
      </c>
      <c r="M67" s="224">
        <v>14.089999999999998</v>
      </c>
      <c r="O67" s="224">
        <v>0.05</v>
      </c>
      <c r="P67" s="224">
        <v>0.05</v>
      </c>
      <c r="Q67" s="224">
        <v>7.0000000000000007E-2</v>
      </c>
      <c r="S67" s="224">
        <v>1.58</v>
      </c>
      <c r="T67" s="224">
        <v>1.24</v>
      </c>
      <c r="U67" s="224">
        <v>0.55000000000000004</v>
      </c>
      <c r="W67" s="224">
        <v>0.67</v>
      </c>
      <c r="X67" s="224">
        <v>1.48</v>
      </c>
      <c r="Y67" s="224">
        <v>2.2999999999999998</v>
      </c>
      <c r="AA67" s="224">
        <f t="shared" si="11"/>
        <v>16.39</v>
      </c>
      <c r="AB67" s="224">
        <f t="shared" si="12"/>
        <v>16.86</v>
      </c>
      <c r="AC67" s="224">
        <f t="shared" si="13"/>
        <v>17.009999999999998</v>
      </c>
      <c r="AE67" s="238"/>
      <c r="AF67" s="238"/>
      <c r="AG67" s="238"/>
    </row>
    <row r="68" spans="1:33" x14ac:dyDescent="0.2">
      <c r="A68" s="15">
        <f t="shared" si="0"/>
        <v>58</v>
      </c>
      <c r="B68" s="9" t="s">
        <v>66</v>
      </c>
      <c r="C68" s="9"/>
      <c r="D68" s="222" t="s">
        <v>67</v>
      </c>
      <c r="E68" s="22" t="s">
        <v>498</v>
      </c>
      <c r="F68" s="223">
        <v>8.8000000000000007</v>
      </c>
      <c r="G68" s="224">
        <v>2.31</v>
      </c>
      <c r="H68" s="224">
        <v>1.02</v>
      </c>
      <c r="I68" s="224">
        <v>0.56000000000000005</v>
      </c>
      <c r="J68" s="224">
        <v>2.9</v>
      </c>
      <c r="K68" s="224">
        <v>15.590000000000002</v>
      </c>
      <c r="L68" s="224">
        <v>15.590000000000002</v>
      </c>
      <c r="M68" s="224">
        <v>15.590000000000002</v>
      </c>
      <c r="O68" s="224">
        <v>7.0000000000000007E-2</v>
      </c>
      <c r="P68" s="224">
        <v>0.08</v>
      </c>
      <c r="Q68" s="224">
        <v>0.11</v>
      </c>
      <c r="S68" s="224">
        <v>2.37</v>
      </c>
      <c r="T68" s="224">
        <v>1.86</v>
      </c>
      <c r="U68" s="224">
        <v>0.83</v>
      </c>
      <c r="W68" s="224">
        <v>1.01</v>
      </c>
      <c r="X68" s="224">
        <v>2.2200000000000002</v>
      </c>
      <c r="Y68" s="224">
        <v>3.45</v>
      </c>
      <c r="AA68" s="224">
        <f t="shared" si="11"/>
        <v>19.040000000000003</v>
      </c>
      <c r="AB68" s="224">
        <f t="shared" si="12"/>
        <v>19.75</v>
      </c>
      <c r="AC68" s="224">
        <f t="shared" si="13"/>
        <v>19.98</v>
      </c>
      <c r="AE68" s="238"/>
      <c r="AF68" s="238"/>
      <c r="AG68" s="238"/>
    </row>
    <row r="69" spans="1:33" x14ac:dyDescent="0.2">
      <c r="A69" s="15">
        <f t="shared" si="0"/>
        <v>59</v>
      </c>
      <c r="B69" s="9" t="s">
        <v>66</v>
      </c>
      <c r="C69" s="9"/>
      <c r="D69" s="222" t="s">
        <v>67</v>
      </c>
      <c r="E69" s="22" t="s">
        <v>499</v>
      </c>
      <c r="F69" s="223">
        <v>9.31</v>
      </c>
      <c r="G69" s="224">
        <v>2.31</v>
      </c>
      <c r="H69" s="224">
        <v>1.36</v>
      </c>
      <c r="I69" s="224">
        <v>0.75</v>
      </c>
      <c r="J69" s="224">
        <v>3.87</v>
      </c>
      <c r="K69" s="224">
        <v>17.600000000000001</v>
      </c>
      <c r="L69" s="224">
        <v>17.600000000000001</v>
      </c>
      <c r="M69" s="224">
        <v>17.600000000000001</v>
      </c>
      <c r="O69" s="224">
        <v>0.09</v>
      </c>
      <c r="P69" s="224">
        <v>0.1</v>
      </c>
      <c r="Q69" s="224">
        <v>0.14000000000000001</v>
      </c>
      <c r="S69" s="224">
        <v>3.16</v>
      </c>
      <c r="T69" s="224">
        <v>2.48</v>
      </c>
      <c r="U69" s="224">
        <v>1.1100000000000001</v>
      </c>
      <c r="W69" s="224">
        <v>1.34</v>
      </c>
      <c r="X69" s="224">
        <v>2.96</v>
      </c>
      <c r="Y69" s="224">
        <v>4.5999999999999996</v>
      </c>
      <c r="AA69" s="224">
        <f t="shared" si="11"/>
        <v>22.19</v>
      </c>
      <c r="AB69" s="224">
        <f t="shared" si="12"/>
        <v>23.140000000000004</v>
      </c>
      <c r="AC69" s="224">
        <f t="shared" si="13"/>
        <v>23.450000000000003</v>
      </c>
      <c r="AE69" s="238"/>
      <c r="AF69" s="238"/>
      <c r="AG69" s="238"/>
    </row>
    <row r="70" spans="1:33" x14ac:dyDescent="0.2">
      <c r="A70" s="15">
        <f t="shared" si="0"/>
        <v>60</v>
      </c>
      <c r="B70" s="9" t="s">
        <v>66</v>
      </c>
      <c r="C70" s="9"/>
      <c r="D70" s="222" t="s">
        <v>67</v>
      </c>
      <c r="E70" s="22" t="s">
        <v>500</v>
      </c>
      <c r="F70" s="223">
        <v>9.48</v>
      </c>
      <c r="G70" s="224">
        <v>2.31</v>
      </c>
      <c r="H70" s="224">
        <v>1.7</v>
      </c>
      <c r="I70" s="224">
        <v>0.93</v>
      </c>
      <c r="J70" s="224">
        <v>4.84</v>
      </c>
      <c r="K70" s="224">
        <v>19.259999999999998</v>
      </c>
      <c r="L70" s="224">
        <v>19.259999999999998</v>
      </c>
      <c r="M70" s="224">
        <v>19.259999999999998</v>
      </c>
      <c r="O70" s="224">
        <v>0.11</v>
      </c>
      <c r="P70" s="224">
        <v>0.13</v>
      </c>
      <c r="Q70" s="224">
        <v>0.18</v>
      </c>
      <c r="S70" s="224">
        <v>3.95</v>
      </c>
      <c r="T70" s="224">
        <v>3.1</v>
      </c>
      <c r="U70" s="224">
        <v>1.38</v>
      </c>
      <c r="W70" s="224">
        <v>1.68</v>
      </c>
      <c r="X70" s="224">
        <v>3.7</v>
      </c>
      <c r="Y70" s="224">
        <v>5.75</v>
      </c>
      <c r="AA70" s="224">
        <f t="shared" si="11"/>
        <v>24.999999999999996</v>
      </c>
      <c r="AB70" s="224">
        <f t="shared" si="12"/>
        <v>26.189999999999998</v>
      </c>
      <c r="AC70" s="224">
        <f t="shared" si="13"/>
        <v>26.569999999999997</v>
      </c>
      <c r="AE70" s="238"/>
      <c r="AF70" s="238"/>
      <c r="AG70" s="238"/>
    </row>
    <row r="71" spans="1:33" x14ac:dyDescent="0.2">
      <c r="A71" s="15">
        <f t="shared" si="0"/>
        <v>61</v>
      </c>
      <c r="B71" s="9" t="s">
        <v>66</v>
      </c>
      <c r="C71" s="9"/>
      <c r="D71" s="222" t="s">
        <v>67</v>
      </c>
      <c r="E71" s="22" t="s">
        <v>501</v>
      </c>
      <c r="F71" s="223">
        <v>9.86</v>
      </c>
      <c r="G71" s="224">
        <v>2.31</v>
      </c>
      <c r="H71" s="224">
        <v>2.1</v>
      </c>
      <c r="I71" s="224">
        <v>1.1599999999999999</v>
      </c>
      <c r="J71" s="224">
        <v>6</v>
      </c>
      <c r="K71" s="224">
        <v>21.43</v>
      </c>
      <c r="L71" s="224">
        <v>21.43</v>
      </c>
      <c r="M71" s="224">
        <v>21.43</v>
      </c>
      <c r="O71" s="224">
        <v>0.14000000000000001</v>
      </c>
      <c r="P71" s="224">
        <v>0.16</v>
      </c>
      <c r="Q71" s="224">
        <v>0.22</v>
      </c>
      <c r="S71" s="224">
        <v>4.8899999999999997</v>
      </c>
      <c r="T71" s="224">
        <v>3.84</v>
      </c>
      <c r="U71" s="224">
        <v>1.71</v>
      </c>
      <c r="W71" s="224">
        <v>2.08</v>
      </c>
      <c r="X71" s="224">
        <v>4.58</v>
      </c>
      <c r="Y71" s="224">
        <v>7.12</v>
      </c>
      <c r="AA71" s="224">
        <f t="shared" si="11"/>
        <v>28.54</v>
      </c>
      <c r="AB71" s="224">
        <f t="shared" si="12"/>
        <v>30.009999999999998</v>
      </c>
      <c r="AC71" s="224">
        <f t="shared" si="13"/>
        <v>30.48</v>
      </c>
      <c r="AE71" s="238"/>
      <c r="AF71" s="238"/>
      <c r="AG71" s="238"/>
    </row>
    <row r="72" spans="1:33" x14ac:dyDescent="0.2">
      <c r="A72" s="15">
        <f t="shared" si="0"/>
        <v>62</v>
      </c>
      <c r="B72" s="9" t="s">
        <v>66</v>
      </c>
      <c r="C72" s="9"/>
      <c r="D72" s="222" t="s">
        <v>67</v>
      </c>
      <c r="E72" s="22" t="s">
        <v>502</v>
      </c>
      <c r="F72" s="223">
        <v>10.58</v>
      </c>
      <c r="G72" s="224">
        <v>2.31</v>
      </c>
      <c r="H72" s="224">
        <v>2.71</v>
      </c>
      <c r="I72" s="224">
        <v>1.49</v>
      </c>
      <c r="J72" s="224">
        <v>7.75</v>
      </c>
      <c r="K72" s="224">
        <v>24.84</v>
      </c>
      <c r="L72" s="224">
        <v>24.84</v>
      </c>
      <c r="M72" s="224">
        <v>24.84</v>
      </c>
      <c r="O72" s="224">
        <v>0.18</v>
      </c>
      <c r="P72" s="224">
        <v>0.2</v>
      </c>
      <c r="Q72" s="224">
        <v>0.28999999999999998</v>
      </c>
      <c r="S72" s="224">
        <v>6.31</v>
      </c>
      <c r="T72" s="224">
        <v>4.96</v>
      </c>
      <c r="U72" s="224">
        <v>2.21</v>
      </c>
      <c r="W72" s="224">
        <v>2.68</v>
      </c>
      <c r="X72" s="224">
        <v>5.92</v>
      </c>
      <c r="Y72" s="224">
        <v>9.19</v>
      </c>
      <c r="AA72" s="224">
        <f t="shared" si="11"/>
        <v>34.01</v>
      </c>
      <c r="AB72" s="224">
        <f t="shared" si="12"/>
        <v>35.92</v>
      </c>
      <c r="AC72" s="224">
        <f t="shared" si="13"/>
        <v>36.53</v>
      </c>
      <c r="AE72" s="238"/>
      <c r="AF72" s="238"/>
      <c r="AG72" s="238"/>
    </row>
    <row r="73" spans="1:33" x14ac:dyDescent="0.2">
      <c r="A73" s="15">
        <f t="shared" si="0"/>
        <v>63</v>
      </c>
      <c r="B73" s="9" t="s">
        <v>66</v>
      </c>
      <c r="C73" s="9"/>
      <c r="D73" s="222" t="s">
        <v>67</v>
      </c>
      <c r="E73" s="22" t="s">
        <v>207</v>
      </c>
      <c r="F73" s="223">
        <v>13.12</v>
      </c>
      <c r="G73" s="224">
        <v>2.31</v>
      </c>
      <c r="H73" s="224">
        <v>6.78</v>
      </c>
      <c r="I73" s="224">
        <v>3.73</v>
      </c>
      <c r="J73" s="224">
        <v>19.36</v>
      </c>
      <c r="K73" s="224">
        <v>45.3</v>
      </c>
      <c r="L73" s="224">
        <v>45.3</v>
      </c>
      <c r="M73" s="224">
        <v>45.3</v>
      </c>
      <c r="O73" s="224">
        <v>0.46</v>
      </c>
      <c r="P73" s="224">
        <v>0.5</v>
      </c>
      <c r="Q73" s="224">
        <v>0.72</v>
      </c>
      <c r="S73" s="224">
        <v>15.78</v>
      </c>
      <c r="T73" s="224">
        <v>12.4</v>
      </c>
      <c r="U73" s="224">
        <v>5.53</v>
      </c>
      <c r="W73" s="224">
        <v>6.71</v>
      </c>
      <c r="X73" s="224">
        <v>14.79</v>
      </c>
      <c r="Y73" s="224">
        <v>22.98</v>
      </c>
      <c r="AA73" s="224">
        <f t="shared" si="11"/>
        <v>68.25</v>
      </c>
      <c r="AB73" s="224">
        <f t="shared" si="12"/>
        <v>72.989999999999995</v>
      </c>
      <c r="AC73" s="224">
        <f t="shared" si="13"/>
        <v>74.53</v>
      </c>
      <c r="AE73" s="238"/>
      <c r="AF73" s="238"/>
      <c r="AG73" s="238"/>
    </row>
    <row r="74" spans="1:33" x14ac:dyDescent="0.2">
      <c r="A74" s="15">
        <f t="shared" si="0"/>
        <v>64</v>
      </c>
      <c r="B74" s="9"/>
      <c r="C74" s="9"/>
      <c r="D74" s="222"/>
      <c r="E74" s="22"/>
      <c r="F74" s="223"/>
      <c r="G74" s="224"/>
      <c r="H74" s="224"/>
      <c r="I74" s="224"/>
      <c r="J74" s="224"/>
      <c r="K74" s="224"/>
      <c r="O74" s="224"/>
      <c r="S74" s="224"/>
      <c r="W74" s="224"/>
      <c r="AA74" s="224"/>
      <c r="AE74" s="238"/>
      <c r="AF74" s="238"/>
      <c r="AG74" s="238"/>
    </row>
    <row r="75" spans="1:33" x14ac:dyDescent="0.2">
      <c r="A75" s="15">
        <f t="shared" si="0"/>
        <v>65</v>
      </c>
      <c r="B75" s="9" t="s">
        <v>66</v>
      </c>
      <c r="C75" s="9"/>
      <c r="D75" s="222" t="s">
        <v>77</v>
      </c>
      <c r="E75" s="22" t="s">
        <v>206</v>
      </c>
      <c r="F75" s="223">
        <v>8.26</v>
      </c>
      <c r="G75" s="224">
        <v>4.63</v>
      </c>
      <c r="H75" s="224">
        <v>0.47</v>
      </c>
      <c r="I75" s="224">
        <v>0.26</v>
      </c>
      <c r="J75" s="224">
        <v>1.36</v>
      </c>
      <c r="K75" s="224">
        <v>14.98</v>
      </c>
      <c r="L75" s="224">
        <v>14.98</v>
      </c>
      <c r="M75" s="224">
        <v>14.98</v>
      </c>
      <c r="O75" s="224">
        <v>0.03</v>
      </c>
      <c r="P75" s="224">
        <v>0.04</v>
      </c>
      <c r="Q75" s="224">
        <v>0.05</v>
      </c>
      <c r="S75" s="224">
        <v>1.1000000000000001</v>
      </c>
      <c r="T75" s="224">
        <v>0.87</v>
      </c>
      <c r="U75" s="224">
        <v>0.39</v>
      </c>
      <c r="W75" s="224">
        <v>0.47</v>
      </c>
      <c r="X75" s="224">
        <v>1.04</v>
      </c>
      <c r="Y75" s="224">
        <v>1.61</v>
      </c>
      <c r="AA75" s="224">
        <f t="shared" ref="AA75:AC79" si="14">K75+O75+S75+W75</f>
        <v>16.579999999999998</v>
      </c>
      <c r="AB75" s="224">
        <f t="shared" si="14"/>
        <v>16.93</v>
      </c>
      <c r="AC75" s="224">
        <f t="shared" si="14"/>
        <v>17.03</v>
      </c>
      <c r="AE75" s="238"/>
      <c r="AF75" s="238"/>
      <c r="AG75" s="238"/>
    </row>
    <row r="76" spans="1:33" x14ac:dyDescent="0.2">
      <c r="A76" s="15">
        <f t="shared" ref="A76:A139" si="15">A75+1</f>
        <v>66</v>
      </c>
      <c r="B76" s="9" t="s">
        <v>66</v>
      </c>
      <c r="C76" s="9"/>
      <c r="D76" s="222" t="s">
        <v>77</v>
      </c>
      <c r="E76" s="22" t="s">
        <v>202</v>
      </c>
      <c r="F76" s="223">
        <v>8.4</v>
      </c>
      <c r="G76" s="224">
        <v>4.63</v>
      </c>
      <c r="H76" s="224">
        <v>0.68</v>
      </c>
      <c r="I76" s="224">
        <v>0.37</v>
      </c>
      <c r="J76" s="224">
        <v>1.94</v>
      </c>
      <c r="K76" s="224">
        <v>16.02</v>
      </c>
      <c r="L76" s="224">
        <v>16.02</v>
      </c>
      <c r="M76" s="224">
        <v>16.02</v>
      </c>
      <c r="O76" s="224">
        <v>0.05</v>
      </c>
      <c r="P76" s="224">
        <v>0.05</v>
      </c>
      <c r="Q76" s="224">
        <v>7.0000000000000007E-2</v>
      </c>
      <c r="S76" s="224">
        <v>1.58</v>
      </c>
      <c r="T76" s="224">
        <v>1.24</v>
      </c>
      <c r="U76" s="224">
        <v>0.55000000000000004</v>
      </c>
      <c r="W76" s="224">
        <v>0.67</v>
      </c>
      <c r="X76" s="224">
        <v>1.48</v>
      </c>
      <c r="Y76" s="224">
        <v>2.2999999999999998</v>
      </c>
      <c r="AA76" s="224">
        <f t="shared" si="14"/>
        <v>18.32</v>
      </c>
      <c r="AB76" s="224">
        <f t="shared" si="14"/>
        <v>18.79</v>
      </c>
      <c r="AC76" s="224">
        <f t="shared" si="14"/>
        <v>18.940000000000001</v>
      </c>
      <c r="AE76" s="238"/>
      <c r="AF76" s="238"/>
      <c r="AG76" s="238"/>
    </row>
    <row r="77" spans="1:33" x14ac:dyDescent="0.2">
      <c r="A77" s="15">
        <f t="shared" si="15"/>
        <v>67</v>
      </c>
      <c r="B77" s="9" t="s">
        <v>66</v>
      </c>
      <c r="C77" s="9"/>
      <c r="D77" s="222" t="s">
        <v>77</v>
      </c>
      <c r="E77" s="22" t="s">
        <v>203</v>
      </c>
      <c r="F77" s="223">
        <v>8.64</v>
      </c>
      <c r="G77" s="224">
        <v>4.63</v>
      </c>
      <c r="H77" s="224">
        <v>1.02</v>
      </c>
      <c r="I77" s="224">
        <v>0.56000000000000005</v>
      </c>
      <c r="J77" s="224">
        <v>2.9</v>
      </c>
      <c r="K77" s="224">
        <v>17.75</v>
      </c>
      <c r="L77" s="224">
        <v>17.75</v>
      </c>
      <c r="M77" s="224">
        <v>17.75</v>
      </c>
      <c r="O77" s="224">
        <v>7.0000000000000007E-2</v>
      </c>
      <c r="P77" s="224">
        <v>0.08</v>
      </c>
      <c r="Q77" s="224">
        <v>0.11</v>
      </c>
      <c r="S77" s="224">
        <v>2.37</v>
      </c>
      <c r="T77" s="224">
        <v>1.86</v>
      </c>
      <c r="U77" s="224">
        <v>0.83</v>
      </c>
      <c r="W77" s="224">
        <v>1.01</v>
      </c>
      <c r="X77" s="224">
        <v>2.2200000000000002</v>
      </c>
      <c r="Y77" s="224">
        <v>3.45</v>
      </c>
      <c r="AA77" s="224">
        <f t="shared" si="14"/>
        <v>21.200000000000003</v>
      </c>
      <c r="AB77" s="224">
        <f t="shared" si="14"/>
        <v>21.909999999999997</v>
      </c>
      <c r="AC77" s="224">
        <f t="shared" si="14"/>
        <v>22.139999999999997</v>
      </c>
      <c r="AE77" s="238"/>
      <c r="AF77" s="238"/>
      <c r="AG77" s="238"/>
    </row>
    <row r="78" spans="1:33" x14ac:dyDescent="0.2">
      <c r="A78" s="15">
        <f t="shared" si="15"/>
        <v>68</v>
      </c>
      <c r="B78" s="9" t="s">
        <v>66</v>
      </c>
      <c r="C78" s="9"/>
      <c r="D78" s="222" t="s">
        <v>77</v>
      </c>
      <c r="E78" s="22" t="s">
        <v>204</v>
      </c>
      <c r="F78" s="223">
        <v>9.4</v>
      </c>
      <c r="G78" s="224">
        <v>4.63</v>
      </c>
      <c r="H78" s="224">
        <v>1.7</v>
      </c>
      <c r="I78" s="224">
        <v>0.93</v>
      </c>
      <c r="J78" s="224">
        <v>4.84</v>
      </c>
      <c r="K78" s="224">
        <v>21.5</v>
      </c>
      <c r="L78" s="224">
        <v>21.5</v>
      </c>
      <c r="M78" s="224">
        <v>21.5</v>
      </c>
      <c r="O78" s="224">
        <v>0.11</v>
      </c>
      <c r="P78" s="224">
        <v>0.13</v>
      </c>
      <c r="Q78" s="224">
        <v>0.18</v>
      </c>
      <c r="S78" s="224">
        <v>3.95</v>
      </c>
      <c r="T78" s="224">
        <v>3.1</v>
      </c>
      <c r="U78" s="224">
        <v>1.38</v>
      </c>
      <c r="W78" s="224">
        <v>1.68</v>
      </c>
      <c r="X78" s="224">
        <v>3.7</v>
      </c>
      <c r="Y78" s="224">
        <v>5.75</v>
      </c>
      <c r="AA78" s="224">
        <f t="shared" si="14"/>
        <v>27.24</v>
      </c>
      <c r="AB78" s="224">
        <f t="shared" si="14"/>
        <v>28.43</v>
      </c>
      <c r="AC78" s="224">
        <f t="shared" si="14"/>
        <v>28.81</v>
      </c>
      <c r="AE78" s="238"/>
      <c r="AF78" s="238"/>
      <c r="AG78" s="238"/>
    </row>
    <row r="79" spans="1:33" x14ac:dyDescent="0.2">
      <c r="A79" s="15">
        <f t="shared" si="15"/>
        <v>69</v>
      </c>
      <c r="B79" s="9" t="s">
        <v>66</v>
      </c>
      <c r="C79" s="9"/>
      <c r="D79" s="222" t="s">
        <v>77</v>
      </c>
      <c r="E79" s="22" t="s">
        <v>205</v>
      </c>
      <c r="F79" s="223">
        <v>9.44</v>
      </c>
      <c r="G79" s="224">
        <v>4.63</v>
      </c>
      <c r="H79" s="224">
        <v>2.71</v>
      </c>
      <c r="I79" s="224">
        <v>1.49</v>
      </c>
      <c r="J79" s="224">
        <v>7.75</v>
      </c>
      <c r="K79" s="224">
        <v>26.02</v>
      </c>
      <c r="L79" s="224">
        <v>26.02</v>
      </c>
      <c r="M79" s="224">
        <v>26.02</v>
      </c>
      <c r="O79" s="224">
        <v>0.18</v>
      </c>
      <c r="P79" s="224">
        <v>0.2</v>
      </c>
      <c r="Q79" s="224">
        <v>0.28999999999999998</v>
      </c>
      <c r="S79" s="224">
        <v>6.31</v>
      </c>
      <c r="T79" s="224">
        <v>4.96</v>
      </c>
      <c r="U79" s="224">
        <v>2.21</v>
      </c>
      <c r="W79" s="224">
        <v>2.68</v>
      </c>
      <c r="X79" s="224">
        <v>5.92</v>
      </c>
      <c r="Y79" s="224">
        <v>9.19</v>
      </c>
      <c r="AA79" s="224">
        <f t="shared" si="14"/>
        <v>35.19</v>
      </c>
      <c r="AB79" s="224">
        <f t="shared" si="14"/>
        <v>37.1</v>
      </c>
      <c r="AC79" s="224">
        <f t="shared" si="14"/>
        <v>37.71</v>
      </c>
      <c r="AE79" s="238"/>
      <c r="AF79" s="238"/>
      <c r="AG79" s="238"/>
    </row>
    <row r="80" spans="1:33" x14ac:dyDescent="0.2">
      <c r="A80" s="15">
        <f t="shared" si="15"/>
        <v>70</v>
      </c>
      <c r="B80" s="9"/>
      <c r="C80" s="9"/>
      <c r="D80" s="222"/>
      <c r="E80" s="22"/>
      <c r="F80" s="223"/>
      <c r="G80" s="224"/>
      <c r="H80" s="224"/>
      <c r="I80" s="224"/>
      <c r="J80" s="224"/>
      <c r="K80" s="224"/>
      <c r="O80" s="224"/>
      <c r="P80" s="224"/>
      <c r="Q80" s="224"/>
      <c r="S80" s="224"/>
      <c r="T80" s="224"/>
      <c r="U80" s="224"/>
      <c r="W80" s="224"/>
      <c r="AA80" s="224"/>
      <c r="AE80" s="238"/>
      <c r="AF80" s="238"/>
      <c r="AG80" s="238"/>
    </row>
    <row r="81" spans="1:33" x14ac:dyDescent="0.2">
      <c r="A81" s="15">
        <f t="shared" si="15"/>
        <v>71</v>
      </c>
      <c r="B81" s="9" t="s">
        <v>66</v>
      </c>
      <c r="C81" s="9"/>
      <c r="D81" s="222" t="s">
        <v>83</v>
      </c>
      <c r="E81" s="22" t="s">
        <v>409</v>
      </c>
      <c r="F81" s="223">
        <v>8.99</v>
      </c>
      <c r="G81" s="224">
        <v>0.46</v>
      </c>
      <c r="H81" s="224">
        <v>0.1</v>
      </c>
      <c r="I81" s="224">
        <v>0.06</v>
      </c>
      <c r="J81" s="224">
        <v>0.28999999999999998</v>
      </c>
      <c r="K81" s="224">
        <v>9.9</v>
      </c>
      <c r="L81" s="224">
        <v>9.9</v>
      </c>
      <c r="M81" s="224">
        <v>9.9</v>
      </c>
      <c r="O81" s="224">
        <v>0.01</v>
      </c>
      <c r="P81" s="224">
        <v>0.01</v>
      </c>
      <c r="Q81" s="224">
        <v>0.01</v>
      </c>
      <c r="S81" s="224">
        <v>0.24</v>
      </c>
      <c r="T81" s="224">
        <v>0.19</v>
      </c>
      <c r="U81" s="224">
        <v>0.08</v>
      </c>
      <c r="W81" s="224">
        <v>0.1</v>
      </c>
      <c r="X81" s="224">
        <v>0.22</v>
      </c>
      <c r="Y81" s="224">
        <v>0.34</v>
      </c>
      <c r="AA81" s="224">
        <f t="shared" ref="AA81:AA90" si="16">K81+O81+S81+W81</f>
        <v>10.25</v>
      </c>
      <c r="AB81" s="224">
        <f t="shared" ref="AB81:AB90" si="17">L81+P81+T81+X81</f>
        <v>10.32</v>
      </c>
      <c r="AC81" s="224">
        <f t="shared" ref="AC81:AC90" si="18">M81+Q81+U81+Y81</f>
        <v>10.33</v>
      </c>
      <c r="AE81" s="238"/>
      <c r="AF81" s="238"/>
      <c r="AG81" s="238"/>
    </row>
    <row r="82" spans="1:33" x14ac:dyDescent="0.2">
      <c r="A82" s="15">
        <f t="shared" si="15"/>
        <v>72</v>
      </c>
      <c r="B82" s="9" t="s">
        <v>66</v>
      </c>
      <c r="C82" s="9"/>
      <c r="D82" s="222" t="s">
        <v>83</v>
      </c>
      <c r="E82" s="22" t="s">
        <v>190</v>
      </c>
      <c r="F82" s="223">
        <v>8.94</v>
      </c>
      <c r="G82" s="224">
        <v>0.46</v>
      </c>
      <c r="H82" s="224">
        <v>0.31</v>
      </c>
      <c r="I82" s="224">
        <v>0.17</v>
      </c>
      <c r="J82" s="224">
        <v>0.87</v>
      </c>
      <c r="K82" s="224">
        <v>10.75</v>
      </c>
      <c r="L82" s="224">
        <v>10.75</v>
      </c>
      <c r="M82" s="224">
        <v>10.75</v>
      </c>
      <c r="O82" s="224">
        <v>0.02</v>
      </c>
      <c r="P82" s="224">
        <v>0.02</v>
      </c>
      <c r="Q82" s="224">
        <v>0.03</v>
      </c>
      <c r="S82" s="224">
        <v>0.71</v>
      </c>
      <c r="T82" s="224">
        <v>0.56000000000000005</v>
      </c>
      <c r="U82" s="224">
        <v>0.25</v>
      </c>
      <c r="W82" s="224">
        <v>0.3</v>
      </c>
      <c r="X82" s="224">
        <v>0.67</v>
      </c>
      <c r="Y82" s="224">
        <v>1.03</v>
      </c>
      <c r="AA82" s="224">
        <f t="shared" si="16"/>
        <v>11.780000000000001</v>
      </c>
      <c r="AB82" s="224">
        <f t="shared" si="17"/>
        <v>12</v>
      </c>
      <c r="AC82" s="224">
        <f t="shared" si="18"/>
        <v>12.059999999999999</v>
      </c>
      <c r="AE82" s="238"/>
      <c r="AF82" s="238"/>
      <c r="AG82" s="238"/>
    </row>
    <row r="83" spans="1:33" x14ac:dyDescent="0.2">
      <c r="A83" s="15">
        <f t="shared" si="15"/>
        <v>73</v>
      </c>
      <c r="B83" s="9" t="s">
        <v>66</v>
      </c>
      <c r="C83" s="9"/>
      <c r="D83" s="222" t="s">
        <v>83</v>
      </c>
      <c r="E83" s="22" t="s">
        <v>191</v>
      </c>
      <c r="F83" s="223">
        <v>8.74</v>
      </c>
      <c r="G83" s="224">
        <v>0.46</v>
      </c>
      <c r="H83" s="224">
        <v>0.51</v>
      </c>
      <c r="I83" s="224">
        <v>0.28000000000000003</v>
      </c>
      <c r="J83" s="224">
        <v>1.45</v>
      </c>
      <c r="K83" s="224">
        <v>11.44</v>
      </c>
      <c r="L83" s="224">
        <v>11.44</v>
      </c>
      <c r="M83" s="224">
        <v>11.44</v>
      </c>
      <c r="O83" s="224">
        <v>0.03</v>
      </c>
      <c r="P83" s="224">
        <v>0.04</v>
      </c>
      <c r="Q83" s="224">
        <v>0.05</v>
      </c>
      <c r="S83" s="224">
        <v>1.18</v>
      </c>
      <c r="T83" s="224">
        <v>0.93</v>
      </c>
      <c r="U83" s="224">
        <v>0.41</v>
      </c>
      <c r="W83" s="224">
        <v>0.5</v>
      </c>
      <c r="X83" s="224">
        <v>1.1100000000000001</v>
      </c>
      <c r="Y83" s="224">
        <v>1.72</v>
      </c>
      <c r="AA83" s="224">
        <f t="shared" si="16"/>
        <v>13.149999999999999</v>
      </c>
      <c r="AB83" s="224">
        <f t="shared" si="17"/>
        <v>13.519999999999998</v>
      </c>
      <c r="AC83" s="224">
        <f t="shared" si="18"/>
        <v>13.620000000000001</v>
      </c>
      <c r="AE83" s="238"/>
      <c r="AF83" s="238"/>
      <c r="AG83" s="238"/>
    </row>
    <row r="84" spans="1:33" x14ac:dyDescent="0.2">
      <c r="A84" s="15">
        <f t="shared" si="15"/>
        <v>74</v>
      </c>
      <c r="B84" s="9" t="s">
        <v>66</v>
      </c>
      <c r="C84" s="9"/>
      <c r="D84" s="222" t="s">
        <v>83</v>
      </c>
      <c r="E84" s="22" t="s">
        <v>192</v>
      </c>
      <c r="F84" s="223">
        <v>9.35</v>
      </c>
      <c r="G84" s="224">
        <v>0.46</v>
      </c>
      <c r="H84" s="224">
        <v>0.71</v>
      </c>
      <c r="I84" s="224">
        <v>0.39</v>
      </c>
      <c r="J84" s="224">
        <v>2.0299999999999998</v>
      </c>
      <c r="K84" s="224">
        <v>12.94</v>
      </c>
      <c r="L84" s="224">
        <v>12.94</v>
      </c>
      <c r="M84" s="224">
        <v>12.94</v>
      </c>
      <c r="O84" s="224">
        <v>0.05</v>
      </c>
      <c r="P84" s="224">
        <v>0.05</v>
      </c>
      <c r="Q84" s="224">
        <v>0.08</v>
      </c>
      <c r="S84" s="224">
        <v>1.66</v>
      </c>
      <c r="T84" s="224">
        <v>1.3</v>
      </c>
      <c r="U84" s="224">
        <v>0.57999999999999996</v>
      </c>
      <c r="W84" s="224">
        <v>0.7</v>
      </c>
      <c r="X84" s="224">
        <v>1.55</v>
      </c>
      <c r="Y84" s="224">
        <v>2.41</v>
      </c>
      <c r="AA84" s="224">
        <f t="shared" si="16"/>
        <v>15.35</v>
      </c>
      <c r="AB84" s="224">
        <f t="shared" si="17"/>
        <v>15.840000000000002</v>
      </c>
      <c r="AC84" s="224">
        <f t="shared" si="18"/>
        <v>16.009999999999998</v>
      </c>
      <c r="AE84" s="238"/>
      <c r="AF84" s="238"/>
      <c r="AG84" s="238"/>
    </row>
    <row r="85" spans="1:33" x14ac:dyDescent="0.2">
      <c r="A85" s="15">
        <f t="shared" si="15"/>
        <v>75</v>
      </c>
      <c r="B85" s="9" t="s">
        <v>66</v>
      </c>
      <c r="C85" s="9"/>
      <c r="D85" s="222" t="s">
        <v>83</v>
      </c>
      <c r="E85" s="22" t="s">
        <v>193</v>
      </c>
      <c r="F85" s="223">
        <v>9.65</v>
      </c>
      <c r="G85" s="224">
        <v>0.46</v>
      </c>
      <c r="H85" s="224">
        <v>0.92</v>
      </c>
      <c r="I85" s="224">
        <v>0.5</v>
      </c>
      <c r="J85" s="224">
        <v>2.61</v>
      </c>
      <c r="K85" s="224">
        <v>14.14</v>
      </c>
      <c r="L85" s="224">
        <v>14.14</v>
      </c>
      <c r="M85" s="224">
        <v>14.14</v>
      </c>
      <c r="O85" s="224">
        <v>0.06</v>
      </c>
      <c r="P85" s="224">
        <v>7.0000000000000007E-2</v>
      </c>
      <c r="Q85" s="224">
        <v>0.1</v>
      </c>
      <c r="S85" s="224">
        <v>2.13</v>
      </c>
      <c r="T85" s="224">
        <v>1.67</v>
      </c>
      <c r="U85" s="224">
        <v>0.75</v>
      </c>
      <c r="W85" s="224">
        <v>0.91</v>
      </c>
      <c r="X85" s="224">
        <v>2</v>
      </c>
      <c r="Y85" s="224">
        <v>3.1</v>
      </c>
      <c r="AA85" s="224">
        <f t="shared" si="16"/>
        <v>17.240000000000002</v>
      </c>
      <c r="AB85" s="224">
        <f t="shared" si="17"/>
        <v>17.880000000000003</v>
      </c>
      <c r="AC85" s="224">
        <f t="shared" si="18"/>
        <v>18.09</v>
      </c>
      <c r="AE85" s="238"/>
      <c r="AF85" s="238"/>
      <c r="AG85" s="238"/>
    </row>
    <row r="86" spans="1:33" x14ac:dyDescent="0.2">
      <c r="A86" s="15">
        <f t="shared" si="15"/>
        <v>76</v>
      </c>
      <c r="B86" s="9" t="s">
        <v>66</v>
      </c>
      <c r="C86" s="9"/>
      <c r="D86" s="222" t="s">
        <v>83</v>
      </c>
      <c r="E86" s="22" t="s">
        <v>194</v>
      </c>
      <c r="F86" s="223">
        <v>9.33</v>
      </c>
      <c r="G86" s="224">
        <v>0.46</v>
      </c>
      <c r="H86" s="224">
        <v>1.1200000000000001</v>
      </c>
      <c r="I86" s="224">
        <v>0.62</v>
      </c>
      <c r="J86" s="224">
        <v>3.19</v>
      </c>
      <c r="K86" s="224">
        <v>14.719999999999999</v>
      </c>
      <c r="L86" s="224">
        <v>14.719999999999999</v>
      </c>
      <c r="M86" s="224">
        <v>14.719999999999999</v>
      </c>
      <c r="O86" s="224">
        <v>0.08</v>
      </c>
      <c r="P86" s="224">
        <v>0.08</v>
      </c>
      <c r="Q86" s="224">
        <v>0.12</v>
      </c>
      <c r="S86" s="224">
        <v>2.6</v>
      </c>
      <c r="T86" s="224">
        <v>2.0499999999999998</v>
      </c>
      <c r="U86" s="224">
        <v>0.91</v>
      </c>
      <c r="W86" s="224">
        <v>1.1100000000000001</v>
      </c>
      <c r="X86" s="224">
        <v>2.44</v>
      </c>
      <c r="Y86" s="224">
        <v>3.79</v>
      </c>
      <c r="AA86" s="224">
        <f t="shared" si="16"/>
        <v>18.509999999999998</v>
      </c>
      <c r="AB86" s="224">
        <f t="shared" si="17"/>
        <v>19.29</v>
      </c>
      <c r="AC86" s="224">
        <f t="shared" si="18"/>
        <v>19.54</v>
      </c>
      <c r="AE86" s="238"/>
      <c r="AF86" s="238"/>
      <c r="AG86" s="238"/>
    </row>
    <row r="87" spans="1:33" x14ac:dyDescent="0.2">
      <c r="A87" s="15">
        <f t="shared" si="15"/>
        <v>77</v>
      </c>
      <c r="B87" s="9" t="s">
        <v>66</v>
      </c>
      <c r="C87" s="9"/>
      <c r="D87" s="222" t="s">
        <v>83</v>
      </c>
      <c r="E87" s="22" t="s">
        <v>195</v>
      </c>
      <c r="F87" s="223">
        <v>9.33</v>
      </c>
      <c r="G87" s="224">
        <v>0.46</v>
      </c>
      <c r="H87" s="224">
        <v>1.32</v>
      </c>
      <c r="I87" s="224">
        <v>0.73</v>
      </c>
      <c r="J87" s="224">
        <v>3.78</v>
      </c>
      <c r="K87" s="224">
        <v>15.620000000000001</v>
      </c>
      <c r="L87" s="224">
        <v>15.620000000000001</v>
      </c>
      <c r="M87" s="224">
        <v>15.620000000000001</v>
      </c>
      <c r="O87" s="224">
        <v>0.09</v>
      </c>
      <c r="P87" s="224">
        <v>0.1</v>
      </c>
      <c r="Q87" s="224">
        <v>0.14000000000000001</v>
      </c>
      <c r="S87" s="224">
        <v>3.08</v>
      </c>
      <c r="T87" s="224">
        <v>2.42</v>
      </c>
      <c r="U87" s="224">
        <v>1.08</v>
      </c>
      <c r="W87" s="224">
        <v>1.31</v>
      </c>
      <c r="X87" s="224">
        <v>2.88</v>
      </c>
      <c r="Y87" s="224">
        <v>4.4800000000000004</v>
      </c>
      <c r="AA87" s="224">
        <f t="shared" si="16"/>
        <v>20.099999999999998</v>
      </c>
      <c r="AB87" s="224">
        <f t="shared" si="17"/>
        <v>21.02</v>
      </c>
      <c r="AC87" s="224">
        <f t="shared" si="18"/>
        <v>21.320000000000004</v>
      </c>
      <c r="AE87" s="238"/>
      <c r="AF87" s="238"/>
      <c r="AG87" s="238"/>
    </row>
    <row r="88" spans="1:33" x14ac:dyDescent="0.2">
      <c r="A88" s="15">
        <f t="shared" si="15"/>
        <v>78</v>
      </c>
      <c r="B88" s="9" t="s">
        <v>66</v>
      </c>
      <c r="C88" s="9"/>
      <c r="D88" s="222" t="s">
        <v>83</v>
      </c>
      <c r="E88" s="22" t="s">
        <v>209</v>
      </c>
      <c r="F88" s="223">
        <v>9.3800000000000008</v>
      </c>
      <c r="G88" s="224">
        <v>0.46</v>
      </c>
      <c r="H88" s="224">
        <v>1.53</v>
      </c>
      <c r="I88" s="224">
        <v>0.84</v>
      </c>
      <c r="J88" s="224">
        <v>4.3600000000000003</v>
      </c>
      <c r="K88" s="224">
        <v>16.57</v>
      </c>
      <c r="L88" s="224">
        <v>16.57</v>
      </c>
      <c r="M88" s="224">
        <v>16.57</v>
      </c>
      <c r="O88" s="224">
        <v>0.1</v>
      </c>
      <c r="P88" s="224">
        <v>0.11</v>
      </c>
      <c r="Q88" s="224">
        <v>0.16</v>
      </c>
      <c r="S88" s="224">
        <v>3.55</v>
      </c>
      <c r="T88" s="224">
        <v>2.79</v>
      </c>
      <c r="U88" s="224">
        <v>1.24</v>
      </c>
      <c r="W88" s="224">
        <v>1.51</v>
      </c>
      <c r="X88" s="224">
        <v>3.33</v>
      </c>
      <c r="Y88" s="224">
        <v>5.17</v>
      </c>
      <c r="AA88" s="224">
        <f t="shared" si="16"/>
        <v>21.730000000000004</v>
      </c>
      <c r="AB88" s="224">
        <f t="shared" si="17"/>
        <v>22.799999999999997</v>
      </c>
      <c r="AC88" s="224">
        <f t="shared" si="18"/>
        <v>23.14</v>
      </c>
      <c r="AE88" s="238"/>
      <c r="AF88" s="238"/>
      <c r="AG88" s="238"/>
    </row>
    <row r="89" spans="1:33" x14ac:dyDescent="0.2">
      <c r="A89" s="15">
        <f t="shared" si="15"/>
        <v>79</v>
      </c>
      <c r="B89" s="9" t="s">
        <v>66</v>
      </c>
      <c r="C89" s="9"/>
      <c r="D89" s="222" t="s">
        <v>83</v>
      </c>
      <c r="E89" s="22" t="s">
        <v>196</v>
      </c>
      <c r="F89" s="223">
        <v>9.3800000000000008</v>
      </c>
      <c r="G89" s="224">
        <v>0.46</v>
      </c>
      <c r="H89" s="224">
        <v>1.73</v>
      </c>
      <c r="I89" s="224">
        <v>0.95</v>
      </c>
      <c r="J89" s="224">
        <v>4.9400000000000004</v>
      </c>
      <c r="K89" s="224">
        <v>17.46</v>
      </c>
      <c r="L89" s="224">
        <v>17.46</v>
      </c>
      <c r="M89" s="224">
        <v>17.46</v>
      </c>
      <c r="O89" s="224">
        <v>0.12</v>
      </c>
      <c r="P89" s="224">
        <v>0.13</v>
      </c>
      <c r="Q89" s="224">
        <v>0.18</v>
      </c>
      <c r="S89" s="224">
        <v>4.0199999999999996</v>
      </c>
      <c r="T89" s="224">
        <v>3.16</v>
      </c>
      <c r="U89" s="224">
        <v>1.41</v>
      </c>
      <c r="W89" s="224">
        <v>1.71</v>
      </c>
      <c r="X89" s="224">
        <v>3.77</v>
      </c>
      <c r="Y89" s="224">
        <v>5.86</v>
      </c>
      <c r="AA89" s="224">
        <f t="shared" si="16"/>
        <v>23.310000000000002</v>
      </c>
      <c r="AB89" s="224">
        <f t="shared" si="17"/>
        <v>24.52</v>
      </c>
      <c r="AC89" s="224">
        <f t="shared" si="18"/>
        <v>24.91</v>
      </c>
      <c r="AE89" s="238"/>
      <c r="AF89" s="238"/>
      <c r="AG89" s="238"/>
    </row>
    <row r="90" spans="1:33" x14ac:dyDescent="0.2">
      <c r="A90" s="15">
        <f t="shared" si="15"/>
        <v>80</v>
      </c>
      <c r="B90" s="9" t="s">
        <v>66</v>
      </c>
      <c r="C90" s="9"/>
      <c r="D90" s="222" t="s">
        <v>83</v>
      </c>
      <c r="E90" s="22" t="s">
        <v>197</v>
      </c>
      <c r="F90" s="223">
        <v>9.3800000000000008</v>
      </c>
      <c r="G90" s="224">
        <v>0.46</v>
      </c>
      <c r="H90" s="224">
        <v>1.93</v>
      </c>
      <c r="I90" s="224">
        <v>1.06</v>
      </c>
      <c r="J90" s="224">
        <v>5.52</v>
      </c>
      <c r="K90" s="224">
        <v>18.350000000000001</v>
      </c>
      <c r="L90" s="224">
        <v>18.350000000000001</v>
      </c>
      <c r="M90" s="224">
        <v>18.350000000000001</v>
      </c>
      <c r="O90" s="224">
        <v>0.13</v>
      </c>
      <c r="P90" s="224">
        <v>0.14000000000000001</v>
      </c>
      <c r="Q90" s="224">
        <v>0.2</v>
      </c>
      <c r="S90" s="224">
        <v>4.5</v>
      </c>
      <c r="T90" s="224">
        <v>3.53</v>
      </c>
      <c r="U90" s="224">
        <v>1.58</v>
      </c>
      <c r="W90" s="224">
        <v>1.91</v>
      </c>
      <c r="X90" s="224">
        <v>4.21</v>
      </c>
      <c r="Y90" s="224">
        <v>6.55</v>
      </c>
      <c r="AA90" s="224">
        <f t="shared" si="16"/>
        <v>24.89</v>
      </c>
      <c r="AB90" s="224">
        <f t="shared" si="17"/>
        <v>26.230000000000004</v>
      </c>
      <c r="AC90" s="224">
        <f t="shared" si="18"/>
        <v>26.680000000000003</v>
      </c>
      <c r="AE90" s="238"/>
      <c r="AF90" s="238"/>
      <c r="AG90" s="238"/>
    </row>
    <row r="91" spans="1:33" x14ac:dyDescent="0.2">
      <c r="A91" s="15">
        <f t="shared" si="15"/>
        <v>81</v>
      </c>
      <c r="B91" s="9"/>
      <c r="C91" s="9"/>
      <c r="D91" s="222"/>
      <c r="E91" s="22"/>
      <c r="F91" s="223"/>
      <c r="G91" s="224"/>
      <c r="H91" s="224"/>
      <c r="I91" s="224"/>
      <c r="J91" s="224"/>
      <c r="K91" s="224"/>
      <c r="L91" s="224"/>
      <c r="M91" s="224"/>
      <c r="O91" s="224"/>
      <c r="P91" s="224"/>
      <c r="Q91" s="224"/>
      <c r="S91" s="224"/>
      <c r="T91" s="224"/>
      <c r="U91" s="224"/>
      <c r="W91" s="224"/>
      <c r="X91" s="224"/>
      <c r="Y91" s="224"/>
      <c r="AA91" s="224"/>
      <c r="AB91" s="224"/>
      <c r="AC91" s="224"/>
      <c r="AE91" s="238"/>
      <c r="AF91" s="238"/>
      <c r="AG91" s="238"/>
    </row>
    <row r="92" spans="1:33" s="234" customFormat="1" x14ac:dyDescent="0.2">
      <c r="A92" s="15">
        <f t="shared" si="15"/>
        <v>82</v>
      </c>
      <c r="B92" s="230" t="s">
        <v>66</v>
      </c>
      <c r="C92" s="225" t="s">
        <v>439</v>
      </c>
      <c r="D92" s="231" t="s">
        <v>83</v>
      </c>
      <c r="E92" s="232" t="s">
        <v>409</v>
      </c>
      <c r="F92" s="233">
        <v>1.712583</v>
      </c>
      <c r="G92" s="234">
        <v>8.813E-2</v>
      </c>
      <c r="H92" s="234">
        <v>1.9379E-2</v>
      </c>
      <c r="I92" s="234">
        <v>1.0656000000000001E-2</v>
      </c>
      <c r="J92" s="234">
        <v>5.5322000000000003E-2</v>
      </c>
      <c r="K92" s="234">
        <v>1.8860700000000001</v>
      </c>
      <c r="L92" s="234">
        <v>1.8860700000000001</v>
      </c>
      <c r="M92" s="234">
        <v>1.8860700000000001</v>
      </c>
      <c r="O92" s="234">
        <v>1.3110000000000001E-3</v>
      </c>
      <c r="P92" s="234">
        <v>1.4419999999999999E-3</v>
      </c>
      <c r="Q92" s="234">
        <v>2.049E-3</v>
      </c>
      <c r="S92" s="234">
        <v>4.5088999999999997E-2</v>
      </c>
      <c r="T92" s="234">
        <v>3.5428000000000001E-2</v>
      </c>
      <c r="U92" s="234">
        <v>1.5796999999999999E-2</v>
      </c>
      <c r="W92" s="234">
        <v>1.9172000000000002E-2</v>
      </c>
      <c r="X92" s="234">
        <v>4.2255000000000001E-2</v>
      </c>
      <c r="Y92" s="234">
        <v>6.5659999999999996E-2</v>
      </c>
      <c r="AA92" s="234">
        <f t="shared" ref="AA92:AA101" si="19">K92+O92+S92+W92</f>
        <v>1.9516420000000001</v>
      </c>
      <c r="AB92" s="234">
        <f t="shared" ref="AB92:AB101" si="20">L92+P92+T92+X92</f>
        <v>1.965195</v>
      </c>
      <c r="AC92" s="234">
        <f t="shared" ref="AC92:AC101" si="21">M92+Q92+U92+Y92</f>
        <v>1.9695760000000002</v>
      </c>
      <c r="AE92" s="238"/>
      <c r="AF92" s="238"/>
      <c r="AG92" s="238"/>
    </row>
    <row r="93" spans="1:33" s="234" customFormat="1" x14ac:dyDescent="0.2">
      <c r="A93" s="15">
        <f t="shared" si="15"/>
        <v>83</v>
      </c>
      <c r="B93" s="230" t="s">
        <v>66</v>
      </c>
      <c r="C93" s="225" t="s">
        <v>439</v>
      </c>
      <c r="D93" s="231" t="s">
        <v>83</v>
      </c>
      <c r="E93" s="232" t="s">
        <v>190</v>
      </c>
      <c r="F93" s="233">
        <v>0.56762699999999999</v>
      </c>
      <c r="G93" s="234">
        <v>2.9377E-2</v>
      </c>
      <c r="H93" s="234">
        <v>1.9379E-2</v>
      </c>
      <c r="I93" s="234">
        <v>1.0656000000000001E-2</v>
      </c>
      <c r="J93" s="234">
        <v>5.5322000000000003E-2</v>
      </c>
      <c r="K93" s="234">
        <v>0.682361</v>
      </c>
      <c r="L93" s="234">
        <v>0.682361</v>
      </c>
      <c r="M93" s="234">
        <v>0.682361</v>
      </c>
      <c r="O93" s="234">
        <v>1.3110000000000001E-3</v>
      </c>
      <c r="P93" s="234">
        <v>1.4419999999999999E-3</v>
      </c>
      <c r="Q93" s="234">
        <v>2.049E-3</v>
      </c>
      <c r="S93" s="234">
        <v>4.5088999999999997E-2</v>
      </c>
      <c r="T93" s="234">
        <v>3.5428000000000001E-2</v>
      </c>
      <c r="U93" s="234">
        <v>1.5796999999999999E-2</v>
      </c>
      <c r="W93" s="234">
        <v>1.9172000000000002E-2</v>
      </c>
      <c r="X93" s="234">
        <v>4.2255000000000001E-2</v>
      </c>
      <c r="Y93" s="234">
        <v>6.5659999999999996E-2</v>
      </c>
      <c r="AA93" s="234">
        <f t="shared" si="19"/>
        <v>0.74793299999999996</v>
      </c>
      <c r="AB93" s="234">
        <f t="shared" si="20"/>
        <v>0.76148600000000011</v>
      </c>
      <c r="AC93" s="234">
        <f t="shared" si="21"/>
        <v>0.76586699999999985</v>
      </c>
      <c r="AE93" s="238"/>
      <c r="AF93" s="238"/>
      <c r="AG93" s="238"/>
    </row>
    <row r="94" spans="1:33" s="234" customFormat="1" x14ac:dyDescent="0.2">
      <c r="A94" s="15">
        <f t="shared" si="15"/>
        <v>84</v>
      </c>
      <c r="B94" s="230" t="s">
        <v>66</v>
      </c>
      <c r="C94" s="225" t="s">
        <v>439</v>
      </c>
      <c r="D94" s="231" t="s">
        <v>83</v>
      </c>
      <c r="E94" s="232" t="s">
        <v>191</v>
      </c>
      <c r="F94" s="233">
        <v>0.33301700000000001</v>
      </c>
      <c r="G94" s="234">
        <v>1.7625999999999999E-2</v>
      </c>
      <c r="H94" s="234">
        <v>1.9379E-2</v>
      </c>
      <c r="I94" s="234">
        <v>1.0656000000000001E-2</v>
      </c>
      <c r="J94" s="234">
        <v>5.5322000000000003E-2</v>
      </c>
      <c r="K94" s="234">
        <v>0.43599999999999994</v>
      </c>
      <c r="L94" s="234">
        <v>0.43599999999999994</v>
      </c>
      <c r="M94" s="234">
        <v>0.43599999999999994</v>
      </c>
      <c r="O94" s="234">
        <v>1.3110000000000001E-3</v>
      </c>
      <c r="P94" s="234">
        <v>1.4419999999999999E-3</v>
      </c>
      <c r="Q94" s="234">
        <v>2.049E-3</v>
      </c>
      <c r="S94" s="234">
        <v>4.5088999999999997E-2</v>
      </c>
      <c r="T94" s="234">
        <v>3.5428000000000001E-2</v>
      </c>
      <c r="U94" s="234">
        <v>1.5796999999999999E-2</v>
      </c>
      <c r="W94" s="234">
        <v>1.9172000000000002E-2</v>
      </c>
      <c r="X94" s="234">
        <v>4.2255000000000001E-2</v>
      </c>
      <c r="Y94" s="234">
        <v>6.5659999999999996E-2</v>
      </c>
      <c r="AA94" s="234">
        <f t="shared" si="19"/>
        <v>0.50157199999999991</v>
      </c>
      <c r="AB94" s="234">
        <f t="shared" si="20"/>
        <v>0.51512499999999994</v>
      </c>
      <c r="AC94" s="234">
        <f t="shared" si="21"/>
        <v>0.51950600000000002</v>
      </c>
      <c r="AE94" s="238"/>
      <c r="AF94" s="238"/>
      <c r="AG94" s="238"/>
    </row>
    <row r="95" spans="1:33" s="234" customFormat="1" x14ac:dyDescent="0.2">
      <c r="A95" s="15">
        <f t="shared" si="15"/>
        <v>85</v>
      </c>
      <c r="B95" s="230" t="s">
        <v>66</v>
      </c>
      <c r="C95" s="225" t="s">
        <v>439</v>
      </c>
      <c r="D95" s="231" t="s">
        <v>83</v>
      </c>
      <c r="E95" s="232" t="s">
        <v>192</v>
      </c>
      <c r="F95" s="233">
        <v>0.25440499999999999</v>
      </c>
      <c r="G95" s="234">
        <v>1.259E-2</v>
      </c>
      <c r="H95" s="234">
        <v>1.9379E-2</v>
      </c>
      <c r="I95" s="234">
        <v>1.0656000000000001E-2</v>
      </c>
      <c r="J95" s="234">
        <v>5.5322000000000003E-2</v>
      </c>
      <c r="K95" s="234">
        <v>0.35235199999999994</v>
      </c>
      <c r="L95" s="234">
        <v>0.35235199999999994</v>
      </c>
      <c r="M95" s="234">
        <v>0.35235199999999994</v>
      </c>
      <c r="O95" s="234">
        <v>1.3110000000000001E-3</v>
      </c>
      <c r="P95" s="234">
        <v>1.4419999999999999E-3</v>
      </c>
      <c r="Q95" s="234">
        <v>2.049E-3</v>
      </c>
      <c r="S95" s="234">
        <v>4.5088999999999997E-2</v>
      </c>
      <c r="T95" s="234">
        <v>3.5428000000000001E-2</v>
      </c>
      <c r="U95" s="234">
        <v>1.5796999999999999E-2</v>
      </c>
      <c r="W95" s="234">
        <v>1.9172000000000002E-2</v>
      </c>
      <c r="X95" s="234">
        <v>4.2255000000000001E-2</v>
      </c>
      <c r="Y95" s="234">
        <v>6.5659999999999996E-2</v>
      </c>
      <c r="AA95" s="234">
        <f t="shared" si="19"/>
        <v>0.41792399999999996</v>
      </c>
      <c r="AB95" s="234">
        <f t="shared" si="20"/>
        <v>0.43147699999999994</v>
      </c>
      <c r="AC95" s="234">
        <f t="shared" si="21"/>
        <v>0.43585799999999997</v>
      </c>
      <c r="AE95" s="238"/>
      <c r="AF95" s="238"/>
      <c r="AG95" s="238"/>
    </row>
    <row r="96" spans="1:33" s="234" customFormat="1" x14ac:dyDescent="0.2">
      <c r="A96" s="15">
        <f t="shared" si="15"/>
        <v>86</v>
      </c>
      <c r="B96" s="230" t="s">
        <v>66</v>
      </c>
      <c r="C96" s="225" t="s">
        <v>439</v>
      </c>
      <c r="D96" s="231" t="s">
        <v>83</v>
      </c>
      <c r="E96" s="232" t="s">
        <v>193</v>
      </c>
      <c r="F96" s="233">
        <v>0.20416300000000001</v>
      </c>
      <c r="G96" s="234">
        <v>9.7920000000000004E-3</v>
      </c>
      <c r="H96" s="234">
        <v>1.9379E-2</v>
      </c>
      <c r="I96" s="234">
        <v>1.0656000000000001E-2</v>
      </c>
      <c r="J96" s="234">
        <v>5.5322000000000003E-2</v>
      </c>
      <c r="K96" s="234">
        <v>0.29931200000000002</v>
      </c>
      <c r="L96" s="234">
        <v>0.29931200000000002</v>
      </c>
      <c r="M96" s="234">
        <v>0.29931200000000002</v>
      </c>
      <c r="O96" s="234">
        <v>1.3110000000000001E-3</v>
      </c>
      <c r="P96" s="234">
        <v>1.4419999999999999E-3</v>
      </c>
      <c r="Q96" s="234">
        <v>2.049E-3</v>
      </c>
      <c r="S96" s="234">
        <v>4.5088999999999997E-2</v>
      </c>
      <c r="T96" s="234">
        <v>3.5428000000000001E-2</v>
      </c>
      <c r="U96" s="234">
        <v>1.5796999999999999E-2</v>
      </c>
      <c r="W96" s="234">
        <v>1.9172000000000002E-2</v>
      </c>
      <c r="X96" s="234">
        <v>4.2255000000000001E-2</v>
      </c>
      <c r="Y96" s="234">
        <v>6.5659999999999996E-2</v>
      </c>
      <c r="AA96" s="234">
        <f t="shared" si="19"/>
        <v>0.36488400000000004</v>
      </c>
      <c r="AB96" s="234">
        <f t="shared" si="20"/>
        <v>0.37843700000000002</v>
      </c>
      <c r="AC96" s="234">
        <f t="shared" si="21"/>
        <v>0.38281800000000005</v>
      </c>
      <c r="AE96" s="238"/>
      <c r="AF96" s="238"/>
      <c r="AG96" s="238"/>
    </row>
    <row r="97" spans="1:33" s="234" customFormat="1" x14ac:dyDescent="0.2">
      <c r="A97" s="15">
        <f t="shared" si="15"/>
        <v>87</v>
      </c>
      <c r="B97" s="230" t="s">
        <v>66</v>
      </c>
      <c r="C97" s="225" t="s">
        <v>439</v>
      </c>
      <c r="D97" s="231" t="s">
        <v>83</v>
      </c>
      <c r="E97" s="232" t="s">
        <v>194</v>
      </c>
      <c r="F97" s="233">
        <v>0.161547</v>
      </c>
      <c r="G97" s="234">
        <v>8.012E-3</v>
      </c>
      <c r="H97" s="234">
        <v>1.9379E-2</v>
      </c>
      <c r="I97" s="234">
        <v>1.0656000000000001E-2</v>
      </c>
      <c r="J97" s="234">
        <v>5.5322000000000003E-2</v>
      </c>
      <c r="K97" s="234">
        <v>0.25491599999999998</v>
      </c>
      <c r="L97" s="234">
        <v>0.25491599999999998</v>
      </c>
      <c r="M97" s="234">
        <v>0.25491599999999998</v>
      </c>
      <c r="O97" s="234">
        <v>1.3110000000000001E-3</v>
      </c>
      <c r="P97" s="234">
        <v>1.4419999999999999E-3</v>
      </c>
      <c r="Q97" s="234">
        <v>2.049E-3</v>
      </c>
      <c r="S97" s="234">
        <v>4.5088999999999997E-2</v>
      </c>
      <c r="T97" s="234">
        <v>3.5428000000000001E-2</v>
      </c>
      <c r="U97" s="234">
        <v>1.5796999999999999E-2</v>
      </c>
      <c r="W97" s="234">
        <v>1.9172000000000002E-2</v>
      </c>
      <c r="X97" s="234">
        <v>4.2255000000000001E-2</v>
      </c>
      <c r="Y97" s="234">
        <v>6.5659999999999996E-2</v>
      </c>
      <c r="AA97" s="234">
        <f t="shared" si="19"/>
        <v>0.320488</v>
      </c>
      <c r="AB97" s="234">
        <f t="shared" si="20"/>
        <v>0.33404099999999998</v>
      </c>
      <c r="AC97" s="234">
        <f t="shared" si="21"/>
        <v>0.338422</v>
      </c>
      <c r="AE97" s="238"/>
      <c r="AF97" s="238"/>
      <c r="AG97" s="238"/>
    </row>
    <row r="98" spans="1:33" s="234" customFormat="1" x14ac:dyDescent="0.2">
      <c r="A98" s="15">
        <f t="shared" si="15"/>
        <v>88</v>
      </c>
      <c r="B98" s="230" t="s">
        <v>66</v>
      </c>
      <c r="C98" s="225" t="s">
        <v>439</v>
      </c>
      <c r="D98" s="231" t="s">
        <v>83</v>
      </c>
      <c r="E98" s="232" t="s">
        <v>195</v>
      </c>
      <c r="F98" s="233">
        <v>0.13669400000000001</v>
      </c>
      <c r="G98" s="234">
        <v>6.7790000000000003E-3</v>
      </c>
      <c r="H98" s="234">
        <v>1.9379E-2</v>
      </c>
      <c r="I98" s="234">
        <v>1.0656000000000001E-2</v>
      </c>
      <c r="J98" s="234">
        <v>5.5322000000000003E-2</v>
      </c>
      <c r="K98" s="234">
        <v>0.22883000000000003</v>
      </c>
      <c r="L98" s="234">
        <v>0.22883000000000003</v>
      </c>
      <c r="M98" s="234">
        <v>0.22883000000000003</v>
      </c>
      <c r="O98" s="234">
        <v>1.3110000000000001E-3</v>
      </c>
      <c r="P98" s="234">
        <v>1.4419999999999999E-3</v>
      </c>
      <c r="Q98" s="234">
        <v>2.049E-3</v>
      </c>
      <c r="S98" s="234">
        <v>4.5088999999999997E-2</v>
      </c>
      <c r="T98" s="234">
        <v>3.5428000000000001E-2</v>
      </c>
      <c r="U98" s="234">
        <v>1.5796999999999999E-2</v>
      </c>
      <c r="W98" s="234">
        <v>1.9172000000000002E-2</v>
      </c>
      <c r="X98" s="234">
        <v>4.2255000000000001E-2</v>
      </c>
      <c r="Y98" s="234">
        <v>6.5659999999999996E-2</v>
      </c>
      <c r="AA98" s="234">
        <f t="shared" si="19"/>
        <v>0.29440200000000005</v>
      </c>
      <c r="AB98" s="234">
        <f t="shared" si="20"/>
        <v>0.30795500000000003</v>
      </c>
      <c r="AC98" s="234">
        <f t="shared" si="21"/>
        <v>0.31233600000000006</v>
      </c>
      <c r="AE98" s="238"/>
      <c r="AF98" s="238"/>
      <c r="AG98" s="238"/>
    </row>
    <row r="99" spans="1:33" s="234" customFormat="1" x14ac:dyDescent="0.2">
      <c r="A99" s="15">
        <f t="shared" si="15"/>
        <v>89</v>
      </c>
      <c r="B99" s="230" t="s">
        <v>66</v>
      </c>
      <c r="C99" s="225" t="s">
        <v>439</v>
      </c>
      <c r="D99" s="231" t="s">
        <v>83</v>
      </c>
      <c r="E99" s="232" t="s">
        <v>209</v>
      </c>
      <c r="F99" s="233">
        <v>0.119089</v>
      </c>
      <c r="G99" s="234">
        <v>5.875E-3</v>
      </c>
      <c r="H99" s="234">
        <v>1.9379E-2</v>
      </c>
      <c r="I99" s="234">
        <v>1.0656000000000001E-2</v>
      </c>
      <c r="J99" s="234">
        <v>5.5322000000000003E-2</v>
      </c>
      <c r="K99" s="234">
        <v>0.21032100000000001</v>
      </c>
      <c r="L99" s="234">
        <v>0.21032100000000001</v>
      </c>
      <c r="M99" s="234">
        <v>0.21032100000000001</v>
      </c>
      <c r="O99" s="234">
        <v>1.3110000000000001E-3</v>
      </c>
      <c r="P99" s="234">
        <v>1.4419999999999999E-3</v>
      </c>
      <c r="Q99" s="234">
        <v>2.049E-3</v>
      </c>
      <c r="S99" s="234">
        <v>4.5088999999999997E-2</v>
      </c>
      <c r="T99" s="234">
        <v>3.5428000000000001E-2</v>
      </c>
      <c r="U99" s="234">
        <v>1.5796999999999999E-2</v>
      </c>
      <c r="W99" s="234">
        <v>1.9172000000000002E-2</v>
      </c>
      <c r="X99" s="234">
        <v>4.2255000000000001E-2</v>
      </c>
      <c r="Y99" s="234">
        <v>6.5659999999999996E-2</v>
      </c>
      <c r="AA99" s="234">
        <f t="shared" si="19"/>
        <v>0.27589300000000005</v>
      </c>
      <c r="AB99" s="234">
        <f t="shared" si="20"/>
        <v>0.28944599999999998</v>
      </c>
      <c r="AC99" s="234">
        <f t="shared" si="21"/>
        <v>0.293827</v>
      </c>
      <c r="AE99" s="238"/>
      <c r="AF99" s="238"/>
      <c r="AG99" s="238"/>
    </row>
    <row r="100" spans="1:33" s="234" customFormat="1" x14ac:dyDescent="0.2">
      <c r="A100" s="15">
        <f t="shared" si="15"/>
        <v>90</v>
      </c>
      <c r="B100" s="230" t="s">
        <v>66</v>
      </c>
      <c r="C100" s="225" t="s">
        <v>439</v>
      </c>
      <c r="D100" s="231" t="s">
        <v>83</v>
      </c>
      <c r="E100" s="232" t="s">
        <v>196</v>
      </c>
      <c r="F100" s="233">
        <v>0.105078</v>
      </c>
      <c r="G100" s="234">
        <v>5.1840000000000002E-3</v>
      </c>
      <c r="H100" s="234">
        <v>1.9379E-2</v>
      </c>
      <c r="I100" s="234">
        <v>1.0656000000000001E-2</v>
      </c>
      <c r="J100" s="234">
        <v>5.5322000000000003E-2</v>
      </c>
      <c r="K100" s="234">
        <v>0.19561900000000002</v>
      </c>
      <c r="L100" s="234">
        <v>0.19561900000000002</v>
      </c>
      <c r="M100" s="234">
        <v>0.19561900000000002</v>
      </c>
      <c r="O100" s="234">
        <v>1.3110000000000001E-3</v>
      </c>
      <c r="P100" s="234">
        <v>1.4419999999999999E-3</v>
      </c>
      <c r="Q100" s="234">
        <v>2.049E-3</v>
      </c>
      <c r="S100" s="234">
        <v>4.5088999999999997E-2</v>
      </c>
      <c r="T100" s="234">
        <v>3.5428000000000001E-2</v>
      </c>
      <c r="U100" s="234">
        <v>1.5796999999999999E-2</v>
      </c>
      <c r="W100" s="234">
        <v>1.9172000000000002E-2</v>
      </c>
      <c r="X100" s="234">
        <v>4.2255000000000001E-2</v>
      </c>
      <c r="Y100" s="234">
        <v>6.5659999999999996E-2</v>
      </c>
      <c r="AA100" s="234">
        <f t="shared" si="19"/>
        <v>0.26119100000000001</v>
      </c>
      <c r="AB100" s="234">
        <f t="shared" si="20"/>
        <v>0.27474399999999999</v>
      </c>
      <c r="AC100" s="234">
        <f t="shared" si="21"/>
        <v>0.27912500000000001</v>
      </c>
      <c r="AE100" s="238"/>
      <c r="AF100" s="238"/>
      <c r="AG100" s="238"/>
    </row>
    <row r="101" spans="1:33" s="234" customFormat="1" x14ac:dyDescent="0.2">
      <c r="A101" s="15">
        <f t="shared" si="15"/>
        <v>91</v>
      </c>
      <c r="B101" s="230" t="s">
        <v>66</v>
      </c>
      <c r="C101" s="225" t="s">
        <v>439</v>
      </c>
      <c r="D101" s="231" t="s">
        <v>83</v>
      </c>
      <c r="E101" s="232" t="s">
        <v>197</v>
      </c>
      <c r="F101" s="233">
        <v>9.4017000000000003E-2</v>
      </c>
      <c r="G101" s="234">
        <v>4.6379999999999998E-3</v>
      </c>
      <c r="H101" s="234">
        <v>1.9379E-2</v>
      </c>
      <c r="I101" s="234">
        <v>1.0656000000000001E-2</v>
      </c>
      <c r="J101" s="234">
        <v>5.5322000000000003E-2</v>
      </c>
      <c r="K101" s="234">
        <v>0.18401200000000001</v>
      </c>
      <c r="L101" s="234">
        <v>0.18401200000000001</v>
      </c>
      <c r="M101" s="234">
        <v>0.18401200000000001</v>
      </c>
      <c r="O101" s="234">
        <v>1.3110000000000001E-3</v>
      </c>
      <c r="P101" s="234">
        <v>1.4419999999999999E-3</v>
      </c>
      <c r="Q101" s="234">
        <v>2.049E-3</v>
      </c>
      <c r="S101" s="234">
        <v>4.5088999999999997E-2</v>
      </c>
      <c r="T101" s="234">
        <v>3.5428000000000001E-2</v>
      </c>
      <c r="U101" s="234">
        <v>1.5796999999999999E-2</v>
      </c>
      <c r="W101" s="234">
        <v>1.9172000000000002E-2</v>
      </c>
      <c r="X101" s="234">
        <v>4.2255000000000001E-2</v>
      </c>
      <c r="Y101" s="234">
        <v>6.5659999999999996E-2</v>
      </c>
      <c r="AA101" s="234">
        <f t="shared" si="19"/>
        <v>0.249584</v>
      </c>
      <c r="AB101" s="234">
        <f t="shared" si="20"/>
        <v>0.26313700000000001</v>
      </c>
      <c r="AC101" s="234">
        <f t="shared" si="21"/>
        <v>0.26751800000000003</v>
      </c>
      <c r="AE101" s="238"/>
      <c r="AF101" s="238"/>
      <c r="AG101" s="238"/>
    </row>
    <row r="102" spans="1:33" x14ac:dyDescent="0.2">
      <c r="A102" s="15">
        <f t="shared" si="15"/>
        <v>92</v>
      </c>
      <c r="B102" s="9"/>
      <c r="C102" s="9"/>
      <c r="D102" s="222"/>
      <c r="E102" s="22"/>
      <c r="F102" s="223"/>
      <c r="G102" s="224"/>
      <c r="H102" s="224"/>
      <c r="I102" s="224"/>
      <c r="J102" s="224"/>
      <c r="K102" s="224"/>
      <c r="O102" s="224"/>
      <c r="S102" s="224"/>
      <c r="W102" s="224"/>
      <c r="AA102" s="224"/>
      <c r="AE102" s="238"/>
      <c r="AF102" s="238"/>
      <c r="AG102" s="238"/>
    </row>
    <row r="103" spans="1:33" x14ac:dyDescent="0.2">
      <c r="A103" s="15">
        <f t="shared" si="15"/>
        <v>93</v>
      </c>
      <c r="B103" s="9" t="s">
        <v>68</v>
      </c>
      <c r="C103" s="9"/>
      <c r="D103" s="222" t="s">
        <v>67</v>
      </c>
      <c r="E103" s="22" t="s">
        <v>505</v>
      </c>
      <c r="F103" s="223">
        <v>0</v>
      </c>
      <c r="G103" s="224">
        <v>2.31</v>
      </c>
      <c r="H103" s="224">
        <v>0.34</v>
      </c>
      <c r="I103" s="224">
        <v>0.19</v>
      </c>
      <c r="J103" s="224">
        <v>0.97</v>
      </c>
      <c r="K103" s="224">
        <v>3.8099999999999996</v>
      </c>
      <c r="L103" s="224">
        <v>3.8099999999999996</v>
      </c>
      <c r="M103" s="224">
        <v>3.8099999999999996</v>
      </c>
      <c r="O103" s="224">
        <v>0.02</v>
      </c>
      <c r="P103" s="224">
        <v>0.03</v>
      </c>
      <c r="Q103" s="224">
        <v>0.04</v>
      </c>
      <c r="S103" s="224">
        <v>0.79</v>
      </c>
      <c r="T103" s="224">
        <v>0.62</v>
      </c>
      <c r="U103" s="224">
        <v>0.28000000000000003</v>
      </c>
      <c r="W103" s="224">
        <v>0.34</v>
      </c>
      <c r="X103" s="224">
        <v>0.74</v>
      </c>
      <c r="Y103" s="224">
        <v>1.1499999999999999</v>
      </c>
      <c r="AA103" s="224">
        <f t="shared" ref="AA103:AA111" si="22">K103+O103+S103+W103</f>
        <v>4.9599999999999991</v>
      </c>
      <c r="AB103" s="224">
        <f t="shared" ref="AB103:AB111" si="23">L103+P103+T103+X103</f>
        <v>5.1999999999999993</v>
      </c>
      <c r="AC103" s="224">
        <f t="shared" ref="AC103:AC111" si="24">M103+Q103+U103+Y103</f>
        <v>5.2799999999999994</v>
      </c>
      <c r="AE103" s="238"/>
      <c r="AF103" s="238"/>
      <c r="AG103" s="238"/>
    </row>
    <row r="104" spans="1:33" x14ac:dyDescent="0.2">
      <c r="A104" s="15">
        <f t="shared" si="15"/>
        <v>94</v>
      </c>
      <c r="B104" s="9" t="s">
        <v>68</v>
      </c>
      <c r="C104" s="9"/>
      <c r="D104" s="222" t="s">
        <v>67</v>
      </c>
      <c r="E104" s="22" t="s">
        <v>496</v>
      </c>
      <c r="F104" s="223">
        <v>0</v>
      </c>
      <c r="G104" s="224">
        <v>2.31</v>
      </c>
      <c r="H104" s="224">
        <v>0.47</v>
      </c>
      <c r="I104" s="224">
        <v>0.26</v>
      </c>
      <c r="J104" s="224">
        <v>1.36</v>
      </c>
      <c r="K104" s="224">
        <v>4.4000000000000004</v>
      </c>
      <c r="L104" s="224">
        <v>4.4000000000000004</v>
      </c>
      <c r="M104" s="224">
        <v>4.4000000000000004</v>
      </c>
      <c r="O104" s="224">
        <v>0.03</v>
      </c>
      <c r="P104" s="224">
        <v>0.04</v>
      </c>
      <c r="Q104" s="224">
        <v>0.05</v>
      </c>
      <c r="S104" s="224">
        <v>1.1000000000000001</v>
      </c>
      <c r="T104" s="224">
        <v>0.87</v>
      </c>
      <c r="U104" s="224">
        <v>0.39</v>
      </c>
      <c r="W104" s="224">
        <v>0.47</v>
      </c>
      <c r="X104" s="224">
        <v>1.04</v>
      </c>
      <c r="Y104" s="224">
        <v>1.61</v>
      </c>
      <c r="AA104" s="224">
        <f t="shared" si="22"/>
        <v>6.0000000000000009</v>
      </c>
      <c r="AB104" s="224">
        <f t="shared" si="23"/>
        <v>6.3500000000000005</v>
      </c>
      <c r="AC104" s="224">
        <f t="shared" si="24"/>
        <v>6.45</v>
      </c>
      <c r="AE104" s="238"/>
      <c r="AF104" s="238"/>
      <c r="AG104" s="238"/>
    </row>
    <row r="105" spans="1:33" x14ac:dyDescent="0.2">
      <c r="A105" s="15">
        <f t="shared" si="15"/>
        <v>95</v>
      </c>
      <c r="B105" s="9" t="s">
        <v>68</v>
      </c>
      <c r="C105" s="9"/>
      <c r="D105" s="222" t="s">
        <v>67</v>
      </c>
      <c r="E105" s="22" t="s">
        <v>497</v>
      </c>
      <c r="F105" s="223">
        <v>0</v>
      </c>
      <c r="G105" s="224">
        <v>2.31</v>
      </c>
      <c r="H105" s="224">
        <v>0.68</v>
      </c>
      <c r="I105" s="224">
        <v>0.37</v>
      </c>
      <c r="J105" s="224">
        <v>1.94</v>
      </c>
      <c r="K105" s="224">
        <v>5.3000000000000007</v>
      </c>
      <c r="L105" s="224">
        <v>5.3000000000000007</v>
      </c>
      <c r="M105" s="224">
        <v>5.3000000000000007</v>
      </c>
      <c r="O105" s="224">
        <v>0.05</v>
      </c>
      <c r="P105" s="224">
        <v>0.05</v>
      </c>
      <c r="Q105" s="224">
        <v>7.0000000000000007E-2</v>
      </c>
      <c r="S105" s="224">
        <v>1.58</v>
      </c>
      <c r="T105" s="224">
        <v>1.24</v>
      </c>
      <c r="U105" s="224">
        <v>0.55000000000000004</v>
      </c>
      <c r="W105" s="224">
        <v>0.67</v>
      </c>
      <c r="X105" s="224">
        <v>1.48</v>
      </c>
      <c r="Y105" s="224">
        <v>2.2999999999999998</v>
      </c>
      <c r="AA105" s="224">
        <f t="shared" si="22"/>
        <v>7.6000000000000005</v>
      </c>
      <c r="AB105" s="224">
        <f t="shared" si="23"/>
        <v>8.07</v>
      </c>
      <c r="AC105" s="224">
        <f t="shared" si="24"/>
        <v>8.2200000000000006</v>
      </c>
      <c r="AE105" s="238"/>
      <c r="AF105" s="238"/>
      <c r="AG105" s="238"/>
    </row>
    <row r="106" spans="1:33" x14ac:dyDescent="0.2">
      <c r="A106" s="15">
        <f t="shared" si="15"/>
        <v>96</v>
      </c>
      <c r="B106" s="9" t="s">
        <v>68</v>
      </c>
      <c r="C106" s="9"/>
      <c r="D106" s="222" t="s">
        <v>67</v>
      </c>
      <c r="E106" s="22" t="s">
        <v>498</v>
      </c>
      <c r="F106" s="223">
        <v>0</v>
      </c>
      <c r="G106" s="224">
        <v>2.31</v>
      </c>
      <c r="H106" s="224">
        <v>1.02</v>
      </c>
      <c r="I106" s="224">
        <v>0.56000000000000005</v>
      </c>
      <c r="J106" s="224">
        <v>2.9</v>
      </c>
      <c r="K106" s="224">
        <v>6.79</v>
      </c>
      <c r="L106" s="224">
        <v>6.79</v>
      </c>
      <c r="M106" s="224">
        <v>6.79</v>
      </c>
      <c r="O106" s="224">
        <v>7.0000000000000007E-2</v>
      </c>
      <c r="P106" s="224">
        <v>0.08</v>
      </c>
      <c r="Q106" s="224">
        <v>0.11</v>
      </c>
      <c r="S106" s="224">
        <v>2.37</v>
      </c>
      <c r="T106" s="224">
        <v>1.86</v>
      </c>
      <c r="U106" s="224">
        <v>0.83</v>
      </c>
      <c r="W106" s="224">
        <v>1.01</v>
      </c>
      <c r="X106" s="224">
        <v>2.2200000000000002</v>
      </c>
      <c r="Y106" s="224">
        <v>3.45</v>
      </c>
      <c r="AA106" s="224">
        <f t="shared" si="22"/>
        <v>10.24</v>
      </c>
      <c r="AB106" s="224">
        <f t="shared" si="23"/>
        <v>10.950000000000001</v>
      </c>
      <c r="AC106" s="224">
        <f t="shared" si="24"/>
        <v>11.18</v>
      </c>
      <c r="AE106" s="238"/>
      <c r="AF106" s="238"/>
      <c r="AG106" s="238"/>
    </row>
    <row r="107" spans="1:33" x14ac:dyDescent="0.2">
      <c r="A107" s="15">
        <f t="shared" si="15"/>
        <v>97</v>
      </c>
      <c r="B107" s="9" t="s">
        <v>68</v>
      </c>
      <c r="C107" s="9"/>
      <c r="D107" s="222" t="s">
        <v>67</v>
      </c>
      <c r="E107" s="22" t="s">
        <v>499</v>
      </c>
      <c r="F107" s="223">
        <v>0</v>
      </c>
      <c r="G107" s="224">
        <v>2.31</v>
      </c>
      <c r="H107" s="224">
        <v>1.36</v>
      </c>
      <c r="I107" s="224">
        <v>0.75</v>
      </c>
      <c r="J107" s="224">
        <v>3.87</v>
      </c>
      <c r="K107" s="224">
        <v>8.2899999999999991</v>
      </c>
      <c r="L107" s="224">
        <v>8.2899999999999991</v>
      </c>
      <c r="M107" s="224">
        <v>8.2899999999999991</v>
      </c>
      <c r="O107" s="224">
        <v>0.09</v>
      </c>
      <c r="P107" s="224">
        <v>0.1</v>
      </c>
      <c r="Q107" s="224">
        <v>0.14000000000000001</v>
      </c>
      <c r="S107" s="224">
        <v>3.16</v>
      </c>
      <c r="T107" s="224">
        <v>2.48</v>
      </c>
      <c r="U107" s="224">
        <v>1.1100000000000001</v>
      </c>
      <c r="W107" s="224">
        <v>1.34</v>
      </c>
      <c r="X107" s="224">
        <v>2.96</v>
      </c>
      <c r="Y107" s="224">
        <v>4.5999999999999996</v>
      </c>
      <c r="AA107" s="224">
        <f t="shared" si="22"/>
        <v>12.879999999999999</v>
      </c>
      <c r="AB107" s="224">
        <f t="shared" si="23"/>
        <v>13.829999999999998</v>
      </c>
      <c r="AC107" s="224">
        <f t="shared" si="24"/>
        <v>14.139999999999999</v>
      </c>
      <c r="AE107" s="238"/>
      <c r="AF107" s="238"/>
      <c r="AG107" s="238"/>
    </row>
    <row r="108" spans="1:33" x14ac:dyDescent="0.2">
      <c r="A108" s="15">
        <f t="shared" si="15"/>
        <v>98</v>
      </c>
      <c r="B108" s="9" t="s">
        <v>68</v>
      </c>
      <c r="C108" s="9"/>
      <c r="D108" s="222" t="s">
        <v>67</v>
      </c>
      <c r="E108" s="22" t="s">
        <v>500</v>
      </c>
      <c r="F108" s="223">
        <v>0</v>
      </c>
      <c r="G108" s="224">
        <v>2.31</v>
      </c>
      <c r="H108" s="224">
        <v>1.7</v>
      </c>
      <c r="I108" s="224">
        <v>0.93</v>
      </c>
      <c r="J108" s="224">
        <v>4.84</v>
      </c>
      <c r="K108" s="224">
        <v>9.7799999999999994</v>
      </c>
      <c r="L108" s="224">
        <v>9.7799999999999994</v>
      </c>
      <c r="M108" s="224">
        <v>9.7799999999999994</v>
      </c>
      <c r="O108" s="224">
        <v>0.11</v>
      </c>
      <c r="P108" s="224">
        <v>0.13</v>
      </c>
      <c r="Q108" s="224">
        <v>0.18</v>
      </c>
      <c r="S108" s="224">
        <v>3.95</v>
      </c>
      <c r="T108" s="224">
        <v>3.1</v>
      </c>
      <c r="U108" s="224">
        <v>1.38</v>
      </c>
      <c r="W108" s="224">
        <v>1.68</v>
      </c>
      <c r="X108" s="224">
        <v>3.7</v>
      </c>
      <c r="Y108" s="224">
        <v>5.75</v>
      </c>
      <c r="AA108" s="224">
        <f t="shared" si="22"/>
        <v>15.52</v>
      </c>
      <c r="AB108" s="224">
        <f t="shared" si="23"/>
        <v>16.71</v>
      </c>
      <c r="AC108" s="224">
        <f t="shared" si="24"/>
        <v>17.09</v>
      </c>
      <c r="AE108" s="238"/>
      <c r="AF108" s="238"/>
      <c r="AG108" s="238"/>
    </row>
    <row r="109" spans="1:33" x14ac:dyDescent="0.2">
      <c r="A109" s="15">
        <f t="shared" si="15"/>
        <v>99</v>
      </c>
      <c r="B109" s="9" t="s">
        <v>68</v>
      </c>
      <c r="C109" s="9"/>
      <c r="D109" s="222" t="s">
        <v>67</v>
      </c>
      <c r="E109" s="22" t="s">
        <v>501</v>
      </c>
      <c r="F109" s="223">
        <v>0</v>
      </c>
      <c r="G109" s="224">
        <v>2.31</v>
      </c>
      <c r="H109" s="224">
        <v>2.1</v>
      </c>
      <c r="I109" s="224">
        <v>1.1599999999999999</v>
      </c>
      <c r="J109" s="224">
        <v>6</v>
      </c>
      <c r="K109" s="224">
        <v>11.57</v>
      </c>
      <c r="L109" s="224">
        <v>11.57</v>
      </c>
      <c r="M109" s="224">
        <v>11.57</v>
      </c>
      <c r="O109" s="224">
        <v>0.14000000000000001</v>
      </c>
      <c r="P109" s="224">
        <v>0.16</v>
      </c>
      <c r="Q109" s="224">
        <v>0.22</v>
      </c>
      <c r="S109" s="224">
        <v>4.8899999999999997</v>
      </c>
      <c r="T109" s="224">
        <v>3.84</v>
      </c>
      <c r="U109" s="224">
        <v>1.71</v>
      </c>
      <c r="W109" s="224">
        <v>2.08</v>
      </c>
      <c r="X109" s="224">
        <v>4.58</v>
      </c>
      <c r="Y109" s="224">
        <v>7.12</v>
      </c>
      <c r="AA109" s="224">
        <f t="shared" si="22"/>
        <v>18.68</v>
      </c>
      <c r="AB109" s="224">
        <f t="shared" si="23"/>
        <v>20.149999999999999</v>
      </c>
      <c r="AC109" s="224">
        <f t="shared" si="24"/>
        <v>20.62</v>
      </c>
      <c r="AE109" s="238"/>
      <c r="AF109" s="238"/>
      <c r="AG109" s="238"/>
    </row>
    <row r="110" spans="1:33" x14ac:dyDescent="0.2">
      <c r="A110" s="15">
        <f t="shared" si="15"/>
        <v>100</v>
      </c>
      <c r="B110" s="9" t="s">
        <v>68</v>
      </c>
      <c r="C110" s="9"/>
      <c r="D110" s="222" t="s">
        <v>67</v>
      </c>
      <c r="E110" s="22" t="s">
        <v>502</v>
      </c>
      <c r="F110" s="223">
        <v>0</v>
      </c>
      <c r="G110" s="224">
        <v>2.31</v>
      </c>
      <c r="H110" s="224">
        <v>2.71</v>
      </c>
      <c r="I110" s="224">
        <v>1.49</v>
      </c>
      <c r="J110" s="224">
        <v>7.75</v>
      </c>
      <c r="K110" s="224">
        <v>14.26</v>
      </c>
      <c r="L110" s="224">
        <v>14.26</v>
      </c>
      <c r="M110" s="224">
        <v>14.26</v>
      </c>
      <c r="O110" s="224">
        <v>0.18</v>
      </c>
      <c r="P110" s="224">
        <v>0.2</v>
      </c>
      <c r="Q110" s="224">
        <v>0.28999999999999998</v>
      </c>
      <c r="S110" s="224">
        <v>6.31</v>
      </c>
      <c r="T110" s="224">
        <v>4.96</v>
      </c>
      <c r="U110" s="224">
        <v>2.21</v>
      </c>
      <c r="W110" s="224">
        <v>2.68</v>
      </c>
      <c r="X110" s="224">
        <v>5.92</v>
      </c>
      <c r="Y110" s="224">
        <v>9.19</v>
      </c>
      <c r="AA110" s="224">
        <f t="shared" si="22"/>
        <v>23.43</v>
      </c>
      <c r="AB110" s="224">
        <f t="shared" si="23"/>
        <v>25.339999999999996</v>
      </c>
      <c r="AC110" s="224">
        <f t="shared" si="24"/>
        <v>25.949999999999996</v>
      </c>
      <c r="AE110" s="238"/>
      <c r="AF110" s="238"/>
      <c r="AG110" s="238"/>
    </row>
    <row r="111" spans="1:33" x14ac:dyDescent="0.2">
      <c r="A111" s="15">
        <f t="shared" si="15"/>
        <v>101</v>
      </c>
      <c r="B111" s="9" t="s">
        <v>68</v>
      </c>
      <c r="C111" s="9"/>
      <c r="D111" s="222" t="s">
        <v>67</v>
      </c>
      <c r="E111" s="22" t="s">
        <v>207</v>
      </c>
      <c r="F111" s="223">
        <v>0</v>
      </c>
      <c r="G111" s="224">
        <v>2.31</v>
      </c>
      <c r="H111" s="224">
        <v>6.78</v>
      </c>
      <c r="I111" s="224">
        <v>3.73</v>
      </c>
      <c r="J111" s="224">
        <v>19.36</v>
      </c>
      <c r="K111" s="224">
        <v>32.18</v>
      </c>
      <c r="L111" s="224">
        <v>32.18</v>
      </c>
      <c r="M111" s="224">
        <v>32.18</v>
      </c>
      <c r="O111" s="224">
        <v>0.46</v>
      </c>
      <c r="P111" s="224">
        <v>0.5</v>
      </c>
      <c r="Q111" s="224">
        <v>0.72</v>
      </c>
      <c r="S111" s="224">
        <v>15.78</v>
      </c>
      <c r="T111" s="224">
        <v>12.4</v>
      </c>
      <c r="U111" s="224">
        <v>5.53</v>
      </c>
      <c r="W111" s="224">
        <v>6.71</v>
      </c>
      <c r="X111" s="224">
        <v>14.79</v>
      </c>
      <c r="Y111" s="224">
        <v>22.98</v>
      </c>
      <c r="AA111" s="224">
        <f t="shared" si="22"/>
        <v>55.13</v>
      </c>
      <c r="AB111" s="224">
        <f t="shared" si="23"/>
        <v>59.87</v>
      </c>
      <c r="AC111" s="224">
        <f t="shared" si="24"/>
        <v>61.41</v>
      </c>
      <c r="AE111" s="238"/>
      <c r="AF111" s="238"/>
      <c r="AG111" s="238"/>
    </row>
    <row r="112" spans="1:33" x14ac:dyDescent="0.2">
      <c r="A112" s="15">
        <f t="shared" si="15"/>
        <v>102</v>
      </c>
      <c r="B112" s="9"/>
      <c r="C112" s="9"/>
      <c r="D112" s="222"/>
      <c r="E112" s="22"/>
      <c r="F112" s="223"/>
      <c r="G112" s="224"/>
      <c r="H112" s="224"/>
      <c r="I112" s="224"/>
      <c r="J112" s="224"/>
      <c r="K112" s="224"/>
      <c r="O112" s="224"/>
      <c r="S112" s="224"/>
      <c r="W112" s="224"/>
      <c r="AA112" s="224"/>
      <c r="AE112" s="238"/>
      <c r="AF112" s="238"/>
      <c r="AG112" s="238"/>
    </row>
    <row r="113" spans="1:33" x14ac:dyDescent="0.2">
      <c r="A113" s="15">
        <f t="shared" si="15"/>
        <v>103</v>
      </c>
      <c r="B113" s="9" t="s">
        <v>68</v>
      </c>
      <c r="C113" s="9"/>
      <c r="D113" s="222" t="s">
        <v>77</v>
      </c>
      <c r="E113" s="22" t="s">
        <v>201</v>
      </c>
      <c r="F113" s="223">
        <v>0</v>
      </c>
      <c r="G113" s="224">
        <v>4.63</v>
      </c>
      <c r="H113" s="224">
        <v>0.47</v>
      </c>
      <c r="I113" s="224">
        <v>0.26</v>
      </c>
      <c r="J113" s="224">
        <v>1.36</v>
      </c>
      <c r="K113" s="224">
        <v>6.72</v>
      </c>
      <c r="L113" s="224">
        <v>6.72</v>
      </c>
      <c r="M113" s="224">
        <v>6.72</v>
      </c>
      <c r="O113" s="224">
        <v>0.03</v>
      </c>
      <c r="P113" s="224">
        <v>0.04</v>
      </c>
      <c r="Q113" s="224">
        <v>0.05</v>
      </c>
      <c r="S113" s="224">
        <v>1.1000000000000001</v>
      </c>
      <c r="T113" s="224">
        <v>0.87</v>
      </c>
      <c r="U113" s="224">
        <v>0.39</v>
      </c>
      <c r="W113" s="224">
        <v>0.47</v>
      </c>
      <c r="X113" s="224">
        <v>1.04</v>
      </c>
      <c r="Y113" s="224">
        <v>1.61</v>
      </c>
      <c r="AA113" s="224">
        <f t="shared" ref="AA113:AC118" si="25">K113+O113+S113+W113</f>
        <v>8.32</v>
      </c>
      <c r="AB113" s="224">
        <f t="shared" si="25"/>
        <v>8.67</v>
      </c>
      <c r="AC113" s="224">
        <f t="shared" si="25"/>
        <v>8.77</v>
      </c>
      <c r="AE113" s="238"/>
      <c r="AF113" s="238"/>
      <c r="AG113" s="238"/>
    </row>
    <row r="114" spans="1:33" x14ac:dyDescent="0.2">
      <c r="A114" s="15">
        <f t="shared" si="15"/>
        <v>104</v>
      </c>
      <c r="B114" s="9" t="s">
        <v>68</v>
      </c>
      <c r="C114" s="9"/>
      <c r="D114" s="222" t="s">
        <v>77</v>
      </c>
      <c r="E114" s="22" t="s">
        <v>202</v>
      </c>
      <c r="F114" s="223">
        <v>0</v>
      </c>
      <c r="G114" s="224">
        <v>4.63</v>
      </c>
      <c r="H114" s="224">
        <v>0.68</v>
      </c>
      <c r="I114" s="224">
        <v>0.37</v>
      </c>
      <c r="J114" s="224">
        <v>1.94</v>
      </c>
      <c r="K114" s="224">
        <v>7.6199999999999992</v>
      </c>
      <c r="L114" s="224">
        <v>7.6199999999999992</v>
      </c>
      <c r="M114" s="224">
        <v>7.6199999999999992</v>
      </c>
      <c r="O114" s="224">
        <v>0.05</v>
      </c>
      <c r="P114" s="224">
        <v>0.05</v>
      </c>
      <c r="Q114" s="224">
        <v>7.0000000000000007E-2</v>
      </c>
      <c r="S114" s="224">
        <v>1.58</v>
      </c>
      <c r="T114" s="224">
        <v>1.24</v>
      </c>
      <c r="U114" s="224">
        <v>0.55000000000000004</v>
      </c>
      <c r="W114" s="224">
        <v>0.67</v>
      </c>
      <c r="X114" s="224">
        <v>1.48</v>
      </c>
      <c r="Y114" s="224">
        <v>2.2999999999999998</v>
      </c>
      <c r="AA114" s="224">
        <f t="shared" si="25"/>
        <v>9.92</v>
      </c>
      <c r="AB114" s="224">
        <f t="shared" si="25"/>
        <v>10.389999999999999</v>
      </c>
      <c r="AC114" s="224">
        <f t="shared" si="25"/>
        <v>10.54</v>
      </c>
      <c r="AE114" s="238"/>
      <c r="AF114" s="238"/>
      <c r="AG114" s="238"/>
    </row>
    <row r="115" spans="1:33" x14ac:dyDescent="0.2">
      <c r="A115" s="15">
        <f t="shared" si="15"/>
        <v>105</v>
      </c>
      <c r="B115" s="9" t="s">
        <v>68</v>
      </c>
      <c r="C115" s="9"/>
      <c r="D115" s="222" t="s">
        <v>77</v>
      </c>
      <c r="E115" s="22" t="s">
        <v>203</v>
      </c>
      <c r="F115" s="223">
        <v>0</v>
      </c>
      <c r="G115" s="224">
        <v>4.63</v>
      </c>
      <c r="H115" s="224">
        <v>1.02</v>
      </c>
      <c r="I115" s="224">
        <v>0.56000000000000005</v>
      </c>
      <c r="J115" s="224">
        <v>2.9</v>
      </c>
      <c r="K115" s="224">
        <v>9.1100000000000012</v>
      </c>
      <c r="L115" s="224">
        <v>9.1100000000000012</v>
      </c>
      <c r="M115" s="224">
        <v>9.1100000000000012</v>
      </c>
      <c r="O115" s="224">
        <v>7.0000000000000007E-2</v>
      </c>
      <c r="P115" s="224">
        <v>0.08</v>
      </c>
      <c r="Q115" s="224">
        <v>0.11</v>
      </c>
      <c r="S115" s="224">
        <v>2.37</v>
      </c>
      <c r="T115" s="224">
        <v>1.86</v>
      </c>
      <c r="U115" s="224">
        <v>0.83</v>
      </c>
      <c r="W115" s="224">
        <v>1.01</v>
      </c>
      <c r="X115" s="224">
        <v>2.2200000000000002</v>
      </c>
      <c r="Y115" s="224">
        <v>3.45</v>
      </c>
      <c r="AA115" s="224">
        <f t="shared" si="25"/>
        <v>12.56</v>
      </c>
      <c r="AB115" s="224">
        <f t="shared" si="25"/>
        <v>13.270000000000001</v>
      </c>
      <c r="AC115" s="224">
        <f t="shared" si="25"/>
        <v>13.5</v>
      </c>
      <c r="AE115" s="238"/>
      <c r="AF115" s="238"/>
      <c r="AG115" s="238"/>
    </row>
    <row r="116" spans="1:33" x14ac:dyDescent="0.2">
      <c r="A116" s="15">
        <f t="shared" si="15"/>
        <v>106</v>
      </c>
      <c r="B116" s="9" t="s">
        <v>68</v>
      </c>
      <c r="C116" s="9"/>
      <c r="D116" s="222" t="s">
        <v>77</v>
      </c>
      <c r="E116" s="22" t="s">
        <v>503</v>
      </c>
      <c r="F116" s="223">
        <v>0</v>
      </c>
      <c r="G116" s="224">
        <v>4.63</v>
      </c>
      <c r="H116" s="224">
        <v>1.19</v>
      </c>
      <c r="I116" s="224">
        <v>0.65</v>
      </c>
      <c r="J116" s="224">
        <v>3.39</v>
      </c>
      <c r="K116" s="224">
        <v>9.8600000000000012</v>
      </c>
      <c r="L116" s="224">
        <v>9.8600000000000012</v>
      </c>
      <c r="M116" s="224">
        <v>9.8600000000000012</v>
      </c>
      <c r="O116" s="224">
        <v>0.08</v>
      </c>
      <c r="P116" s="224">
        <v>0.09</v>
      </c>
      <c r="Q116" s="224">
        <v>0.13</v>
      </c>
      <c r="S116" s="224">
        <v>2.76</v>
      </c>
      <c r="T116" s="224">
        <v>2.17</v>
      </c>
      <c r="U116" s="224">
        <v>0.97</v>
      </c>
      <c r="W116" s="224">
        <v>1.17</v>
      </c>
      <c r="X116" s="224">
        <v>2.59</v>
      </c>
      <c r="Y116" s="224">
        <v>4.0199999999999996</v>
      </c>
      <c r="AA116" s="224">
        <f t="shared" si="25"/>
        <v>13.870000000000001</v>
      </c>
      <c r="AB116" s="224">
        <f t="shared" si="25"/>
        <v>14.71</v>
      </c>
      <c r="AC116" s="224">
        <f t="shared" si="25"/>
        <v>14.980000000000002</v>
      </c>
      <c r="AE116" s="238"/>
      <c r="AF116" s="238"/>
      <c r="AG116" s="238"/>
    </row>
    <row r="117" spans="1:33" x14ac:dyDescent="0.2">
      <c r="A117" s="15">
        <f t="shared" si="15"/>
        <v>107</v>
      </c>
      <c r="B117" s="9" t="s">
        <v>68</v>
      </c>
      <c r="C117" s="9"/>
      <c r="D117" s="222" t="s">
        <v>77</v>
      </c>
      <c r="E117" s="22" t="s">
        <v>204</v>
      </c>
      <c r="F117" s="223">
        <v>0</v>
      </c>
      <c r="G117" s="224">
        <v>4.63</v>
      </c>
      <c r="H117" s="224">
        <v>1.7</v>
      </c>
      <c r="I117" s="224">
        <v>0.93</v>
      </c>
      <c r="J117" s="224">
        <v>4.84</v>
      </c>
      <c r="K117" s="224">
        <v>12.1</v>
      </c>
      <c r="L117" s="224">
        <v>12.1</v>
      </c>
      <c r="M117" s="224">
        <v>12.1</v>
      </c>
      <c r="O117" s="224">
        <v>0.11</v>
      </c>
      <c r="P117" s="224">
        <v>0.13</v>
      </c>
      <c r="Q117" s="224">
        <v>0.18</v>
      </c>
      <c r="S117" s="224">
        <v>3.95</v>
      </c>
      <c r="T117" s="224">
        <v>3.1</v>
      </c>
      <c r="U117" s="224">
        <v>1.38</v>
      </c>
      <c r="W117" s="224">
        <v>1.68</v>
      </c>
      <c r="X117" s="224">
        <v>3.7</v>
      </c>
      <c r="Y117" s="224">
        <v>5.75</v>
      </c>
      <c r="AA117" s="224">
        <f t="shared" si="25"/>
        <v>17.84</v>
      </c>
      <c r="AB117" s="224">
        <f t="shared" si="25"/>
        <v>19.03</v>
      </c>
      <c r="AC117" s="224">
        <f t="shared" si="25"/>
        <v>19.41</v>
      </c>
      <c r="AE117" s="238"/>
      <c r="AF117" s="238"/>
      <c r="AG117" s="238"/>
    </row>
    <row r="118" spans="1:33" x14ac:dyDescent="0.2">
      <c r="A118" s="15">
        <f t="shared" si="15"/>
        <v>108</v>
      </c>
      <c r="B118" s="9" t="s">
        <v>68</v>
      </c>
      <c r="C118" s="9"/>
      <c r="D118" s="222" t="s">
        <v>77</v>
      </c>
      <c r="E118" s="22" t="s">
        <v>205</v>
      </c>
      <c r="F118" s="223">
        <v>0</v>
      </c>
      <c r="G118" s="224">
        <v>4.63</v>
      </c>
      <c r="H118" s="224">
        <v>2.71</v>
      </c>
      <c r="I118" s="224">
        <v>1.49</v>
      </c>
      <c r="J118" s="224">
        <v>7.75</v>
      </c>
      <c r="K118" s="224">
        <v>16.579999999999998</v>
      </c>
      <c r="L118" s="224">
        <v>16.579999999999998</v>
      </c>
      <c r="M118" s="224">
        <v>16.579999999999998</v>
      </c>
      <c r="O118" s="224">
        <v>0.18</v>
      </c>
      <c r="P118" s="224">
        <v>0.2</v>
      </c>
      <c r="Q118" s="224">
        <v>0.28999999999999998</v>
      </c>
      <c r="S118" s="224">
        <v>6.31</v>
      </c>
      <c r="T118" s="224">
        <v>4.96</v>
      </c>
      <c r="U118" s="224">
        <v>2.21</v>
      </c>
      <c r="W118" s="224">
        <v>2.68</v>
      </c>
      <c r="X118" s="224">
        <v>5.92</v>
      </c>
      <c r="Y118" s="224">
        <v>9.19</v>
      </c>
      <c r="AA118" s="224">
        <f t="shared" si="25"/>
        <v>25.749999999999996</v>
      </c>
      <c r="AB118" s="224">
        <f t="shared" si="25"/>
        <v>27.659999999999997</v>
      </c>
      <c r="AC118" s="224">
        <f t="shared" si="25"/>
        <v>28.269999999999996</v>
      </c>
      <c r="AE118" s="238"/>
      <c r="AF118" s="238"/>
      <c r="AG118" s="238"/>
    </row>
    <row r="119" spans="1:33" x14ac:dyDescent="0.2">
      <c r="A119" s="15">
        <f t="shared" si="15"/>
        <v>109</v>
      </c>
      <c r="B119" s="9"/>
      <c r="C119" s="9"/>
      <c r="D119" s="222"/>
      <c r="E119" s="22"/>
      <c r="F119" s="223"/>
      <c r="G119" s="224"/>
      <c r="H119" s="224"/>
      <c r="I119" s="224"/>
      <c r="J119" s="224"/>
      <c r="K119" s="224"/>
      <c r="O119" s="224"/>
      <c r="S119" s="224"/>
      <c r="W119" s="224"/>
      <c r="AA119" s="224"/>
      <c r="AE119" s="238"/>
      <c r="AF119" s="238"/>
      <c r="AG119" s="238"/>
    </row>
    <row r="120" spans="1:33" x14ac:dyDescent="0.2">
      <c r="A120" s="15">
        <f t="shared" si="15"/>
        <v>110</v>
      </c>
      <c r="B120" s="9" t="s">
        <v>68</v>
      </c>
      <c r="C120" s="9"/>
      <c r="D120" s="222" t="s">
        <v>83</v>
      </c>
      <c r="E120" s="22" t="s">
        <v>409</v>
      </c>
      <c r="F120" s="223">
        <v>0</v>
      </c>
      <c r="G120" s="224">
        <v>0.46</v>
      </c>
      <c r="H120" s="224">
        <v>0.1</v>
      </c>
      <c r="I120" s="224">
        <v>0.06</v>
      </c>
      <c r="J120" s="224">
        <v>0.28999999999999998</v>
      </c>
      <c r="K120" s="224">
        <v>0.91000000000000014</v>
      </c>
      <c r="L120" s="224">
        <v>0.91000000000000014</v>
      </c>
      <c r="M120" s="224">
        <v>0.91000000000000014</v>
      </c>
      <c r="O120" s="224">
        <v>0.01</v>
      </c>
      <c r="P120" s="224">
        <v>0.01</v>
      </c>
      <c r="Q120" s="224">
        <v>0.01</v>
      </c>
      <c r="S120" s="224">
        <v>0.24</v>
      </c>
      <c r="T120" s="224">
        <v>0.19</v>
      </c>
      <c r="U120" s="224">
        <v>0.08</v>
      </c>
      <c r="W120" s="224">
        <v>0.1</v>
      </c>
      <c r="X120" s="224">
        <v>0.22</v>
      </c>
      <c r="Y120" s="224">
        <v>0.34</v>
      </c>
      <c r="AA120" s="224">
        <f t="shared" ref="AA120:AA129" si="26">K120+O120+S120+W120</f>
        <v>1.2600000000000002</v>
      </c>
      <c r="AB120" s="224">
        <f t="shared" ref="AB120:AB129" si="27">L120+P120+T120+X120</f>
        <v>1.33</v>
      </c>
      <c r="AC120" s="224">
        <f t="shared" ref="AC120:AC129" si="28">M120+Q120+U120+Y120</f>
        <v>1.3400000000000003</v>
      </c>
      <c r="AE120" s="238"/>
      <c r="AF120" s="238"/>
      <c r="AG120" s="238"/>
    </row>
    <row r="121" spans="1:33" x14ac:dyDescent="0.2">
      <c r="A121" s="15">
        <f t="shared" si="15"/>
        <v>111</v>
      </c>
      <c r="B121" s="9" t="s">
        <v>68</v>
      </c>
      <c r="C121" s="9"/>
      <c r="D121" s="222" t="s">
        <v>83</v>
      </c>
      <c r="E121" s="22" t="s">
        <v>190</v>
      </c>
      <c r="F121" s="223">
        <v>0</v>
      </c>
      <c r="G121" s="224">
        <v>0.46</v>
      </c>
      <c r="H121" s="224">
        <v>0.31</v>
      </c>
      <c r="I121" s="224">
        <v>0.17</v>
      </c>
      <c r="J121" s="224">
        <v>0.87</v>
      </c>
      <c r="K121" s="224">
        <v>1.81</v>
      </c>
      <c r="L121" s="224">
        <v>1.81</v>
      </c>
      <c r="M121" s="224">
        <v>1.81</v>
      </c>
      <c r="O121" s="224">
        <v>0.02</v>
      </c>
      <c r="P121" s="224">
        <v>0.02</v>
      </c>
      <c r="Q121" s="224">
        <v>0.03</v>
      </c>
      <c r="S121" s="224">
        <v>0.71</v>
      </c>
      <c r="T121" s="224">
        <v>0.56000000000000005</v>
      </c>
      <c r="U121" s="224">
        <v>0.25</v>
      </c>
      <c r="W121" s="224">
        <v>0.3</v>
      </c>
      <c r="X121" s="224">
        <v>0.67</v>
      </c>
      <c r="Y121" s="224">
        <v>1.03</v>
      </c>
      <c r="AA121" s="224">
        <f t="shared" si="26"/>
        <v>2.84</v>
      </c>
      <c r="AB121" s="224">
        <f t="shared" si="27"/>
        <v>3.06</v>
      </c>
      <c r="AC121" s="224">
        <f t="shared" si="28"/>
        <v>3.12</v>
      </c>
      <c r="AE121" s="238"/>
      <c r="AF121" s="238"/>
      <c r="AG121" s="238"/>
    </row>
    <row r="122" spans="1:33" x14ac:dyDescent="0.2">
      <c r="A122" s="15">
        <f t="shared" si="15"/>
        <v>112</v>
      </c>
      <c r="B122" s="9" t="s">
        <v>68</v>
      </c>
      <c r="C122" s="9"/>
      <c r="D122" s="222" t="s">
        <v>83</v>
      </c>
      <c r="E122" s="22" t="s">
        <v>191</v>
      </c>
      <c r="F122" s="223">
        <v>0</v>
      </c>
      <c r="G122" s="224">
        <v>0.46</v>
      </c>
      <c r="H122" s="224">
        <v>0.51</v>
      </c>
      <c r="I122" s="224">
        <v>0.28000000000000003</v>
      </c>
      <c r="J122" s="224">
        <v>1.45</v>
      </c>
      <c r="K122" s="224">
        <v>2.7</v>
      </c>
      <c r="L122" s="224">
        <v>2.7</v>
      </c>
      <c r="M122" s="224">
        <v>2.7</v>
      </c>
      <c r="O122" s="224">
        <v>0.03</v>
      </c>
      <c r="P122" s="224">
        <v>0.04</v>
      </c>
      <c r="Q122" s="224">
        <v>0.05</v>
      </c>
      <c r="S122" s="224">
        <v>1.18</v>
      </c>
      <c r="T122" s="224">
        <v>0.93</v>
      </c>
      <c r="U122" s="224">
        <v>0.41</v>
      </c>
      <c r="W122" s="224">
        <v>0.5</v>
      </c>
      <c r="X122" s="224">
        <v>1.1100000000000001</v>
      </c>
      <c r="Y122" s="224">
        <v>1.72</v>
      </c>
      <c r="AA122" s="224">
        <f t="shared" si="26"/>
        <v>4.41</v>
      </c>
      <c r="AB122" s="224">
        <f t="shared" si="27"/>
        <v>4.78</v>
      </c>
      <c r="AC122" s="224">
        <f t="shared" si="28"/>
        <v>4.88</v>
      </c>
      <c r="AE122" s="238"/>
      <c r="AF122" s="238"/>
      <c r="AG122" s="238"/>
    </row>
    <row r="123" spans="1:33" x14ac:dyDescent="0.2">
      <c r="A123" s="15">
        <f t="shared" si="15"/>
        <v>113</v>
      </c>
      <c r="B123" s="9" t="s">
        <v>68</v>
      </c>
      <c r="C123" s="9"/>
      <c r="D123" s="222" t="s">
        <v>83</v>
      </c>
      <c r="E123" s="22" t="s">
        <v>192</v>
      </c>
      <c r="F123" s="223">
        <v>0</v>
      </c>
      <c r="G123" s="224">
        <v>0.46</v>
      </c>
      <c r="H123" s="224">
        <v>0.71</v>
      </c>
      <c r="I123" s="224">
        <v>0.39</v>
      </c>
      <c r="J123" s="224">
        <v>2.0299999999999998</v>
      </c>
      <c r="K123" s="224">
        <v>3.59</v>
      </c>
      <c r="L123" s="224">
        <v>3.59</v>
      </c>
      <c r="M123" s="224">
        <v>3.59</v>
      </c>
      <c r="O123" s="224">
        <v>0.05</v>
      </c>
      <c r="P123" s="224">
        <v>0.05</v>
      </c>
      <c r="Q123" s="224">
        <v>0.08</v>
      </c>
      <c r="S123" s="224">
        <v>1.66</v>
      </c>
      <c r="T123" s="224">
        <v>1.3</v>
      </c>
      <c r="U123" s="224">
        <v>0.57999999999999996</v>
      </c>
      <c r="W123" s="224">
        <v>0.7</v>
      </c>
      <c r="X123" s="224">
        <v>1.55</v>
      </c>
      <c r="Y123" s="224">
        <v>2.41</v>
      </c>
      <c r="AA123" s="224">
        <f t="shared" si="26"/>
        <v>6</v>
      </c>
      <c r="AB123" s="224">
        <f t="shared" si="27"/>
        <v>6.4899999999999993</v>
      </c>
      <c r="AC123" s="224">
        <f t="shared" si="28"/>
        <v>6.66</v>
      </c>
      <c r="AE123" s="238"/>
      <c r="AF123" s="238"/>
      <c r="AG123" s="238"/>
    </row>
    <row r="124" spans="1:33" x14ac:dyDescent="0.2">
      <c r="A124" s="15">
        <f t="shared" si="15"/>
        <v>114</v>
      </c>
      <c r="B124" s="9" t="s">
        <v>68</v>
      </c>
      <c r="C124" s="9"/>
      <c r="D124" s="222" t="s">
        <v>83</v>
      </c>
      <c r="E124" s="22" t="s">
        <v>193</v>
      </c>
      <c r="F124" s="223">
        <v>0</v>
      </c>
      <c r="G124" s="224">
        <v>0.46</v>
      </c>
      <c r="H124" s="224">
        <v>0.92</v>
      </c>
      <c r="I124" s="224">
        <v>0.5</v>
      </c>
      <c r="J124" s="224">
        <v>2.61</v>
      </c>
      <c r="K124" s="224">
        <v>4.49</v>
      </c>
      <c r="L124" s="224">
        <v>4.49</v>
      </c>
      <c r="M124" s="224">
        <v>4.49</v>
      </c>
      <c r="O124" s="224">
        <v>0.06</v>
      </c>
      <c r="P124" s="224">
        <v>7.0000000000000007E-2</v>
      </c>
      <c r="Q124" s="224">
        <v>0.1</v>
      </c>
      <c r="S124" s="224">
        <v>2.13</v>
      </c>
      <c r="T124" s="224">
        <v>1.67</v>
      </c>
      <c r="U124" s="224">
        <v>0.75</v>
      </c>
      <c r="W124" s="224">
        <v>0.91</v>
      </c>
      <c r="X124" s="224">
        <v>2</v>
      </c>
      <c r="Y124" s="224">
        <v>3.1</v>
      </c>
      <c r="AA124" s="224">
        <f t="shared" si="26"/>
        <v>7.59</v>
      </c>
      <c r="AB124" s="224">
        <f t="shared" si="27"/>
        <v>8.23</v>
      </c>
      <c r="AC124" s="224">
        <f t="shared" si="28"/>
        <v>8.44</v>
      </c>
      <c r="AE124" s="238"/>
      <c r="AF124" s="238"/>
      <c r="AG124" s="238"/>
    </row>
    <row r="125" spans="1:33" x14ac:dyDescent="0.2">
      <c r="A125" s="15">
        <f t="shared" si="15"/>
        <v>115</v>
      </c>
      <c r="B125" s="9" t="s">
        <v>68</v>
      </c>
      <c r="C125" s="9"/>
      <c r="D125" s="222" t="s">
        <v>83</v>
      </c>
      <c r="E125" s="22" t="s">
        <v>194</v>
      </c>
      <c r="F125" s="223">
        <v>0</v>
      </c>
      <c r="G125" s="224">
        <v>0.46</v>
      </c>
      <c r="H125" s="224">
        <v>1.1200000000000001</v>
      </c>
      <c r="I125" s="224">
        <v>0.62</v>
      </c>
      <c r="J125" s="224">
        <v>3.19</v>
      </c>
      <c r="K125" s="224">
        <v>5.3900000000000006</v>
      </c>
      <c r="L125" s="224">
        <v>5.3900000000000006</v>
      </c>
      <c r="M125" s="224">
        <v>5.3900000000000006</v>
      </c>
      <c r="O125" s="224">
        <v>0.08</v>
      </c>
      <c r="P125" s="224">
        <v>0.08</v>
      </c>
      <c r="Q125" s="224">
        <v>0.12</v>
      </c>
      <c r="S125" s="224">
        <v>2.6</v>
      </c>
      <c r="T125" s="224">
        <v>2.0499999999999998</v>
      </c>
      <c r="U125" s="224">
        <v>0.91</v>
      </c>
      <c r="W125" s="224">
        <v>1.1100000000000001</v>
      </c>
      <c r="X125" s="224">
        <v>2.44</v>
      </c>
      <c r="Y125" s="224">
        <v>3.79</v>
      </c>
      <c r="AA125" s="224">
        <f t="shared" si="26"/>
        <v>9.18</v>
      </c>
      <c r="AB125" s="224">
        <f t="shared" si="27"/>
        <v>9.9600000000000009</v>
      </c>
      <c r="AC125" s="224">
        <f t="shared" si="28"/>
        <v>10.210000000000001</v>
      </c>
      <c r="AE125" s="238"/>
      <c r="AF125" s="238"/>
      <c r="AG125" s="238"/>
    </row>
    <row r="126" spans="1:33" x14ac:dyDescent="0.2">
      <c r="A126" s="15">
        <f t="shared" si="15"/>
        <v>116</v>
      </c>
      <c r="B126" s="9" t="s">
        <v>68</v>
      </c>
      <c r="C126" s="9"/>
      <c r="D126" s="222" t="s">
        <v>83</v>
      </c>
      <c r="E126" s="22" t="s">
        <v>195</v>
      </c>
      <c r="F126" s="223">
        <v>0</v>
      </c>
      <c r="G126" s="224">
        <v>0.46</v>
      </c>
      <c r="H126" s="224">
        <v>1.32</v>
      </c>
      <c r="I126" s="224">
        <v>0.73</v>
      </c>
      <c r="J126" s="224">
        <v>3.78</v>
      </c>
      <c r="K126" s="224">
        <v>6.2899999999999991</v>
      </c>
      <c r="L126" s="224">
        <v>6.2899999999999991</v>
      </c>
      <c r="M126" s="224">
        <v>6.2899999999999991</v>
      </c>
      <c r="O126" s="224">
        <v>0.09</v>
      </c>
      <c r="P126" s="224">
        <v>0.1</v>
      </c>
      <c r="Q126" s="224">
        <v>0.14000000000000001</v>
      </c>
      <c r="S126" s="224">
        <v>3.08</v>
      </c>
      <c r="T126" s="224">
        <v>2.42</v>
      </c>
      <c r="U126" s="224">
        <v>1.08</v>
      </c>
      <c r="W126" s="224">
        <v>1.31</v>
      </c>
      <c r="X126" s="224">
        <v>2.88</v>
      </c>
      <c r="Y126" s="224">
        <v>4.4800000000000004</v>
      </c>
      <c r="AA126" s="224">
        <f t="shared" si="26"/>
        <v>10.77</v>
      </c>
      <c r="AB126" s="224">
        <f t="shared" si="27"/>
        <v>11.689999999999998</v>
      </c>
      <c r="AC126" s="224">
        <f t="shared" si="28"/>
        <v>11.989999999999998</v>
      </c>
      <c r="AE126" s="238"/>
      <c r="AF126" s="238"/>
      <c r="AG126" s="238"/>
    </row>
    <row r="127" spans="1:33" x14ac:dyDescent="0.2">
      <c r="A127" s="15">
        <f t="shared" si="15"/>
        <v>117</v>
      </c>
      <c r="B127" s="9" t="s">
        <v>68</v>
      </c>
      <c r="C127" s="9"/>
      <c r="D127" s="222" t="s">
        <v>83</v>
      </c>
      <c r="E127" s="22" t="s">
        <v>209</v>
      </c>
      <c r="F127" s="223">
        <v>0</v>
      </c>
      <c r="G127" s="224">
        <v>0.46</v>
      </c>
      <c r="H127" s="224">
        <v>1.53</v>
      </c>
      <c r="I127" s="224">
        <v>0.84</v>
      </c>
      <c r="J127" s="224">
        <v>4.3600000000000003</v>
      </c>
      <c r="K127" s="224">
        <v>7.19</v>
      </c>
      <c r="L127" s="224">
        <v>7.19</v>
      </c>
      <c r="M127" s="224">
        <v>7.19</v>
      </c>
      <c r="O127" s="224">
        <v>0.1</v>
      </c>
      <c r="P127" s="224">
        <v>0.11</v>
      </c>
      <c r="Q127" s="224">
        <v>0.16</v>
      </c>
      <c r="S127" s="224">
        <v>3.55</v>
      </c>
      <c r="T127" s="224">
        <v>2.79</v>
      </c>
      <c r="U127" s="224">
        <v>1.24</v>
      </c>
      <c r="W127" s="224">
        <v>1.51</v>
      </c>
      <c r="X127" s="224">
        <v>3.33</v>
      </c>
      <c r="Y127" s="224">
        <v>5.17</v>
      </c>
      <c r="AA127" s="224">
        <f t="shared" si="26"/>
        <v>12.35</v>
      </c>
      <c r="AB127" s="224">
        <f t="shared" si="27"/>
        <v>13.42</v>
      </c>
      <c r="AC127" s="224">
        <f t="shared" si="28"/>
        <v>13.76</v>
      </c>
      <c r="AE127" s="238"/>
      <c r="AF127" s="238"/>
      <c r="AG127" s="238"/>
    </row>
    <row r="128" spans="1:33" x14ac:dyDescent="0.2">
      <c r="A128" s="15">
        <f t="shared" si="15"/>
        <v>118</v>
      </c>
      <c r="B128" s="9" t="s">
        <v>68</v>
      </c>
      <c r="C128" s="9"/>
      <c r="D128" s="222" t="s">
        <v>83</v>
      </c>
      <c r="E128" s="22" t="s">
        <v>196</v>
      </c>
      <c r="F128" s="223">
        <v>0</v>
      </c>
      <c r="G128" s="224">
        <v>0.46</v>
      </c>
      <c r="H128" s="224">
        <v>1.73</v>
      </c>
      <c r="I128" s="224">
        <v>0.95</v>
      </c>
      <c r="J128" s="224">
        <v>4.9400000000000004</v>
      </c>
      <c r="K128" s="224">
        <v>8.08</v>
      </c>
      <c r="L128" s="224">
        <v>8.08</v>
      </c>
      <c r="M128" s="224">
        <v>8.08</v>
      </c>
      <c r="O128" s="224">
        <v>0.12</v>
      </c>
      <c r="P128" s="224">
        <v>0.13</v>
      </c>
      <c r="Q128" s="224">
        <v>0.18</v>
      </c>
      <c r="S128" s="224">
        <v>4.0199999999999996</v>
      </c>
      <c r="T128" s="224">
        <v>3.16</v>
      </c>
      <c r="U128" s="224">
        <v>1.41</v>
      </c>
      <c r="W128" s="224">
        <v>1.71</v>
      </c>
      <c r="X128" s="224">
        <v>3.77</v>
      </c>
      <c r="Y128" s="224">
        <v>5.86</v>
      </c>
      <c r="AA128" s="224">
        <f t="shared" si="26"/>
        <v>13.93</v>
      </c>
      <c r="AB128" s="224">
        <f t="shared" si="27"/>
        <v>15.14</v>
      </c>
      <c r="AC128" s="224">
        <f t="shared" si="28"/>
        <v>15.530000000000001</v>
      </c>
      <c r="AE128" s="238"/>
      <c r="AF128" s="238"/>
      <c r="AG128" s="238"/>
    </row>
    <row r="129" spans="1:33" x14ac:dyDescent="0.2">
      <c r="A129" s="15">
        <f t="shared" si="15"/>
        <v>119</v>
      </c>
      <c r="B129" s="9" t="s">
        <v>68</v>
      </c>
      <c r="C129" s="9"/>
      <c r="D129" s="222" t="s">
        <v>83</v>
      </c>
      <c r="E129" s="22" t="s">
        <v>197</v>
      </c>
      <c r="F129" s="223">
        <v>0</v>
      </c>
      <c r="G129" s="224">
        <v>0.46</v>
      </c>
      <c r="H129" s="224">
        <v>1.93</v>
      </c>
      <c r="I129" s="224">
        <v>1.06</v>
      </c>
      <c r="J129" s="224">
        <v>5.52</v>
      </c>
      <c r="K129" s="224">
        <v>8.9699999999999989</v>
      </c>
      <c r="L129" s="224">
        <v>8.9699999999999989</v>
      </c>
      <c r="M129" s="224">
        <v>8.9699999999999989</v>
      </c>
      <c r="O129" s="224">
        <v>0.13</v>
      </c>
      <c r="P129" s="224">
        <v>0.14000000000000001</v>
      </c>
      <c r="Q129" s="224">
        <v>0.2</v>
      </c>
      <c r="S129" s="224">
        <v>4.5</v>
      </c>
      <c r="T129" s="224">
        <v>3.53</v>
      </c>
      <c r="U129" s="224">
        <v>1.58</v>
      </c>
      <c r="W129" s="224">
        <v>1.91</v>
      </c>
      <c r="X129" s="224">
        <v>4.21</v>
      </c>
      <c r="Y129" s="224">
        <v>6.55</v>
      </c>
      <c r="AA129" s="224">
        <f t="shared" si="26"/>
        <v>15.51</v>
      </c>
      <c r="AB129" s="224">
        <f t="shared" si="27"/>
        <v>16.849999999999998</v>
      </c>
      <c r="AC129" s="224">
        <f t="shared" si="28"/>
        <v>17.299999999999997</v>
      </c>
      <c r="AE129" s="238"/>
      <c r="AF129" s="238"/>
      <c r="AG129" s="238"/>
    </row>
    <row r="130" spans="1:33" x14ac:dyDescent="0.2">
      <c r="A130" s="15">
        <f t="shared" si="15"/>
        <v>120</v>
      </c>
      <c r="B130" s="9"/>
      <c r="C130" s="9"/>
      <c r="D130" s="222"/>
      <c r="E130" s="22"/>
      <c r="F130" s="223"/>
      <c r="G130" s="224"/>
      <c r="H130" s="224"/>
      <c r="I130" s="224"/>
      <c r="J130" s="224"/>
      <c r="K130" s="224"/>
      <c r="O130" s="224"/>
      <c r="S130" s="224"/>
      <c r="W130" s="224"/>
      <c r="AA130" s="224"/>
      <c r="AE130" s="238"/>
      <c r="AF130" s="238"/>
      <c r="AG130" s="238"/>
    </row>
    <row r="131" spans="1:33" x14ac:dyDescent="0.2">
      <c r="A131" s="15">
        <f t="shared" si="15"/>
        <v>121</v>
      </c>
      <c r="B131" s="9" t="s">
        <v>93</v>
      </c>
      <c r="C131" s="9"/>
      <c r="D131" s="222"/>
      <c r="E131" s="22"/>
      <c r="F131" s="223"/>
      <c r="G131" s="224"/>
      <c r="H131" s="224"/>
      <c r="I131" s="224"/>
      <c r="J131" s="224"/>
      <c r="K131" s="224"/>
      <c r="O131" s="224"/>
      <c r="S131" s="224"/>
      <c r="W131" s="224"/>
      <c r="AA131" s="224"/>
      <c r="AE131" s="238"/>
      <c r="AF131" s="238"/>
      <c r="AG131" s="238"/>
    </row>
    <row r="132" spans="1:33" x14ac:dyDescent="0.2">
      <c r="A132" s="15">
        <f t="shared" si="15"/>
        <v>122</v>
      </c>
      <c r="B132" s="9" t="s">
        <v>59</v>
      </c>
      <c r="C132" s="9"/>
      <c r="D132" s="222" t="s">
        <v>67</v>
      </c>
      <c r="E132" s="22" t="s">
        <v>505</v>
      </c>
      <c r="F132" s="223">
        <v>0</v>
      </c>
      <c r="G132" s="224">
        <v>0</v>
      </c>
      <c r="H132" s="224">
        <v>0.34</v>
      </c>
      <c r="I132" s="224">
        <v>0.19</v>
      </c>
      <c r="J132" s="224">
        <v>0.97</v>
      </c>
      <c r="K132" s="224">
        <v>1.5</v>
      </c>
      <c r="L132" s="224">
        <v>1.5</v>
      </c>
      <c r="M132" s="224">
        <v>1.5</v>
      </c>
      <c r="O132" s="224">
        <v>0.02</v>
      </c>
      <c r="P132" s="224">
        <v>0.03</v>
      </c>
      <c r="Q132" s="224">
        <v>0.04</v>
      </c>
      <c r="S132" s="224">
        <v>0.79</v>
      </c>
      <c r="T132" s="224">
        <v>0.62</v>
      </c>
      <c r="U132" s="224">
        <v>0.28000000000000003</v>
      </c>
      <c r="W132" s="224">
        <v>0.34</v>
      </c>
      <c r="X132" s="224">
        <v>0.74</v>
      </c>
      <c r="Y132" s="224">
        <v>1.1499999999999999</v>
      </c>
      <c r="AA132" s="224">
        <f t="shared" ref="AA132:AA140" si="29">K132+O132+S132+W132</f>
        <v>2.65</v>
      </c>
      <c r="AB132" s="224">
        <f t="shared" ref="AB132:AB140" si="30">L132+P132+T132+X132</f>
        <v>2.8899999999999997</v>
      </c>
      <c r="AC132" s="224">
        <f t="shared" ref="AC132:AC140" si="31">M132+Q132+U132+Y132</f>
        <v>2.9699999999999998</v>
      </c>
      <c r="AE132" s="238"/>
      <c r="AF132" s="238"/>
      <c r="AG132" s="238"/>
    </row>
    <row r="133" spans="1:33" x14ac:dyDescent="0.2">
      <c r="A133" s="15">
        <f t="shared" si="15"/>
        <v>123</v>
      </c>
      <c r="B133" s="9" t="s">
        <v>59</v>
      </c>
      <c r="C133" s="9"/>
      <c r="D133" s="222" t="s">
        <v>67</v>
      </c>
      <c r="E133" s="22" t="s">
        <v>496</v>
      </c>
      <c r="F133" s="223">
        <v>0</v>
      </c>
      <c r="G133" s="224">
        <v>0</v>
      </c>
      <c r="H133" s="224">
        <v>0.47</v>
      </c>
      <c r="I133" s="224">
        <v>0.26</v>
      </c>
      <c r="J133" s="224">
        <v>1.36</v>
      </c>
      <c r="K133" s="224">
        <v>2.09</v>
      </c>
      <c r="L133" s="224">
        <v>2.09</v>
      </c>
      <c r="M133" s="224">
        <v>2.09</v>
      </c>
      <c r="O133" s="224">
        <v>0.03</v>
      </c>
      <c r="P133" s="224">
        <v>0.04</v>
      </c>
      <c r="Q133" s="224">
        <v>0.05</v>
      </c>
      <c r="S133" s="224">
        <v>1.1000000000000001</v>
      </c>
      <c r="T133" s="224">
        <v>0.87</v>
      </c>
      <c r="U133" s="224">
        <v>0.39</v>
      </c>
      <c r="W133" s="224">
        <v>0.47</v>
      </c>
      <c r="X133" s="224">
        <v>1.04</v>
      </c>
      <c r="Y133" s="224">
        <v>1.61</v>
      </c>
      <c r="AA133" s="224">
        <f t="shared" si="29"/>
        <v>3.6899999999999995</v>
      </c>
      <c r="AB133" s="224">
        <f t="shared" si="30"/>
        <v>4.04</v>
      </c>
      <c r="AC133" s="224">
        <f t="shared" si="31"/>
        <v>4.1399999999999997</v>
      </c>
      <c r="AE133" s="238"/>
      <c r="AF133" s="238"/>
      <c r="AG133" s="238"/>
    </row>
    <row r="134" spans="1:33" x14ac:dyDescent="0.2">
      <c r="A134" s="15">
        <f t="shared" si="15"/>
        <v>124</v>
      </c>
      <c r="B134" s="9" t="s">
        <v>59</v>
      </c>
      <c r="C134" s="9"/>
      <c r="D134" s="222" t="s">
        <v>67</v>
      </c>
      <c r="E134" s="22" t="s">
        <v>497</v>
      </c>
      <c r="F134" s="223">
        <v>0</v>
      </c>
      <c r="G134" s="224">
        <v>0</v>
      </c>
      <c r="H134" s="224">
        <v>0.68</v>
      </c>
      <c r="I134" s="224">
        <v>0.37</v>
      </c>
      <c r="J134" s="224">
        <v>1.94</v>
      </c>
      <c r="K134" s="224">
        <v>2.99</v>
      </c>
      <c r="L134" s="224">
        <v>2.99</v>
      </c>
      <c r="M134" s="224">
        <v>2.99</v>
      </c>
      <c r="O134" s="224">
        <v>0.05</v>
      </c>
      <c r="P134" s="224">
        <v>0.05</v>
      </c>
      <c r="Q134" s="224">
        <v>7.0000000000000007E-2</v>
      </c>
      <c r="S134" s="224">
        <v>1.58</v>
      </c>
      <c r="T134" s="224">
        <v>1.24</v>
      </c>
      <c r="U134" s="224">
        <v>0.55000000000000004</v>
      </c>
      <c r="W134" s="224">
        <v>0.67</v>
      </c>
      <c r="X134" s="224">
        <v>1.48</v>
      </c>
      <c r="Y134" s="224">
        <v>2.2999999999999998</v>
      </c>
      <c r="AA134" s="224">
        <f t="shared" si="29"/>
        <v>5.29</v>
      </c>
      <c r="AB134" s="224">
        <f t="shared" si="30"/>
        <v>5.76</v>
      </c>
      <c r="AC134" s="224">
        <f t="shared" si="31"/>
        <v>5.91</v>
      </c>
      <c r="AE134" s="238"/>
      <c r="AF134" s="238"/>
      <c r="AG134" s="238"/>
    </row>
    <row r="135" spans="1:33" x14ac:dyDescent="0.2">
      <c r="A135" s="15">
        <f t="shared" si="15"/>
        <v>125</v>
      </c>
      <c r="B135" s="9" t="s">
        <v>59</v>
      </c>
      <c r="C135" s="9"/>
      <c r="D135" s="222" t="s">
        <v>67</v>
      </c>
      <c r="E135" s="22" t="s">
        <v>498</v>
      </c>
      <c r="F135" s="223">
        <v>0</v>
      </c>
      <c r="G135" s="224">
        <v>0</v>
      </c>
      <c r="H135" s="224">
        <v>1.02</v>
      </c>
      <c r="I135" s="224">
        <v>0.56000000000000005</v>
      </c>
      <c r="J135" s="224">
        <v>2.9</v>
      </c>
      <c r="K135" s="224">
        <v>4.4800000000000004</v>
      </c>
      <c r="L135" s="224">
        <v>4.4800000000000004</v>
      </c>
      <c r="M135" s="224">
        <v>4.4800000000000004</v>
      </c>
      <c r="O135" s="224">
        <v>7.0000000000000007E-2</v>
      </c>
      <c r="P135" s="224">
        <v>0.08</v>
      </c>
      <c r="Q135" s="224">
        <v>0.11</v>
      </c>
      <c r="S135" s="224">
        <v>2.37</v>
      </c>
      <c r="T135" s="224">
        <v>1.86</v>
      </c>
      <c r="U135" s="224">
        <v>0.83</v>
      </c>
      <c r="W135" s="224">
        <v>1.01</v>
      </c>
      <c r="X135" s="224">
        <v>2.2200000000000002</v>
      </c>
      <c r="Y135" s="224">
        <v>3.45</v>
      </c>
      <c r="AA135" s="224">
        <f t="shared" si="29"/>
        <v>7.9300000000000006</v>
      </c>
      <c r="AB135" s="224">
        <f t="shared" si="30"/>
        <v>8.64</v>
      </c>
      <c r="AC135" s="224">
        <f t="shared" si="31"/>
        <v>8.870000000000001</v>
      </c>
      <c r="AE135" s="238"/>
      <c r="AF135" s="238"/>
      <c r="AG135" s="238"/>
    </row>
    <row r="136" spans="1:33" x14ac:dyDescent="0.2">
      <c r="A136" s="15">
        <f t="shared" si="15"/>
        <v>126</v>
      </c>
      <c r="B136" s="9" t="s">
        <v>59</v>
      </c>
      <c r="C136" s="9"/>
      <c r="D136" s="222" t="s">
        <v>67</v>
      </c>
      <c r="E136" s="22" t="s">
        <v>499</v>
      </c>
      <c r="F136" s="223">
        <v>0</v>
      </c>
      <c r="G136" s="224">
        <v>0</v>
      </c>
      <c r="H136" s="224">
        <v>1.36</v>
      </c>
      <c r="I136" s="224">
        <v>0.75</v>
      </c>
      <c r="J136" s="224">
        <v>3.87</v>
      </c>
      <c r="K136" s="224">
        <v>5.98</v>
      </c>
      <c r="L136" s="224">
        <v>5.98</v>
      </c>
      <c r="M136" s="224">
        <v>5.98</v>
      </c>
      <c r="O136" s="224">
        <v>0.09</v>
      </c>
      <c r="P136" s="224">
        <v>0.1</v>
      </c>
      <c r="Q136" s="224">
        <v>0.14000000000000001</v>
      </c>
      <c r="S136" s="224">
        <v>3.16</v>
      </c>
      <c r="T136" s="224">
        <v>2.48</v>
      </c>
      <c r="U136" s="224">
        <v>1.1100000000000001</v>
      </c>
      <c r="W136" s="224">
        <v>1.34</v>
      </c>
      <c r="X136" s="224">
        <v>2.96</v>
      </c>
      <c r="Y136" s="224">
        <v>4.5999999999999996</v>
      </c>
      <c r="AA136" s="224">
        <f t="shared" si="29"/>
        <v>10.57</v>
      </c>
      <c r="AB136" s="224">
        <f t="shared" si="30"/>
        <v>11.52</v>
      </c>
      <c r="AC136" s="224">
        <f t="shared" si="31"/>
        <v>11.83</v>
      </c>
      <c r="AE136" s="238"/>
      <c r="AF136" s="238"/>
      <c r="AG136" s="238"/>
    </row>
    <row r="137" spans="1:33" x14ac:dyDescent="0.2">
      <c r="A137" s="15">
        <f t="shared" si="15"/>
        <v>127</v>
      </c>
      <c r="B137" s="9" t="s">
        <v>59</v>
      </c>
      <c r="C137" s="9"/>
      <c r="D137" s="222" t="s">
        <v>67</v>
      </c>
      <c r="E137" s="22" t="s">
        <v>500</v>
      </c>
      <c r="F137" s="223">
        <v>0</v>
      </c>
      <c r="G137" s="224">
        <v>0</v>
      </c>
      <c r="H137" s="224">
        <v>1.7</v>
      </c>
      <c r="I137" s="224">
        <v>0.93</v>
      </c>
      <c r="J137" s="224">
        <v>4.84</v>
      </c>
      <c r="K137" s="224">
        <v>7.47</v>
      </c>
      <c r="L137" s="224">
        <v>7.47</v>
      </c>
      <c r="M137" s="224">
        <v>7.47</v>
      </c>
      <c r="O137" s="224">
        <v>0.11</v>
      </c>
      <c r="P137" s="224">
        <v>0.13</v>
      </c>
      <c r="Q137" s="224">
        <v>0.18</v>
      </c>
      <c r="S137" s="224">
        <v>3.95</v>
      </c>
      <c r="T137" s="224">
        <v>3.1</v>
      </c>
      <c r="U137" s="224">
        <v>1.38</v>
      </c>
      <c r="W137" s="224">
        <v>1.68</v>
      </c>
      <c r="X137" s="224">
        <v>3.7</v>
      </c>
      <c r="Y137" s="224">
        <v>5.75</v>
      </c>
      <c r="AA137" s="224">
        <f t="shared" si="29"/>
        <v>13.21</v>
      </c>
      <c r="AB137" s="224">
        <f t="shared" si="30"/>
        <v>14.399999999999999</v>
      </c>
      <c r="AC137" s="224">
        <f t="shared" si="31"/>
        <v>14.78</v>
      </c>
      <c r="AE137" s="238"/>
      <c r="AF137" s="238"/>
      <c r="AG137" s="238"/>
    </row>
    <row r="138" spans="1:33" x14ac:dyDescent="0.2">
      <c r="A138" s="15">
        <f t="shared" si="15"/>
        <v>128</v>
      </c>
      <c r="B138" s="9" t="s">
        <v>59</v>
      </c>
      <c r="C138" s="9"/>
      <c r="D138" s="222" t="s">
        <v>67</v>
      </c>
      <c r="E138" s="22" t="s">
        <v>501</v>
      </c>
      <c r="F138" s="223">
        <v>0</v>
      </c>
      <c r="G138" s="224">
        <v>0</v>
      </c>
      <c r="H138" s="224">
        <v>2.1</v>
      </c>
      <c r="I138" s="224">
        <v>1.1599999999999999</v>
      </c>
      <c r="J138" s="224">
        <v>6</v>
      </c>
      <c r="K138" s="224">
        <v>9.26</v>
      </c>
      <c r="L138" s="224">
        <v>9.26</v>
      </c>
      <c r="M138" s="224">
        <v>9.26</v>
      </c>
      <c r="O138" s="224">
        <v>0.14000000000000001</v>
      </c>
      <c r="P138" s="224">
        <v>0.16</v>
      </c>
      <c r="Q138" s="224">
        <v>0.22</v>
      </c>
      <c r="S138" s="224">
        <v>4.8899999999999997</v>
      </c>
      <c r="T138" s="224">
        <v>3.84</v>
      </c>
      <c r="U138" s="224">
        <v>1.71</v>
      </c>
      <c r="W138" s="224">
        <v>2.08</v>
      </c>
      <c r="X138" s="224">
        <v>4.58</v>
      </c>
      <c r="Y138" s="224">
        <v>7.12</v>
      </c>
      <c r="AA138" s="224">
        <f t="shared" si="29"/>
        <v>16.369999999999997</v>
      </c>
      <c r="AB138" s="224">
        <f t="shared" si="30"/>
        <v>17.84</v>
      </c>
      <c r="AC138" s="224">
        <f t="shared" si="31"/>
        <v>18.310000000000002</v>
      </c>
      <c r="AE138" s="238"/>
      <c r="AF138" s="238"/>
      <c r="AG138" s="238"/>
    </row>
    <row r="139" spans="1:33" x14ac:dyDescent="0.2">
      <c r="A139" s="15">
        <f t="shared" si="15"/>
        <v>129</v>
      </c>
      <c r="B139" s="9" t="s">
        <v>59</v>
      </c>
      <c r="C139" s="9"/>
      <c r="D139" s="222" t="s">
        <v>67</v>
      </c>
      <c r="E139" s="22" t="s">
        <v>502</v>
      </c>
      <c r="F139" s="223">
        <v>0</v>
      </c>
      <c r="G139" s="224">
        <v>0</v>
      </c>
      <c r="H139" s="224">
        <v>2.71</v>
      </c>
      <c r="I139" s="224">
        <v>1.49</v>
      </c>
      <c r="J139" s="224">
        <v>7.75</v>
      </c>
      <c r="K139" s="224">
        <v>11.95</v>
      </c>
      <c r="L139" s="224">
        <v>11.95</v>
      </c>
      <c r="M139" s="224">
        <v>11.95</v>
      </c>
      <c r="O139" s="224">
        <v>0.18</v>
      </c>
      <c r="P139" s="224">
        <v>0.2</v>
      </c>
      <c r="Q139" s="224">
        <v>0.28999999999999998</v>
      </c>
      <c r="S139" s="224">
        <v>6.31</v>
      </c>
      <c r="T139" s="224">
        <v>4.96</v>
      </c>
      <c r="U139" s="224">
        <v>2.21</v>
      </c>
      <c r="W139" s="224">
        <v>2.68</v>
      </c>
      <c r="X139" s="224">
        <v>5.92</v>
      </c>
      <c r="Y139" s="224">
        <v>9.19</v>
      </c>
      <c r="AA139" s="224">
        <f t="shared" si="29"/>
        <v>21.119999999999997</v>
      </c>
      <c r="AB139" s="224">
        <f t="shared" si="30"/>
        <v>23.03</v>
      </c>
      <c r="AC139" s="224">
        <f t="shared" si="31"/>
        <v>23.64</v>
      </c>
      <c r="AE139" s="238"/>
      <c r="AF139" s="238"/>
      <c r="AG139" s="238"/>
    </row>
    <row r="140" spans="1:33" x14ac:dyDescent="0.2">
      <c r="A140" s="15">
        <f t="shared" ref="A140:A203" si="32">A139+1</f>
        <v>130</v>
      </c>
      <c r="B140" s="9" t="s">
        <v>59</v>
      </c>
      <c r="C140" s="9"/>
      <c r="D140" s="222" t="s">
        <v>67</v>
      </c>
      <c r="E140" s="22" t="s">
        <v>207</v>
      </c>
      <c r="F140" s="223">
        <v>0</v>
      </c>
      <c r="G140" s="224">
        <v>0</v>
      </c>
      <c r="H140" s="224">
        <v>6.78</v>
      </c>
      <c r="I140" s="224">
        <v>3.73</v>
      </c>
      <c r="J140" s="224">
        <v>19.36</v>
      </c>
      <c r="K140" s="224">
        <v>29.869999999999997</v>
      </c>
      <c r="L140" s="224">
        <v>29.869999999999997</v>
      </c>
      <c r="M140" s="224">
        <v>29.869999999999997</v>
      </c>
      <c r="O140" s="224">
        <v>0.46</v>
      </c>
      <c r="P140" s="224">
        <v>0.5</v>
      </c>
      <c r="Q140" s="224">
        <v>0.72</v>
      </c>
      <c r="S140" s="224">
        <v>15.78</v>
      </c>
      <c r="T140" s="224">
        <v>12.4</v>
      </c>
      <c r="U140" s="224">
        <v>5.53</v>
      </c>
      <c r="W140" s="224">
        <v>6.71</v>
      </c>
      <c r="X140" s="224">
        <v>14.79</v>
      </c>
      <c r="Y140" s="224">
        <v>22.98</v>
      </c>
      <c r="AA140" s="224">
        <f t="shared" si="29"/>
        <v>52.82</v>
      </c>
      <c r="AB140" s="224">
        <f t="shared" si="30"/>
        <v>57.559999999999995</v>
      </c>
      <c r="AC140" s="224">
        <f t="shared" si="31"/>
        <v>59.099999999999994</v>
      </c>
      <c r="AE140" s="238"/>
      <c r="AF140" s="238"/>
      <c r="AG140" s="238"/>
    </row>
    <row r="141" spans="1:33" x14ac:dyDescent="0.2">
      <c r="A141" s="15">
        <f t="shared" si="32"/>
        <v>131</v>
      </c>
      <c r="B141" s="9"/>
      <c r="C141" s="9"/>
      <c r="D141" s="222"/>
      <c r="E141" s="22"/>
      <c r="F141" s="223"/>
      <c r="G141" s="224"/>
      <c r="H141" s="224"/>
      <c r="I141" s="224"/>
      <c r="J141" s="224"/>
      <c r="K141" s="224"/>
      <c r="O141" s="224"/>
      <c r="S141" s="224"/>
      <c r="W141" s="224"/>
      <c r="AA141" s="224"/>
      <c r="AE141" s="238"/>
      <c r="AF141" s="238"/>
      <c r="AG141" s="238"/>
    </row>
    <row r="142" spans="1:33" x14ac:dyDescent="0.2">
      <c r="A142" s="15">
        <f t="shared" si="32"/>
        <v>132</v>
      </c>
      <c r="B142" s="9" t="s">
        <v>59</v>
      </c>
      <c r="C142" s="9"/>
      <c r="D142" s="222" t="s">
        <v>83</v>
      </c>
      <c r="E142" s="22" t="s">
        <v>409</v>
      </c>
      <c r="F142" s="223">
        <v>0</v>
      </c>
      <c r="G142" s="224">
        <v>0</v>
      </c>
      <c r="H142" s="224">
        <v>0.1</v>
      </c>
      <c r="I142" s="224">
        <v>0.06</v>
      </c>
      <c r="J142" s="224">
        <v>0.28999999999999998</v>
      </c>
      <c r="K142" s="224">
        <v>0.44999999999999996</v>
      </c>
      <c r="L142" s="224">
        <v>0.44999999999999996</v>
      </c>
      <c r="M142" s="224">
        <v>0.44999999999999996</v>
      </c>
      <c r="O142" s="224">
        <v>0.01</v>
      </c>
      <c r="P142" s="224">
        <v>0.01</v>
      </c>
      <c r="Q142" s="224">
        <v>0.01</v>
      </c>
      <c r="S142" s="224">
        <v>0.24</v>
      </c>
      <c r="T142" s="224">
        <v>0.19</v>
      </c>
      <c r="U142" s="224">
        <v>0.08</v>
      </c>
      <c r="W142" s="224">
        <v>0.1</v>
      </c>
      <c r="X142" s="224">
        <v>0.22</v>
      </c>
      <c r="Y142" s="224">
        <v>0.34</v>
      </c>
      <c r="AA142" s="224">
        <f t="shared" ref="AA142:AA151" si="33">K142+O142+S142+W142</f>
        <v>0.79999999999999993</v>
      </c>
      <c r="AB142" s="224">
        <f t="shared" ref="AB142:AB151" si="34">L142+P142+T142+X142</f>
        <v>0.86999999999999988</v>
      </c>
      <c r="AC142" s="224">
        <f t="shared" ref="AC142:AC151" si="35">M142+Q142+U142+Y142</f>
        <v>0.87999999999999989</v>
      </c>
      <c r="AE142" s="238"/>
      <c r="AF142" s="238"/>
      <c r="AG142" s="238"/>
    </row>
    <row r="143" spans="1:33" x14ac:dyDescent="0.2">
      <c r="A143" s="15">
        <f t="shared" si="32"/>
        <v>133</v>
      </c>
      <c r="B143" s="9" t="s">
        <v>59</v>
      </c>
      <c r="C143" s="9"/>
      <c r="D143" s="222" t="s">
        <v>83</v>
      </c>
      <c r="E143" s="22" t="s">
        <v>190</v>
      </c>
      <c r="F143" s="223">
        <v>0</v>
      </c>
      <c r="G143" s="224">
        <v>0</v>
      </c>
      <c r="H143" s="224">
        <v>0.31</v>
      </c>
      <c r="I143" s="224">
        <v>0.17</v>
      </c>
      <c r="J143" s="224">
        <v>0.87</v>
      </c>
      <c r="K143" s="224">
        <v>1.35</v>
      </c>
      <c r="L143" s="224">
        <v>1.35</v>
      </c>
      <c r="M143" s="224">
        <v>1.35</v>
      </c>
      <c r="O143" s="224">
        <v>0.02</v>
      </c>
      <c r="P143" s="224">
        <v>0.02</v>
      </c>
      <c r="Q143" s="224">
        <v>0.03</v>
      </c>
      <c r="S143" s="224">
        <v>0.71</v>
      </c>
      <c r="T143" s="224">
        <v>0.56000000000000005</v>
      </c>
      <c r="U143" s="224">
        <v>0.25</v>
      </c>
      <c r="W143" s="224">
        <v>0.3</v>
      </c>
      <c r="X143" s="224">
        <v>0.67</v>
      </c>
      <c r="Y143" s="224">
        <v>1.03</v>
      </c>
      <c r="AA143" s="224">
        <f t="shared" si="33"/>
        <v>2.38</v>
      </c>
      <c r="AB143" s="224">
        <f t="shared" si="34"/>
        <v>2.6</v>
      </c>
      <c r="AC143" s="224">
        <f t="shared" si="35"/>
        <v>2.66</v>
      </c>
      <c r="AE143" s="238"/>
      <c r="AF143" s="238"/>
      <c r="AG143" s="238"/>
    </row>
    <row r="144" spans="1:33" x14ac:dyDescent="0.2">
      <c r="A144" s="15">
        <f t="shared" si="32"/>
        <v>134</v>
      </c>
      <c r="B144" s="9" t="s">
        <v>59</v>
      </c>
      <c r="C144" s="9"/>
      <c r="D144" s="222" t="s">
        <v>83</v>
      </c>
      <c r="E144" s="22" t="s">
        <v>191</v>
      </c>
      <c r="F144" s="223">
        <v>0</v>
      </c>
      <c r="G144" s="224">
        <v>0</v>
      </c>
      <c r="H144" s="224">
        <v>0.51</v>
      </c>
      <c r="I144" s="224">
        <v>0.28000000000000003</v>
      </c>
      <c r="J144" s="224">
        <v>1.45</v>
      </c>
      <c r="K144" s="224">
        <v>2.2400000000000002</v>
      </c>
      <c r="L144" s="224">
        <v>2.2400000000000002</v>
      </c>
      <c r="M144" s="224">
        <v>2.2400000000000002</v>
      </c>
      <c r="O144" s="224">
        <v>0.03</v>
      </c>
      <c r="P144" s="224">
        <v>0.04</v>
      </c>
      <c r="Q144" s="224">
        <v>0.05</v>
      </c>
      <c r="S144" s="224">
        <v>1.18</v>
      </c>
      <c r="T144" s="224">
        <v>0.93</v>
      </c>
      <c r="U144" s="224">
        <v>0.41</v>
      </c>
      <c r="W144" s="224">
        <v>0.5</v>
      </c>
      <c r="X144" s="224">
        <v>1.1100000000000001</v>
      </c>
      <c r="Y144" s="224">
        <v>1.72</v>
      </c>
      <c r="AA144" s="224">
        <f t="shared" si="33"/>
        <v>3.95</v>
      </c>
      <c r="AB144" s="224">
        <f t="shared" si="34"/>
        <v>4.32</v>
      </c>
      <c r="AC144" s="224">
        <f t="shared" si="35"/>
        <v>4.42</v>
      </c>
      <c r="AE144" s="238"/>
      <c r="AF144" s="238"/>
      <c r="AG144" s="238"/>
    </row>
    <row r="145" spans="1:33" x14ac:dyDescent="0.2">
      <c r="A145" s="15">
        <f t="shared" si="32"/>
        <v>135</v>
      </c>
      <c r="B145" s="9" t="s">
        <v>59</v>
      </c>
      <c r="C145" s="9"/>
      <c r="D145" s="222" t="s">
        <v>83</v>
      </c>
      <c r="E145" s="22" t="s">
        <v>192</v>
      </c>
      <c r="F145" s="223">
        <v>0</v>
      </c>
      <c r="G145" s="224">
        <v>0</v>
      </c>
      <c r="H145" s="224">
        <v>0.71</v>
      </c>
      <c r="I145" s="224">
        <v>0.39</v>
      </c>
      <c r="J145" s="224">
        <v>2.0299999999999998</v>
      </c>
      <c r="K145" s="224">
        <v>3.13</v>
      </c>
      <c r="L145" s="224">
        <v>3.13</v>
      </c>
      <c r="M145" s="224">
        <v>3.13</v>
      </c>
      <c r="O145" s="224">
        <v>0.05</v>
      </c>
      <c r="P145" s="224">
        <v>0.05</v>
      </c>
      <c r="Q145" s="224">
        <v>0.08</v>
      </c>
      <c r="S145" s="224">
        <v>1.66</v>
      </c>
      <c r="T145" s="224">
        <v>1.3</v>
      </c>
      <c r="U145" s="224">
        <v>0.57999999999999996</v>
      </c>
      <c r="W145" s="224">
        <v>0.7</v>
      </c>
      <c r="X145" s="224">
        <v>1.55</v>
      </c>
      <c r="Y145" s="224">
        <v>2.41</v>
      </c>
      <c r="AA145" s="224">
        <f t="shared" si="33"/>
        <v>5.54</v>
      </c>
      <c r="AB145" s="224">
        <f t="shared" si="34"/>
        <v>6.0299999999999994</v>
      </c>
      <c r="AC145" s="224">
        <f t="shared" si="35"/>
        <v>6.2</v>
      </c>
      <c r="AE145" s="238"/>
      <c r="AF145" s="238"/>
      <c r="AG145" s="238"/>
    </row>
    <row r="146" spans="1:33" x14ac:dyDescent="0.2">
      <c r="A146" s="15">
        <f t="shared" si="32"/>
        <v>136</v>
      </c>
      <c r="B146" s="9" t="s">
        <v>59</v>
      </c>
      <c r="C146" s="9"/>
      <c r="D146" s="222" t="s">
        <v>83</v>
      </c>
      <c r="E146" s="22" t="s">
        <v>193</v>
      </c>
      <c r="F146" s="223">
        <v>0</v>
      </c>
      <c r="G146" s="224">
        <v>0</v>
      </c>
      <c r="H146" s="224">
        <v>0.92</v>
      </c>
      <c r="I146" s="224">
        <v>0.5</v>
      </c>
      <c r="J146" s="224">
        <v>2.61</v>
      </c>
      <c r="K146" s="224">
        <v>4.0299999999999994</v>
      </c>
      <c r="L146" s="224">
        <v>4.0299999999999994</v>
      </c>
      <c r="M146" s="224">
        <v>4.0299999999999994</v>
      </c>
      <c r="O146" s="224">
        <v>0.06</v>
      </c>
      <c r="P146" s="224">
        <v>7.0000000000000007E-2</v>
      </c>
      <c r="Q146" s="224">
        <v>0.1</v>
      </c>
      <c r="S146" s="224">
        <v>2.13</v>
      </c>
      <c r="T146" s="224">
        <v>1.67</v>
      </c>
      <c r="U146" s="224">
        <v>0.75</v>
      </c>
      <c r="W146" s="224">
        <v>0.91</v>
      </c>
      <c r="X146" s="224">
        <v>2</v>
      </c>
      <c r="Y146" s="224">
        <v>3.1</v>
      </c>
      <c r="AA146" s="224">
        <f t="shared" si="33"/>
        <v>7.129999999999999</v>
      </c>
      <c r="AB146" s="224">
        <f t="shared" si="34"/>
        <v>7.77</v>
      </c>
      <c r="AC146" s="224">
        <f t="shared" si="35"/>
        <v>7.9799999999999986</v>
      </c>
      <c r="AE146" s="238"/>
      <c r="AF146" s="238"/>
      <c r="AG146" s="238"/>
    </row>
    <row r="147" spans="1:33" x14ac:dyDescent="0.2">
      <c r="A147" s="15">
        <f t="shared" si="32"/>
        <v>137</v>
      </c>
      <c r="B147" s="9" t="s">
        <v>59</v>
      </c>
      <c r="C147" s="9"/>
      <c r="D147" s="222" t="s">
        <v>83</v>
      </c>
      <c r="E147" s="22" t="s">
        <v>194</v>
      </c>
      <c r="F147" s="223">
        <v>0</v>
      </c>
      <c r="G147" s="224">
        <v>0</v>
      </c>
      <c r="H147" s="224">
        <v>1.1200000000000001</v>
      </c>
      <c r="I147" s="224">
        <v>0.62</v>
      </c>
      <c r="J147" s="224">
        <v>3.19</v>
      </c>
      <c r="K147" s="224">
        <v>4.93</v>
      </c>
      <c r="L147" s="224">
        <v>4.93</v>
      </c>
      <c r="M147" s="224">
        <v>4.93</v>
      </c>
      <c r="O147" s="224">
        <v>0.08</v>
      </c>
      <c r="P147" s="224">
        <v>0.08</v>
      </c>
      <c r="Q147" s="224">
        <v>0.12</v>
      </c>
      <c r="S147" s="224">
        <v>2.6</v>
      </c>
      <c r="T147" s="224">
        <v>2.0499999999999998</v>
      </c>
      <c r="U147" s="224">
        <v>0.91</v>
      </c>
      <c r="W147" s="224">
        <v>1.1100000000000001</v>
      </c>
      <c r="X147" s="224">
        <v>2.44</v>
      </c>
      <c r="Y147" s="224">
        <v>3.79</v>
      </c>
      <c r="AA147" s="224">
        <f t="shared" si="33"/>
        <v>8.7199999999999989</v>
      </c>
      <c r="AB147" s="224">
        <f t="shared" si="34"/>
        <v>9.5</v>
      </c>
      <c r="AC147" s="224">
        <f t="shared" si="35"/>
        <v>9.75</v>
      </c>
      <c r="AE147" s="238"/>
      <c r="AF147" s="238"/>
      <c r="AG147" s="238"/>
    </row>
    <row r="148" spans="1:33" x14ac:dyDescent="0.2">
      <c r="A148" s="15">
        <f t="shared" si="32"/>
        <v>138</v>
      </c>
      <c r="B148" s="9" t="s">
        <v>59</v>
      </c>
      <c r="C148" s="9"/>
      <c r="D148" s="222" t="s">
        <v>83</v>
      </c>
      <c r="E148" s="22" t="s">
        <v>195</v>
      </c>
      <c r="F148" s="223">
        <v>0</v>
      </c>
      <c r="G148" s="224">
        <v>0</v>
      </c>
      <c r="H148" s="224">
        <v>1.32</v>
      </c>
      <c r="I148" s="224">
        <v>0.73</v>
      </c>
      <c r="J148" s="224">
        <v>3.78</v>
      </c>
      <c r="K148" s="224">
        <v>5.83</v>
      </c>
      <c r="L148" s="224">
        <v>5.83</v>
      </c>
      <c r="M148" s="224">
        <v>5.83</v>
      </c>
      <c r="O148" s="224">
        <v>0.09</v>
      </c>
      <c r="P148" s="224">
        <v>0.1</v>
      </c>
      <c r="Q148" s="224">
        <v>0.14000000000000001</v>
      </c>
      <c r="S148" s="224">
        <v>3.08</v>
      </c>
      <c r="T148" s="224">
        <v>2.42</v>
      </c>
      <c r="U148" s="224">
        <v>1.08</v>
      </c>
      <c r="W148" s="224">
        <v>1.31</v>
      </c>
      <c r="X148" s="224">
        <v>2.88</v>
      </c>
      <c r="Y148" s="224">
        <v>4.4800000000000004</v>
      </c>
      <c r="AA148" s="224">
        <f t="shared" si="33"/>
        <v>10.31</v>
      </c>
      <c r="AB148" s="224">
        <f t="shared" si="34"/>
        <v>11.23</v>
      </c>
      <c r="AC148" s="224">
        <f t="shared" si="35"/>
        <v>11.530000000000001</v>
      </c>
      <c r="AE148" s="238"/>
      <c r="AF148" s="238"/>
      <c r="AG148" s="238"/>
    </row>
    <row r="149" spans="1:33" x14ac:dyDescent="0.2">
      <c r="A149" s="15">
        <f t="shared" si="32"/>
        <v>139</v>
      </c>
      <c r="B149" s="9" t="s">
        <v>59</v>
      </c>
      <c r="C149" s="9"/>
      <c r="D149" s="222" t="s">
        <v>83</v>
      </c>
      <c r="E149" s="22" t="s">
        <v>209</v>
      </c>
      <c r="F149" s="223">
        <v>0</v>
      </c>
      <c r="G149" s="224">
        <v>0</v>
      </c>
      <c r="H149" s="224">
        <v>1.53</v>
      </c>
      <c r="I149" s="224">
        <v>0.84</v>
      </c>
      <c r="J149" s="224">
        <v>4.3600000000000003</v>
      </c>
      <c r="K149" s="224">
        <v>6.73</v>
      </c>
      <c r="L149" s="224">
        <v>6.73</v>
      </c>
      <c r="M149" s="224">
        <v>6.73</v>
      </c>
      <c r="O149" s="224">
        <v>0.1</v>
      </c>
      <c r="P149" s="224">
        <v>0.11</v>
      </c>
      <c r="Q149" s="224">
        <v>0.16</v>
      </c>
      <c r="S149" s="224">
        <v>3.55</v>
      </c>
      <c r="T149" s="224">
        <v>2.79</v>
      </c>
      <c r="U149" s="224">
        <v>1.24</v>
      </c>
      <c r="W149" s="224">
        <v>1.51</v>
      </c>
      <c r="X149" s="224">
        <v>3.33</v>
      </c>
      <c r="Y149" s="224">
        <v>5.17</v>
      </c>
      <c r="AA149" s="224">
        <f t="shared" si="33"/>
        <v>11.889999999999999</v>
      </c>
      <c r="AB149" s="224">
        <f t="shared" si="34"/>
        <v>12.96</v>
      </c>
      <c r="AC149" s="224">
        <f t="shared" si="35"/>
        <v>13.3</v>
      </c>
      <c r="AE149" s="238"/>
      <c r="AF149" s="238"/>
      <c r="AG149" s="238"/>
    </row>
    <row r="150" spans="1:33" x14ac:dyDescent="0.2">
      <c r="A150" s="15">
        <f t="shared" si="32"/>
        <v>140</v>
      </c>
      <c r="B150" s="9" t="s">
        <v>59</v>
      </c>
      <c r="C150" s="9"/>
      <c r="D150" s="222" t="s">
        <v>83</v>
      </c>
      <c r="E150" s="22" t="s">
        <v>196</v>
      </c>
      <c r="F150" s="223">
        <v>0</v>
      </c>
      <c r="G150" s="224">
        <v>0</v>
      </c>
      <c r="H150" s="224">
        <v>1.73</v>
      </c>
      <c r="I150" s="224">
        <v>0.95</v>
      </c>
      <c r="J150" s="224">
        <v>4.9400000000000004</v>
      </c>
      <c r="K150" s="224">
        <v>7.62</v>
      </c>
      <c r="L150" s="224">
        <v>7.62</v>
      </c>
      <c r="M150" s="224">
        <v>7.62</v>
      </c>
      <c r="O150" s="224">
        <v>0.12</v>
      </c>
      <c r="P150" s="224">
        <v>0.13</v>
      </c>
      <c r="Q150" s="224">
        <v>0.18</v>
      </c>
      <c r="S150" s="224">
        <v>4.0199999999999996</v>
      </c>
      <c r="T150" s="224">
        <v>3.16</v>
      </c>
      <c r="U150" s="224">
        <v>1.41</v>
      </c>
      <c r="W150" s="224">
        <v>1.71</v>
      </c>
      <c r="X150" s="224">
        <v>3.77</v>
      </c>
      <c r="Y150" s="224">
        <v>5.86</v>
      </c>
      <c r="AA150" s="224">
        <f t="shared" si="33"/>
        <v>13.469999999999999</v>
      </c>
      <c r="AB150" s="224">
        <f t="shared" si="34"/>
        <v>14.68</v>
      </c>
      <c r="AC150" s="224">
        <f t="shared" si="35"/>
        <v>15.07</v>
      </c>
      <c r="AE150" s="238"/>
      <c r="AF150" s="238"/>
      <c r="AG150" s="238"/>
    </row>
    <row r="151" spans="1:33" x14ac:dyDescent="0.2">
      <c r="A151" s="15">
        <f t="shared" si="32"/>
        <v>141</v>
      </c>
      <c r="B151" s="9" t="s">
        <v>59</v>
      </c>
      <c r="C151" s="9"/>
      <c r="D151" s="222" t="s">
        <v>83</v>
      </c>
      <c r="E151" s="22" t="s">
        <v>197</v>
      </c>
      <c r="F151" s="223">
        <v>0</v>
      </c>
      <c r="G151" s="224">
        <v>0</v>
      </c>
      <c r="H151" s="224">
        <v>1.93</v>
      </c>
      <c r="I151" s="224">
        <v>1.06</v>
      </c>
      <c r="J151" s="224">
        <v>5.52</v>
      </c>
      <c r="K151" s="224">
        <v>8.51</v>
      </c>
      <c r="L151" s="224">
        <v>8.51</v>
      </c>
      <c r="M151" s="224">
        <v>8.51</v>
      </c>
      <c r="O151" s="224">
        <v>0.13</v>
      </c>
      <c r="P151" s="224">
        <v>0.14000000000000001</v>
      </c>
      <c r="Q151" s="224">
        <v>0.2</v>
      </c>
      <c r="S151" s="224">
        <v>4.5</v>
      </c>
      <c r="T151" s="224">
        <v>3.53</v>
      </c>
      <c r="U151" s="224">
        <v>1.58</v>
      </c>
      <c r="W151" s="224">
        <v>1.91</v>
      </c>
      <c r="X151" s="224">
        <v>4.21</v>
      </c>
      <c r="Y151" s="224">
        <v>6.55</v>
      </c>
      <c r="AA151" s="224">
        <f t="shared" si="33"/>
        <v>15.05</v>
      </c>
      <c r="AB151" s="224">
        <f t="shared" si="34"/>
        <v>16.39</v>
      </c>
      <c r="AC151" s="224">
        <f t="shared" si="35"/>
        <v>16.84</v>
      </c>
      <c r="AE151" s="238"/>
      <c r="AF151" s="238"/>
      <c r="AG151" s="238"/>
    </row>
    <row r="152" spans="1:33" x14ac:dyDescent="0.2">
      <c r="A152" s="15">
        <f t="shared" si="32"/>
        <v>142</v>
      </c>
      <c r="B152" s="9"/>
      <c r="C152" s="9"/>
      <c r="D152" s="222"/>
      <c r="E152" s="22"/>
      <c r="F152" s="223"/>
      <c r="G152" s="224"/>
      <c r="H152" s="224"/>
      <c r="I152" s="224"/>
      <c r="J152" s="224"/>
      <c r="K152" s="224"/>
      <c r="O152" s="224"/>
      <c r="S152" s="224"/>
      <c r="W152" s="224"/>
      <c r="AA152" s="224"/>
      <c r="AE152" s="238"/>
      <c r="AF152" s="238"/>
      <c r="AG152" s="238"/>
    </row>
    <row r="153" spans="1:33" x14ac:dyDescent="0.2">
      <c r="A153" s="15">
        <f t="shared" si="32"/>
        <v>143</v>
      </c>
      <c r="B153" s="9" t="s">
        <v>94</v>
      </c>
      <c r="C153" s="9"/>
      <c r="D153" s="222"/>
      <c r="E153" s="22"/>
      <c r="F153" s="223"/>
      <c r="G153" s="224"/>
      <c r="H153" s="224"/>
      <c r="I153" s="224"/>
      <c r="J153" s="224"/>
      <c r="K153" s="224"/>
      <c r="O153" s="224"/>
      <c r="S153" s="224"/>
      <c r="W153" s="224"/>
      <c r="AA153" s="224"/>
      <c r="AE153" s="238"/>
      <c r="AF153" s="238"/>
      <c r="AG153" s="238"/>
    </row>
    <row r="154" spans="1:33" x14ac:dyDescent="0.2">
      <c r="A154" s="15">
        <f t="shared" si="32"/>
        <v>144</v>
      </c>
      <c r="B154" s="9" t="s">
        <v>78</v>
      </c>
      <c r="C154" s="9"/>
      <c r="D154" s="222" t="s">
        <v>67</v>
      </c>
      <c r="E154" s="22" t="s">
        <v>496</v>
      </c>
      <c r="F154" s="223">
        <v>9.33</v>
      </c>
      <c r="G154" s="224">
        <v>2.31</v>
      </c>
      <c r="H154" s="224">
        <v>0.47</v>
      </c>
      <c r="I154" s="224">
        <v>0.26</v>
      </c>
      <c r="J154" s="224">
        <v>1.36</v>
      </c>
      <c r="K154" s="224">
        <v>13.73</v>
      </c>
      <c r="L154" s="224">
        <v>13.73</v>
      </c>
      <c r="M154" s="224">
        <v>13.73</v>
      </c>
      <c r="O154" s="224">
        <v>0.03</v>
      </c>
      <c r="P154" s="224">
        <v>0.04</v>
      </c>
      <c r="Q154" s="224">
        <v>0.05</v>
      </c>
      <c r="S154" s="224">
        <v>1.1000000000000001</v>
      </c>
      <c r="T154" s="224">
        <v>0.87</v>
      </c>
      <c r="U154" s="224">
        <v>0.39</v>
      </c>
      <c r="W154" s="224">
        <v>0.47</v>
      </c>
      <c r="X154" s="224">
        <v>1.04</v>
      </c>
      <c r="Y154" s="224">
        <v>1.61</v>
      </c>
      <c r="AA154" s="224">
        <f t="shared" ref="AA154:AC159" si="36">K154+O154+S154+W154</f>
        <v>15.33</v>
      </c>
      <c r="AB154" s="224">
        <f t="shared" si="36"/>
        <v>15.68</v>
      </c>
      <c r="AC154" s="224">
        <f t="shared" si="36"/>
        <v>15.780000000000001</v>
      </c>
      <c r="AE154" s="238"/>
      <c r="AF154" s="238"/>
      <c r="AG154" s="238"/>
    </row>
    <row r="155" spans="1:33" x14ac:dyDescent="0.2">
      <c r="A155" s="15">
        <f t="shared" si="32"/>
        <v>145</v>
      </c>
      <c r="B155" s="9" t="s">
        <v>78</v>
      </c>
      <c r="C155" s="9"/>
      <c r="D155" s="222" t="s">
        <v>67</v>
      </c>
      <c r="E155" s="22" t="s">
        <v>497</v>
      </c>
      <c r="F155" s="223">
        <v>8.7899999999999991</v>
      </c>
      <c r="G155" s="224">
        <v>2.31</v>
      </c>
      <c r="H155" s="224">
        <v>0.68</v>
      </c>
      <c r="I155" s="224">
        <v>0.38</v>
      </c>
      <c r="J155" s="224">
        <v>1.94</v>
      </c>
      <c r="K155" s="224">
        <v>14.1</v>
      </c>
      <c r="L155" s="224">
        <v>14.1</v>
      </c>
      <c r="M155" s="224">
        <v>14.1</v>
      </c>
      <c r="O155" s="224">
        <v>0.05</v>
      </c>
      <c r="P155" s="224">
        <v>0.05</v>
      </c>
      <c r="Q155" s="224">
        <v>7.0000000000000007E-2</v>
      </c>
      <c r="S155" s="224">
        <v>1.58</v>
      </c>
      <c r="T155" s="224">
        <v>1.24</v>
      </c>
      <c r="U155" s="224">
        <v>0.55000000000000004</v>
      </c>
      <c r="W155" s="224">
        <v>0.67</v>
      </c>
      <c r="X155" s="224">
        <v>1.48</v>
      </c>
      <c r="Y155" s="224">
        <v>2.2999999999999998</v>
      </c>
      <c r="AA155" s="224">
        <f t="shared" si="36"/>
        <v>16.400000000000002</v>
      </c>
      <c r="AB155" s="224">
        <f t="shared" si="36"/>
        <v>16.87</v>
      </c>
      <c r="AC155" s="224">
        <f t="shared" si="36"/>
        <v>17.02</v>
      </c>
      <c r="AE155" s="238"/>
      <c r="AF155" s="238"/>
      <c r="AG155" s="238"/>
    </row>
    <row r="156" spans="1:33" x14ac:dyDescent="0.2">
      <c r="A156" s="15">
        <f t="shared" si="32"/>
        <v>146</v>
      </c>
      <c r="B156" s="9" t="s">
        <v>78</v>
      </c>
      <c r="C156" s="9"/>
      <c r="D156" s="222" t="s">
        <v>67</v>
      </c>
      <c r="E156" s="22" t="s">
        <v>498</v>
      </c>
      <c r="F156" s="223">
        <v>8.8000000000000007</v>
      </c>
      <c r="G156" s="224">
        <v>2.31</v>
      </c>
      <c r="H156" s="224">
        <v>1.02</v>
      </c>
      <c r="I156" s="224">
        <v>0.56999999999999995</v>
      </c>
      <c r="J156" s="224">
        <v>2.9</v>
      </c>
      <c r="K156" s="224">
        <v>15.600000000000001</v>
      </c>
      <c r="L156" s="224">
        <v>15.600000000000001</v>
      </c>
      <c r="M156" s="224">
        <v>15.600000000000001</v>
      </c>
      <c r="O156" s="224">
        <v>7.0000000000000007E-2</v>
      </c>
      <c r="P156" s="224">
        <v>0.08</v>
      </c>
      <c r="Q156" s="224">
        <v>0.11</v>
      </c>
      <c r="S156" s="224">
        <v>2.37</v>
      </c>
      <c r="T156" s="224">
        <v>1.86</v>
      </c>
      <c r="U156" s="224">
        <v>0.83</v>
      </c>
      <c r="W156" s="224">
        <v>1.01</v>
      </c>
      <c r="X156" s="224">
        <v>2.2200000000000002</v>
      </c>
      <c r="Y156" s="224">
        <v>3.45</v>
      </c>
      <c r="AA156" s="224">
        <f t="shared" si="36"/>
        <v>19.050000000000004</v>
      </c>
      <c r="AB156" s="224">
        <f t="shared" si="36"/>
        <v>19.760000000000002</v>
      </c>
      <c r="AC156" s="224">
        <f t="shared" si="36"/>
        <v>19.989999999999998</v>
      </c>
      <c r="AE156" s="238"/>
      <c r="AF156" s="238"/>
      <c r="AG156" s="238"/>
    </row>
    <row r="157" spans="1:33" x14ac:dyDescent="0.2">
      <c r="A157" s="15">
        <f t="shared" si="32"/>
        <v>147</v>
      </c>
      <c r="B157" s="9" t="s">
        <v>78</v>
      </c>
      <c r="C157" s="9"/>
      <c r="D157" s="222" t="s">
        <v>67</v>
      </c>
      <c r="E157" s="22" t="s">
        <v>499</v>
      </c>
      <c r="F157" s="223">
        <v>9.31</v>
      </c>
      <c r="G157" s="224">
        <v>2.31</v>
      </c>
      <c r="H157" s="224">
        <v>1.36</v>
      </c>
      <c r="I157" s="224">
        <v>0.76</v>
      </c>
      <c r="J157" s="224">
        <v>3.87</v>
      </c>
      <c r="K157" s="224">
        <v>17.61</v>
      </c>
      <c r="L157" s="224">
        <v>17.61</v>
      </c>
      <c r="M157" s="224">
        <v>17.61</v>
      </c>
      <c r="O157" s="224">
        <v>0.09</v>
      </c>
      <c r="P157" s="224">
        <v>0.1</v>
      </c>
      <c r="Q157" s="224">
        <v>0.14000000000000001</v>
      </c>
      <c r="S157" s="224">
        <v>3.16</v>
      </c>
      <c r="T157" s="224">
        <v>2.48</v>
      </c>
      <c r="U157" s="224">
        <v>1.1100000000000001</v>
      </c>
      <c r="W157" s="224">
        <v>1.34</v>
      </c>
      <c r="X157" s="224">
        <v>2.96</v>
      </c>
      <c r="Y157" s="224">
        <v>4.5999999999999996</v>
      </c>
      <c r="AA157" s="224">
        <f t="shared" si="36"/>
        <v>22.2</v>
      </c>
      <c r="AB157" s="224">
        <f t="shared" si="36"/>
        <v>23.150000000000002</v>
      </c>
      <c r="AC157" s="224">
        <f t="shared" si="36"/>
        <v>23.46</v>
      </c>
      <c r="AE157" s="238"/>
      <c r="AF157" s="238"/>
      <c r="AG157" s="238"/>
    </row>
    <row r="158" spans="1:33" x14ac:dyDescent="0.2">
      <c r="A158" s="15">
        <f t="shared" si="32"/>
        <v>148</v>
      </c>
      <c r="B158" s="9" t="s">
        <v>78</v>
      </c>
      <c r="C158" s="9"/>
      <c r="D158" s="222" t="s">
        <v>67</v>
      </c>
      <c r="E158" s="22" t="s">
        <v>500</v>
      </c>
      <c r="F158" s="223">
        <v>9.48</v>
      </c>
      <c r="G158" s="224">
        <v>2.31</v>
      </c>
      <c r="H158" s="224">
        <v>1.7</v>
      </c>
      <c r="I158" s="224">
        <v>0.95</v>
      </c>
      <c r="J158" s="224">
        <v>4.84</v>
      </c>
      <c r="K158" s="224">
        <v>19.28</v>
      </c>
      <c r="L158" s="224">
        <v>19.28</v>
      </c>
      <c r="M158" s="224">
        <v>19.28</v>
      </c>
      <c r="O158" s="224">
        <v>0.11</v>
      </c>
      <c r="P158" s="224">
        <v>0.13</v>
      </c>
      <c r="Q158" s="224">
        <v>0.18</v>
      </c>
      <c r="S158" s="224">
        <v>3.95</v>
      </c>
      <c r="T158" s="224">
        <v>3.1</v>
      </c>
      <c r="U158" s="224">
        <v>1.38</v>
      </c>
      <c r="W158" s="224">
        <v>1.68</v>
      </c>
      <c r="X158" s="224">
        <v>3.7</v>
      </c>
      <c r="Y158" s="224">
        <v>5.75</v>
      </c>
      <c r="AA158" s="224">
        <f t="shared" si="36"/>
        <v>25.02</v>
      </c>
      <c r="AB158" s="224">
        <f t="shared" si="36"/>
        <v>26.21</v>
      </c>
      <c r="AC158" s="224">
        <f t="shared" si="36"/>
        <v>26.59</v>
      </c>
      <c r="AE158" s="238"/>
      <c r="AF158" s="238"/>
      <c r="AG158" s="238"/>
    </row>
    <row r="159" spans="1:33" x14ac:dyDescent="0.2">
      <c r="A159" s="15">
        <f t="shared" si="32"/>
        <v>149</v>
      </c>
      <c r="B159" s="9" t="s">
        <v>78</v>
      </c>
      <c r="C159" s="9"/>
      <c r="D159" s="222" t="s">
        <v>67</v>
      </c>
      <c r="E159" s="22" t="s">
        <v>502</v>
      </c>
      <c r="F159" s="223">
        <v>10.58</v>
      </c>
      <c r="G159" s="224">
        <v>2.31</v>
      </c>
      <c r="H159" s="224">
        <v>2.71</v>
      </c>
      <c r="I159" s="224">
        <v>1.51</v>
      </c>
      <c r="J159" s="224">
        <v>7.75</v>
      </c>
      <c r="K159" s="224">
        <v>24.860000000000003</v>
      </c>
      <c r="L159" s="224">
        <v>24.860000000000003</v>
      </c>
      <c r="M159" s="224">
        <v>24.860000000000003</v>
      </c>
      <c r="O159" s="224">
        <v>0.18</v>
      </c>
      <c r="P159" s="224">
        <v>0.2</v>
      </c>
      <c r="Q159" s="224">
        <v>0.28999999999999998</v>
      </c>
      <c r="S159" s="224">
        <v>6.31</v>
      </c>
      <c r="T159" s="224">
        <v>4.96</v>
      </c>
      <c r="U159" s="224">
        <v>2.21</v>
      </c>
      <c r="W159" s="224">
        <v>2.68</v>
      </c>
      <c r="X159" s="224">
        <v>5.92</v>
      </c>
      <c r="Y159" s="224">
        <v>9.19</v>
      </c>
      <c r="AA159" s="224">
        <f t="shared" si="36"/>
        <v>34.03</v>
      </c>
      <c r="AB159" s="224">
        <f t="shared" si="36"/>
        <v>35.940000000000005</v>
      </c>
      <c r="AC159" s="224">
        <f t="shared" si="36"/>
        <v>36.550000000000004</v>
      </c>
      <c r="AE159" s="238"/>
      <c r="AF159" s="238"/>
      <c r="AG159" s="238"/>
    </row>
    <row r="160" spans="1:33" x14ac:dyDescent="0.2">
      <c r="A160" s="15">
        <f t="shared" si="32"/>
        <v>150</v>
      </c>
      <c r="B160" s="9"/>
      <c r="C160" s="9"/>
      <c r="D160" s="222"/>
      <c r="E160" s="22"/>
      <c r="F160" s="223"/>
      <c r="G160" s="224"/>
      <c r="H160" s="224"/>
      <c r="I160" s="224"/>
      <c r="J160" s="224"/>
      <c r="K160" s="224"/>
      <c r="O160" s="224"/>
      <c r="S160" s="224"/>
      <c r="W160" s="224"/>
      <c r="AA160" s="224"/>
      <c r="AE160" s="238"/>
      <c r="AF160" s="238"/>
      <c r="AG160" s="238"/>
    </row>
    <row r="161" spans="1:33" x14ac:dyDescent="0.2">
      <c r="A161" s="15">
        <f t="shared" si="32"/>
        <v>151</v>
      </c>
      <c r="B161" s="9" t="s">
        <v>78</v>
      </c>
      <c r="C161" s="9"/>
      <c r="D161" s="222" t="s">
        <v>77</v>
      </c>
      <c r="E161" s="22" t="s">
        <v>204</v>
      </c>
      <c r="F161" s="223">
        <v>9.4</v>
      </c>
      <c r="G161" s="224">
        <v>4.63</v>
      </c>
      <c r="H161" s="224">
        <v>1.7</v>
      </c>
      <c r="I161" s="224">
        <v>0.95</v>
      </c>
      <c r="J161" s="224">
        <v>4.84</v>
      </c>
      <c r="K161" s="224">
        <v>21.52</v>
      </c>
      <c r="L161" s="224">
        <v>21.52</v>
      </c>
      <c r="M161" s="224">
        <v>21.52</v>
      </c>
      <c r="O161" s="224">
        <v>0.11</v>
      </c>
      <c r="P161" s="224">
        <v>0.13</v>
      </c>
      <c r="Q161" s="224">
        <v>0.18</v>
      </c>
      <c r="S161" s="224">
        <v>3.95</v>
      </c>
      <c r="T161" s="224">
        <v>3.1</v>
      </c>
      <c r="U161" s="224">
        <v>1.38</v>
      </c>
      <c r="W161" s="224">
        <v>1.68</v>
      </c>
      <c r="X161" s="224">
        <v>3.7</v>
      </c>
      <c r="Y161" s="224">
        <v>5.75</v>
      </c>
      <c r="AA161" s="224">
        <f>K161+O161+S161+W161</f>
        <v>27.259999999999998</v>
      </c>
      <c r="AB161" s="224">
        <f>L161+P161+T161+X161</f>
        <v>28.45</v>
      </c>
      <c r="AC161" s="224">
        <f>M161+Q161+U161+Y161</f>
        <v>28.83</v>
      </c>
      <c r="AE161" s="238"/>
      <c r="AF161" s="238"/>
      <c r="AG161" s="238"/>
    </row>
    <row r="162" spans="1:33" x14ac:dyDescent="0.2">
      <c r="A162" s="15">
        <f t="shared" si="32"/>
        <v>152</v>
      </c>
      <c r="B162" s="9"/>
      <c r="C162" s="9"/>
      <c r="D162" s="222"/>
      <c r="E162" s="22"/>
      <c r="F162" s="223"/>
      <c r="G162" s="224"/>
      <c r="H162" s="224"/>
      <c r="I162" s="224"/>
      <c r="J162" s="224"/>
      <c r="K162" s="224"/>
      <c r="O162" s="224"/>
      <c r="S162" s="224"/>
      <c r="W162" s="224"/>
      <c r="AA162" s="224"/>
      <c r="AE162" s="238"/>
      <c r="AF162" s="238"/>
      <c r="AG162" s="238"/>
    </row>
    <row r="163" spans="1:33" x14ac:dyDescent="0.2">
      <c r="A163" s="15">
        <f t="shared" si="32"/>
        <v>153</v>
      </c>
      <c r="B163" s="9" t="s">
        <v>78</v>
      </c>
      <c r="C163" s="9"/>
      <c r="D163" s="222" t="s">
        <v>83</v>
      </c>
      <c r="E163" s="22" t="s">
        <v>409</v>
      </c>
      <c r="F163" s="223">
        <v>7.09</v>
      </c>
      <c r="G163" s="224">
        <v>0.46</v>
      </c>
      <c r="H163" s="224">
        <v>0.1</v>
      </c>
      <c r="I163" s="224">
        <v>0.06</v>
      </c>
      <c r="J163" s="224">
        <v>0.28999999999999998</v>
      </c>
      <c r="K163" s="224">
        <v>7.9999999999999991</v>
      </c>
      <c r="L163" s="224">
        <v>7.9999999999999991</v>
      </c>
      <c r="M163" s="224">
        <v>7.9999999999999991</v>
      </c>
      <c r="O163" s="224">
        <v>0.01</v>
      </c>
      <c r="P163" s="224">
        <v>0.01</v>
      </c>
      <c r="Q163" s="224">
        <v>0.01</v>
      </c>
      <c r="S163" s="224">
        <v>0.24</v>
      </c>
      <c r="T163" s="224">
        <v>0.19</v>
      </c>
      <c r="U163" s="224">
        <v>0.08</v>
      </c>
      <c r="W163" s="224">
        <v>0.1</v>
      </c>
      <c r="X163" s="224">
        <v>0.22</v>
      </c>
      <c r="Y163" s="224">
        <v>0.34</v>
      </c>
      <c r="AA163" s="224">
        <f t="shared" ref="AA163:AA172" si="37">K163+O163+S163+W163</f>
        <v>8.35</v>
      </c>
      <c r="AB163" s="224">
        <f t="shared" ref="AB163:AB172" si="38">L163+P163+T163+X163</f>
        <v>8.42</v>
      </c>
      <c r="AC163" s="224">
        <f t="shared" ref="AC163:AC172" si="39">M163+Q163+U163+Y163</f>
        <v>8.43</v>
      </c>
      <c r="AE163" s="238"/>
      <c r="AF163" s="238"/>
      <c r="AG163" s="238"/>
    </row>
    <row r="164" spans="1:33" x14ac:dyDescent="0.2">
      <c r="A164" s="15">
        <f t="shared" si="32"/>
        <v>154</v>
      </c>
      <c r="B164" s="9" t="s">
        <v>78</v>
      </c>
      <c r="C164" s="9"/>
      <c r="D164" s="222" t="s">
        <v>83</v>
      </c>
      <c r="E164" s="22" t="s">
        <v>190</v>
      </c>
      <c r="F164" s="223">
        <v>8.2100000000000009</v>
      </c>
      <c r="G164" s="224">
        <v>0.46</v>
      </c>
      <c r="H164" s="224">
        <v>0.31</v>
      </c>
      <c r="I164" s="224">
        <v>0.17</v>
      </c>
      <c r="J164" s="224">
        <v>0.87</v>
      </c>
      <c r="K164" s="224">
        <v>10.020000000000001</v>
      </c>
      <c r="L164" s="224">
        <v>10.020000000000001</v>
      </c>
      <c r="M164" s="224">
        <v>10.020000000000001</v>
      </c>
      <c r="O164" s="224">
        <v>0.02</v>
      </c>
      <c r="P164" s="224">
        <v>0.02</v>
      </c>
      <c r="Q164" s="224">
        <v>0.03</v>
      </c>
      <c r="S164" s="224">
        <v>0.71</v>
      </c>
      <c r="T164" s="224">
        <v>0.56000000000000005</v>
      </c>
      <c r="U164" s="224">
        <v>0.25</v>
      </c>
      <c r="W164" s="224">
        <v>0.3</v>
      </c>
      <c r="X164" s="224">
        <v>0.67</v>
      </c>
      <c r="Y164" s="224">
        <v>1.03</v>
      </c>
      <c r="AA164" s="224">
        <f t="shared" si="37"/>
        <v>11.05</v>
      </c>
      <c r="AB164" s="224">
        <f t="shared" si="38"/>
        <v>11.270000000000001</v>
      </c>
      <c r="AC164" s="224">
        <f t="shared" si="39"/>
        <v>11.33</v>
      </c>
      <c r="AE164" s="238"/>
      <c r="AF164" s="238"/>
      <c r="AG164" s="238"/>
    </row>
    <row r="165" spans="1:33" x14ac:dyDescent="0.2">
      <c r="A165" s="15">
        <f t="shared" si="32"/>
        <v>155</v>
      </c>
      <c r="B165" s="9" t="s">
        <v>78</v>
      </c>
      <c r="C165" s="9"/>
      <c r="D165" s="222" t="s">
        <v>83</v>
      </c>
      <c r="E165" s="22" t="s">
        <v>191</v>
      </c>
      <c r="F165" s="223">
        <v>10.9</v>
      </c>
      <c r="G165" s="224">
        <v>0.46</v>
      </c>
      <c r="H165" s="224">
        <v>0.51</v>
      </c>
      <c r="I165" s="224">
        <v>0.28000000000000003</v>
      </c>
      <c r="J165" s="224">
        <v>1.45</v>
      </c>
      <c r="K165" s="224">
        <v>13.6</v>
      </c>
      <c r="L165" s="224">
        <v>13.6</v>
      </c>
      <c r="M165" s="224">
        <v>13.6</v>
      </c>
      <c r="O165" s="224">
        <v>0.03</v>
      </c>
      <c r="P165" s="224">
        <v>0.04</v>
      </c>
      <c r="Q165" s="224">
        <v>0.05</v>
      </c>
      <c r="S165" s="224">
        <v>1.18</v>
      </c>
      <c r="T165" s="224">
        <v>0.93</v>
      </c>
      <c r="U165" s="224">
        <v>0.41</v>
      </c>
      <c r="W165" s="224">
        <v>0.5</v>
      </c>
      <c r="X165" s="224">
        <v>1.1100000000000001</v>
      </c>
      <c r="Y165" s="224">
        <v>1.72</v>
      </c>
      <c r="AA165" s="224">
        <f t="shared" si="37"/>
        <v>15.309999999999999</v>
      </c>
      <c r="AB165" s="224">
        <f t="shared" si="38"/>
        <v>15.679999999999998</v>
      </c>
      <c r="AC165" s="224">
        <f t="shared" si="39"/>
        <v>15.780000000000001</v>
      </c>
      <c r="AE165" s="238"/>
      <c r="AF165" s="238"/>
      <c r="AG165" s="238"/>
    </row>
    <row r="166" spans="1:33" x14ac:dyDescent="0.2">
      <c r="A166" s="15">
        <f t="shared" si="32"/>
        <v>156</v>
      </c>
      <c r="B166" s="9" t="s">
        <v>78</v>
      </c>
      <c r="C166" s="9"/>
      <c r="D166" s="222" t="s">
        <v>83</v>
      </c>
      <c r="E166" s="22" t="s">
        <v>192</v>
      </c>
      <c r="F166" s="223">
        <v>11.23</v>
      </c>
      <c r="G166" s="224">
        <v>0.46</v>
      </c>
      <c r="H166" s="224">
        <v>0.71</v>
      </c>
      <c r="I166" s="224">
        <v>0.4</v>
      </c>
      <c r="J166" s="224">
        <v>2.0299999999999998</v>
      </c>
      <c r="K166" s="224">
        <v>14.830000000000002</v>
      </c>
      <c r="L166" s="224">
        <v>14.830000000000002</v>
      </c>
      <c r="M166" s="224">
        <v>14.830000000000002</v>
      </c>
      <c r="O166" s="224">
        <v>0.05</v>
      </c>
      <c r="P166" s="224">
        <v>0.05</v>
      </c>
      <c r="Q166" s="224">
        <v>0.08</v>
      </c>
      <c r="S166" s="224">
        <v>1.66</v>
      </c>
      <c r="T166" s="224">
        <v>1.3</v>
      </c>
      <c r="U166" s="224">
        <v>0.57999999999999996</v>
      </c>
      <c r="W166" s="224">
        <v>0.7</v>
      </c>
      <c r="X166" s="224">
        <v>1.55</v>
      </c>
      <c r="Y166" s="224">
        <v>2.41</v>
      </c>
      <c r="AA166" s="224">
        <f t="shared" si="37"/>
        <v>17.240000000000002</v>
      </c>
      <c r="AB166" s="224">
        <f t="shared" si="38"/>
        <v>17.730000000000004</v>
      </c>
      <c r="AC166" s="224">
        <f t="shared" si="39"/>
        <v>17.900000000000002</v>
      </c>
      <c r="AE166" s="238"/>
      <c r="AF166" s="238"/>
      <c r="AG166" s="238"/>
    </row>
    <row r="167" spans="1:33" x14ac:dyDescent="0.2">
      <c r="A167" s="15">
        <f t="shared" si="32"/>
        <v>157</v>
      </c>
      <c r="B167" s="9" t="s">
        <v>78</v>
      </c>
      <c r="C167" s="9"/>
      <c r="D167" s="222" t="s">
        <v>83</v>
      </c>
      <c r="E167" s="22" t="s">
        <v>193</v>
      </c>
      <c r="F167" s="223">
        <v>13.13</v>
      </c>
      <c r="G167" s="224">
        <v>0.46</v>
      </c>
      <c r="H167" s="224">
        <v>0.92</v>
      </c>
      <c r="I167" s="224">
        <v>0.51</v>
      </c>
      <c r="J167" s="224">
        <v>2.61</v>
      </c>
      <c r="K167" s="224">
        <v>17.630000000000003</v>
      </c>
      <c r="L167" s="224">
        <v>17.630000000000003</v>
      </c>
      <c r="M167" s="224">
        <v>17.630000000000003</v>
      </c>
      <c r="O167" s="224">
        <v>0.06</v>
      </c>
      <c r="P167" s="224">
        <v>7.0000000000000007E-2</v>
      </c>
      <c r="Q167" s="224">
        <v>0.1</v>
      </c>
      <c r="S167" s="224">
        <v>2.13</v>
      </c>
      <c r="T167" s="224">
        <v>1.67</v>
      </c>
      <c r="U167" s="224">
        <v>0.75</v>
      </c>
      <c r="W167" s="224">
        <v>0.91</v>
      </c>
      <c r="X167" s="224">
        <v>2</v>
      </c>
      <c r="Y167" s="224">
        <v>3.1</v>
      </c>
      <c r="AA167" s="224">
        <f t="shared" si="37"/>
        <v>20.73</v>
      </c>
      <c r="AB167" s="224">
        <f t="shared" si="38"/>
        <v>21.370000000000005</v>
      </c>
      <c r="AC167" s="224">
        <f t="shared" si="39"/>
        <v>21.580000000000005</v>
      </c>
      <c r="AE167" s="238"/>
      <c r="AF167" s="238"/>
      <c r="AG167" s="238"/>
    </row>
    <row r="168" spans="1:33" x14ac:dyDescent="0.2">
      <c r="A168" s="15">
        <f t="shared" si="32"/>
        <v>158</v>
      </c>
      <c r="B168" s="9" t="s">
        <v>78</v>
      </c>
      <c r="C168" s="9"/>
      <c r="D168" s="222" t="s">
        <v>83</v>
      </c>
      <c r="E168" s="22" t="s">
        <v>194</v>
      </c>
      <c r="F168" s="223">
        <v>14.64</v>
      </c>
      <c r="G168" s="224">
        <v>0.46</v>
      </c>
      <c r="H168" s="224">
        <v>1.1200000000000001</v>
      </c>
      <c r="I168" s="224">
        <v>0.62</v>
      </c>
      <c r="J168" s="224">
        <v>3.19</v>
      </c>
      <c r="K168" s="224">
        <v>20.030000000000005</v>
      </c>
      <c r="L168" s="224">
        <v>20.030000000000005</v>
      </c>
      <c r="M168" s="224">
        <v>20.030000000000005</v>
      </c>
      <c r="O168" s="224">
        <v>0.08</v>
      </c>
      <c r="P168" s="224">
        <v>0.08</v>
      </c>
      <c r="Q168" s="224">
        <v>0.12</v>
      </c>
      <c r="S168" s="224">
        <v>2.6</v>
      </c>
      <c r="T168" s="224">
        <v>2.0499999999999998</v>
      </c>
      <c r="U168" s="224">
        <v>0.91</v>
      </c>
      <c r="W168" s="224">
        <v>1.1100000000000001</v>
      </c>
      <c r="X168" s="224">
        <v>2.44</v>
      </c>
      <c r="Y168" s="224">
        <v>3.79</v>
      </c>
      <c r="AA168" s="224">
        <f t="shared" si="37"/>
        <v>23.820000000000004</v>
      </c>
      <c r="AB168" s="224">
        <f t="shared" si="38"/>
        <v>24.600000000000005</v>
      </c>
      <c r="AC168" s="224">
        <f t="shared" si="39"/>
        <v>24.850000000000005</v>
      </c>
      <c r="AE168" s="238"/>
      <c r="AF168" s="238"/>
      <c r="AG168" s="238"/>
    </row>
    <row r="169" spans="1:33" x14ac:dyDescent="0.2">
      <c r="A169" s="15">
        <f t="shared" si="32"/>
        <v>159</v>
      </c>
      <c r="B169" s="9" t="s">
        <v>78</v>
      </c>
      <c r="C169" s="9"/>
      <c r="D169" s="222" t="s">
        <v>83</v>
      </c>
      <c r="E169" s="22" t="s">
        <v>195</v>
      </c>
      <c r="F169" s="223">
        <v>16.16</v>
      </c>
      <c r="G169" s="224">
        <v>0.46</v>
      </c>
      <c r="H169" s="224">
        <v>1.32</v>
      </c>
      <c r="I169" s="224">
        <v>0.74</v>
      </c>
      <c r="J169" s="224">
        <v>3.78</v>
      </c>
      <c r="K169" s="224">
        <v>22.46</v>
      </c>
      <c r="L169" s="224">
        <v>22.46</v>
      </c>
      <c r="M169" s="224">
        <v>22.46</v>
      </c>
      <c r="O169" s="224">
        <v>0.09</v>
      </c>
      <c r="P169" s="224">
        <v>0.1</v>
      </c>
      <c r="Q169" s="224">
        <v>0.14000000000000001</v>
      </c>
      <c r="S169" s="224">
        <v>3.08</v>
      </c>
      <c r="T169" s="224">
        <v>2.42</v>
      </c>
      <c r="U169" s="224">
        <v>1.08</v>
      </c>
      <c r="W169" s="224">
        <v>1.31</v>
      </c>
      <c r="X169" s="224">
        <v>2.88</v>
      </c>
      <c r="Y169" s="224">
        <v>4.4800000000000004</v>
      </c>
      <c r="AA169" s="224">
        <f t="shared" si="37"/>
        <v>26.94</v>
      </c>
      <c r="AB169" s="224">
        <f t="shared" si="38"/>
        <v>27.860000000000003</v>
      </c>
      <c r="AC169" s="224">
        <f t="shared" si="39"/>
        <v>28.16</v>
      </c>
      <c r="AE169" s="238"/>
      <c r="AF169" s="238"/>
      <c r="AG169" s="238"/>
    </row>
    <row r="170" spans="1:33" x14ac:dyDescent="0.2">
      <c r="A170" s="15">
        <f t="shared" si="32"/>
        <v>160</v>
      </c>
      <c r="B170" s="9" t="s">
        <v>78</v>
      </c>
      <c r="C170" s="9"/>
      <c r="D170" s="222" t="s">
        <v>83</v>
      </c>
      <c r="E170" s="22" t="s">
        <v>209</v>
      </c>
      <c r="F170" s="223">
        <v>17.670000000000002</v>
      </c>
      <c r="G170" s="224">
        <v>0.46</v>
      </c>
      <c r="H170" s="224">
        <v>1.53</v>
      </c>
      <c r="I170" s="224">
        <v>0.85</v>
      </c>
      <c r="J170" s="224">
        <v>4.3600000000000003</v>
      </c>
      <c r="K170" s="224">
        <v>24.870000000000005</v>
      </c>
      <c r="L170" s="224">
        <v>24.870000000000005</v>
      </c>
      <c r="M170" s="224">
        <v>24.870000000000005</v>
      </c>
      <c r="O170" s="224">
        <v>0.1</v>
      </c>
      <c r="P170" s="224">
        <v>0.11</v>
      </c>
      <c r="Q170" s="224">
        <v>0.16</v>
      </c>
      <c r="S170" s="224">
        <v>3.55</v>
      </c>
      <c r="T170" s="224">
        <v>2.79</v>
      </c>
      <c r="U170" s="224">
        <v>1.24</v>
      </c>
      <c r="W170" s="224">
        <v>1.51</v>
      </c>
      <c r="X170" s="224">
        <v>3.33</v>
      </c>
      <c r="Y170" s="224">
        <v>5.17</v>
      </c>
      <c r="AA170" s="224">
        <f t="shared" si="37"/>
        <v>30.030000000000008</v>
      </c>
      <c r="AB170" s="224">
        <f t="shared" si="38"/>
        <v>31.1</v>
      </c>
      <c r="AC170" s="224">
        <f t="shared" si="39"/>
        <v>31.440000000000005</v>
      </c>
      <c r="AE170" s="238"/>
      <c r="AF170" s="238"/>
      <c r="AG170" s="238"/>
    </row>
    <row r="171" spans="1:33" x14ac:dyDescent="0.2">
      <c r="A171" s="15">
        <f t="shared" si="32"/>
        <v>161</v>
      </c>
      <c r="B171" s="9" t="s">
        <v>78</v>
      </c>
      <c r="C171" s="9"/>
      <c r="D171" s="222" t="s">
        <v>83</v>
      </c>
      <c r="E171" s="22" t="s">
        <v>196</v>
      </c>
      <c r="F171" s="223">
        <v>19.18</v>
      </c>
      <c r="G171" s="224">
        <v>0.46</v>
      </c>
      <c r="H171" s="224">
        <v>1.73</v>
      </c>
      <c r="I171" s="224">
        <v>0.96</v>
      </c>
      <c r="J171" s="224">
        <v>4.9400000000000004</v>
      </c>
      <c r="K171" s="224">
        <v>27.270000000000003</v>
      </c>
      <c r="L171" s="224">
        <v>27.270000000000003</v>
      </c>
      <c r="M171" s="224">
        <v>27.270000000000003</v>
      </c>
      <c r="O171" s="224">
        <v>0.12</v>
      </c>
      <c r="P171" s="224">
        <v>0.13</v>
      </c>
      <c r="Q171" s="224">
        <v>0.18</v>
      </c>
      <c r="S171" s="224">
        <v>4.0199999999999996</v>
      </c>
      <c r="T171" s="224">
        <v>3.16</v>
      </c>
      <c r="U171" s="224">
        <v>1.41</v>
      </c>
      <c r="W171" s="224">
        <v>1.71</v>
      </c>
      <c r="X171" s="224">
        <v>3.77</v>
      </c>
      <c r="Y171" s="224">
        <v>5.86</v>
      </c>
      <c r="AA171" s="224">
        <f t="shared" si="37"/>
        <v>33.120000000000005</v>
      </c>
      <c r="AB171" s="224">
        <f t="shared" si="38"/>
        <v>34.330000000000005</v>
      </c>
      <c r="AC171" s="224">
        <f t="shared" si="39"/>
        <v>34.720000000000006</v>
      </c>
      <c r="AE171" s="238"/>
      <c r="AF171" s="238"/>
      <c r="AG171" s="238"/>
    </row>
    <row r="172" spans="1:33" x14ac:dyDescent="0.2">
      <c r="A172" s="15">
        <f t="shared" si="32"/>
        <v>162</v>
      </c>
      <c r="B172" s="9" t="s">
        <v>78</v>
      </c>
      <c r="C172" s="9"/>
      <c r="D172" s="222" t="s">
        <v>83</v>
      </c>
      <c r="E172" s="22" t="s">
        <v>197</v>
      </c>
      <c r="F172" s="223">
        <v>20.69</v>
      </c>
      <c r="G172" s="224">
        <v>0.46</v>
      </c>
      <c r="H172" s="224">
        <v>1.93</v>
      </c>
      <c r="I172" s="224">
        <v>1.08</v>
      </c>
      <c r="J172" s="224">
        <v>5.52</v>
      </c>
      <c r="K172" s="224">
        <v>29.680000000000003</v>
      </c>
      <c r="L172" s="224">
        <v>29.680000000000003</v>
      </c>
      <c r="M172" s="224">
        <v>29.680000000000003</v>
      </c>
      <c r="O172" s="224">
        <v>0.13</v>
      </c>
      <c r="P172" s="224">
        <v>0.14000000000000001</v>
      </c>
      <c r="Q172" s="224">
        <v>0.2</v>
      </c>
      <c r="S172" s="224">
        <v>4.5</v>
      </c>
      <c r="T172" s="224">
        <v>3.53</v>
      </c>
      <c r="U172" s="224">
        <v>1.58</v>
      </c>
      <c r="W172" s="224">
        <v>1.91</v>
      </c>
      <c r="X172" s="224">
        <v>4.21</v>
      </c>
      <c r="Y172" s="224">
        <v>6.55</v>
      </c>
      <c r="AA172" s="224">
        <f t="shared" si="37"/>
        <v>36.22</v>
      </c>
      <c r="AB172" s="224">
        <f t="shared" si="38"/>
        <v>37.56</v>
      </c>
      <c r="AC172" s="224">
        <f t="shared" si="39"/>
        <v>38.01</v>
      </c>
      <c r="AE172" s="238"/>
      <c r="AF172" s="238"/>
      <c r="AG172" s="238"/>
    </row>
    <row r="173" spans="1:33" x14ac:dyDescent="0.2">
      <c r="A173" s="15">
        <f t="shared" si="32"/>
        <v>163</v>
      </c>
      <c r="B173" s="9"/>
      <c r="C173" s="9"/>
      <c r="D173" s="222"/>
      <c r="E173" s="22"/>
      <c r="F173" s="223"/>
      <c r="G173" s="224"/>
      <c r="H173" s="224"/>
      <c r="I173" s="224"/>
      <c r="J173" s="224"/>
      <c r="K173" s="224"/>
      <c r="O173" s="224"/>
      <c r="S173" s="224"/>
      <c r="W173" s="224"/>
      <c r="AA173" s="224"/>
      <c r="AE173" s="238"/>
      <c r="AF173" s="238"/>
      <c r="AG173" s="238"/>
    </row>
    <row r="174" spans="1:33" x14ac:dyDescent="0.2">
      <c r="A174" s="15">
        <f t="shared" si="32"/>
        <v>164</v>
      </c>
      <c r="B174" s="9" t="s">
        <v>95</v>
      </c>
      <c r="C174" s="9"/>
      <c r="D174" s="222"/>
      <c r="E174" s="22"/>
      <c r="F174" s="223"/>
      <c r="G174" s="224"/>
      <c r="H174" s="224"/>
      <c r="I174" s="224"/>
      <c r="J174" s="224"/>
      <c r="K174" s="224"/>
      <c r="O174" s="224"/>
      <c r="S174" s="224"/>
      <c r="W174" s="224"/>
      <c r="AA174" s="224"/>
      <c r="AE174" s="238"/>
      <c r="AF174" s="238"/>
      <c r="AG174" s="238"/>
    </row>
    <row r="175" spans="1:33" x14ac:dyDescent="0.2">
      <c r="A175" s="15">
        <f t="shared" si="32"/>
        <v>165</v>
      </c>
      <c r="B175" s="9" t="s">
        <v>79</v>
      </c>
      <c r="C175" s="9"/>
      <c r="D175" s="222" t="s">
        <v>67</v>
      </c>
      <c r="E175" s="22" t="s">
        <v>506</v>
      </c>
      <c r="F175" s="223">
        <v>9.33</v>
      </c>
      <c r="G175" s="224">
        <v>2.31</v>
      </c>
      <c r="H175" s="224">
        <v>0.47</v>
      </c>
      <c r="I175" s="224">
        <v>0.26</v>
      </c>
      <c r="J175" s="224">
        <v>1.36</v>
      </c>
      <c r="K175" s="224">
        <v>13.73</v>
      </c>
      <c r="L175" s="224">
        <v>13.73</v>
      </c>
      <c r="M175" s="224">
        <v>13.73</v>
      </c>
      <c r="O175" s="224">
        <v>0.03</v>
      </c>
      <c r="P175" s="224">
        <v>0.04</v>
      </c>
      <c r="Q175" s="224">
        <v>0.05</v>
      </c>
      <c r="S175" s="224">
        <v>1.1000000000000001</v>
      </c>
      <c r="T175" s="224">
        <v>0.87</v>
      </c>
      <c r="U175" s="224">
        <v>0.39</v>
      </c>
      <c r="W175" s="224">
        <v>0.47</v>
      </c>
      <c r="X175" s="224">
        <v>1.04</v>
      </c>
      <c r="Y175" s="224">
        <v>1.61</v>
      </c>
      <c r="AA175" s="224">
        <f t="shared" ref="AA175:AC180" si="40">K175+O175+S175+W175</f>
        <v>15.33</v>
      </c>
      <c r="AB175" s="224">
        <f t="shared" si="40"/>
        <v>15.68</v>
      </c>
      <c r="AC175" s="224">
        <f t="shared" si="40"/>
        <v>15.780000000000001</v>
      </c>
      <c r="AE175" s="238"/>
      <c r="AF175" s="238"/>
      <c r="AG175" s="238"/>
    </row>
    <row r="176" spans="1:33" x14ac:dyDescent="0.2">
      <c r="A176" s="15">
        <f t="shared" si="32"/>
        <v>166</v>
      </c>
      <c r="B176" s="9" t="s">
        <v>79</v>
      </c>
      <c r="C176" s="9"/>
      <c r="D176" s="222" t="s">
        <v>67</v>
      </c>
      <c r="E176" s="22" t="s">
        <v>507</v>
      </c>
      <c r="F176" s="223">
        <v>8.7899999999999991</v>
      </c>
      <c r="G176" s="224">
        <v>2.31</v>
      </c>
      <c r="H176" s="224">
        <v>0.68</v>
      </c>
      <c r="I176" s="224">
        <v>0.38</v>
      </c>
      <c r="J176" s="224">
        <v>1.94</v>
      </c>
      <c r="K176" s="224">
        <v>14.1</v>
      </c>
      <c r="L176" s="224">
        <v>14.1</v>
      </c>
      <c r="M176" s="224">
        <v>14.1</v>
      </c>
      <c r="O176" s="224">
        <v>0.05</v>
      </c>
      <c r="P176" s="224">
        <v>0.05</v>
      </c>
      <c r="Q176" s="224">
        <v>7.0000000000000007E-2</v>
      </c>
      <c r="S176" s="224">
        <v>1.58</v>
      </c>
      <c r="T176" s="224">
        <v>1.24</v>
      </c>
      <c r="U176" s="224">
        <v>0.55000000000000004</v>
      </c>
      <c r="W176" s="224">
        <v>0.67</v>
      </c>
      <c r="X176" s="224">
        <v>1.48</v>
      </c>
      <c r="Y176" s="224">
        <v>2.2999999999999998</v>
      </c>
      <c r="AA176" s="224">
        <f t="shared" si="40"/>
        <v>16.400000000000002</v>
      </c>
      <c r="AB176" s="224">
        <f t="shared" si="40"/>
        <v>16.87</v>
      </c>
      <c r="AC176" s="224">
        <f t="shared" si="40"/>
        <v>17.02</v>
      </c>
      <c r="AE176" s="238"/>
      <c r="AF176" s="238"/>
      <c r="AG176" s="238"/>
    </row>
    <row r="177" spans="1:33" x14ac:dyDescent="0.2">
      <c r="A177" s="15">
        <f t="shared" si="32"/>
        <v>167</v>
      </c>
      <c r="B177" s="9" t="s">
        <v>79</v>
      </c>
      <c r="C177" s="9"/>
      <c r="D177" s="222" t="s">
        <v>67</v>
      </c>
      <c r="E177" s="22" t="s">
        <v>508</v>
      </c>
      <c r="F177" s="223">
        <v>8.8000000000000007</v>
      </c>
      <c r="G177" s="224">
        <v>2.31</v>
      </c>
      <c r="H177" s="224">
        <v>1.02</v>
      </c>
      <c r="I177" s="224">
        <v>0.56999999999999995</v>
      </c>
      <c r="J177" s="224">
        <v>2.9</v>
      </c>
      <c r="K177" s="224">
        <v>15.600000000000001</v>
      </c>
      <c r="L177" s="224">
        <v>15.600000000000001</v>
      </c>
      <c r="M177" s="224">
        <v>15.600000000000001</v>
      </c>
      <c r="O177" s="224">
        <v>7.0000000000000007E-2</v>
      </c>
      <c r="P177" s="224">
        <v>0.08</v>
      </c>
      <c r="Q177" s="224">
        <v>0.11</v>
      </c>
      <c r="S177" s="224">
        <v>2.37</v>
      </c>
      <c r="T177" s="224">
        <v>1.86</v>
      </c>
      <c r="U177" s="224">
        <v>0.83</v>
      </c>
      <c r="W177" s="224">
        <v>1.01</v>
      </c>
      <c r="X177" s="224">
        <v>2.2200000000000002</v>
      </c>
      <c r="Y177" s="224">
        <v>3.45</v>
      </c>
      <c r="AA177" s="224">
        <f t="shared" si="40"/>
        <v>19.050000000000004</v>
      </c>
      <c r="AB177" s="224">
        <f t="shared" si="40"/>
        <v>19.760000000000002</v>
      </c>
      <c r="AC177" s="224">
        <f t="shared" si="40"/>
        <v>19.989999999999998</v>
      </c>
      <c r="AE177" s="238"/>
      <c r="AF177" s="238"/>
      <c r="AG177" s="238"/>
    </row>
    <row r="178" spans="1:33" x14ac:dyDescent="0.2">
      <c r="A178" s="15">
        <f t="shared" si="32"/>
        <v>168</v>
      </c>
      <c r="B178" s="9" t="s">
        <v>79</v>
      </c>
      <c r="C178" s="9"/>
      <c r="D178" s="222" t="s">
        <v>67</v>
      </c>
      <c r="E178" s="22" t="s">
        <v>509</v>
      </c>
      <c r="F178" s="223">
        <v>9.31</v>
      </c>
      <c r="G178" s="224">
        <v>2.31</v>
      </c>
      <c r="H178" s="224">
        <v>1.36</v>
      </c>
      <c r="I178" s="224">
        <v>0.76</v>
      </c>
      <c r="J178" s="224">
        <v>3.87</v>
      </c>
      <c r="K178" s="224">
        <v>17.61</v>
      </c>
      <c r="L178" s="224">
        <v>17.61</v>
      </c>
      <c r="M178" s="224">
        <v>17.61</v>
      </c>
      <c r="O178" s="224">
        <v>0.09</v>
      </c>
      <c r="P178" s="224">
        <v>0.1</v>
      </c>
      <c r="Q178" s="224">
        <v>0.14000000000000001</v>
      </c>
      <c r="S178" s="224">
        <v>3.16</v>
      </c>
      <c r="T178" s="224">
        <v>2.48</v>
      </c>
      <c r="U178" s="224">
        <v>1.1100000000000001</v>
      </c>
      <c r="W178" s="224">
        <v>1.34</v>
      </c>
      <c r="X178" s="224">
        <v>2.96</v>
      </c>
      <c r="Y178" s="224">
        <v>4.5999999999999996</v>
      </c>
      <c r="AA178" s="224">
        <f t="shared" si="40"/>
        <v>22.2</v>
      </c>
      <c r="AB178" s="224">
        <f t="shared" si="40"/>
        <v>23.150000000000002</v>
      </c>
      <c r="AC178" s="224">
        <f t="shared" si="40"/>
        <v>23.46</v>
      </c>
      <c r="AE178" s="238"/>
      <c r="AF178" s="238"/>
      <c r="AG178" s="238"/>
    </row>
    <row r="179" spans="1:33" x14ac:dyDescent="0.2">
      <c r="A179" s="15">
        <f t="shared" si="32"/>
        <v>169</v>
      </c>
      <c r="B179" s="9" t="s">
        <v>79</v>
      </c>
      <c r="C179" s="9"/>
      <c r="D179" s="222" t="s">
        <v>67</v>
      </c>
      <c r="E179" s="22" t="s">
        <v>510</v>
      </c>
      <c r="F179" s="223">
        <v>9.48</v>
      </c>
      <c r="G179" s="224">
        <v>2.31</v>
      </c>
      <c r="H179" s="224">
        <v>1.7</v>
      </c>
      <c r="I179" s="224">
        <v>0.95</v>
      </c>
      <c r="J179" s="224">
        <v>4.84</v>
      </c>
      <c r="K179" s="224">
        <v>19.28</v>
      </c>
      <c r="L179" s="224">
        <v>19.28</v>
      </c>
      <c r="M179" s="224">
        <v>19.28</v>
      </c>
      <c r="O179" s="224">
        <v>0.11</v>
      </c>
      <c r="P179" s="224">
        <v>0.13</v>
      </c>
      <c r="Q179" s="224">
        <v>0.18</v>
      </c>
      <c r="S179" s="224">
        <v>3.95</v>
      </c>
      <c r="T179" s="224">
        <v>3.1</v>
      </c>
      <c r="U179" s="224">
        <v>1.38</v>
      </c>
      <c r="W179" s="224">
        <v>1.68</v>
      </c>
      <c r="X179" s="224">
        <v>3.7</v>
      </c>
      <c r="Y179" s="224">
        <v>5.75</v>
      </c>
      <c r="AA179" s="224">
        <f t="shared" si="40"/>
        <v>25.02</v>
      </c>
      <c r="AB179" s="224">
        <f t="shared" si="40"/>
        <v>26.21</v>
      </c>
      <c r="AC179" s="224">
        <f t="shared" si="40"/>
        <v>26.59</v>
      </c>
      <c r="AE179" s="238"/>
      <c r="AF179" s="238"/>
      <c r="AG179" s="238"/>
    </row>
    <row r="180" spans="1:33" x14ac:dyDescent="0.2">
      <c r="A180" s="15">
        <f t="shared" si="32"/>
        <v>170</v>
      </c>
      <c r="B180" s="9" t="s">
        <v>79</v>
      </c>
      <c r="C180" s="9"/>
      <c r="D180" s="222" t="s">
        <v>67</v>
      </c>
      <c r="E180" s="22" t="s">
        <v>511</v>
      </c>
      <c r="F180" s="223">
        <v>10.58</v>
      </c>
      <c r="G180" s="224">
        <v>2.31</v>
      </c>
      <c r="H180" s="224">
        <v>2.71</v>
      </c>
      <c r="I180" s="224">
        <v>1.51</v>
      </c>
      <c r="J180" s="224">
        <v>7.75</v>
      </c>
      <c r="K180" s="224">
        <v>24.860000000000003</v>
      </c>
      <c r="L180" s="224">
        <v>24.860000000000003</v>
      </c>
      <c r="M180" s="224">
        <v>24.860000000000003</v>
      </c>
      <c r="O180" s="224">
        <v>0.18</v>
      </c>
      <c r="P180" s="224">
        <v>0.2</v>
      </c>
      <c r="Q180" s="224">
        <v>0.28999999999999998</v>
      </c>
      <c r="S180" s="224">
        <v>6.31</v>
      </c>
      <c r="T180" s="224">
        <v>4.96</v>
      </c>
      <c r="U180" s="224">
        <v>2.21</v>
      </c>
      <c r="W180" s="224">
        <v>2.68</v>
      </c>
      <c r="X180" s="224">
        <v>5.92</v>
      </c>
      <c r="Y180" s="224">
        <v>9.19</v>
      </c>
      <c r="AA180" s="224">
        <f t="shared" si="40"/>
        <v>34.03</v>
      </c>
      <c r="AB180" s="224">
        <f t="shared" si="40"/>
        <v>35.940000000000005</v>
      </c>
      <c r="AC180" s="224">
        <f t="shared" si="40"/>
        <v>36.550000000000004</v>
      </c>
      <c r="AE180" s="238"/>
      <c r="AF180" s="238"/>
      <c r="AG180" s="238"/>
    </row>
    <row r="181" spans="1:33" x14ac:dyDescent="0.2">
      <c r="A181" s="15">
        <f t="shared" si="32"/>
        <v>171</v>
      </c>
      <c r="B181" s="9"/>
      <c r="C181" s="9"/>
      <c r="D181" s="222"/>
      <c r="E181" s="22"/>
      <c r="F181" s="223"/>
      <c r="G181" s="224"/>
      <c r="H181" s="224"/>
      <c r="I181" s="224"/>
      <c r="J181" s="224"/>
      <c r="K181" s="224"/>
      <c r="O181" s="224"/>
      <c r="S181" s="224"/>
      <c r="W181" s="224"/>
      <c r="AA181" s="224"/>
      <c r="AE181" s="238"/>
      <c r="AF181" s="238"/>
      <c r="AG181" s="238"/>
    </row>
    <row r="182" spans="1:33" x14ac:dyDescent="0.2">
      <c r="A182" s="15">
        <f t="shared" si="32"/>
        <v>172</v>
      </c>
      <c r="B182" s="9" t="s">
        <v>79</v>
      </c>
      <c r="C182" s="9"/>
      <c r="D182" s="222" t="s">
        <v>67</v>
      </c>
      <c r="E182" s="22" t="s">
        <v>512</v>
      </c>
      <c r="F182" s="223">
        <v>8.7899999999999991</v>
      </c>
      <c r="G182" s="224">
        <v>2.31</v>
      </c>
      <c r="H182" s="224">
        <v>0.68</v>
      </c>
      <c r="I182" s="224">
        <v>0.38</v>
      </c>
      <c r="J182" s="224">
        <v>1.94</v>
      </c>
      <c r="K182" s="224">
        <v>14.1</v>
      </c>
      <c r="L182" s="224">
        <v>14.1</v>
      </c>
      <c r="M182" s="224">
        <v>14.1</v>
      </c>
      <c r="O182" s="224">
        <v>0.05</v>
      </c>
      <c r="P182" s="224">
        <v>0.05</v>
      </c>
      <c r="Q182" s="224">
        <v>7.0000000000000007E-2</v>
      </c>
      <c r="S182" s="224">
        <v>1.58</v>
      </c>
      <c r="T182" s="224">
        <v>1.24</v>
      </c>
      <c r="U182" s="224">
        <v>0.55000000000000004</v>
      </c>
      <c r="W182" s="224">
        <v>0.67</v>
      </c>
      <c r="X182" s="224">
        <v>1.48</v>
      </c>
      <c r="Y182" s="224">
        <v>2.2999999999999998</v>
      </c>
      <c r="AA182" s="224">
        <f t="shared" ref="AA182:AC186" si="41">K182+O182+S182+W182</f>
        <v>16.400000000000002</v>
      </c>
      <c r="AB182" s="224">
        <f t="shared" si="41"/>
        <v>16.87</v>
      </c>
      <c r="AC182" s="224">
        <f t="shared" si="41"/>
        <v>17.02</v>
      </c>
      <c r="AE182" s="238"/>
      <c r="AF182" s="238"/>
      <c r="AG182" s="238"/>
    </row>
    <row r="183" spans="1:33" x14ac:dyDescent="0.2">
      <c r="A183" s="15">
        <f t="shared" si="32"/>
        <v>173</v>
      </c>
      <c r="B183" s="9" t="s">
        <v>79</v>
      </c>
      <c r="C183" s="9"/>
      <c r="D183" s="222" t="s">
        <v>67</v>
      </c>
      <c r="E183" s="22" t="s">
        <v>513</v>
      </c>
      <c r="F183" s="223">
        <v>8.8000000000000007</v>
      </c>
      <c r="G183" s="224">
        <v>2.31</v>
      </c>
      <c r="H183" s="224">
        <v>1.02</v>
      </c>
      <c r="I183" s="224">
        <v>0.56999999999999995</v>
      </c>
      <c r="J183" s="224">
        <v>2.9</v>
      </c>
      <c r="K183" s="224">
        <v>15.600000000000001</v>
      </c>
      <c r="L183" s="224">
        <v>15.600000000000001</v>
      </c>
      <c r="M183" s="224">
        <v>15.600000000000001</v>
      </c>
      <c r="O183" s="224">
        <v>7.0000000000000007E-2</v>
      </c>
      <c r="P183" s="224">
        <v>0.08</v>
      </c>
      <c r="Q183" s="224">
        <v>0.11</v>
      </c>
      <c r="S183" s="224">
        <v>2.37</v>
      </c>
      <c r="T183" s="224">
        <v>1.86</v>
      </c>
      <c r="U183" s="224">
        <v>0.83</v>
      </c>
      <c r="W183" s="224">
        <v>1.01</v>
      </c>
      <c r="X183" s="224">
        <v>2.2200000000000002</v>
      </c>
      <c r="Y183" s="224">
        <v>3.45</v>
      </c>
      <c r="AA183" s="224">
        <f t="shared" si="41"/>
        <v>19.050000000000004</v>
      </c>
      <c r="AB183" s="224">
        <f t="shared" si="41"/>
        <v>19.760000000000002</v>
      </c>
      <c r="AC183" s="224">
        <f t="shared" si="41"/>
        <v>19.989999999999998</v>
      </c>
      <c r="AE183" s="238"/>
      <c r="AF183" s="238"/>
      <c r="AG183" s="238"/>
    </row>
    <row r="184" spans="1:33" x14ac:dyDescent="0.2">
      <c r="A184" s="15">
        <f t="shared" si="32"/>
        <v>174</v>
      </c>
      <c r="B184" s="9" t="s">
        <v>79</v>
      </c>
      <c r="C184" s="9"/>
      <c r="D184" s="222" t="s">
        <v>67</v>
      </c>
      <c r="E184" s="22" t="s">
        <v>514</v>
      </c>
      <c r="F184" s="223">
        <v>9.31</v>
      </c>
      <c r="G184" s="224">
        <v>2.31</v>
      </c>
      <c r="H184" s="224">
        <v>1.36</v>
      </c>
      <c r="I184" s="224">
        <v>0.76</v>
      </c>
      <c r="J184" s="224">
        <v>3.87</v>
      </c>
      <c r="K184" s="224">
        <v>17.61</v>
      </c>
      <c r="L184" s="224">
        <v>17.61</v>
      </c>
      <c r="M184" s="224">
        <v>17.61</v>
      </c>
      <c r="O184" s="224">
        <v>0.09</v>
      </c>
      <c r="P184" s="224">
        <v>0.1</v>
      </c>
      <c r="Q184" s="224">
        <v>0.14000000000000001</v>
      </c>
      <c r="S184" s="224">
        <v>3.16</v>
      </c>
      <c r="T184" s="224">
        <v>2.48</v>
      </c>
      <c r="U184" s="224">
        <v>1.1100000000000001</v>
      </c>
      <c r="W184" s="224">
        <v>1.34</v>
      </c>
      <c r="X184" s="224">
        <v>2.96</v>
      </c>
      <c r="Y184" s="224">
        <v>4.5999999999999996</v>
      </c>
      <c r="AA184" s="224">
        <f t="shared" si="41"/>
        <v>22.2</v>
      </c>
      <c r="AB184" s="224">
        <f t="shared" si="41"/>
        <v>23.150000000000002</v>
      </c>
      <c r="AC184" s="224">
        <f t="shared" si="41"/>
        <v>23.46</v>
      </c>
      <c r="AE184" s="238"/>
      <c r="AF184" s="238"/>
      <c r="AG184" s="238"/>
    </row>
    <row r="185" spans="1:33" x14ac:dyDescent="0.2">
      <c r="A185" s="15">
        <f t="shared" si="32"/>
        <v>175</v>
      </c>
      <c r="B185" s="9" t="s">
        <v>79</v>
      </c>
      <c r="C185" s="9"/>
      <c r="D185" s="222" t="s">
        <v>67</v>
      </c>
      <c r="E185" s="22" t="s">
        <v>515</v>
      </c>
      <c r="F185" s="223">
        <v>9.48</v>
      </c>
      <c r="G185" s="224">
        <v>2.31</v>
      </c>
      <c r="H185" s="224">
        <v>1.7</v>
      </c>
      <c r="I185" s="224">
        <v>0.95</v>
      </c>
      <c r="J185" s="224">
        <v>4.84</v>
      </c>
      <c r="K185" s="224">
        <v>19.28</v>
      </c>
      <c r="L185" s="224">
        <v>19.28</v>
      </c>
      <c r="M185" s="224">
        <v>19.28</v>
      </c>
      <c r="O185" s="224">
        <v>0.11</v>
      </c>
      <c r="P185" s="224">
        <v>0.13</v>
      </c>
      <c r="Q185" s="224">
        <v>0.18</v>
      </c>
      <c r="S185" s="224">
        <v>3.95</v>
      </c>
      <c r="T185" s="224">
        <v>3.1</v>
      </c>
      <c r="U185" s="224">
        <v>1.38</v>
      </c>
      <c r="W185" s="224">
        <v>1.68</v>
      </c>
      <c r="X185" s="224">
        <v>3.7</v>
      </c>
      <c r="Y185" s="224">
        <v>5.75</v>
      </c>
      <c r="AA185" s="224">
        <f t="shared" si="41"/>
        <v>25.02</v>
      </c>
      <c r="AB185" s="224">
        <f t="shared" si="41"/>
        <v>26.21</v>
      </c>
      <c r="AC185" s="224">
        <f t="shared" si="41"/>
        <v>26.59</v>
      </c>
      <c r="AE185" s="238"/>
      <c r="AF185" s="238"/>
      <c r="AG185" s="238"/>
    </row>
    <row r="186" spans="1:33" x14ac:dyDescent="0.2">
      <c r="A186" s="15">
        <f t="shared" si="32"/>
        <v>176</v>
      </c>
      <c r="B186" s="9" t="s">
        <v>79</v>
      </c>
      <c r="C186" s="9"/>
      <c r="D186" s="222" t="s">
        <v>67</v>
      </c>
      <c r="E186" s="22" t="s">
        <v>516</v>
      </c>
      <c r="F186" s="223">
        <v>10.58</v>
      </c>
      <c r="G186" s="224">
        <v>2.31</v>
      </c>
      <c r="H186" s="224">
        <v>2.71</v>
      </c>
      <c r="I186" s="224">
        <v>1.51</v>
      </c>
      <c r="J186" s="224">
        <v>7.75</v>
      </c>
      <c r="K186" s="224">
        <v>24.860000000000003</v>
      </c>
      <c r="L186" s="224">
        <v>24.860000000000003</v>
      </c>
      <c r="M186" s="224">
        <v>24.860000000000003</v>
      </c>
      <c r="O186" s="224">
        <v>0.18</v>
      </c>
      <c r="P186" s="224">
        <v>0.2</v>
      </c>
      <c r="Q186" s="224">
        <v>0.28999999999999998</v>
      </c>
      <c r="S186" s="224">
        <v>6.31</v>
      </c>
      <c r="T186" s="224">
        <v>4.96</v>
      </c>
      <c r="U186" s="224">
        <v>2.21</v>
      </c>
      <c r="W186" s="224">
        <v>2.68</v>
      </c>
      <c r="X186" s="224">
        <v>5.92</v>
      </c>
      <c r="Y186" s="224">
        <v>9.19</v>
      </c>
      <c r="AA186" s="224">
        <f t="shared" si="41"/>
        <v>34.03</v>
      </c>
      <c r="AB186" s="224">
        <f t="shared" si="41"/>
        <v>35.940000000000005</v>
      </c>
      <c r="AC186" s="224">
        <f t="shared" si="41"/>
        <v>36.550000000000004</v>
      </c>
      <c r="AE186" s="238"/>
      <c r="AF186" s="238"/>
      <c r="AG186" s="238"/>
    </row>
    <row r="187" spans="1:33" x14ac:dyDescent="0.2">
      <c r="A187" s="15">
        <f t="shared" si="32"/>
        <v>177</v>
      </c>
      <c r="B187" s="9"/>
      <c r="C187" s="9"/>
      <c r="D187" s="222"/>
      <c r="E187" s="22"/>
      <c r="F187" s="223"/>
      <c r="G187" s="224"/>
      <c r="H187" s="224"/>
      <c r="I187" s="224"/>
      <c r="J187" s="224"/>
      <c r="K187" s="224"/>
      <c r="O187" s="224"/>
      <c r="S187" s="224"/>
      <c r="W187" s="224"/>
      <c r="AA187" s="224"/>
      <c r="AE187" s="238"/>
      <c r="AF187" s="238"/>
      <c r="AG187" s="238"/>
    </row>
    <row r="188" spans="1:33" x14ac:dyDescent="0.2">
      <c r="A188" s="15">
        <f t="shared" si="32"/>
        <v>178</v>
      </c>
      <c r="B188" s="9" t="s">
        <v>79</v>
      </c>
      <c r="C188" s="9"/>
      <c r="D188" s="222" t="s">
        <v>77</v>
      </c>
      <c r="E188" s="22" t="s">
        <v>517</v>
      </c>
      <c r="F188" s="223">
        <v>8.75</v>
      </c>
      <c r="G188" s="224">
        <v>4.63</v>
      </c>
      <c r="H188" s="224">
        <v>1.19</v>
      </c>
      <c r="I188" s="224">
        <v>0.66</v>
      </c>
      <c r="J188" s="224">
        <v>3.39</v>
      </c>
      <c r="K188" s="224">
        <v>18.619999999999997</v>
      </c>
      <c r="L188" s="224">
        <v>18.619999999999997</v>
      </c>
      <c r="M188" s="224">
        <v>18.619999999999997</v>
      </c>
      <c r="O188" s="224">
        <v>0.08</v>
      </c>
      <c r="P188" s="224">
        <v>0.09</v>
      </c>
      <c r="Q188" s="224">
        <v>0.13</v>
      </c>
      <c r="S188" s="224">
        <v>2.76</v>
      </c>
      <c r="T188" s="224">
        <v>2.17</v>
      </c>
      <c r="U188" s="224">
        <v>0.97</v>
      </c>
      <c r="W188" s="224">
        <v>1.17</v>
      </c>
      <c r="X188" s="224">
        <v>2.59</v>
      </c>
      <c r="Y188" s="224">
        <v>4.0199999999999996</v>
      </c>
      <c r="AA188" s="224">
        <f t="shared" ref="AA188:AC191" si="42">K188+O188+S188+W188</f>
        <v>22.629999999999995</v>
      </c>
      <c r="AB188" s="224">
        <f t="shared" si="42"/>
        <v>23.469999999999995</v>
      </c>
      <c r="AC188" s="224">
        <f t="shared" si="42"/>
        <v>23.739999999999995</v>
      </c>
      <c r="AE188" s="238"/>
      <c r="AF188" s="238"/>
      <c r="AG188" s="238"/>
    </row>
    <row r="189" spans="1:33" x14ac:dyDescent="0.2">
      <c r="A189" s="15">
        <f t="shared" si="32"/>
        <v>179</v>
      </c>
      <c r="B189" s="9" t="s">
        <v>79</v>
      </c>
      <c r="C189" s="9"/>
      <c r="D189" s="222" t="s">
        <v>77</v>
      </c>
      <c r="E189" s="22" t="s">
        <v>518</v>
      </c>
      <c r="F189" s="223">
        <v>9.4</v>
      </c>
      <c r="G189" s="224">
        <v>4.63</v>
      </c>
      <c r="H189" s="224">
        <v>1.7</v>
      </c>
      <c r="I189" s="224">
        <v>0.95</v>
      </c>
      <c r="J189" s="224">
        <v>4.84</v>
      </c>
      <c r="K189" s="224">
        <v>21.52</v>
      </c>
      <c r="L189" s="224">
        <v>21.52</v>
      </c>
      <c r="M189" s="224">
        <v>21.52</v>
      </c>
      <c r="O189" s="224">
        <v>0.11</v>
      </c>
      <c r="P189" s="224">
        <v>0.13</v>
      </c>
      <c r="Q189" s="224">
        <v>0.18</v>
      </c>
      <c r="S189" s="224">
        <v>3.95</v>
      </c>
      <c r="T189" s="224">
        <v>3.1</v>
      </c>
      <c r="U189" s="224">
        <v>1.38</v>
      </c>
      <c r="W189" s="224">
        <v>1.68</v>
      </c>
      <c r="X189" s="224">
        <v>3.7</v>
      </c>
      <c r="Y189" s="224">
        <v>5.75</v>
      </c>
      <c r="AA189" s="224">
        <f t="shared" si="42"/>
        <v>27.259999999999998</v>
      </c>
      <c r="AB189" s="224">
        <f t="shared" si="42"/>
        <v>28.45</v>
      </c>
      <c r="AC189" s="224">
        <f t="shared" si="42"/>
        <v>28.83</v>
      </c>
      <c r="AE189" s="238"/>
      <c r="AF189" s="238"/>
      <c r="AG189" s="238"/>
    </row>
    <row r="190" spans="1:33" x14ac:dyDescent="0.2">
      <c r="A190" s="15">
        <f t="shared" si="32"/>
        <v>180</v>
      </c>
      <c r="B190" s="9" t="s">
        <v>79</v>
      </c>
      <c r="C190" s="9"/>
      <c r="D190" s="222" t="s">
        <v>77</v>
      </c>
      <c r="E190" s="22" t="s">
        <v>519</v>
      </c>
      <c r="F190" s="223">
        <v>9.44</v>
      </c>
      <c r="G190" s="224">
        <v>4.63</v>
      </c>
      <c r="H190" s="224">
        <v>2.71</v>
      </c>
      <c r="I190" s="224">
        <v>1.51</v>
      </c>
      <c r="J190" s="224">
        <v>7.75</v>
      </c>
      <c r="K190" s="224">
        <v>26.040000000000003</v>
      </c>
      <c r="L190" s="224">
        <v>26.040000000000003</v>
      </c>
      <c r="M190" s="224">
        <v>26.040000000000003</v>
      </c>
      <c r="O190" s="224">
        <v>0.18</v>
      </c>
      <c r="P190" s="224">
        <v>0.2</v>
      </c>
      <c r="Q190" s="224">
        <v>0.28999999999999998</v>
      </c>
      <c r="S190" s="224">
        <v>6.31</v>
      </c>
      <c r="T190" s="224">
        <v>4.96</v>
      </c>
      <c r="U190" s="224">
        <v>2.21</v>
      </c>
      <c r="W190" s="224">
        <v>2.68</v>
      </c>
      <c r="X190" s="224">
        <v>5.92</v>
      </c>
      <c r="Y190" s="224">
        <v>9.19</v>
      </c>
      <c r="AA190" s="224">
        <f t="shared" si="42"/>
        <v>35.21</v>
      </c>
      <c r="AB190" s="224">
        <f t="shared" si="42"/>
        <v>37.120000000000005</v>
      </c>
      <c r="AC190" s="224">
        <f t="shared" si="42"/>
        <v>37.730000000000004</v>
      </c>
      <c r="AE190" s="238"/>
      <c r="AF190" s="238"/>
      <c r="AG190" s="238"/>
    </row>
    <row r="191" spans="1:33" x14ac:dyDescent="0.2">
      <c r="A191" s="15">
        <f t="shared" si="32"/>
        <v>181</v>
      </c>
      <c r="B191" s="9" t="s">
        <v>79</v>
      </c>
      <c r="C191" s="9"/>
      <c r="D191" s="222" t="s">
        <v>77</v>
      </c>
      <c r="E191" s="22" t="s">
        <v>520</v>
      </c>
      <c r="F191" s="223">
        <v>12.71</v>
      </c>
      <c r="G191" s="224">
        <v>4.63</v>
      </c>
      <c r="H191" s="224">
        <v>6.78</v>
      </c>
      <c r="I191" s="224">
        <v>3.78</v>
      </c>
      <c r="J191" s="224">
        <v>19.36</v>
      </c>
      <c r="K191" s="224">
        <v>47.260000000000005</v>
      </c>
      <c r="L191" s="224">
        <v>47.260000000000005</v>
      </c>
      <c r="M191" s="224">
        <v>47.260000000000005</v>
      </c>
      <c r="O191" s="224">
        <v>0.46</v>
      </c>
      <c r="P191" s="224">
        <v>0.5</v>
      </c>
      <c r="Q191" s="224">
        <v>0.72</v>
      </c>
      <c r="S191" s="224">
        <v>15.78</v>
      </c>
      <c r="T191" s="224">
        <v>12.4</v>
      </c>
      <c r="U191" s="224">
        <v>5.53</v>
      </c>
      <c r="W191" s="224">
        <v>6.71</v>
      </c>
      <c r="X191" s="224">
        <v>14.79</v>
      </c>
      <c r="Y191" s="224">
        <v>22.98</v>
      </c>
      <c r="AA191" s="224">
        <f t="shared" si="42"/>
        <v>70.210000000000008</v>
      </c>
      <c r="AB191" s="224">
        <f t="shared" si="42"/>
        <v>74.95</v>
      </c>
      <c r="AC191" s="224">
        <f t="shared" si="42"/>
        <v>76.490000000000009</v>
      </c>
      <c r="AE191" s="238"/>
      <c r="AF191" s="238"/>
      <c r="AG191" s="238"/>
    </row>
    <row r="192" spans="1:33" x14ac:dyDescent="0.2">
      <c r="A192" s="15">
        <f t="shared" si="32"/>
        <v>182</v>
      </c>
      <c r="B192" s="9"/>
      <c r="C192" s="9"/>
      <c r="D192" s="222"/>
      <c r="E192" s="22"/>
      <c r="F192" s="223"/>
      <c r="G192" s="224"/>
      <c r="H192" s="224"/>
      <c r="I192" s="224"/>
      <c r="J192" s="224"/>
      <c r="K192" s="224"/>
      <c r="O192" s="224"/>
      <c r="S192" s="224"/>
      <c r="W192" s="224"/>
      <c r="AA192" s="224"/>
      <c r="AE192" s="238"/>
      <c r="AF192" s="238"/>
      <c r="AG192" s="238"/>
    </row>
    <row r="193" spans="1:33" x14ac:dyDescent="0.2">
      <c r="A193" s="15">
        <f t="shared" si="32"/>
        <v>183</v>
      </c>
      <c r="B193" s="9" t="s">
        <v>79</v>
      </c>
      <c r="C193" s="9"/>
      <c r="D193" s="222" t="s">
        <v>77</v>
      </c>
      <c r="E193" s="22" t="s">
        <v>521</v>
      </c>
      <c r="F193" s="223">
        <v>9.4</v>
      </c>
      <c r="G193" s="224">
        <v>4.63</v>
      </c>
      <c r="H193" s="224">
        <v>1.7</v>
      </c>
      <c r="I193" s="224">
        <v>0.95</v>
      </c>
      <c r="J193" s="224">
        <v>4.84</v>
      </c>
      <c r="K193" s="224">
        <v>21.52</v>
      </c>
      <c r="L193" s="224">
        <v>21.52</v>
      </c>
      <c r="M193" s="224">
        <v>21.52</v>
      </c>
      <c r="O193" s="224">
        <v>0.11</v>
      </c>
      <c r="P193" s="224">
        <v>0.13</v>
      </c>
      <c r="Q193" s="224">
        <v>0.18</v>
      </c>
      <c r="S193" s="224">
        <v>3.95</v>
      </c>
      <c r="T193" s="224">
        <v>3.1</v>
      </c>
      <c r="U193" s="224">
        <v>1.38</v>
      </c>
      <c r="W193" s="224">
        <v>1.68</v>
      </c>
      <c r="X193" s="224">
        <v>3.7</v>
      </c>
      <c r="Y193" s="224">
        <v>5.75</v>
      </c>
      <c r="AA193" s="224">
        <f t="shared" ref="AA193:AC194" si="43">K193+O193+S193+W193</f>
        <v>27.259999999999998</v>
      </c>
      <c r="AB193" s="224">
        <f t="shared" si="43"/>
        <v>28.45</v>
      </c>
      <c r="AC193" s="224">
        <f t="shared" si="43"/>
        <v>28.83</v>
      </c>
      <c r="AE193" s="238"/>
      <c r="AF193" s="238"/>
      <c r="AG193" s="238"/>
    </row>
    <row r="194" spans="1:33" x14ac:dyDescent="0.2">
      <c r="A194" s="15">
        <f t="shared" si="32"/>
        <v>184</v>
      </c>
      <c r="B194" s="9" t="s">
        <v>79</v>
      </c>
      <c r="C194" s="9"/>
      <c r="D194" s="222" t="s">
        <v>77</v>
      </c>
      <c r="E194" s="22" t="s">
        <v>522</v>
      </c>
      <c r="F194" s="223">
        <v>9.44</v>
      </c>
      <c r="G194" s="224">
        <v>4.63</v>
      </c>
      <c r="H194" s="224">
        <v>2.71</v>
      </c>
      <c r="I194" s="224">
        <v>1.51</v>
      </c>
      <c r="J194" s="224">
        <v>7.75</v>
      </c>
      <c r="K194" s="224">
        <v>26.040000000000003</v>
      </c>
      <c r="L194" s="224">
        <v>26.040000000000003</v>
      </c>
      <c r="M194" s="224">
        <v>26.040000000000003</v>
      </c>
      <c r="O194" s="224">
        <v>0.18</v>
      </c>
      <c r="P194" s="224">
        <v>0.2</v>
      </c>
      <c r="Q194" s="224">
        <v>0.28999999999999998</v>
      </c>
      <c r="S194" s="224">
        <v>6.31</v>
      </c>
      <c r="T194" s="224">
        <v>4.96</v>
      </c>
      <c r="U194" s="224">
        <v>2.21</v>
      </c>
      <c r="W194" s="224">
        <v>2.68</v>
      </c>
      <c r="X194" s="224">
        <v>5.92</v>
      </c>
      <c r="Y194" s="224">
        <v>9.19</v>
      </c>
      <c r="AA194" s="224">
        <f t="shared" si="43"/>
        <v>35.21</v>
      </c>
      <c r="AB194" s="224">
        <f t="shared" si="43"/>
        <v>37.120000000000005</v>
      </c>
      <c r="AC194" s="224">
        <f t="shared" si="43"/>
        <v>37.730000000000004</v>
      </c>
      <c r="AE194" s="238"/>
      <c r="AF194" s="238"/>
      <c r="AG194" s="238"/>
    </row>
    <row r="195" spans="1:33" x14ac:dyDescent="0.2">
      <c r="A195" s="15">
        <f t="shared" si="32"/>
        <v>185</v>
      </c>
      <c r="B195" s="9"/>
      <c r="C195" s="9"/>
      <c r="D195" s="222"/>
      <c r="E195" s="22"/>
      <c r="F195" s="223"/>
      <c r="G195" s="224"/>
      <c r="H195" s="224"/>
      <c r="I195" s="224"/>
      <c r="J195" s="224"/>
      <c r="K195" s="224"/>
      <c r="O195" s="224"/>
      <c r="S195" s="224"/>
      <c r="W195" s="224"/>
      <c r="AA195" s="224"/>
      <c r="AE195" s="238"/>
      <c r="AF195" s="238"/>
      <c r="AG195" s="238"/>
    </row>
    <row r="196" spans="1:33" x14ac:dyDescent="0.2">
      <c r="A196" s="15">
        <f t="shared" si="32"/>
        <v>186</v>
      </c>
      <c r="B196" s="9" t="s">
        <v>79</v>
      </c>
      <c r="C196" s="9"/>
      <c r="D196" s="222" t="s">
        <v>83</v>
      </c>
      <c r="E196" s="22" t="s">
        <v>409</v>
      </c>
      <c r="F196" s="223">
        <v>7.85</v>
      </c>
      <c r="G196" s="224">
        <v>0.46</v>
      </c>
      <c r="H196" s="224">
        <v>0.1</v>
      </c>
      <c r="I196" s="224">
        <v>0.06</v>
      </c>
      <c r="J196" s="224">
        <v>0.28999999999999998</v>
      </c>
      <c r="K196" s="224">
        <v>8.76</v>
      </c>
      <c r="L196" s="224">
        <v>8.76</v>
      </c>
      <c r="M196" s="224">
        <v>8.76</v>
      </c>
      <c r="O196" s="224">
        <v>0.01</v>
      </c>
      <c r="P196" s="224">
        <v>0.01</v>
      </c>
      <c r="Q196" s="224">
        <v>0.01</v>
      </c>
      <c r="S196" s="224">
        <v>0.24</v>
      </c>
      <c r="T196" s="224">
        <v>0.19</v>
      </c>
      <c r="U196" s="224">
        <v>0.08</v>
      </c>
      <c r="W196" s="224">
        <v>0.1</v>
      </c>
      <c r="X196" s="224">
        <v>0.22</v>
      </c>
      <c r="Y196" s="224">
        <v>0.34</v>
      </c>
      <c r="AA196" s="224">
        <f t="shared" ref="AA196:AA211" si="44">K196+O196+S196+W196</f>
        <v>9.11</v>
      </c>
      <c r="AB196" s="224">
        <f t="shared" ref="AB196:AB211" si="45">L196+P196+T196+X196</f>
        <v>9.18</v>
      </c>
      <c r="AC196" s="224">
        <f t="shared" ref="AC196:AC211" si="46">M196+Q196+U196+Y196</f>
        <v>9.19</v>
      </c>
      <c r="AE196" s="238"/>
      <c r="AF196" s="238"/>
      <c r="AG196" s="238"/>
    </row>
    <row r="197" spans="1:33" x14ac:dyDescent="0.2">
      <c r="A197" s="15">
        <f t="shared" si="32"/>
        <v>187</v>
      </c>
      <c r="B197" s="9" t="s">
        <v>79</v>
      </c>
      <c r="C197" s="9"/>
      <c r="D197" s="222" t="s">
        <v>83</v>
      </c>
      <c r="E197" s="22" t="s">
        <v>190</v>
      </c>
      <c r="F197" s="223">
        <v>9.43</v>
      </c>
      <c r="G197" s="224">
        <v>0.46</v>
      </c>
      <c r="H197" s="224">
        <v>0.31</v>
      </c>
      <c r="I197" s="224">
        <v>0.17</v>
      </c>
      <c r="J197" s="224">
        <v>0.87</v>
      </c>
      <c r="K197" s="224">
        <v>11.24</v>
      </c>
      <c r="L197" s="224">
        <v>11.24</v>
      </c>
      <c r="M197" s="224">
        <v>11.24</v>
      </c>
      <c r="O197" s="224">
        <v>0.02</v>
      </c>
      <c r="P197" s="224">
        <v>0.02</v>
      </c>
      <c r="Q197" s="224">
        <v>0.03</v>
      </c>
      <c r="S197" s="224">
        <v>0.71</v>
      </c>
      <c r="T197" s="224">
        <v>0.56000000000000005</v>
      </c>
      <c r="U197" s="224">
        <v>0.25</v>
      </c>
      <c r="W197" s="224">
        <v>0.3</v>
      </c>
      <c r="X197" s="224">
        <v>0.67</v>
      </c>
      <c r="Y197" s="224">
        <v>1.03</v>
      </c>
      <c r="AA197" s="224">
        <f t="shared" si="44"/>
        <v>12.27</v>
      </c>
      <c r="AB197" s="224">
        <f t="shared" si="45"/>
        <v>12.49</v>
      </c>
      <c r="AC197" s="224">
        <f t="shared" si="46"/>
        <v>12.549999999999999</v>
      </c>
      <c r="AE197" s="238"/>
      <c r="AF197" s="238"/>
      <c r="AG197" s="238"/>
    </row>
    <row r="198" spans="1:33" x14ac:dyDescent="0.2">
      <c r="A198" s="15">
        <f t="shared" si="32"/>
        <v>188</v>
      </c>
      <c r="B198" s="9" t="s">
        <v>79</v>
      </c>
      <c r="C198" s="9"/>
      <c r="D198" s="222" t="s">
        <v>83</v>
      </c>
      <c r="E198" s="22" t="s">
        <v>191</v>
      </c>
      <c r="F198" s="223">
        <v>11.01</v>
      </c>
      <c r="G198" s="224">
        <v>0.46</v>
      </c>
      <c r="H198" s="224">
        <v>0.51</v>
      </c>
      <c r="I198" s="224">
        <v>0.28000000000000003</v>
      </c>
      <c r="J198" s="224">
        <v>1.45</v>
      </c>
      <c r="K198" s="224">
        <v>13.709999999999999</v>
      </c>
      <c r="L198" s="224">
        <v>13.709999999999999</v>
      </c>
      <c r="M198" s="224">
        <v>13.709999999999999</v>
      </c>
      <c r="O198" s="224">
        <v>0.03</v>
      </c>
      <c r="P198" s="224">
        <v>0.04</v>
      </c>
      <c r="Q198" s="224">
        <v>0.05</v>
      </c>
      <c r="S198" s="224">
        <v>1.18</v>
      </c>
      <c r="T198" s="224">
        <v>0.93</v>
      </c>
      <c r="U198" s="224">
        <v>0.41</v>
      </c>
      <c r="W198" s="224">
        <v>0.5</v>
      </c>
      <c r="X198" s="224">
        <v>1.1100000000000001</v>
      </c>
      <c r="Y198" s="224">
        <v>1.72</v>
      </c>
      <c r="AA198" s="224">
        <f t="shared" si="44"/>
        <v>15.419999999999998</v>
      </c>
      <c r="AB198" s="224">
        <f t="shared" si="45"/>
        <v>15.789999999999997</v>
      </c>
      <c r="AC198" s="224">
        <f t="shared" si="46"/>
        <v>15.89</v>
      </c>
      <c r="AE198" s="238"/>
      <c r="AF198" s="238"/>
      <c r="AG198" s="238"/>
    </row>
    <row r="199" spans="1:33" x14ac:dyDescent="0.2">
      <c r="A199" s="15">
        <f t="shared" si="32"/>
        <v>189</v>
      </c>
      <c r="B199" s="9" t="s">
        <v>79</v>
      </c>
      <c r="C199" s="9"/>
      <c r="D199" s="222" t="s">
        <v>83</v>
      </c>
      <c r="E199" s="22" t="s">
        <v>192</v>
      </c>
      <c r="F199" s="223">
        <v>12.59</v>
      </c>
      <c r="G199" s="224">
        <v>0.46</v>
      </c>
      <c r="H199" s="224">
        <v>0.71</v>
      </c>
      <c r="I199" s="224">
        <v>0.4</v>
      </c>
      <c r="J199" s="224">
        <v>2.0299999999999998</v>
      </c>
      <c r="K199" s="224">
        <v>16.190000000000001</v>
      </c>
      <c r="L199" s="224">
        <v>16.190000000000001</v>
      </c>
      <c r="M199" s="224">
        <v>16.190000000000001</v>
      </c>
      <c r="O199" s="224">
        <v>0.05</v>
      </c>
      <c r="P199" s="224">
        <v>0.05</v>
      </c>
      <c r="Q199" s="224">
        <v>0.08</v>
      </c>
      <c r="S199" s="224">
        <v>1.66</v>
      </c>
      <c r="T199" s="224">
        <v>1.3</v>
      </c>
      <c r="U199" s="224">
        <v>0.57999999999999996</v>
      </c>
      <c r="W199" s="224">
        <v>0.7</v>
      </c>
      <c r="X199" s="224">
        <v>1.55</v>
      </c>
      <c r="Y199" s="224">
        <v>2.41</v>
      </c>
      <c r="AA199" s="224">
        <f t="shared" si="44"/>
        <v>18.600000000000001</v>
      </c>
      <c r="AB199" s="224">
        <f t="shared" si="45"/>
        <v>19.090000000000003</v>
      </c>
      <c r="AC199" s="224">
        <f t="shared" si="46"/>
        <v>19.259999999999998</v>
      </c>
      <c r="AE199" s="238"/>
      <c r="AF199" s="238"/>
      <c r="AG199" s="238"/>
    </row>
    <row r="200" spans="1:33" x14ac:dyDescent="0.2">
      <c r="A200" s="15">
        <f t="shared" si="32"/>
        <v>190</v>
      </c>
      <c r="B200" s="9" t="s">
        <v>79</v>
      </c>
      <c r="C200" s="9"/>
      <c r="D200" s="222" t="s">
        <v>83</v>
      </c>
      <c r="E200" s="22" t="s">
        <v>193</v>
      </c>
      <c r="F200" s="223">
        <v>14.17</v>
      </c>
      <c r="G200" s="224">
        <v>0.46</v>
      </c>
      <c r="H200" s="224">
        <v>0.92</v>
      </c>
      <c r="I200" s="224">
        <v>0.51</v>
      </c>
      <c r="J200" s="224">
        <v>2.61</v>
      </c>
      <c r="K200" s="224">
        <v>18.670000000000002</v>
      </c>
      <c r="L200" s="224">
        <v>18.670000000000002</v>
      </c>
      <c r="M200" s="224">
        <v>18.670000000000002</v>
      </c>
      <c r="O200" s="224">
        <v>0.06</v>
      </c>
      <c r="P200" s="224">
        <v>7.0000000000000007E-2</v>
      </c>
      <c r="Q200" s="224">
        <v>0.1</v>
      </c>
      <c r="S200" s="224">
        <v>2.13</v>
      </c>
      <c r="T200" s="224">
        <v>1.67</v>
      </c>
      <c r="U200" s="224">
        <v>0.75</v>
      </c>
      <c r="W200" s="224">
        <v>0.91</v>
      </c>
      <c r="X200" s="224">
        <v>2</v>
      </c>
      <c r="Y200" s="224">
        <v>3.1</v>
      </c>
      <c r="AA200" s="224">
        <f t="shared" si="44"/>
        <v>21.77</v>
      </c>
      <c r="AB200" s="224">
        <f t="shared" si="45"/>
        <v>22.410000000000004</v>
      </c>
      <c r="AC200" s="224">
        <f t="shared" si="46"/>
        <v>22.620000000000005</v>
      </c>
      <c r="AE200" s="238"/>
      <c r="AF200" s="238"/>
      <c r="AG200" s="238"/>
    </row>
    <row r="201" spans="1:33" x14ac:dyDescent="0.2">
      <c r="A201" s="15">
        <f t="shared" si="32"/>
        <v>191</v>
      </c>
      <c r="B201" s="9" t="s">
        <v>79</v>
      </c>
      <c r="C201" s="9"/>
      <c r="D201" s="222" t="s">
        <v>83</v>
      </c>
      <c r="E201" s="22" t="s">
        <v>194</v>
      </c>
      <c r="F201" s="223">
        <v>15.74</v>
      </c>
      <c r="G201" s="224">
        <v>0.46</v>
      </c>
      <c r="H201" s="224">
        <v>1.1200000000000001</v>
      </c>
      <c r="I201" s="224">
        <v>0.62</v>
      </c>
      <c r="J201" s="224">
        <v>3.19</v>
      </c>
      <c r="K201" s="224">
        <v>21.130000000000003</v>
      </c>
      <c r="L201" s="224">
        <v>21.130000000000003</v>
      </c>
      <c r="M201" s="224">
        <v>21.130000000000003</v>
      </c>
      <c r="O201" s="224">
        <v>0.08</v>
      </c>
      <c r="P201" s="224">
        <v>0.08</v>
      </c>
      <c r="Q201" s="224">
        <v>0.12</v>
      </c>
      <c r="S201" s="224">
        <v>2.6</v>
      </c>
      <c r="T201" s="224">
        <v>2.0499999999999998</v>
      </c>
      <c r="U201" s="224">
        <v>0.91</v>
      </c>
      <c r="W201" s="224">
        <v>1.1100000000000001</v>
      </c>
      <c r="X201" s="224">
        <v>2.44</v>
      </c>
      <c r="Y201" s="224">
        <v>3.79</v>
      </c>
      <c r="AA201" s="224">
        <f t="shared" si="44"/>
        <v>24.92</v>
      </c>
      <c r="AB201" s="224">
        <f t="shared" si="45"/>
        <v>25.700000000000003</v>
      </c>
      <c r="AC201" s="224">
        <f t="shared" si="46"/>
        <v>25.950000000000003</v>
      </c>
      <c r="AE201" s="238"/>
      <c r="AF201" s="238"/>
      <c r="AG201" s="238"/>
    </row>
    <row r="202" spans="1:33" x14ac:dyDescent="0.2">
      <c r="A202" s="15">
        <f t="shared" si="32"/>
        <v>192</v>
      </c>
      <c r="B202" s="9" t="s">
        <v>79</v>
      </c>
      <c r="C202" s="9"/>
      <c r="D202" s="222" t="s">
        <v>83</v>
      </c>
      <c r="E202" s="22" t="s">
        <v>195</v>
      </c>
      <c r="F202" s="223">
        <v>17.32</v>
      </c>
      <c r="G202" s="224">
        <v>0.46</v>
      </c>
      <c r="H202" s="224">
        <v>1.32</v>
      </c>
      <c r="I202" s="224">
        <v>0.74</v>
      </c>
      <c r="J202" s="224">
        <v>3.78</v>
      </c>
      <c r="K202" s="224">
        <v>23.62</v>
      </c>
      <c r="L202" s="224">
        <v>23.62</v>
      </c>
      <c r="M202" s="224">
        <v>23.62</v>
      </c>
      <c r="O202" s="224">
        <v>0.09</v>
      </c>
      <c r="P202" s="224">
        <v>0.1</v>
      </c>
      <c r="Q202" s="224">
        <v>0.14000000000000001</v>
      </c>
      <c r="S202" s="224">
        <v>3.08</v>
      </c>
      <c r="T202" s="224">
        <v>2.42</v>
      </c>
      <c r="U202" s="224">
        <v>1.08</v>
      </c>
      <c r="W202" s="224">
        <v>1.31</v>
      </c>
      <c r="X202" s="224">
        <v>2.88</v>
      </c>
      <c r="Y202" s="224">
        <v>4.4800000000000004</v>
      </c>
      <c r="AA202" s="224">
        <f t="shared" si="44"/>
        <v>28.099999999999998</v>
      </c>
      <c r="AB202" s="224">
        <f t="shared" si="45"/>
        <v>29.02</v>
      </c>
      <c r="AC202" s="224">
        <f t="shared" si="46"/>
        <v>29.320000000000004</v>
      </c>
      <c r="AE202" s="238"/>
      <c r="AF202" s="238"/>
      <c r="AG202" s="238"/>
    </row>
    <row r="203" spans="1:33" x14ac:dyDescent="0.2">
      <c r="A203" s="15">
        <f t="shared" si="32"/>
        <v>193</v>
      </c>
      <c r="B203" s="9" t="s">
        <v>79</v>
      </c>
      <c r="C203" s="9"/>
      <c r="D203" s="222" t="s">
        <v>83</v>
      </c>
      <c r="E203" s="22" t="s">
        <v>209</v>
      </c>
      <c r="F203" s="223">
        <v>18.899999999999999</v>
      </c>
      <c r="G203" s="224">
        <v>0.46</v>
      </c>
      <c r="H203" s="224">
        <v>1.53</v>
      </c>
      <c r="I203" s="224">
        <v>0.85</v>
      </c>
      <c r="J203" s="224">
        <v>4.3600000000000003</v>
      </c>
      <c r="K203" s="224">
        <v>26.1</v>
      </c>
      <c r="L203" s="224">
        <v>26.1</v>
      </c>
      <c r="M203" s="224">
        <v>26.1</v>
      </c>
      <c r="O203" s="224">
        <v>0.1</v>
      </c>
      <c r="P203" s="224">
        <v>0.11</v>
      </c>
      <c r="Q203" s="224">
        <v>0.16</v>
      </c>
      <c r="S203" s="224">
        <v>3.55</v>
      </c>
      <c r="T203" s="224">
        <v>2.79</v>
      </c>
      <c r="U203" s="224">
        <v>1.24</v>
      </c>
      <c r="W203" s="224">
        <v>1.51</v>
      </c>
      <c r="X203" s="224">
        <v>3.33</v>
      </c>
      <c r="Y203" s="224">
        <v>5.17</v>
      </c>
      <c r="AA203" s="224">
        <f t="shared" si="44"/>
        <v>31.260000000000005</v>
      </c>
      <c r="AB203" s="224">
        <f t="shared" si="45"/>
        <v>32.33</v>
      </c>
      <c r="AC203" s="224">
        <f t="shared" si="46"/>
        <v>32.67</v>
      </c>
      <c r="AE203" s="238"/>
      <c r="AF203" s="238"/>
      <c r="AG203" s="238"/>
    </row>
    <row r="204" spans="1:33" x14ac:dyDescent="0.2">
      <c r="A204" s="15">
        <f t="shared" ref="A204:A219" si="47">A203+1</f>
        <v>194</v>
      </c>
      <c r="B204" s="9" t="s">
        <v>79</v>
      </c>
      <c r="C204" s="9"/>
      <c r="D204" s="222" t="s">
        <v>83</v>
      </c>
      <c r="E204" s="22" t="s">
        <v>196</v>
      </c>
      <c r="F204" s="223">
        <v>20.48</v>
      </c>
      <c r="G204" s="224">
        <v>0.46</v>
      </c>
      <c r="H204" s="224">
        <v>1.73</v>
      </c>
      <c r="I204" s="224">
        <v>0.96</v>
      </c>
      <c r="J204" s="224">
        <v>4.9400000000000004</v>
      </c>
      <c r="K204" s="224">
        <v>28.570000000000004</v>
      </c>
      <c r="L204" s="224">
        <v>28.570000000000004</v>
      </c>
      <c r="M204" s="224">
        <v>28.570000000000004</v>
      </c>
      <c r="O204" s="224">
        <v>0.12</v>
      </c>
      <c r="P204" s="224">
        <v>0.13</v>
      </c>
      <c r="Q204" s="224">
        <v>0.18</v>
      </c>
      <c r="S204" s="224">
        <v>4.0199999999999996</v>
      </c>
      <c r="T204" s="224">
        <v>3.16</v>
      </c>
      <c r="U204" s="224">
        <v>1.41</v>
      </c>
      <c r="W204" s="224">
        <v>1.71</v>
      </c>
      <c r="X204" s="224">
        <v>3.77</v>
      </c>
      <c r="Y204" s="224">
        <v>5.86</v>
      </c>
      <c r="AA204" s="224">
        <f t="shared" si="44"/>
        <v>34.420000000000009</v>
      </c>
      <c r="AB204" s="224">
        <f t="shared" si="45"/>
        <v>35.630000000000003</v>
      </c>
      <c r="AC204" s="224">
        <f t="shared" si="46"/>
        <v>36.020000000000003</v>
      </c>
      <c r="AE204" s="238"/>
      <c r="AF204" s="238"/>
      <c r="AG204" s="238"/>
    </row>
    <row r="205" spans="1:33" x14ac:dyDescent="0.2">
      <c r="A205" s="15">
        <f t="shared" si="47"/>
        <v>195</v>
      </c>
      <c r="B205" s="9" t="s">
        <v>79</v>
      </c>
      <c r="C205" s="9"/>
      <c r="D205" s="222" t="s">
        <v>83</v>
      </c>
      <c r="E205" s="22" t="s">
        <v>197</v>
      </c>
      <c r="F205" s="223">
        <v>22.06</v>
      </c>
      <c r="G205" s="224">
        <v>0.46</v>
      </c>
      <c r="H205" s="224">
        <v>1.93</v>
      </c>
      <c r="I205" s="224">
        <v>1.08</v>
      </c>
      <c r="J205" s="224">
        <v>5.52</v>
      </c>
      <c r="K205" s="224">
        <v>31.05</v>
      </c>
      <c r="L205" s="224">
        <v>31.05</v>
      </c>
      <c r="M205" s="224">
        <v>31.05</v>
      </c>
      <c r="O205" s="224">
        <v>0.13</v>
      </c>
      <c r="P205" s="224">
        <v>0.14000000000000001</v>
      </c>
      <c r="Q205" s="224">
        <v>0.2</v>
      </c>
      <c r="S205" s="224">
        <v>4.5</v>
      </c>
      <c r="T205" s="224">
        <v>3.53</v>
      </c>
      <c r="U205" s="224">
        <v>1.58</v>
      </c>
      <c r="W205" s="224">
        <v>1.91</v>
      </c>
      <c r="X205" s="224">
        <v>4.21</v>
      </c>
      <c r="Y205" s="224">
        <v>6.55</v>
      </c>
      <c r="AA205" s="224">
        <f t="shared" si="44"/>
        <v>37.589999999999996</v>
      </c>
      <c r="AB205" s="224">
        <f t="shared" si="45"/>
        <v>38.93</v>
      </c>
      <c r="AC205" s="224">
        <f t="shared" si="46"/>
        <v>39.379999999999995</v>
      </c>
      <c r="AE205" s="238"/>
      <c r="AF205" s="238"/>
      <c r="AG205" s="238"/>
    </row>
    <row r="206" spans="1:33" x14ac:dyDescent="0.2">
      <c r="A206" s="15">
        <f t="shared" si="47"/>
        <v>196</v>
      </c>
      <c r="B206" s="9" t="s">
        <v>79</v>
      </c>
      <c r="C206" s="9"/>
      <c r="D206" s="222" t="s">
        <v>83</v>
      </c>
      <c r="E206" s="22" t="s">
        <v>210</v>
      </c>
      <c r="F206" s="223">
        <v>25.48</v>
      </c>
      <c r="G206" s="224">
        <v>0.46</v>
      </c>
      <c r="H206" s="224">
        <v>2.37</v>
      </c>
      <c r="I206" s="224">
        <v>1.32</v>
      </c>
      <c r="J206" s="224">
        <v>6.78</v>
      </c>
      <c r="K206" s="224">
        <v>36.410000000000004</v>
      </c>
      <c r="L206" s="224">
        <v>36.410000000000004</v>
      </c>
      <c r="M206" s="224">
        <v>36.410000000000004</v>
      </c>
      <c r="O206" s="224">
        <v>0.16</v>
      </c>
      <c r="P206" s="224">
        <v>0.18</v>
      </c>
      <c r="Q206" s="224">
        <v>0.25</v>
      </c>
      <c r="S206" s="224">
        <v>5.52</v>
      </c>
      <c r="T206" s="224">
        <v>4.34</v>
      </c>
      <c r="U206" s="224">
        <v>1.94</v>
      </c>
      <c r="W206" s="224">
        <v>2.35</v>
      </c>
      <c r="X206" s="224">
        <v>5.18</v>
      </c>
      <c r="Y206" s="224">
        <v>8.0399999999999991</v>
      </c>
      <c r="AA206" s="224">
        <f t="shared" si="44"/>
        <v>44.440000000000005</v>
      </c>
      <c r="AB206" s="224">
        <f t="shared" si="45"/>
        <v>46.110000000000007</v>
      </c>
      <c r="AC206" s="224">
        <f t="shared" si="46"/>
        <v>46.64</v>
      </c>
      <c r="AE206" s="238"/>
      <c r="AF206" s="238"/>
      <c r="AG206" s="238"/>
    </row>
    <row r="207" spans="1:33" x14ac:dyDescent="0.2">
      <c r="A207" s="15">
        <f t="shared" si="47"/>
        <v>197</v>
      </c>
      <c r="B207" s="9" t="s">
        <v>79</v>
      </c>
      <c r="C207" s="9"/>
      <c r="D207" s="222" t="s">
        <v>83</v>
      </c>
      <c r="E207" s="22" t="s">
        <v>211</v>
      </c>
      <c r="F207" s="223">
        <v>30.75</v>
      </c>
      <c r="G207" s="224">
        <v>0.46</v>
      </c>
      <c r="H207" s="224">
        <v>3.05</v>
      </c>
      <c r="I207" s="224">
        <v>1.7</v>
      </c>
      <c r="J207" s="224">
        <v>8.7100000000000009</v>
      </c>
      <c r="K207" s="224">
        <v>44.67</v>
      </c>
      <c r="L207" s="224">
        <v>44.67</v>
      </c>
      <c r="M207" s="224">
        <v>44.67</v>
      </c>
      <c r="O207" s="224">
        <v>0.21</v>
      </c>
      <c r="P207" s="224">
        <v>0.23</v>
      </c>
      <c r="Q207" s="224">
        <v>0.32</v>
      </c>
      <c r="S207" s="224">
        <v>7.1</v>
      </c>
      <c r="T207" s="224">
        <v>5.58</v>
      </c>
      <c r="U207" s="224">
        <v>2.4900000000000002</v>
      </c>
      <c r="W207" s="224">
        <v>3.02</v>
      </c>
      <c r="X207" s="224">
        <v>6.66</v>
      </c>
      <c r="Y207" s="224">
        <v>10.34</v>
      </c>
      <c r="AA207" s="224">
        <f t="shared" si="44"/>
        <v>55.000000000000007</v>
      </c>
      <c r="AB207" s="224">
        <f t="shared" si="45"/>
        <v>57.14</v>
      </c>
      <c r="AC207" s="224">
        <f t="shared" si="46"/>
        <v>57.820000000000007</v>
      </c>
      <c r="AE207" s="238"/>
      <c r="AF207" s="238"/>
      <c r="AG207" s="238"/>
    </row>
    <row r="208" spans="1:33" x14ac:dyDescent="0.2">
      <c r="A208" s="15">
        <f t="shared" si="47"/>
        <v>198</v>
      </c>
      <c r="B208" s="9" t="s">
        <v>79</v>
      </c>
      <c r="C208" s="9"/>
      <c r="D208" s="222" t="s">
        <v>83</v>
      </c>
      <c r="E208" s="22" t="s">
        <v>212</v>
      </c>
      <c r="F208" s="223">
        <v>36.01</v>
      </c>
      <c r="G208" s="224">
        <v>0.46</v>
      </c>
      <c r="H208" s="224">
        <v>3.73</v>
      </c>
      <c r="I208" s="224">
        <v>2.08</v>
      </c>
      <c r="J208" s="224">
        <v>10.65</v>
      </c>
      <c r="K208" s="224">
        <v>52.929999999999993</v>
      </c>
      <c r="L208" s="224">
        <v>52.929999999999993</v>
      </c>
      <c r="M208" s="224">
        <v>52.929999999999993</v>
      </c>
      <c r="O208" s="224">
        <v>0.25</v>
      </c>
      <c r="P208" s="224">
        <v>0.28000000000000003</v>
      </c>
      <c r="Q208" s="224">
        <v>0.39</v>
      </c>
      <c r="S208" s="224">
        <v>8.68</v>
      </c>
      <c r="T208" s="224">
        <v>6.82</v>
      </c>
      <c r="U208" s="224">
        <v>3.04</v>
      </c>
      <c r="W208" s="224">
        <v>3.69</v>
      </c>
      <c r="X208" s="224">
        <v>8.1300000000000008</v>
      </c>
      <c r="Y208" s="224">
        <v>12.64</v>
      </c>
      <c r="AA208" s="224">
        <f t="shared" si="44"/>
        <v>65.55</v>
      </c>
      <c r="AB208" s="224">
        <f t="shared" si="45"/>
        <v>68.16</v>
      </c>
      <c r="AC208" s="224">
        <f t="shared" si="46"/>
        <v>69</v>
      </c>
      <c r="AE208" s="238"/>
      <c r="AF208" s="238"/>
      <c r="AG208" s="238"/>
    </row>
    <row r="209" spans="1:33" x14ac:dyDescent="0.2">
      <c r="A209" s="15">
        <f t="shared" si="47"/>
        <v>199</v>
      </c>
      <c r="B209" s="9" t="s">
        <v>79</v>
      </c>
      <c r="C209" s="9"/>
      <c r="D209" s="222" t="s">
        <v>83</v>
      </c>
      <c r="E209" s="22" t="s">
        <v>213</v>
      </c>
      <c r="F209" s="223">
        <v>41.28</v>
      </c>
      <c r="G209" s="224">
        <v>0.46</v>
      </c>
      <c r="H209" s="224">
        <v>4.41</v>
      </c>
      <c r="I209" s="224">
        <v>2.46</v>
      </c>
      <c r="J209" s="224">
        <v>12.59</v>
      </c>
      <c r="K209" s="224">
        <v>61.2</v>
      </c>
      <c r="L209" s="224">
        <v>61.2</v>
      </c>
      <c r="M209" s="224">
        <v>61.2</v>
      </c>
      <c r="O209" s="224">
        <v>0.3</v>
      </c>
      <c r="P209" s="224">
        <v>0.33</v>
      </c>
      <c r="Q209" s="224">
        <v>0.47</v>
      </c>
      <c r="S209" s="224">
        <v>10.26</v>
      </c>
      <c r="T209" s="224">
        <v>8.06</v>
      </c>
      <c r="U209" s="224">
        <v>3.59</v>
      </c>
      <c r="W209" s="224">
        <v>4.3600000000000003</v>
      </c>
      <c r="X209" s="224">
        <v>9.61</v>
      </c>
      <c r="Y209" s="224">
        <v>14.94</v>
      </c>
      <c r="AA209" s="224">
        <f t="shared" si="44"/>
        <v>76.12</v>
      </c>
      <c r="AB209" s="224">
        <f t="shared" si="45"/>
        <v>79.2</v>
      </c>
      <c r="AC209" s="224">
        <f t="shared" si="46"/>
        <v>80.2</v>
      </c>
      <c r="AE209" s="238"/>
      <c r="AF209" s="238"/>
      <c r="AG209" s="238"/>
    </row>
    <row r="210" spans="1:33" x14ac:dyDescent="0.2">
      <c r="A210" s="15">
        <f t="shared" si="47"/>
        <v>200</v>
      </c>
      <c r="B210" s="9" t="s">
        <v>79</v>
      </c>
      <c r="C210" s="9"/>
      <c r="D210" s="222" t="s">
        <v>83</v>
      </c>
      <c r="E210" s="22" t="s">
        <v>214</v>
      </c>
      <c r="F210" s="223">
        <v>46.54</v>
      </c>
      <c r="G210" s="224">
        <v>0.46</v>
      </c>
      <c r="H210" s="224">
        <v>5.09</v>
      </c>
      <c r="I210" s="224">
        <v>2.84</v>
      </c>
      <c r="J210" s="224">
        <v>14.52</v>
      </c>
      <c r="K210" s="224">
        <v>69.45</v>
      </c>
      <c r="L210" s="224">
        <v>69.45</v>
      </c>
      <c r="M210" s="224">
        <v>69.45</v>
      </c>
      <c r="O210" s="224">
        <v>0.34</v>
      </c>
      <c r="P210" s="224">
        <v>0.38</v>
      </c>
      <c r="Q210" s="224">
        <v>0.54</v>
      </c>
      <c r="S210" s="224">
        <v>11.84</v>
      </c>
      <c r="T210" s="224">
        <v>9.3000000000000007</v>
      </c>
      <c r="U210" s="224">
        <v>4.1500000000000004</v>
      </c>
      <c r="W210" s="224">
        <v>5.03</v>
      </c>
      <c r="X210" s="224">
        <v>11.09</v>
      </c>
      <c r="Y210" s="224">
        <v>17.239999999999998</v>
      </c>
      <c r="AA210" s="224">
        <f t="shared" si="44"/>
        <v>86.660000000000011</v>
      </c>
      <c r="AB210" s="224">
        <f t="shared" si="45"/>
        <v>90.22</v>
      </c>
      <c r="AC210" s="224">
        <f t="shared" si="46"/>
        <v>91.38000000000001</v>
      </c>
      <c r="AE210" s="238"/>
      <c r="AF210" s="238"/>
      <c r="AG210" s="238"/>
    </row>
    <row r="211" spans="1:33" x14ac:dyDescent="0.2">
      <c r="A211" s="15">
        <f t="shared" si="47"/>
        <v>201</v>
      </c>
      <c r="B211" s="9" t="s">
        <v>79</v>
      </c>
      <c r="C211" s="9"/>
      <c r="D211" s="222" t="s">
        <v>83</v>
      </c>
      <c r="E211" s="22" t="s">
        <v>215</v>
      </c>
      <c r="F211" s="223">
        <v>51.81</v>
      </c>
      <c r="G211" s="224">
        <v>0.46</v>
      </c>
      <c r="H211" s="224">
        <v>5.77</v>
      </c>
      <c r="I211" s="224">
        <v>3.22</v>
      </c>
      <c r="J211" s="224">
        <v>16.46</v>
      </c>
      <c r="K211" s="224">
        <v>77.72</v>
      </c>
      <c r="L211" s="224">
        <v>77.72</v>
      </c>
      <c r="M211" s="224">
        <v>77.72</v>
      </c>
      <c r="O211" s="224">
        <v>0.39</v>
      </c>
      <c r="P211" s="224">
        <v>0.43</v>
      </c>
      <c r="Q211" s="224">
        <v>0.61</v>
      </c>
      <c r="S211" s="224">
        <v>13.41</v>
      </c>
      <c r="T211" s="224">
        <v>10.54</v>
      </c>
      <c r="U211" s="224">
        <v>4.7</v>
      </c>
      <c r="W211" s="224">
        <v>5.7</v>
      </c>
      <c r="X211" s="224">
        <v>12.57</v>
      </c>
      <c r="Y211" s="224">
        <v>19.53</v>
      </c>
      <c r="AA211" s="224">
        <f t="shared" si="44"/>
        <v>97.22</v>
      </c>
      <c r="AB211" s="224">
        <f t="shared" si="45"/>
        <v>101.25999999999999</v>
      </c>
      <c r="AC211" s="224">
        <f t="shared" si="46"/>
        <v>102.56</v>
      </c>
      <c r="AE211" s="238"/>
      <c r="AF211" s="238"/>
      <c r="AG211" s="238"/>
    </row>
    <row r="212" spans="1:33" x14ac:dyDescent="0.2">
      <c r="A212" s="15">
        <f t="shared" si="47"/>
        <v>202</v>
      </c>
      <c r="B212" s="9"/>
      <c r="C212" s="9"/>
      <c r="D212" s="222"/>
      <c r="E212" s="22"/>
      <c r="F212" s="223"/>
      <c r="G212" s="224"/>
      <c r="H212" s="224"/>
      <c r="I212" s="224"/>
      <c r="J212" s="224"/>
      <c r="K212" s="224"/>
      <c r="O212" s="224"/>
      <c r="S212" s="224"/>
      <c r="W212" s="224"/>
      <c r="AA212" s="224"/>
      <c r="AE212" s="238"/>
      <c r="AF212" s="238"/>
      <c r="AG212" s="238"/>
    </row>
    <row r="213" spans="1:33" x14ac:dyDescent="0.2">
      <c r="A213" s="15">
        <f t="shared" si="47"/>
        <v>203</v>
      </c>
      <c r="B213" s="9" t="s">
        <v>112</v>
      </c>
      <c r="C213" s="9"/>
      <c r="D213" s="222"/>
      <c r="E213" s="22"/>
      <c r="F213" s="223"/>
      <c r="G213" s="224"/>
      <c r="H213" s="224"/>
      <c r="I213" s="224"/>
      <c r="J213" s="224"/>
      <c r="K213" s="224"/>
      <c r="O213" s="224"/>
      <c r="S213" s="224"/>
      <c r="W213" s="224"/>
      <c r="AA213" s="224"/>
      <c r="AE213" s="238"/>
      <c r="AF213" s="238"/>
      <c r="AG213" s="238"/>
    </row>
    <row r="214" spans="1:33" x14ac:dyDescent="0.2">
      <c r="A214" s="15">
        <f t="shared" si="47"/>
        <v>204</v>
      </c>
      <c r="B214" s="9" t="s">
        <v>61</v>
      </c>
      <c r="C214" s="222"/>
      <c r="D214" s="222" t="s">
        <v>113</v>
      </c>
      <c r="E214" s="235">
        <v>935514.08333333337</v>
      </c>
      <c r="F214" s="236">
        <v>0</v>
      </c>
      <c r="G214" s="237">
        <v>0</v>
      </c>
      <c r="H214" s="237">
        <v>1.1999999999999999E-3</v>
      </c>
      <c r="I214" s="237">
        <v>2.9199999999999999E-3</v>
      </c>
      <c r="J214" s="237">
        <v>4.0390000000000002E-2</v>
      </c>
      <c r="K214" s="237">
        <v>4.4510000000000001E-2</v>
      </c>
      <c r="L214" s="237">
        <v>4.4510000000000001E-2</v>
      </c>
      <c r="M214" s="237">
        <v>4.4510000000000001E-2</v>
      </c>
      <c r="O214" s="237">
        <v>6.3000000000000003E-4</v>
      </c>
      <c r="P214" s="237">
        <v>6.8999999999999997E-4</v>
      </c>
      <c r="Q214" s="237">
        <v>9.7999999999999997E-4</v>
      </c>
      <c r="R214" s="237"/>
      <c r="S214" s="237">
        <v>2.1569999999999999E-2</v>
      </c>
      <c r="T214" s="237">
        <v>1.695E-2</v>
      </c>
      <c r="U214" s="237">
        <v>7.5599999999999999E-3</v>
      </c>
      <c r="V214" s="237"/>
      <c r="W214" s="237">
        <v>9.1699999999999993E-3</v>
      </c>
      <c r="X214" s="237">
        <v>2.0209999999999999E-2</v>
      </c>
      <c r="Y214" s="237">
        <v>3.141E-2</v>
      </c>
      <c r="Z214" s="237"/>
      <c r="AA214" s="237">
        <f>K214+O214+S214+W214</f>
        <v>7.5879999999999989E-2</v>
      </c>
      <c r="AB214" s="237">
        <f>L214+P214+T214+X214</f>
        <v>8.2360000000000003E-2</v>
      </c>
      <c r="AC214" s="237">
        <f>M214+Q214+U214+Y214</f>
        <v>8.4460000000000007E-2</v>
      </c>
      <c r="AE214" s="238"/>
      <c r="AF214" s="238"/>
      <c r="AG214" s="238"/>
    </row>
    <row r="215" spans="1:33" x14ac:dyDescent="0.2">
      <c r="A215" s="15">
        <f t="shared" si="47"/>
        <v>205</v>
      </c>
      <c r="B215" s="9"/>
      <c r="C215" s="9"/>
      <c r="D215" s="222"/>
      <c r="E215" s="22"/>
      <c r="F215" s="223"/>
      <c r="G215" s="224"/>
      <c r="H215" s="224"/>
      <c r="I215" s="224"/>
      <c r="J215" s="224"/>
      <c r="K215" s="224"/>
      <c r="O215" s="224"/>
      <c r="S215" s="224"/>
      <c r="W215" s="224"/>
      <c r="AA215" s="224"/>
      <c r="AE215" s="238"/>
      <c r="AF215" s="238"/>
      <c r="AG215" s="238"/>
    </row>
    <row r="216" spans="1:33" x14ac:dyDescent="0.2">
      <c r="A216" s="15">
        <f t="shared" si="47"/>
        <v>206</v>
      </c>
      <c r="B216" s="9" t="s">
        <v>98</v>
      </c>
      <c r="C216" s="9"/>
      <c r="D216" s="222" t="s">
        <v>101</v>
      </c>
      <c r="E216" s="22" t="s">
        <v>100</v>
      </c>
      <c r="F216" s="223">
        <v>3.05</v>
      </c>
      <c r="G216" s="224">
        <v>2.31</v>
      </c>
      <c r="H216" s="224">
        <v>0</v>
      </c>
      <c r="I216" s="224">
        <v>0</v>
      </c>
      <c r="J216" s="224">
        <v>0</v>
      </c>
      <c r="K216" s="224">
        <v>5.3599999999999994</v>
      </c>
      <c r="L216" s="224">
        <v>5.3599999999999994</v>
      </c>
      <c r="M216" s="224">
        <v>5.3599999999999994</v>
      </c>
      <c r="O216" s="224">
        <v>0</v>
      </c>
      <c r="P216" s="224">
        <v>0</v>
      </c>
      <c r="Q216" s="224">
        <v>0</v>
      </c>
      <c r="S216" s="224">
        <v>0</v>
      </c>
      <c r="T216" s="224">
        <v>0</v>
      </c>
      <c r="U216" s="224">
        <v>0</v>
      </c>
      <c r="W216" s="224">
        <v>0</v>
      </c>
      <c r="X216" s="224">
        <v>0</v>
      </c>
      <c r="Y216" s="224">
        <v>0</v>
      </c>
      <c r="AA216" s="224">
        <f t="shared" ref="AA216:AC217" si="48">K216+O216+S216+W216</f>
        <v>5.3599999999999994</v>
      </c>
      <c r="AB216" s="224">
        <f t="shared" si="48"/>
        <v>5.3599999999999994</v>
      </c>
      <c r="AC216" s="224">
        <f t="shared" si="48"/>
        <v>5.3599999999999994</v>
      </c>
      <c r="AE216" s="238"/>
      <c r="AF216" s="238"/>
      <c r="AG216" s="238"/>
    </row>
    <row r="217" spans="1:33" x14ac:dyDescent="0.2">
      <c r="A217" s="15">
        <f t="shared" si="47"/>
        <v>207</v>
      </c>
      <c r="B217" s="9" t="s">
        <v>98</v>
      </c>
      <c r="C217" s="9"/>
      <c r="D217" s="222" t="s">
        <v>101</v>
      </c>
      <c r="E217" s="22" t="s">
        <v>99</v>
      </c>
      <c r="F217" s="223">
        <v>6.09</v>
      </c>
      <c r="G217" s="224">
        <v>2.31</v>
      </c>
      <c r="H217" s="224">
        <v>0</v>
      </c>
      <c r="I217" s="224">
        <v>0</v>
      </c>
      <c r="J217" s="224">
        <v>0</v>
      </c>
      <c r="K217" s="224">
        <v>8.4</v>
      </c>
      <c r="L217" s="224">
        <v>8.4</v>
      </c>
      <c r="M217" s="224">
        <v>8.4</v>
      </c>
      <c r="O217" s="224">
        <v>0</v>
      </c>
      <c r="P217" s="224">
        <v>0</v>
      </c>
      <c r="Q217" s="224">
        <v>0</v>
      </c>
      <c r="S217" s="224">
        <v>0</v>
      </c>
      <c r="T217" s="224">
        <v>0</v>
      </c>
      <c r="U217" s="224">
        <v>0</v>
      </c>
      <c r="W217" s="224">
        <v>0</v>
      </c>
      <c r="X217" s="224">
        <v>0</v>
      </c>
      <c r="Y217" s="224">
        <v>0</v>
      </c>
      <c r="AA217" s="224">
        <f t="shared" si="48"/>
        <v>8.4</v>
      </c>
      <c r="AB217" s="224">
        <f t="shared" si="48"/>
        <v>8.4</v>
      </c>
      <c r="AC217" s="224">
        <f t="shared" si="48"/>
        <v>8.4</v>
      </c>
      <c r="AE217" s="238"/>
      <c r="AF217" s="238"/>
      <c r="AG217" s="238"/>
    </row>
    <row r="218" spans="1:33" x14ac:dyDescent="0.2">
      <c r="A218" s="15">
        <f t="shared" si="47"/>
        <v>208</v>
      </c>
      <c r="B218" s="9"/>
      <c r="C218" s="9"/>
      <c r="D218" s="222"/>
      <c r="E218" s="22"/>
      <c r="F218" s="223"/>
      <c r="G218" s="224"/>
      <c r="H218" s="224"/>
      <c r="I218" s="224"/>
      <c r="J218" s="224"/>
      <c r="K218" s="224"/>
      <c r="O218" s="224"/>
      <c r="P218" s="224"/>
      <c r="Q218" s="224"/>
      <c r="S218" s="224"/>
      <c r="T218" s="224"/>
      <c r="U218" s="224"/>
      <c r="W218" s="224"/>
      <c r="X218" s="224"/>
      <c r="Y218" s="224"/>
      <c r="AA218" s="224"/>
      <c r="AE218" s="238"/>
      <c r="AF218" s="238"/>
      <c r="AG218" s="238"/>
    </row>
    <row r="219" spans="1:33" x14ac:dyDescent="0.2">
      <c r="A219" s="15">
        <f t="shared" si="47"/>
        <v>209</v>
      </c>
      <c r="B219" s="9" t="s">
        <v>97</v>
      </c>
      <c r="C219" s="9"/>
      <c r="D219" s="222" t="s">
        <v>101</v>
      </c>
      <c r="E219" s="22" t="s">
        <v>99</v>
      </c>
      <c r="F219" s="223">
        <v>6.09</v>
      </c>
      <c r="G219" s="224">
        <v>2.31</v>
      </c>
      <c r="H219" s="224">
        <v>0</v>
      </c>
      <c r="I219" s="224">
        <v>0</v>
      </c>
      <c r="J219" s="224">
        <v>0</v>
      </c>
      <c r="K219" s="224">
        <v>8.4</v>
      </c>
      <c r="L219" s="224">
        <v>8.4</v>
      </c>
      <c r="M219" s="224">
        <v>8.4</v>
      </c>
      <c r="O219" s="224">
        <v>0</v>
      </c>
      <c r="P219" s="224">
        <v>0</v>
      </c>
      <c r="Q219" s="224">
        <v>0</v>
      </c>
      <c r="S219" s="224">
        <v>0</v>
      </c>
      <c r="T219" s="224">
        <v>0</v>
      </c>
      <c r="U219" s="224">
        <v>0</v>
      </c>
      <c r="W219" s="224">
        <v>0</v>
      </c>
      <c r="X219" s="224">
        <v>0</v>
      </c>
      <c r="Y219" s="224">
        <v>0</v>
      </c>
      <c r="AA219" s="224">
        <f>K219+O219+S219+W219</f>
        <v>8.4</v>
      </c>
      <c r="AB219" s="224">
        <f>L219+P219+T219+X219</f>
        <v>8.4</v>
      </c>
      <c r="AC219" s="224">
        <f>M219+Q219+U219+Y219</f>
        <v>8.4</v>
      </c>
      <c r="AE219" s="238"/>
      <c r="AF219" s="238"/>
      <c r="AG219" s="238"/>
    </row>
    <row r="220" spans="1:33" x14ac:dyDescent="0.2">
      <c r="B220" s="9"/>
      <c r="C220" s="9"/>
      <c r="D220" s="222"/>
      <c r="E220" s="22"/>
      <c r="F220" s="223"/>
      <c r="G220" s="224"/>
      <c r="H220" s="224"/>
      <c r="I220" s="224"/>
      <c r="J220" s="224"/>
      <c r="K220" s="224"/>
      <c r="O220" s="224"/>
      <c r="S220" s="224"/>
      <c r="W220" s="224"/>
      <c r="AA220" s="224"/>
    </row>
    <row r="221" spans="1:33" x14ac:dyDescent="0.2">
      <c r="B221" s="9"/>
      <c r="C221" s="9"/>
      <c r="D221" s="222"/>
      <c r="E221" s="22"/>
      <c r="F221" s="223"/>
      <c r="G221" s="224"/>
      <c r="H221" s="224"/>
      <c r="I221" s="224"/>
      <c r="J221" s="224"/>
      <c r="K221" s="224"/>
      <c r="O221" s="224"/>
      <c r="S221" s="224"/>
      <c r="W221" s="224"/>
      <c r="AA221" s="224"/>
    </row>
    <row r="222" spans="1:33" x14ac:dyDescent="0.2">
      <c r="B222" s="9"/>
      <c r="C222" s="9"/>
      <c r="D222" s="222"/>
      <c r="E222" s="22"/>
      <c r="F222" s="223"/>
      <c r="G222" s="224"/>
      <c r="H222" s="224"/>
      <c r="I222" s="224"/>
      <c r="J222" s="224"/>
      <c r="K222" s="224"/>
      <c r="O222" s="224"/>
      <c r="S222" s="224"/>
      <c r="W222" s="224"/>
      <c r="AA222" s="224"/>
    </row>
    <row r="223" spans="1:33" x14ac:dyDescent="0.2">
      <c r="B223" s="9"/>
      <c r="C223" s="9"/>
      <c r="D223" s="222"/>
      <c r="E223" s="22"/>
      <c r="F223" s="223"/>
      <c r="G223" s="224"/>
      <c r="H223" s="224"/>
      <c r="I223" s="224"/>
      <c r="J223" s="224"/>
      <c r="K223" s="224"/>
      <c r="O223" s="224"/>
      <c r="S223" s="224"/>
      <c r="W223" s="224"/>
      <c r="AA223" s="224"/>
    </row>
    <row r="224" spans="1:33" x14ac:dyDescent="0.2">
      <c r="B224" s="9"/>
      <c r="C224" s="9"/>
      <c r="D224" s="222"/>
      <c r="E224" s="22"/>
      <c r="F224" s="223"/>
      <c r="G224" s="224"/>
      <c r="H224" s="224"/>
      <c r="I224" s="224"/>
      <c r="J224" s="224"/>
      <c r="K224" s="224"/>
      <c r="O224" s="224"/>
      <c r="S224" s="224"/>
      <c r="W224" s="224"/>
      <c r="AA224" s="224"/>
    </row>
    <row r="225" spans="2:27" x14ac:dyDescent="0.2">
      <c r="B225" s="9"/>
      <c r="C225" s="9"/>
      <c r="D225" s="222"/>
      <c r="E225" s="22"/>
      <c r="F225" s="223"/>
      <c r="G225" s="224"/>
      <c r="H225" s="224"/>
      <c r="I225" s="224"/>
      <c r="J225" s="224"/>
      <c r="K225" s="224"/>
      <c r="O225" s="224"/>
      <c r="S225" s="224"/>
      <c r="W225" s="224"/>
      <c r="AA225" s="224"/>
    </row>
    <row r="226" spans="2:27" x14ac:dyDescent="0.2">
      <c r="B226" s="9"/>
      <c r="C226" s="9"/>
      <c r="D226" s="222"/>
      <c r="E226" s="22"/>
      <c r="F226" s="223"/>
      <c r="G226" s="224"/>
      <c r="H226" s="224"/>
      <c r="I226" s="224"/>
      <c r="J226" s="224"/>
      <c r="K226" s="224"/>
      <c r="O226" s="224"/>
      <c r="S226" s="224"/>
      <c r="W226" s="224"/>
      <c r="AA226" s="224"/>
    </row>
    <row r="227" spans="2:27" x14ac:dyDescent="0.2">
      <c r="B227" s="9"/>
      <c r="C227" s="9"/>
      <c r="D227" s="222"/>
      <c r="E227" s="22"/>
      <c r="F227" s="223"/>
      <c r="G227" s="224"/>
      <c r="H227" s="224"/>
      <c r="I227" s="224"/>
      <c r="J227" s="224"/>
      <c r="K227" s="224"/>
      <c r="O227" s="224"/>
      <c r="S227" s="224"/>
      <c r="W227" s="224"/>
      <c r="AA227" s="224"/>
    </row>
    <row r="228" spans="2:27" x14ac:dyDescent="0.2">
      <c r="B228" s="9"/>
      <c r="C228" s="9"/>
      <c r="D228" s="222"/>
      <c r="E228" s="22"/>
      <c r="F228" s="223"/>
      <c r="G228" s="224"/>
      <c r="H228" s="224"/>
      <c r="I228" s="224"/>
      <c r="J228" s="224"/>
      <c r="K228" s="224"/>
      <c r="O228" s="224"/>
      <c r="S228" s="224"/>
      <c r="W228" s="224"/>
      <c r="AA228" s="224"/>
    </row>
    <row r="229" spans="2:27" x14ac:dyDescent="0.2">
      <c r="F229" s="2"/>
    </row>
    <row r="230" spans="2:27" x14ac:dyDescent="0.2">
      <c r="B230" s="7"/>
      <c r="C230" s="7"/>
    </row>
    <row r="232" spans="2:27" x14ac:dyDescent="0.2">
      <c r="B232" s="7"/>
      <c r="C232" s="7"/>
    </row>
    <row r="233" spans="2:27" x14ac:dyDescent="0.2">
      <c r="B233" s="7"/>
      <c r="C233" s="7"/>
    </row>
  </sheetData>
  <mergeCells count="10">
    <mergeCell ref="A1:AC1"/>
    <mergeCell ref="O6:Q6"/>
    <mergeCell ref="A2:AC2"/>
    <mergeCell ref="A3:AC3"/>
    <mergeCell ref="A4:AC4"/>
    <mergeCell ref="K6:M6"/>
    <mergeCell ref="S6:U6"/>
    <mergeCell ref="W6:Y6"/>
    <mergeCell ref="AA6:AC6"/>
    <mergeCell ref="B5:K5"/>
  </mergeCells>
  <pageMargins left="0.7" right="0.7" top="0.75" bottom="0.75" header="0.3" footer="0.3"/>
  <pageSetup scale="39" fitToHeight="10" orientation="landscape" r:id="rId1"/>
  <headerFooter>
    <oddFooter>&amp;R&amp;F
&amp;A
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53B26C-674A-4A60-9BEE-7EF82FDB5A1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CCCA087-F6D0-446E-A943-98F1AEE7217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AE842A4-5A68-4EEE-8070-1A73167FF55A}"/>
</file>

<file path=customXml/itemProps4.xml><?xml version="1.0" encoding="utf-8"?>
<ds:datastoreItem xmlns:ds="http://schemas.openxmlformats.org/officeDocument/2006/customXml" ds:itemID="{0D8DF646-6195-4524-BAFD-D63ECECC903B}"/>
</file>

<file path=customXml/itemProps5.xml><?xml version="1.0" encoding="utf-8"?>
<ds:datastoreItem xmlns:ds="http://schemas.openxmlformats.org/officeDocument/2006/customXml" ds:itemID="{DF2F9E35-0572-4814-815F-810D80BCC755}"/>
</file>

<file path=customXml/itemProps6.xml><?xml version="1.0" encoding="utf-8"?>
<ds:datastoreItem xmlns:ds="http://schemas.openxmlformats.org/officeDocument/2006/customXml" ds:itemID="{E25DDAE1-3704-4EB3-813C-9F25078A8B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Table of Contents</vt:lpstr>
      <vt:lpstr>BDJ-6 Base Revenue (Summary)</vt:lpstr>
      <vt:lpstr>BDJ-6 Lighting Parity Ratios</vt:lpstr>
      <vt:lpstr>BDJ-6 Rate Design Lighting</vt:lpstr>
      <vt:lpstr>BDJ-6 Unitized Lighting Costs</vt:lpstr>
      <vt:lpstr>BDJ-6 Classification of Costs</vt:lpstr>
      <vt:lpstr>BDJ-6 Combined Charges</vt:lpstr>
      <vt:lpstr>'BDJ-6 Combined Charges'!Print_Titles</vt:lpstr>
      <vt:lpstr>'BDJ-6 Rate Design Lighting'!Print_Titles</vt:lpstr>
      <vt:lpstr>'BDJ-6 Unitized Lighting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2022-01-21T21:55:05Z</cp:lastPrinted>
  <dcterms:created xsi:type="dcterms:W3CDTF">2012-01-26T18:53:34Z</dcterms:created>
  <dcterms:modified xsi:type="dcterms:W3CDTF">2022-01-26T18:27:16Z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