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PS Reporting\2022  UE-220405\G. Final 2022 Close Out Report to be filed 2024\3.  Att. 1 - Summary of RPS Compliance\"/>
    </mc:Choice>
  </mc:AlternateContent>
  <bookViews>
    <workbookView xWindow="0" yWindow="0" windowWidth="15101" windowHeight="9329"/>
  </bookViews>
  <sheets>
    <sheet name="Compliance Table" sheetId="4" r:id="rId1"/>
    <sheet name="Apprenticeship Credits" sheetId="9" r:id="rId2"/>
    <sheet name="How selection was made" sheetId="12" r:id="rId3"/>
    <sheet name="Order of Priority " sheetId="10" r:id="rId4"/>
  </sheets>
  <externalReferences>
    <externalReference r:id="rId5"/>
    <externalReference r:id="rId6"/>
  </externalReferences>
  <definedNames>
    <definedName name="_xlnm.Print_Area" localSheetId="0">'Compliance Table'!$B$2:$I$76</definedName>
    <definedName name="tblQtyRequired">'[1]Load + Need'!$D$2:$S$5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0" l="1"/>
  <c r="C17" i="10"/>
  <c r="C15" i="10"/>
  <c r="C16" i="10"/>
  <c r="C14" i="10"/>
  <c r="K16" i="4"/>
  <c r="H27" i="9"/>
  <c r="H18" i="9"/>
  <c r="C10" i="10" l="1"/>
  <c r="C9" i="10"/>
  <c r="Q6" i="4"/>
  <c r="D14" i="12"/>
  <c r="C14" i="12"/>
  <c r="B14" i="12"/>
  <c r="L71" i="4"/>
  <c r="L70" i="4"/>
  <c r="I70" i="4"/>
  <c r="F70" i="4"/>
  <c r="K66" i="4"/>
  <c r="H66" i="4"/>
  <c r="E66" i="4"/>
  <c r="E65" i="4"/>
  <c r="K64" i="4"/>
  <c r="H64" i="4"/>
  <c r="E64" i="4"/>
  <c r="K63" i="4"/>
  <c r="H63" i="4"/>
  <c r="E63" i="4"/>
  <c r="D62" i="4"/>
  <c r="S21" i="4"/>
  <c r="H36" i="9"/>
  <c r="F36" i="9"/>
  <c r="E36" i="9"/>
  <c r="D36" i="9"/>
  <c r="C36" i="9"/>
  <c r="F27" i="9"/>
  <c r="D27" i="9"/>
  <c r="F18" i="9"/>
  <c r="D18" i="9"/>
  <c r="H51" i="4"/>
  <c r="H49" i="4"/>
  <c r="N51" i="4"/>
  <c r="N49" i="4"/>
  <c r="N48" i="4"/>
  <c r="E50" i="4"/>
  <c r="D48" i="4"/>
  <c r="N41" i="4"/>
  <c r="N40" i="4"/>
  <c r="N34" i="4"/>
  <c r="N33" i="4"/>
  <c r="E42" i="4"/>
  <c r="D42" i="4"/>
  <c r="H40" i="4"/>
  <c r="H37" i="4"/>
  <c r="G37" i="4"/>
  <c r="E37" i="4"/>
  <c r="D37" i="4"/>
  <c r="H36" i="4"/>
  <c r="G36" i="4"/>
  <c r="E36" i="4"/>
  <c r="D36" i="4"/>
  <c r="H35" i="4"/>
  <c r="G35" i="4"/>
  <c r="E35" i="4"/>
  <c r="D35" i="4"/>
  <c r="H34" i="4"/>
  <c r="G34" i="4"/>
  <c r="E34" i="4"/>
  <c r="D34" i="4"/>
  <c r="H33" i="4"/>
  <c r="G33" i="4"/>
  <c r="E33" i="4"/>
  <c r="D33" i="4"/>
  <c r="H29" i="4"/>
  <c r="G29" i="4"/>
  <c r="E29" i="4"/>
  <c r="D29" i="4"/>
  <c r="N28" i="4"/>
  <c r="E28" i="4"/>
  <c r="D28" i="4"/>
  <c r="N27" i="4"/>
  <c r="E27" i="4"/>
  <c r="D27" i="4"/>
  <c r="H26" i="4"/>
  <c r="G26" i="4"/>
  <c r="E26" i="4"/>
  <c r="D26" i="4"/>
  <c r="H25" i="4"/>
  <c r="G25" i="4"/>
  <c r="E25" i="4"/>
  <c r="D25" i="4"/>
  <c r="N24" i="4"/>
  <c r="K24" i="4"/>
  <c r="J24" i="4"/>
  <c r="H24" i="4"/>
  <c r="G24" i="4"/>
  <c r="E24" i="4"/>
  <c r="D24" i="4"/>
  <c r="N23" i="4"/>
  <c r="K23" i="4"/>
  <c r="J23" i="4"/>
  <c r="H23" i="4"/>
  <c r="G23" i="4"/>
  <c r="E23" i="4"/>
  <c r="D23" i="4"/>
  <c r="N22" i="4"/>
  <c r="H22" i="4"/>
  <c r="G22" i="4"/>
  <c r="E22" i="4"/>
  <c r="D22" i="4"/>
  <c r="N21" i="4"/>
  <c r="H21" i="4"/>
  <c r="G21" i="4"/>
  <c r="E21" i="4"/>
  <c r="D21" i="4"/>
  <c r="H20" i="4"/>
  <c r="G20" i="4"/>
  <c r="E20" i="4"/>
  <c r="D20" i="4"/>
  <c r="N19" i="4"/>
  <c r="J19" i="4"/>
  <c r="N18" i="4"/>
  <c r="J18" i="4"/>
  <c r="N17" i="4"/>
  <c r="J17" i="4"/>
  <c r="H17" i="4"/>
  <c r="C36" i="12" s="1"/>
  <c r="G17" i="4"/>
  <c r="E17" i="4"/>
  <c r="D17" i="4"/>
  <c r="N16" i="4"/>
  <c r="J16" i="4"/>
  <c r="H16" i="4"/>
  <c r="C33" i="12" s="1"/>
  <c r="G16" i="4"/>
  <c r="E16" i="4"/>
  <c r="B33" i="12" s="1"/>
  <c r="D16" i="4"/>
  <c r="N15" i="4"/>
  <c r="K15" i="4"/>
  <c r="J15" i="4"/>
  <c r="H15" i="4"/>
  <c r="G15" i="4"/>
  <c r="E15" i="4"/>
  <c r="D15" i="4"/>
  <c r="N14" i="4"/>
  <c r="D14" i="4"/>
  <c r="N13" i="4"/>
  <c r="J13" i="4"/>
  <c r="D13" i="4"/>
  <c r="N12" i="4"/>
  <c r="D12" i="4"/>
  <c r="N11" i="4"/>
  <c r="J11" i="4"/>
  <c r="D11" i="4"/>
  <c r="N10" i="4"/>
  <c r="J10" i="4"/>
  <c r="H10" i="4"/>
  <c r="C35" i="12" s="1"/>
  <c r="G10" i="4"/>
  <c r="E10" i="4"/>
  <c r="B35" i="12" s="1"/>
  <c r="N9" i="4"/>
  <c r="K9" i="4"/>
  <c r="H9" i="4"/>
  <c r="E9" i="4"/>
  <c r="N8" i="4"/>
  <c r="K8" i="4"/>
  <c r="H8" i="4"/>
  <c r="C32" i="12" s="1"/>
  <c r="E8" i="4"/>
  <c r="Q7" i="4"/>
  <c r="N7" i="4"/>
  <c r="H7" i="4"/>
  <c r="C34" i="12" s="1"/>
  <c r="E7" i="4"/>
  <c r="B34" i="12" s="1"/>
  <c r="N6" i="4"/>
  <c r="J6" i="4"/>
  <c r="H6" i="4"/>
  <c r="G6" i="4"/>
  <c r="N5" i="4"/>
  <c r="K5" i="4"/>
  <c r="H5" i="4"/>
  <c r="G5" i="4"/>
  <c r="E5" i="4"/>
  <c r="D5" i="4"/>
  <c r="D32" i="12" l="1"/>
  <c r="C12" i="10"/>
  <c r="B32" i="12"/>
  <c r="O49" i="4"/>
  <c r="O40" i="4"/>
  <c r="I49" i="4"/>
  <c r="I40" i="4"/>
  <c r="C25" i="9" l="1"/>
  <c r="H6" i="9"/>
  <c r="H16" i="9" s="1"/>
  <c r="H25" i="9" s="1"/>
  <c r="H34" i="9" s="1"/>
  <c r="G6" i="9"/>
  <c r="G16" i="9" s="1"/>
  <c r="G25" i="9" s="1"/>
  <c r="G34" i="9" s="1"/>
  <c r="F6" i="9"/>
  <c r="F16" i="9" s="1"/>
  <c r="F25" i="9" s="1"/>
  <c r="F34" i="9" s="1"/>
  <c r="E6" i="9"/>
  <c r="E16" i="9" s="1"/>
  <c r="E25" i="9" s="1"/>
  <c r="E34" i="9" s="1"/>
  <c r="D6" i="9"/>
  <c r="D16" i="9" s="1"/>
  <c r="D25" i="9" s="1"/>
  <c r="D34" i="9" s="1"/>
  <c r="O58" i="4" l="1"/>
  <c r="O57" i="4"/>
  <c r="O56" i="4"/>
  <c r="O55" i="4"/>
  <c r="O54" i="4"/>
  <c r="O53" i="4"/>
  <c r="O52" i="4"/>
  <c r="O51" i="4"/>
  <c r="O48" i="4"/>
  <c r="O47" i="4"/>
  <c r="O46" i="4"/>
  <c r="O45" i="4"/>
  <c r="O44" i="4"/>
  <c r="O43" i="4"/>
  <c r="O41" i="4"/>
  <c r="O39" i="4"/>
  <c r="O38" i="4"/>
  <c r="O37" i="4"/>
  <c r="O36" i="4"/>
  <c r="O35" i="4"/>
  <c r="O32" i="4"/>
  <c r="O31" i="4"/>
  <c r="O30" i="4"/>
  <c r="O29" i="4"/>
  <c r="O26" i="4"/>
  <c r="O25" i="4"/>
  <c r="O20" i="4"/>
  <c r="A3" i="10" l="1"/>
  <c r="H38" i="9" l="1"/>
  <c r="K19" i="4" s="1"/>
  <c r="H37" i="9"/>
  <c r="K18" i="4" s="1"/>
  <c r="D23" i="12" s="1"/>
  <c r="G38" i="9"/>
  <c r="G37" i="9"/>
  <c r="E28" i="9"/>
  <c r="G28" i="9"/>
  <c r="H28" i="9"/>
  <c r="K13" i="4" s="1"/>
  <c r="E29" i="9"/>
  <c r="G29" i="9"/>
  <c r="H29" i="9"/>
  <c r="K14" i="4" s="1"/>
  <c r="C29" i="9"/>
  <c r="C28" i="9"/>
  <c r="G20" i="9"/>
  <c r="G19" i="9"/>
  <c r="E20" i="9"/>
  <c r="E19" i="9"/>
  <c r="C20" i="9"/>
  <c r="C19" i="9"/>
  <c r="E10" i="9"/>
  <c r="E9" i="9"/>
  <c r="C10" i="9"/>
  <c r="C9" i="9"/>
  <c r="G10" i="9"/>
  <c r="G9" i="9"/>
  <c r="F10" i="9"/>
  <c r="F9" i="9"/>
  <c r="D10" i="9"/>
  <c r="D9" i="9"/>
  <c r="D22" i="12" l="1"/>
  <c r="B38" i="9"/>
  <c r="B37" i="9"/>
  <c r="B39" i="9" s="1"/>
  <c r="C34" i="9"/>
  <c r="G33" i="9"/>
  <c r="E33" i="9"/>
  <c r="C33" i="9"/>
  <c r="B29" i="9"/>
  <c r="B28" i="9"/>
  <c r="B30" i="9" s="1"/>
  <c r="G24" i="9"/>
  <c r="E24" i="9"/>
  <c r="C24" i="9"/>
  <c r="B20" i="9"/>
  <c r="B19" i="9" s="1"/>
  <c r="B21" i="9" s="1"/>
  <c r="G15" i="9"/>
  <c r="E15" i="9"/>
  <c r="C15" i="9"/>
  <c r="C6" i="9"/>
  <c r="C16" i="9" s="1"/>
  <c r="G5" i="9"/>
  <c r="E5" i="9"/>
  <c r="C5" i="9"/>
  <c r="B10" i="9"/>
  <c r="B9" i="9" s="1"/>
  <c r="B11" i="9" l="1"/>
  <c r="P18" i="4" l="1"/>
  <c r="P19" i="4" s="1"/>
  <c r="P17" i="4"/>
  <c r="P16" i="4"/>
  <c r="P15" i="4"/>
  <c r="P13" i="4"/>
  <c r="P14" i="4" s="1"/>
  <c r="P11" i="4"/>
  <c r="P12" i="4" s="1"/>
  <c r="P10" i="4"/>
  <c r="P9" i="4"/>
  <c r="P8" i="4"/>
  <c r="P7" i="4"/>
  <c r="P6" i="4"/>
  <c r="P5" i="4"/>
  <c r="L30" i="4" l="1"/>
  <c r="L31" i="4"/>
  <c r="I30" i="4"/>
  <c r="I80" i="4" s="1"/>
  <c r="I31" i="4"/>
  <c r="F30" i="4"/>
  <c r="F31" i="4"/>
  <c r="L28" i="4" l="1"/>
  <c r="L83" i="4" s="1"/>
  <c r="L53" i="4"/>
  <c r="L58" i="4"/>
  <c r="L57" i="4"/>
  <c r="L56" i="4"/>
  <c r="L55" i="4"/>
  <c r="L54" i="4"/>
  <c r="L52" i="4"/>
  <c r="L51" i="4"/>
  <c r="L50" i="4"/>
  <c r="L48" i="4"/>
  <c r="L47" i="4"/>
  <c r="L46" i="4"/>
  <c r="L45" i="4"/>
  <c r="L44" i="4"/>
  <c r="L43" i="4"/>
  <c r="L42" i="4"/>
  <c r="L41" i="4"/>
  <c r="L39" i="4"/>
  <c r="L38" i="4"/>
  <c r="L37" i="4"/>
  <c r="L36" i="4"/>
  <c r="L35" i="4"/>
  <c r="L34" i="4"/>
  <c r="L33" i="4"/>
  <c r="L29" i="4"/>
  <c r="L27" i="4"/>
  <c r="L79" i="4" s="1"/>
  <c r="L26" i="4"/>
  <c r="L25" i="4"/>
  <c r="L22" i="4"/>
  <c r="L21" i="4"/>
  <c r="L20" i="4"/>
  <c r="I43" i="4" l="1"/>
  <c r="I39" i="4"/>
  <c r="I48" i="4"/>
  <c r="I58" i="4"/>
  <c r="I56" i="4"/>
  <c r="I44" i="4"/>
  <c r="I54" i="4"/>
  <c r="I50" i="4"/>
  <c r="I45" i="4"/>
  <c r="I55" i="4"/>
  <c r="I28" i="4"/>
  <c r="I83" i="4" s="1"/>
  <c r="F52" i="4"/>
  <c r="I52" i="4"/>
  <c r="F53" i="4"/>
  <c r="I27" i="4"/>
  <c r="I53" i="4"/>
  <c r="I41" i="4" l="1"/>
  <c r="I46" i="4"/>
  <c r="I79" i="4" s="1"/>
  <c r="F51" i="4"/>
  <c r="I42" i="4"/>
  <c r="I57" i="4"/>
  <c r="I47" i="4"/>
  <c r="I51" i="4"/>
  <c r="I38" i="4"/>
  <c r="F46" i="4" l="1"/>
  <c r="F39" i="4"/>
  <c r="F41" i="4"/>
  <c r="F55" i="4"/>
  <c r="F58" i="4"/>
  <c r="F43" i="4"/>
  <c r="F57" i="4"/>
  <c r="F44" i="4"/>
  <c r="F54" i="4"/>
  <c r="F38" i="4"/>
  <c r="F47" i="4"/>
  <c r="F56" i="4"/>
  <c r="F45" i="4"/>
  <c r="I73" i="4" l="1"/>
  <c r="F73" i="4" l="1"/>
  <c r="F7" i="4" l="1"/>
  <c r="I7" i="4"/>
  <c r="L6" i="4"/>
  <c r="F10" i="4" l="1"/>
  <c r="O5" i="4"/>
  <c r="F29" i="9" l="1"/>
  <c r="H14" i="4" s="1"/>
  <c r="I14" i="4" s="1"/>
  <c r="F28" i="9"/>
  <c r="H13" i="4" s="1"/>
  <c r="C22" i="12" s="1"/>
  <c r="O7" i="4"/>
  <c r="D28" i="9" l="1"/>
  <c r="E13" i="4" s="1"/>
  <c r="D29" i="9"/>
  <c r="E14" i="4" s="1"/>
  <c r="F14" i="4" s="1"/>
  <c r="O8" i="4"/>
  <c r="C5" i="12"/>
  <c r="B22" i="12" l="1"/>
  <c r="F13" i="4"/>
  <c r="F16" i="4"/>
  <c r="D20" i="9"/>
  <c r="E12" i="4" s="1"/>
  <c r="F12" i="4" s="1"/>
  <c r="D19" i="9"/>
  <c r="E11" i="4" s="1"/>
  <c r="B21" i="12" s="1"/>
  <c r="I6" i="4"/>
  <c r="I13" i="4"/>
  <c r="F8" i="4"/>
  <c r="F15" i="4"/>
  <c r="O9" i="4"/>
  <c r="I15" i="4"/>
  <c r="F11" i="4" l="1"/>
  <c r="F5" i="4"/>
  <c r="B5" i="12" s="1"/>
  <c r="I8" i="4"/>
  <c r="I5" i="4"/>
  <c r="I16" i="4"/>
  <c r="L13" i="4"/>
  <c r="F9" i="4"/>
  <c r="O10" i="4"/>
  <c r="F20" i="9" l="1"/>
  <c r="H12" i="4" s="1"/>
  <c r="I12" i="4" s="1"/>
  <c r="F19" i="9"/>
  <c r="H11" i="4" s="1"/>
  <c r="C21" i="12" s="1"/>
  <c r="L17" i="4"/>
  <c r="F17" i="4"/>
  <c r="L15" i="4"/>
  <c r="I10" i="4"/>
  <c r="C38" i="9"/>
  <c r="D19" i="4" s="1"/>
  <c r="C37" i="9"/>
  <c r="D18" i="4" s="1"/>
  <c r="E38" i="9"/>
  <c r="G19" i="4" s="1"/>
  <c r="E37" i="9"/>
  <c r="G18" i="4" s="1"/>
  <c r="L8" i="4"/>
  <c r="L19" i="4"/>
  <c r="I9" i="4"/>
  <c r="L18" i="4"/>
  <c r="F77" i="4"/>
  <c r="I77" i="4"/>
  <c r="I17" i="4"/>
  <c r="O11" i="4"/>
  <c r="I11" i="4" l="1"/>
  <c r="F38" i="9"/>
  <c r="H19" i="4" s="1"/>
  <c r="I19" i="4" s="1"/>
  <c r="I84" i="4" s="1"/>
  <c r="F37" i="9"/>
  <c r="H18" i="4" s="1"/>
  <c r="D38" i="9"/>
  <c r="E19" i="4" s="1"/>
  <c r="F19" i="4" s="1"/>
  <c r="F84" i="4" s="1"/>
  <c r="D37" i="9"/>
  <c r="E18" i="4" s="1"/>
  <c r="L9" i="4"/>
  <c r="L14" i="4"/>
  <c r="L10" i="4"/>
  <c r="O13" i="4"/>
  <c r="C38" i="12" l="1"/>
  <c r="C9" i="12" s="1"/>
  <c r="C23" i="12"/>
  <c r="C26" i="12" s="1"/>
  <c r="C7" i="12" s="1"/>
  <c r="B38" i="12"/>
  <c r="B9" i="12" s="1"/>
  <c r="B23" i="12"/>
  <c r="B26" i="12" s="1"/>
  <c r="B7" i="12" s="1"/>
  <c r="I20" i="4"/>
  <c r="F18" i="4"/>
  <c r="F20" i="4"/>
  <c r="I18" i="4"/>
  <c r="I21" i="4"/>
  <c r="F21" i="4"/>
  <c r="O16" i="4"/>
  <c r="I22" i="4" l="1"/>
  <c r="O15" i="4"/>
  <c r="F22" i="4" l="1"/>
  <c r="O17" i="4"/>
  <c r="L23" i="4" l="1"/>
  <c r="I23" i="4"/>
  <c r="F23" i="4"/>
  <c r="L24" i="4"/>
  <c r="I24" i="4"/>
  <c r="I81" i="4" s="1"/>
  <c r="F24" i="4"/>
  <c r="J60" i="4"/>
  <c r="J70" i="4" s="1"/>
  <c r="R25" i="4"/>
  <c r="O12" i="4"/>
  <c r="O18" i="4"/>
  <c r="D6" i="12" l="1"/>
  <c r="D8" i="12"/>
  <c r="F81" i="4"/>
  <c r="I25" i="4"/>
  <c r="F25" i="4"/>
  <c r="R27" i="4"/>
  <c r="O14" i="4"/>
  <c r="O21" i="4" l="1"/>
  <c r="F26" i="4" l="1"/>
  <c r="I26" i="4"/>
  <c r="D5" i="12"/>
  <c r="F28" i="4"/>
  <c r="F83" i="4" s="1"/>
  <c r="O22" i="4"/>
  <c r="F27" i="4" l="1"/>
  <c r="F79" i="4" s="1"/>
  <c r="R24" i="4"/>
  <c r="L5" i="4"/>
  <c r="F29" i="4"/>
  <c r="O23" i="4"/>
  <c r="F33" i="4" l="1"/>
  <c r="L77" i="4"/>
  <c r="C7" i="10" s="1"/>
  <c r="I33" i="4"/>
  <c r="I29" i="4"/>
  <c r="O19" i="4"/>
  <c r="O24" i="4"/>
  <c r="D7" i="10" l="1"/>
  <c r="I34" i="4"/>
  <c r="E7" i="10" l="1"/>
  <c r="I35" i="4"/>
  <c r="F35" i="4"/>
  <c r="F34" i="4"/>
  <c r="F36" i="4" l="1"/>
  <c r="I36" i="4"/>
  <c r="G60" i="4" l="1"/>
  <c r="G70" i="4" s="1"/>
  <c r="F37" i="4"/>
  <c r="O27" i="4"/>
  <c r="O28" i="4"/>
  <c r="C8" i="12"/>
  <c r="C6" i="12" l="1"/>
  <c r="C12" i="12" s="1"/>
  <c r="C15" i="12" s="1"/>
  <c r="H60" i="4"/>
  <c r="I37" i="4"/>
  <c r="O33" i="4"/>
  <c r="I78" i="4" l="1"/>
  <c r="I82" i="4" s="1"/>
  <c r="I85" i="4" s="1"/>
  <c r="I60" i="4"/>
  <c r="O34" i="4"/>
  <c r="I86" i="4" l="1"/>
  <c r="F42" i="4" l="1"/>
  <c r="O6" i="4"/>
  <c r="F48" i="4" l="1"/>
  <c r="D60" i="4"/>
  <c r="D70" i="4" s="1"/>
  <c r="B8" i="12"/>
  <c r="B6" i="12" l="1"/>
  <c r="B12" i="12"/>
  <c r="B15" i="12" s="1"/>
  <c r="F50" i="4"/>
  <c r="E60" i="4"/>
  <c r="E70" i="4" s="1"/>
  <c r="F78" i="4" l="1"/>
  <c r="F82" i="4" s="1"/>
  <c r="F85" i="4" s="1"/>
  <c r="F60" i="4"/>
  <c r="F86" i="4" l="1"/>
  <c r="O50" i="4" l="1"/>
  <c r="F66" i="4" l="1"/>
  <c r="G62" i="4" s="1"/>
  <c r="L64" i="4"/>
  <c r="I66" i="4"/>
  <c r="J62" i="4" s="1"/>
  <c r="C8" i="10" s="1"/>
  <c r="D9" i="10" l="1"/>
  <c r="E9" i="10" s="1"/>
  <c r="D11" i="10"/>
  <c r="E11" i="10" s="1"/>
  <c r="D10" i="10"/>
  <c r="E10" i="10" s="1"/>
  <c r="D12" i="10"/>
  <c r="E12" i="10" s="1"/>
  <c r="D8" i="10"/>
  <c r="J68" i="4"/>
  <c r="J69" i="4" s="1"/>
  <c r="L62" i="4"/>
  <c r="F65" i="4"/>
  <c r="G68" i="4"/>
  <c r="G69" i="4" s="1"/>
  <c r="I62" i="4"/>
  <c r="F64" i="4"/>
  <c r="I64" i="4"/>
  <c r="E8" i="10" l="1"/>
  <c r="F62" i="4"/>
  <c r="D68" i="4"/>
  <c r="D69" i="4" s="1"/>
  <c r="H68" i="4"/>
  <c r="H70" i="4" s="1"/>
  <c r="I63" i="4"/>
  <c r="I68" i="4" s="1"/>
  <c r="L63" i="4" l="1"/>
  <c r="E68" i="4"/>
  <c r="E69" i="4" s="1"/>
  <c r="F63" i="4"/>
  <c r="F68" i="4" s="1"/>
  <c r="L66" i="4"/>
  <c r="I74" i="4"/>
  <c r="I69" i="4"/>
  <c r="H69" i="4"/>
  <c r="L73" i="4" l="1"/>
  <c r="L74" i="4" s="1"/>
  <c r="F74" i="4"/>
  <c r="F69" i="4"/>
  <c r="K68" i="4"/>
  <c r="K70" i="4" s="1"/>
  <c r="L68" i="4"/>
  <c r="L7" i="4" l="1"/>
  <c r="O42" i="4" l="1"/>
  <c r="H19" i="9" l="1"/>
  <c r="K11" i="4" s="1"/>
  <c r="H20" i="9"/>
  <c r="K12" i="4" s="1"/>
  <c r="L12" i="4" s="1"/>
  <c r="L84" i="4" s="1"/>
  <c r="D21" i="12" l="1"/>
  <c r="D26" i="12" s="1"/>
  <c r="D7" i="12" s="1"/>
  <c r="R26" i="4"/>
  <c r="L11" i="4"/>
  <c r="L78" i="4" l="1"/>
  <c r="K60" i="4" l="1"/>
  <c r="K69" i="4" s="1"/>
  <c r="R28" i="4"/>
  <c r="R30" i="4" s="1"/>
  <c r="Q30" i="4" s="1"/>
  <c r="L16" i="4"/>
  <c r="L81" i="4" s="1"/>
  <c r="L82" i="4" s="1"/>
  <c r="L85" i="4" s="1"/>
  <c r="D13" i="10"/>
  <c r="C18" i="10" l="1"/>
  <c r="C21" i="10" s="1"/>
  <c r="D14" i="10"/>
  <c r="D33" i="12"/>
  <c r="E13" i="10"/>
  <c r="T34" i="4" s="1"/>
  <c r="L60" i="4"/>
  <c r="D15" i="10"/>
  <c r="E15" i="10" s="1"/>
  <c r="T36" i="4" s="1"/>
  <c r="E14" i="10" l="1"/>
  <c r="T35" i="4" s="1"/>
  <c r="D34" i="12"/>
  <c r="D35" i="12"/>
  <c r="L86" i="4"/>
  <c r="L69" i="4"/>
  <c r="S22" i="4"/>
  <c r="D16" i="10"/>
  <c r="E16" i="10" l="1"/>
  <c r="T37" i="4" s="1"/>
  <c r="D36" i="12"/>
  <c r="D38" i="12" s="1"/>
  <c r="D9" i="12" s="1"/>
  <c r="D12" i="12" s="1"/>
  <c r="D15" i="12" s="1"/>
  <c r="D17" i="10"/>
  <c r="E17" i="10" s="1"/>
  <c r="E18" i="10" l="1"/>
  <c r="T38" i="4"/>
  <c r="T39" i="4" s="1"/>
  <c r="D18" i="10"/>
  <c r="D21" i="10" s="1"/>
  <c r="S39" i="4"/>
  <c r="R31" i="4"/>
  <c r="R32" i="4" l="1"/>
  <c r="Q32" i="4" s="1"/>
  <c r="Q31" i="4"/>
</calcChain>
</file>

<file path=xl/comments1.xml><?xml version="1.0" encoding="utf-8"?>
<comments xmlns="http://schemas.openxmlformats.org/spreadsheetml/2006/main">
  <authors>
    <author>Pham, Linh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Pham, Linh:</t>
        </r>
        <r>
          <rPr>
            <sz val="9"/>
            <color indexed="81"/>
            <rFont val="Tahoma"/>
            <family val="2"/>
          </rPr>
          <t xml:space="preserve">
Come from RPS Data - Attachment 3 
</t>
        </r>
      </text>
    </comment>
  </commentList>
</comments>
</file>

<file path=xl/sharedStrings.xml><?xml version="1.0" encoding="utf-8"?>
<sst xmlns="http://schemas.openxmlformats.org/spreadsheetml/2006/main" count="249" uniqueCount="154">
  <si>
    <t>Hopkins Ridge</t>
  </si>
  <si>
    <t>Baker River Project</t>
  </si>
  <si>
    <t>Hopkins Ridge Phase II</t>
  </si>
  <si>
    <t>Klondike III</t>
  </si>
  <si>
    <t>Lower Snake River - Dodge Junction</t>
  </si>
  <si>
    <t>Lower Snake River - Phalen Gulch</t>
  </si>
  <si>
    <t>Snoqualmie Falls Project</t>
  </si>
  <si>
    <t>Sierra Pacific Burlington - Sierra Pacific Burlington</t>
  </si>
  <si>
    <t>Wild Horse</t>
  </si>
  <si>
    <t>Wild Horse Phase II</t>
  </si>
  <si>
    <t>Camp Reed Wind Park - Camp Reed Wind Park</t>
  </si>
  <si>
    <t>Condon Wind Power</t>
  </si>
  <si>
    <t>Condon Wind Power Phase II</t>
  </si>
  <si>
    <t>Cosmo Specialty Fibers - Cos1</t>
  </si>
  <si>
    <t>Cosmo Specialty Fibers Inc. - COS2</t>
  </si>
  <si>
    <t>Golden Valley Wind Park - Golden Valley Wind Park</t>
  </si>
  <si>
    <t>Goodnoe Hills - Goodnoe Hills</t>
  </si>
  <si>
    <t>Hidden Hollow Energy LLC - Hidden Hollow Energy</t>
  </si>
  <si>
    <t>Horse Butte Wind</t>
  </si>
  <si>
    <t>ID Solar 1</t>
  </si>
  <si>
    <t>Klondike 1</t>
  </si>
  <si>
    <t>Klondike III - Klondike Wind Power III LLC</t>
  </si>
  <si>
    <t>Klondike IIIa - Klondike Wind Power IIIa</t>
  </si>
  <si>
    <t>Marengo - Marengo</t>
  </si>
  <si>
    <t>Meadow Creek Wind Farm - Five Pine Project</t>
  </si>
  <si>
    <t>Meadow Creek Wind Farm - North Point Wind Farm</t>
  </si>
  <si>
    <t>Mountain Air Wind Projects - Mountain Air Wind Projects</t>
  </si>
  <si>
    <t>Nine Canyon Wind Project - Nine Canyon Phase 3</t>
  </si>
  <si>
    <t>Nine Canyon Wind Project - Nine Canyon Wind Project</t>
  </si>
  <si>
    <t>Oregon Trail Wind Park, LLC - Oregon Trail Wind Park</t>
  </si>
  <si>
    <t>PaTu Wind Farm - PaTu Wind</t>
  </si>
  <si>
    <t>Rolling Hills - Rolling Hills</t>
  </si>
  <si>
    <t>Roseburg LFG - Roseburg LFG Energy</t>
  </si>
  <si>
    <t>Salmon Falls Wind Park, LLC - Salmon Falls Wind Park</t>
  </si>
  <si>
    <t>Sawtooth Wind Project - Sawtooth Wind Project</t>
  </si>
  <si>
    <t>Stateline (WA) - FPL Energy Vansycle LLC</t>
  </si>
  <si>
    <t>stimson lumber-plummer - stimson-plummer</t>
  </si>
  <si>
    <t>Stoltze Cogeneration Plant - Stoltze CoGen1</t>
  </si>
  <si>
    <t>Thousand Springs Wind Park, LLC - Thousand Springs Wind Park</t>
  </si>
  <si>
    <t>Top of the World - Top of the World</t>
  </si>
  <si>
    <t>Tuana Gulch Wind Park, LLC - Tuana Gulch Wind Park</t>
  </si>
  <si>
    <t>Tuana Springs Energy, LLC - Tuana Springs</t>
  </si>
  <si>
    <t>White Creek Wind 1 - White Creek</t>
  </si>
  <si>
    <t>Facility</t>
  </si>
  <si>
    <t>Sales in Current Year</t>
  </si>
  <si>
    <t>Totals</t>
  </si>
  <si>
    <t>For Compliance</t>
  </si>
  <si>
    <t>Surplus (cannot be a deficit, i.e. negative)</t>
  </si>
  <si>
    <t>Blue = Hydro, Gray = Apprenticeship Credits</t>
  </si>
  <si>
    <t>2021 Vintage</t>
  </si>
  <si>
    <t>1. Hydro</t>
  </si>
  <si>
    <t>2. PY RECs</t>
  </si>
  <si>
    <t>Order of Use</t>
  </si>
  <si>
    <t>Check</t>
  </si>
  <si>
    <t>Should be 0</t>
  </si>
  <si>
    <t>Lower Snake River - Dodge Junction - Apprenticeship Credits</t>
  </si>
  <si>
    <t>Lower Snake River - Phalen Gulch - Apprenticeship Credits</t>
  </si>
  <si>
    <t>Wild Horse Phase II - Apprenticeship Credits</t>
  </si>
  <si>
    <t>Source</t>
  </si>
  <si>
    <t>Water</t>
  </si>
  <si>
    <t>Wind</t>
  </si>
  <si>
    <t>Biomass</t>
  </si>
  <si>
    <t>Wind-A</t>
  </si>
  <si>
    <t>PSE 2022 Compliance Plan</t>
  </si>
  <si>
    <t>Not needed</t>
  </si>
  <si>
    <t>2022 Vintage</t>
  </si>
  <si>
    <t>2022 Plan</t>
  </si>
  <si>
    <t>Hidden Hollow Energy LLC - 2x Multiplier</t>
  </si>
  <si>
    <t>Kettle Falls Woodwaste Plant - Kettle Falls 2</t>
  </si>
  <si>
    <t>Kettle Falls Woodwaste Plant - Kettle Falls Woodwaste Plant</t>
  </si>
  <si>
    <t>Stoltze Cogeneration Plant - Stoltze CoGen1 - 2x Multiplier</t>
  </si>
  <si>
    <t>Less Rolled to Next Year</t>
  </si>
  <si>
    <t>RECs</t>
  </si>
  <si>
    <t>to Keep</t>
  </si>
  <si>
    <t>Most</t>
  </si>
  <si>
    <t>Valuable</t>
  </si>
  <si>
    <t>Solar</t>
  </si>
  <si>
    <t>Biogas</t>
  </si>
  <si>
    <t>Order of Priority</t>
  </si>
  <si>
    <t>2022 Compliance</t>
  </si>
  <si>
    <t>Current Year Hydro</t>
  </si>
  <si>
    <t>Total</t>
  </si>
  <si>
    <t>Compliance requirement from Attach 3</t>
  </si>
  <si>
    <t>Reconciles</t>
  </si>
  <si>
    <t>(Note 1)</t>
  </si>
  <si>
    <t>(Note 2)</t>
  </si>
  <si>
    <t>Incremental</t>
  </si>
  <si>
    <t>Cost</t>
  </si>
  <si>
    <t>LSR Dodge</t>
  </si>
  <si>
    <t>LSR Phalen</t>
  </si>
  <si>
    <t>PSE 2023 Compliance Plan</t>
  </si>
  <si>
    <t>2023 Vintage</t>
  </si>
  <si>
    <t>2023 Plan</t>
  </si>
  <si>
    <t>Clearwater</t>
  </si>
  <si>
    <t>2023 Compliance</t>
  </si>
  <si>
    <t>Golden Hill</t>
  </si>
  <si>
    <t>Carry over</t>
  </si>
  <si>
    <t>Planned for Compliance</t>
  </si>
  <si>
    <t>Grand Total</t>
  </si>
  <si>
    <t>RECs Rolled Forward from Prior Year</t>
  </si>
  <si>
    <t>Less Rolled to Prior Year</t>
  </si>
  <si>
    <t xml:space="preserve">Facility </t>
  </si>
  <si>
    <t xml:space="preserve">Example </t>
  </si>
  <si>
    <t xml:space="preserve">Fixed Ratio </t>
  </si>
  <si>
    <t xml:space="preserve">Input Total Facility Amount </t>
  </si>
  <si>
    <t>Facility - Apprenticeship Credits</t>
  </si>
  <si>
    <t>Actual</t>
  </si>
  <si>
    <t>To Use</t>
  </si>
  <si>
    <t>WH II</t>
  </si>
  <si>
    <t>Total Needed</t>
  </si>
  <si>
    <t xml:space="preserve">Clearwater </t>
  </si>
  <si>
    <t>Golden Hills Wind Farm LLC</t>
  </si>
  <si>
    <t>Must be</t>
  </si>
  <si>
    <t>the same</t>
  </si>
  <si>
    <t>as Column</t>
  </si>
  <si>
    <t>B</t>
  </si>
  <si>
    <t>Right</t>
  </si>
  <si>
    <t>Pull From</t>
  </si>
  <si>
    <t>Distributed Generation Multiplier</t>
  </si>
  <si>
    <t>Apprenticeship Multiplier</t>
  </si>
  <si>
    <t>Biogas x2</t>
  </si>
  <si>
    <t>Biomass x2</t>
  </si>
  <si>
    <t>Prior Year Vintages Rolled from Prior Year</t>
  </si>
  <si>
    <t>Current Year Vintages Applied to Current Year</t>
  </si>
  <si>
    <t xml:space="preserve">Carryforward </t>
  </si>
  <si>
    <t>↓  For Department of Commerce EIA Workbook   ↓</t>
  </si>
  <si>
    <t>PSE 2024 Compliance Plan</t>
  </si>
  <si>
    <t>2024 Vintage</t>
  </si>
  <si>
    <t>2024 Plan</t>
  </si>
  <si>
    <t>2024 Compliance</t>
  </si>
  <si>
    <t>Mt Home Solar 1 LLC - Mt Home Solar 1 LLC</t>
  </si>
  <si>
    <t>Sierra Pacific Burlington - SPI Burlington Onsite Load</t>
  </si>
  <si>
    <t xml:space="preserve">Check </t>
  </si>
  <si>
    <t>3. RECs with apprenticeship credits (LSR, WH II) and distributed generations (Hidden Hollow, Stoltze Colgen)</t>
  </si>
  <si>
    <t xml:space="preserve">4. Unbundled RECs (Spot purchases) </t>
  </si>
  <si>
    <t>5. All Others (Clearwater, Golden Hills, Hopkins, Hopkins II, Klondike III, SPI, Wild Horse)</t>
  </si>
  <si>
    <t xml:space="preserve">Unbundled RECs (Spot purchases) </t>
  </si>
  <si>
    <t>RECs with apprenticeship credits (LSR, WH II) and distributed generations (Hidden Hollow, Stoltze Colgen) (Note 1)</t>
  </si>
  <si>
    <t xml:space="preserve">Clearwater, Golden Hills, Hopkins, Hopkins II, Klondike III, SPI, Wild Horse (Note 2) </t>
  </si>
  <si>
    <t xml:space="preserve">WH II </t>
  </si>
  <si>
    <t xml:space="preserve">Hopkins, Hopkins II </t>
  </si>
  <si>
    <t xml:space="preserve">SPI </t>
  </si>
  <si>
    <t>LSR</t>
  </si>
  <si>
    <t xml:space="preserve">WH </t>
  </si>
  <si>
    <t>Surplus</t>
  </si>
  <si>
    <t>WH and CW not used</t>
  </si>
  <si>
    <t>CW not used</t>
  </si>
  <si>
    <t xml:space="preserve">SPI to balance </t>
  </si>
  <si>
    <t>KIII, GH, WH CW not used</t>
  </si>
  <si>
    <t>2  , 5</t>
  </si>
  <si>
    <t>(No Unbundled RECs in 2024 Compliance)</t>
  </si>
  <si>
    <t>Unbundled RECs (Spot Purchases)</t>
  </si>
  <si>
    <t>Tie to Att. 3 Report</t>
  </si>
  <si>
    <t>Used All LSR, WH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</si>
</sst>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4" xfId="1" applyNumberFormat="1" applyFont="1" applyFill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3" borderId="3" xfId="1" applyNumberFormat="1" applyFont="1" applyFill="1" applyBorder="1"/>
    <xf numFmtId="164" fontId="0" fillId="3" borderId="0" xfId="1" applyNumberFormat="1" applyFont="1" applyFill="1" applyBorder="1"/>
    <xf numFmtId="164" fontId="0" fillId="3" borderId="4" xfId="1" applyNumberFormat="1" applyFont="1" applyFill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3" fontId="3" fillId="0" borderId="11" xfId="1" applyNumberFormat="1" applyFont="1" applyBorder="1"/>
    <xf numFmtId="0" fontId="0" fillId="2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0" xfId="0" applyBorder="1"/>
    <xf numFmtId="0" fontId="0" fillId="0" borderId="12" xfId="0" applyBorder="1"/>
    <xf numFmtId="41" fontId="4" fillId="0" borderId="0" xfId="0" applyNumberFormat="1" applyFont="1"/>
    <xf numFmtId="0" fontId="0" fillId="0" borderId="0" xfId="0" applyAlignment="1">
      <alignment horizontal="center"/>
    </xf>
    <xf numFmtId="44" fontId="0" fillId="0" borderId="0" xfId="2" applyFont="1"/>
    <xf numFmtId="165" fontId="0" fillId="0" borderId="0" xfId="2" applyNumberFormat="1" applyFont="1"/>
    <xf numFmtId="165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Continuous"/>
    </xf>
    <xf numFmtId="0" fontId="2" fillId="0" borderId="1" xfId="1" applyNumberFormat="1" applyFont="1" applyBorder="1" applyAlignment="1">
      <alignment horizontal="centerContinuous"/>
    </xf>
    <xf numFmtId="0" fontId="2" fillId="0" borderId="6" xfId="1" applyNumberFormat="1" applyFont="1" applyBorder="1" applyAlignment="1">
      <alignment horizontal="centerContinuous"/>
    </xf>
    <xf numFmtId="164" fontId="0" fillId="0" borderId="0" xfId="1" applyNumberFormat="1" applyFont="1" applyAlignment="1">
      <alignment horizontal="right"/>
    </xf>
    <xf numFmtId="164" fontId="0" fillId="0" borderId="13" xfId="1" applyNumberFormat="1" applyFont="1" applyBorder="1"/>
    <xf numFmtId="3" fontId="3" fillId="0" borderId="14" xfId="1" applyNumberFormat="1" applyFont="1" applyBorder="1"/>
    <xf numFmtId="3" fontId="3" fillId="0" borderId="15" xfId="1" applyNumberFormat="1" applyFont="1" applyBorder="1"/>
    <xf numFmtId="3" fontId="3" fillId="0" borderId="16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/>
    </xf>
    <xf numFmtId="1" fontId="3" fillId="0" borderId="0" xfId="1" applyNumberFormat="1" applyFont="1"/>
    <xf numFmtId="164" fontId="0" fillId="0" borderId="0" xfId="1" applyNumberFormat="1" applyFont="1" applyFill="1" applyBorder="1"/>
    <xf numFmtId="3" fontId="3" fillId="0" borderId="3" xfId="1" applyNumberFormat="1" applyFont="1" applyBorder="1"/>
    <xf numFmtId="3" fontId="3" fillId="0" borderId="0" xfId="1" applyNumberFormat="1" applyFont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Alignment="1">
      <alignment horizontal="right"/>
    </xf>
    <xf numFmtId="164" fontId="0" fillId="0" borderId="13" xfId="0" applyNumberFormat="1" applyBorder="1"/>
    <xf numFmtId="164" fontId="0" fillId="0" borderId="4" xfId="1" applyNumberFormat="1" applyFont="1" applyFill="1" applyBorder="1"/>
    <xf numFmtId="0" fontId="6" fillId="3" borderId="3" xfId="0" applyFont="1" applyFill="1" applyBorder="1"/>
    <xf numFmtId="0" fontId="6" fillId="2" borderId="3" xfId="0" applyFont="1" applyFill="1" applyBorder="1"/>
    <xf numFmtId="0" fontId="6" fillId="0" borderId="3" xfId="0" applyFont="1" applyBorder="1"/>
    <xf numFmtId="164" fontId="0" fillId="0" borderId="0" xfId="1" applyNumberFormat="1" applyFont="1" applyFill="1"/>
    <xf numFmtId="164" fontId="0" fillId="0" borderId="0" xfId="0" applyNumberFormat="1" applyFill="1"/>
    <xf numFmtId="44" fontId="0" fillId="0" borderId="0" xfId="2" applyFont="1" applyFill="1"/>
    <xf numFmtId="0" fontId="0" fillId="0" borderId="0" xfId="0" applyFill="1"/>
    <xf numFmtId="0" fontId="5" fillId="0" borderId="0" xfId="0" applyFont="1" applyFill="1"/>
    <xf numFmtId="165" fontId="0" fillId="0" borderId="0" xfId="0" applyNumberFormat="1" applyFill="1"/>
    <xf numFmtId="41" fontId="4" fillId="0" borderId="0" xfId="0" applyNumberFormat="1" applyFont="1" applyFill="1"/>
    <xf numFmtId="0" fontId="4" fillId="0" borderId="0" xfId="0" applyFont="1" applyFill="1"/>
    <xf numFmtId="44" fontId="0" fillId="0" borderId="0" xfId="2" applyFont="1" applyFill="1" applyBorder="1"/>
    <xf numFmtId="3" fontId="4" fillId="0" borderId="0" xfId="0" applyNumberFormat="1" applyFont="1" applyFill="1"/>
    <xf numFmtId="164" fontId="0" fillId="0" borderId="0" xfId="1" applyNumberFormat="1" applyFont="1" applyFill="1" applyAlignment="1">
      <alignment horizontal="center"/>
    </xf>
    <xf numFmtId="3" fontId="3" fillId="0" borderId="3" xfId="1" applyNumberFormat="1" applyFont="1" applyFill="1" applyBorder="1"/>
    <xf numFmtId="44" fontId="0" fillId="0" borderId="0" xfId="0" applyNumberFormat="1" applyFill="1"/>
    <xf numFmtId="164" fontId="0" fillId="0" borderId="1" xfId="0" applyNumberFormat="1" applyBorder="1"/>
    <xf numFmtId="0" fontId="0" fillId="0" borderId="5" xfId="0" applyBorder="1"/>
    <xf numFmtId="0" fontId="0" fillId="0" borderId="1" xfId="0" applyBorder="1"/>
    <xf numFmtId="165" fontId="0" fillId="0" borderId="1" xfId="0" applyNumberFormat="1" applyBorder="1"/>
    <xf numFmtId="0" fontId="0" fillId="0" borderId="6" xfId="0" applyBorder="1"/>
    <xf numFmtId="165" fontId="0" fillId="0" borderId="0" xfId="0" applyNumberFormat="1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165" fontId="0" fillId="0" borderId="10" xfId="0" applyNumberFormat="1" applyBorder="1"/>
    <xf numFmtId="0" fontId="0" fillId="0" borderId="11" xfId="0" applyBorder="1"/>
    <xf numFmtId="166" fontId="0" fillId="0" borderId="0" xfId="0" applyNumberFormat="1"/>
    <xf numFmtId="0" fontId="10" fillId="0" borderId="0" xfId="0" applyFont="1"/>
    <xf numFmtId="0" fontId="10" fillId="0" borderId="19" xfId="0" applyFont="1" applyBorder="1"/>
    <xf numFmtId="0" fontId="0" fillId="0" borderId="22" xfId="0" applyBorder="1"/>
    <xf numFmtId="0" fontId="0" fillId="0" borderId="24" xfId="0" applyBorder="1"/>
    <xf numFmtId="0" fontId="10" fillId="0" borderId="22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11" fillId="0" borderId="22" xfId="0" applyFont="1" applyBorder="1"/>
    <xf numFmtId="0" fontId="11" fillId="0" borderId="27" xfId="0" applyFont="1" applyBorder="1"/>
    <xf numFmtId="0" fontId="0" fillId="0" borderId="27" xfId="0" applyBorder="1"/>
    <xf numFmtId="166" fontId="11" fillId="0" borderId="27" xfId="0" applyNumberFormat="1" applyFont="1" applyBorder="1"/>
    <xf numFmtId="9" fontId="11" fillId="0" borderId="28" xfId="4" applyFont="1" applyBorder="1"/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1" fillId="0" borderId="22" xfId="1" applyNumberFormat="1" applyFont="1" applyBorder="1"/>
    <xf numFmtId="164" fontId="1" fillId="0" borderId="23" xfId="1" applyNumberFormat="1" applyFont="1" applyBorder="1"/>
    <xf numFmtId="164" fontId="1" fillId="0" borderId="24" xfId="1" applyNumberFormat="1" applyFont="1" applyBorder="1"/>
    <xf numFmtId="164" fontId="1" fillId="0" borderId="26" xfId="1" applyNumberFormat="1" applyFont="1" applyBorder="1"/>
    <xf numFmtId="166" fontId="11" fillId="0" borderId="22" xfId="0" applyNumberFormat="1" applyFont="1" applyBorder="1"/>
    <xf numFmtId="164" fontId="1" fillId="0" borderId="0" xfId="1" applyNumberFormat="1" applyFont="1" applyBorder="1"/>
    <xf numFmtId="9" fontId="11" fillId="0" borderId="24" xfId="4" applyFont="1" applyBorder="1"/>
    <xf numFmtId="0" fontId="0" fillId="0" borderId="0" xfId="0" applyFont="1" applyBorder="1"/>
    <xf numFmtId="164" fontId="1" fillId="0" borderId="25" xfId="1" applyNumberFormat="1" applyFont="1" applyBorder="1"/>
    <xf numFmtId="0" fontId="0" fillId="0" borderId="19" xfId="0" applyFont="1" applyBorder="1"/>
    <xf numFmtId="0" fontId="0" fillId="0" borderId="21" xfId="0" applyFont="1" applyBorder="1"/>
    <xf numFmtId="0" fontId="11" fillId="0" borderId="19" xfId="0" applyFont="1" applyBorder="1" applyAlignment="1">
      <alignment horizontal="center" vertical="center"/>
    </xf>
    <xf numFmtId="166" fontId="11" fillId="0" borderId="29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3" fillId="0" borderId="0" xfId="1" applyNumberFormat="1" applyFont="1" applyFill="1" applyBorder="1"/>
    <xf numFmtId="1" fontId="3" fillId="0" borderId="0" xfId="1" applyNumberFormat="1" applyFont="1" applyFill="1"/>
    <xf numFmtId="0" fontId="2" fillId="0" borderId="0" xfId="1" applyNumberFormat="1" applyFont="1" applyFill="1" applyBorder="1" applyAlignment="1">
      <alignment horizontal="left"/>
    </xf>
    <xf numFmtId="164" fontId="0" fillId="5" borderId="0" xfId="1" applyNumberFormat="1" applyFont="1" applyFill="1"/>
    <xf numFmtId="164" fontId="3" fillId="5" borderId="0" xfId="0" applyNumberFormat="1" applyFont="1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Continuous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/>
    <xf numFmtId="10" fontId="0" fillId="0" borderId="0" xfId="4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13" xfId="1" applyNumberFormat="1" applyFont="1" applyFill="1" applyBorder="1"/>
    <xf numFmtId="164" fontId="0" fillId="0" borderId="13" xfId="0" applyNumberFormat="1" applyFill="1" applyBorder="1"/>
    <xf numFmtId="0" fontId="12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 applyFill="1" applyBorder="1"/>
    <xf numFmtId="43" fontId="3" fillId="0" borderId="0" xfId="1" applyFont="1" applyFill="1"/>
    <xf numFmtId="164" fontId="6" fillId="3" borderId="0" xfId="1" applyNumberFormat="1" applyFont="1" applyFill="1" applyBorder="1"/>
    <xf numFmtId="164" fontId="0" fillId="0" borderId="3" xfId="1" applyNumberFormat="1" applyFont="1" applyFill="1" applyBorder="1"/>
    <xf numFmtId="0" fontId="11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/>
    <xf numFmtId="164" fontId="3" fillId="0" borderId="0" xfId="1" applyNumberFormat="1" applyFont="1" applyFill="1"/>
    <xf numFmtId="164" fontId="3" fillId="0" borderId="0" xfId="1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</cellXfs>
  <cellStyles count="5">
    <cellStyle name="Comma" xfId="1" builtinId="3"/>
    <cellStyle name="Comma 2" xfId="3"/>
    <cellStyle name="Currency" xfId="2" builtinId="4"/>
    <cellStyle name="Normal" xfId="0" builtinId="0"/>
    <cellStyle name="Percent" xfId="4" builtinId="5"/>
  </cellStyles>
  <dxfs count="10">
    <dxf>
      <font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151187</xdr:colOff>
      <xdr:row>59</xdr:row>
      <xdr:rowOff>121903</xdr:rowOff>
    </xdr:from>
    <xdr:to>
      <xdr:col>30</xdr:col>
      <xdr:colOff>246857</xdr:colOff>
      <xdr:row>77</xdr:row>
      <xdr:rowOff>77471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3212" y="3931903"/>
          <a:ext cx="6411538" cy="344171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12</xdr:row>
      <xdr:rowOff>64654</xdr:rowOff>
    </xdr:from>
    <xdr:to>
      <xdr:col>22</xdr:col>
      <xdr:colOff>480060</xdr:colOff>
      <xdr:row>37</xdr:row>
      <xdr:rowOff>84986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0040" y="2282074"/>
          <a:ext cx="7376160" cy="46532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4/Support/RPS%20Dat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RPS%20Reporting\2023\A.%20%20Report%20to%20WUTC%20to%20be%20filed%20June%201,%202023\Attachment%205%20Incremental%20Cost\2023%20UE-220405-PSE-RPS-Attach-5-Incr-Cost-(05-19-2023)%20(C)%20-%20USE%20THI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acility Info"/>
      <sheetName val="Load + Need"/>
      <sheetName val="Total MWh"/>
      <sheetName val="Sales"/>
      <sheetName val="Transfers out"/>
      <sheetName val="Retirements"/>
      <sheetName val="Applied to Prior Year"/>
      <sheetName val="Applied to Next Year"/>
      <sheetName val="Actual Retirements"/>
      <sheetName val="Compliance Summary"/>
      <sheetName val="Facility Detail"/>
      <sheetName val="Generation Rollup"/>
      <sheetName val="Eligible Generation"/>
      <sheetName val="Apprenticeship"/>
      <sheetName val="Distributed Generation"/>
    </sheetNames>
    <sheetDataSet>
      <sheetData sheetId="0"/>
      <sheetData sheetId="1"/>
      <sheetData sheetId="2">
        <row r="2"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  <cell r="M2">
            <v>2020</v>
          </cell>
          <cell r="N2">
            <v>2021</v>
          </cell>
          <cell r="O2">
            <v>2022</v>
          </cell>
          <cell r="P2">
            <v>2023</v>
          </cell>
          <cell r="Q2">
            <v>2024</v>
          </cell>
          <cell r="R2">
            <v>2025</v>
          </cell>
          <cell r="S2" t="str">
            <v>INSERT LEFT</v>
          </cell>
        </row>
        <row r="3">
          <cell r="D3"/>
          <cell r="E3">
            <v>21138192</v>
          </cell>
          <cell r="F3">
            <v>21208608</v>
          </cell>
          <cell r="G3">
            <v>20568949</v>
          </cell>
          <cell r="H3">
            <v>20509764</v>
          </cell>
          <cell r="I3">
            <v>20448423</v>
          </cell>
          <cell r="J3">
            <v>21316397</v>
          </cell>
          <cell r="K3">
            <v>20697195</v>
          </cell>
          <cell r="L3">
            <v>20833230</v>
          </cell>
          <cell r="M3">
            <v>20088222</v>
          </cell>
          <cell r="N3">
            <v>21036614</v>
          </cell>
          <cell r="O3">
            <v>21613415</v>
          </cell>
          <cell r="P3">
            <v>21165762</v>
          </cell>
          <cell r="Q3">
            <v>21613415</v>
          </cell>
          <cell r="R3"/>
          <cell r="S3"/>
        </row>
        <row r="4">
          <cell r="D4"/>
          <cell r="E4">
            <v>0.03</v>
          </cell>
          <cell r="F4">
            <v>0.03</v>
          </cell>
          <cell r="G4">
            <v>0.03</v>
          </cell>
          <cell r="H4">
            <v>0.03</v>
          </cell>
          <cell r="I4">
            <v>0.09</v>
          </cell>
          <cell r="J4">
            <v>0.09</v>
          </cell>
          <cell r="K4">
            <v>0.09</v>
          </cell>
          <cell r="L4">
            <v>0.09</v>
          </cell>
          <cell r="M4">
            <v>0.15</v>
          </cell>
          <cell r="N4">
            <v>0.15</v>
          </cell>
          <cell r="O4">
            <v>0.15</v>
          </cell>
          <cell r="P4">
            <v>0.15</v>
          </cell>
          <cell r="Q4">
            <v>0.15</v>
          </cell>
          <cell r="R4">
            <v>0.15</v>
          </cell>
          <cell r="S4"/>
        </row>
        <row r="5">
          <cell r="D5"/>
          <cell r="E5">
            <v>635958</v>
          </cell>
          <cell r="F5">
            <v>639514</v>
          </cell>
          <cell r="G5">
            <v>635202</v>
          </cell>
          <cell r="H5">
            <v>626663</v>
          </cell>
          <cell r="I5">
            <v>1848542</v>
          </cell>
          <cell r="J5">
            <v>1843118</v>
          </cell>
          <cell r="K5">
            <v>1879417</v>
          </cell>
          <cell r="L5">
            <v>1890612</v>
          </cell>
          <cell r="M5">
            <v>3114782</v>
          </cell>
          <cell r="N5">
            <v>3069109</v>
          </cell>
          <cell r="O5">
            <v>3084363</v>
          </cell>
          <cell r="P5">
            <v>3198752</v>
          </cell>
          <cell r="Q5">
            <v>3208438</v>
          </cell>
          <cell r="R5">
            <v>3208438</v>
          </cell>
          <cell r="S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D9">
            <v>3084363</v>
          </cell>
          <cell r="E9">
            <v>3198752</v>
          </cell>
          <cell r="F9">
            <v>3208438</v>
          </cell>
        </row>
        <row r="14">
          <cell r="D14">
            <v>2741169</v>
          </cell>
          <cell r="E14">
            <v>3987219</v>
          </cell>
          <cell r="F14">
            <v>4451169</v>
          </cell>
        </row>
        <row r="20">
          <cell r="D20">
            <v>-18600</v>
          </cell>
          <cell r="E20">
            <v>-54084</v>
          </cell>
          <cell r="F20">
            <v>0</v>
          </cell>
        </row>
        <row r="27">
          <cell r="D27">
            <v>1123136</v>
          </cell>
        </row>
        <row r="28">
          <cell r="D28">
            <v>0</v>
          </cell>
        </row>
        <row r="29">
          <cell r="D29">
            <v>-761342</v>
          </cell>
          <cell r="E29">
            <v>761342</v>
          </cell>
        </row>
        <row r="31">
          <cell r="E31">
            <v>-1495725</v>
          </cell>
          <cell r="F31">
            <v>1495725</v>
          </cell>
        </row>
        <row r="38">
          <cell r="F38">
            <v>2738456</v>
          </cell>
        </row>
      </sheetData>
      <sheetData sheetId="11">
        <row r="68">
          <cell r="F68">
            <v>89806</v>
          </cell>
          <cell r="G68">
            <v>74403</v>
          </cell>
          <cell r="H68">
            <v>101979</v>
          </cell>
          <cell r="M68" t="str">
            <v>Baker River Project</v>
          </cell>
        </row>
        <row r="79">
          <cell r="F79">
            <v>0</v>
          </cell>
          <cell r="H79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  <cell r="G88">
            <v>0</v>
          </cell>
        </row>
        <row r="91">
          <cell r="H91">
            <v>0</v>
          </cell>
        </row>
        <row r="106">
          <cell r="G106">
            <v>1311916</v>
          </cell>
          <cell r="H106">
            <v>1359830</v>
          </cell>
        </row>
        <row r="117">
          <cell r="G117">
            <v>-20663</v>
          </cell>
        </row>
        <row r="126">
          <cell r="G126">
            <v>212195</v>
          </cell>
        </row>
        <row r="128">
          <cell r="G128">
            <v>-1291253</v>
          </cell>
          <cell r="H128">
            <v>1291253</v>
          </cell>
          <cell r="M128" t="str">
            <v>Clearwater</v>
          </cell>
        </row>
        <row r="144">
          <cell r="F144">
            <v>348218</v>
          </cell>
          <cell r="G144">
            <v>597384</v>
          </cell>
          <cell r="H144">
            <v>643339</v>
          </cell>
          <cell r="M144" t="str">
            <v>Golden Hills Wind Farm LLC</v>
          </cell>
        </row>
        <row r="147">
          <cell r="H147">
            <v>0</v>
          </cell>
        </row>
        <row r="149">
          <cell r="F149">
            <v>0</v>
          </cell>
          <cell r="G149">
            <v>0</v>
          </cell>
        </row>
        <row r="182">
          <cell r="F182">
            <v>334611</v>
          </cell>
          <cell r="G182">
            <v>313622</v>
          </cell>
          <cell r="H182">
            <v>383773</v>
          </cell>
          <cell r="M182" t="str">
            <v>Hopkins Ridge</v>
          </cell>
        </row>
        <row r="193">
          <cell r="F193">
            <v>0</v>
          </cell>
          <cell r="H193">
            <v>0</v>
          </cell>
        </row>
        <row r="201">
          <cell r="F201">
            <v>0</v>
          </cell>
        </row>
        <row r="202">
          <cell r="F202">
            <v>0</v>
          </cell>
        </row>
        <row r="205">
          <cell r="H205">
            <v>0</v>
          </cell>
        </row>
        <row r="220">
          <cell r="F220">
            <v>16128</v>
          </cell>
          <cell r="G220">
            <v>15115</v>
          </cell>
          <cell r="H220">
            <v>18495</v>
          </cell>
          <cell r="M220" t="str">
            <v>Hopkins Ridge Phase II</v>
          </cell>
        </row>
        <row r="231">
          <cell r="F231">
            <v>0</v>
          </cell>
          <cell r="H231">
            <v>0</v>
          </cell>
        </row>
        <row r="240">
          <cell r="F240">
            <v>0</v>
          </cell>
        </row>
        <row r="243">
          <cell r="H243">
            <v>0</v>
          </cell>
        </row>
        <row r="258">
          <cell r="F258">
            <v>118073</v>
          </cell>
          <cell r="G258">
            <v>113087</v>
          </cell>
          <cell r="H258">
            <v>128557</v>
          </cell>
          <cell r="M258" t="str">
            <v>Klondike III</v>
          </cell>
        </row>
        <row r="278">
          <cell r="F278">
            <v>-74096</v>
          </cell>
          <cell r="G278">
            <v>74096</v>
          </cell>
        </row>
        <row r="280">
          <cell r="G280">
            <v>-61644</v>
          </cell>
          <cell r="H280">
            <v>61644</v>
          </cell>
        </row>
        <row r="296">
          <cell r="E296">
            <v>542721</v>
          </cell>
          <cell r="F296">
            <v>446482</v>
          </cell>
          <cell r="G296">
            <v>406656</v>
          </cell>
          <cell r="H296">
            <v>482685</v>
          </cell>
          <cell r="M296" t="str">
            <v>Lower Snake River - Dodge Junction</v>
          </cell>
        </row>
        <row r="299">
          <cell r="E299">
            <v>108544.20000000001</v>
          </cell>
        </row>
        <row r="301">
          <cell r="F301">
            <v>89296</v>
          </cell>
          <cell r="G301">
            <v>81331</v>
          </cell>
          <cell r="H301">
            <v>96537</v>
          </cell>
          <cell r="M301" t="str">
            <v>Lower Snake River - Dodge Junction</v>
          </cell>
        </row>
        <row r="304">
          <cell r="E304">
            <v>-15500</v>
          </cell>
        </row>
        <row r="306">
          <cell r="E306">
            <v>-3100</v>
          </cell>
        </row>
        <row r="307">
          <cell r="F307">
            <v>-18600</v>
          </cell>
          <cell r="G307">
            <v>-18600</v>
          </cell>
        </row>
        <row r="315">
          <cell r="F315">
            <v>0</v>
          </cell>
        </row>
        <row r="316">
          <cell r="F316">
            <v>0</v>
          </cell>
        </row>
        <row r="318">
          <cell r="H318">
            <v>0</v>
          </cell>
        </row>
        <row r="334">
          <cell r="E334">
            <v>395070</v>
          </cell>
          <cell r="F334">
            <v>321204</v>
          </cell>
          <cell r="G334">
            <v>301835</v>
          </cell>
          <cell r="H334">
            <v>350201</v>
          </cell>
          <cell r="M334" t="str">
            <v>Lower Snake River - Phalen Gulch</v>
          </cell>
        </row>
        <row r="339">
          <cell r="E339">
            <v>79014</v>
          </cell>
          <cell r="F339">
            <v>64241</v>
          </cell>
          <cell r="G339">
            <v>60367</v>
          </cell>
          <cell r="H339">
            <v>70040</v>
          </cell>
          <cell r="M339" t="str">
            <v>Lower Snake River - Phalen Gulch</v>
          </cell>
        </row>
        <row r="353">
          <cell r="F353">
            <v>0</v>
          </cell>
        </row>
        <row r="354">
          <cell r="F354">
            <v>0</v>
          </cell>
        </row>
        <row r="356">
          <cell r="H356">
            <v>0</v>
          </cell>
        </row>
        <row r="372">
          <cell r="F372">
            <v>82835</v>
          </cell>
          <cell r="G372">
            <v>133411</v>
          </cell>
          <cell r="H372">
            <v>123178</v>
          </cell>
          <cell r="M372" t="str">
            <v>Sierra Pacific Burlington - Sierra Pacific Burlington</v>
          </cell>
        </row>
        <row r="383">
          <cell r="F383">
            <v>0</v>
          </cell>
          <cell r="G383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  <cell r="G392">
            <v>0</v>
          </cell>
        </row>
        <row r="394">
          <cell r="G394">
            <v>0</v>
          </cell>
          <cell r="H394">
            <v>0</v>
          </cell>
        </row>
        <row r="410">
          <cell r="F410">
            <v>14706</v>
          </cell>
          <cell r="G410">
            <v>14134</v>
          </cell>
          <cell r="H410">
            <v>17178</v>
          </cell>
          <cell r="M410" t="str">
            <v>Snoqualmie Falls Project</v>
          </cell>
        </row>
        <row r="418">
          <cell r="G418">
            <v>-462</v>
          </cell>
        </row>
        <row r="421">
          <cell r="F421">
            <v>0</v>
          </cell>
          <cell r="H421">
            <v>0</v>
          </cell>
        </row>
        <row r="428">
          <cell r="F428">
            <v>0</v>
          </cell>
        </row>
        <row r="429">
          <cell r="F429">
            <v>0</v>
          </cell>
        </row>
        <row r="430">
          <cell r="F430">
            <v>0</v>
          </cell>
          <cell r="G430">
            <v>0</v>
          </cell>
        </row>
        <row r="432">
          <cell r="H432">
            <v>0</v>
          </cell>
        </row>
        <row r="433">
          <cell r="H433">
            <v>0</v>
          </cell>
        </row>
        <row r="448">
          <cell r="F448">
            <v>475051</v>
          </cell>
          <cell r="G448">
            <v>443030</v>
          </cell>
          <cell r="H448">
            <v>584603</v>
          </cell>
          <cell r="M448" t="str">
            <v>Wild Horse</v>
          </cell>
        </row>
        <row r="459">
          <cell r="F459">
            <v>0</v>
          </cell>
          <cell r="G459">
            <v>-14359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-475051</v>
          </cell>
          <cell r="G468">
            <v>475051</v>
          </cell>
        </row>
        <row r="470">
          <cell r="G470">
            <v>-142828</v>
          </cell>
          <cell r="H470">
            <v>142828</v>
          </cell>
        </row>
        <row r="486">
          <cell r="F486">
            <v>91436</v>
          </cell>
          <cell r="G486">
            <v>85273</v>
          </cell>
          <cell r="H486">
            <v>75645</v>
          </cell>
          <cell r="M486" t="str">
            <v>Wild Horse Phase II</v>
          </cell>
        </row>
        <row r="491">
          <cell r="F491">
            <v>18287</v>
          </cell>
          <cell r="G491">
            <v>17055</v>
          </cell>
          <cell r="H491">
            <v>15129</v>
          </cell>
          <cell r="M491" t="str">
            <v>Wild Horse Phase II</v>
          </cell>
        </row>
        <row r="504">
          <cell r="F504">
            <v>16387</v>
          </cell>
        </row>
        <row r="506">
          <cell r="G506">
            <v>0</v>
          </cell>
        </row>
        <row r="508">
          <cell r="H508">
            <v>0</v>
          </cell>
        </row>
        <row r="509">
          <cell r="H509">
            <v>0</v>
          </cell>
        </row>
        <row r="524">
          <cell r="F524">
            <v>0</v>
          </cell>
          <cell r="G524">
            <v>0</v>
          </cell>
        </row>
        <row r="535">
          <cell r="F535">
            <v>0</v>
          </cell>
          <cell r="G535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62">
          <cell r="F562">
            <v>0</v>
          </cell>
          <cell r="G562">
            <v>0</v>
          </cell>
          <cell r="M562" t="str">
            <v>Condon Wind Power</v>
          </cell>
        </row>
        <row r="573">
          <cell r="F573">
            <v>0</v>
          </cell>
          <cell r="G573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600">
          <cell r="F600">
            <v>0</v>
          </cell>
          <cell r="G600">
            <v>0</v>
          </cell>
          <cell r="M600" t="str">
            <v>Condon Wind Power Phase II</v>
          </cell>
        </row>
        <row r="611">
          <cell r="F611">
            <v>0</v>
          </cell>
          <cell r="G611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38">
          <cell r="F638">
            <v>7028</v>
          </cell>
          <cell r="G638">
            <v>0</v>
          </cell>
          <cell r="H638">
            <v>0</v>
          </cell>
          <cell r="M638" t="str">
            <v>Cosmo Specialty Fibers - Cos1</v>
          </cell>
        </row>
        <row r="649">
          <cell r="F649">
            <v>0</v>
          </cell>
          <cell r="G649">
            <v>0</v>
          </cell>
          <cell r="H649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  <cell r="G658">
            <v>0</v>
          </cell>
        </row>
        <row r="659">
          <cell r="G659">
            <v>0</v>
          </cell>
        </row>
        <row r="660">
          <cell r="G660">
            <v>0</v>
          </cell>
          <cell r="H660">
            <v>0</v>
          </cell>
        </row>
        <row r="661">
          <cell r="H661">
            <v>0</v>
          </cell>
        </row>
        <row r="676">
          <cell r="F676">
            <v>11572</v>
          </cell>
          <cell r="G676">
            <v>0</v>
          </cell>
          <cell r="H676">
            <v>0</v>
          </cell>
          <cell r="M676" t="str">
            <v>Cosmo Specialty Fibers Inc. - COS2</v>
          </cell>
        </row>
        <row r="687">
          <cell r="F687">
            <v>0</v>
          </cell>
          <cell r="G687">
            <v>0</v>
          </cell>
          <cell r="H687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  <cell r="G696">
            <v>0</v>
          </cell>
        </row>
        <row r="697">
          <cell r="G697">
            <v>0</v>
          </cell>
        </row>
        <row r="698">
          <cell r="G698">
            <v>0</v>
          </cell>
          <cell r="H698">
            <v>0</v>
          </cell>
        </row>
        <row r="699">
          <cell r="H699">
            <v>0</v>
          </cell>
        </row>
        <row r="714">
          <cell r="F714">
            <v>0</v>
          </cell>
          <cell r="G714">
            <v>0</v>
          </cell>
        </row>
        <row r="719">
          <cell r="F719">
            <v>0</v>
          </cell>
        </row>
        <row r="725">
          <cell r="F725">
            <v>0</v>
          </cell>
          <cell r="G725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52">
          <cell r="F752">
            <v>0</v>
          </cell>
          <cell r="G752">
            <v>0</v>
          </cell>
        </row>
        <row r="763">
          <cell r="F763">
            <v>0</v>
          </cell>
          <cell r="G763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90">
          <cell r="F790">
            <v>0</v>
          </cell>
          <cell r="M790" t="str">
            <v>Hidden Hollow Energy LLC - Hidden Hollow Energy</v>
          </cell>
        </row>
        <row r="801">
          <cell r="F801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28">
          <cell r="F828">
            <v>0</v>
          </cell>
          <cell r="G828">
            <v>0</v>
          </cell>
        </row>
        <row r="839">
          <cell r="F839">
            <v>0</v>
          </cell>
          <cell r="G839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66">
          <cell r="F866">
            <v>0</v>
          </cell>
          <cell r="G866">
            <v>0</v>
          </cell>
          <cell r="M866" t="str">
            <v>Klondike 1</v>
          </cell>
        </row>
        <row r="877">
          <cell r="F877">
            <v>0</v>
          </cell>
          <cell r="G877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904">
          <cell r="F904">
            <v>0</v>
          </cell>
          <cell r="G904">
            <v>0</v>
          </cell>
          <cell r="M904" t="str">
            <v>Klondike III - Klondike Wind Power III LLC</v>
          </cell>
        </row>
        <row r="915">
          <cell r="F915">
            <v>0</v>
          </cell>
          <cell r="G915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42">
          <cell r="F942">
            <v>0</v>
          </cell>
          <cell r="G942">
            <v>0</v>
          </cell>
        </row>
        <row r="953">
          <cell r="F953">
            <v>0</v>
          </cell>
          <cell r="G953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80">
          <cell r="F980">
            <v>0</v>
          </cell>
          <cell r="G980">
            <v>0</v>
          </cell>
        </row>
        <row r="991">
          <cell r="F991">
            <v>0</v>
          </cell>
          <cell r="G991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  <cell r="G1000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18">
          <cell r="F1018">
            <v>0</v>
          </cell>
          <cell r="G1018">
            <v>0</v>
          </cell>
        </row>
        <row r="1029">
          <cell r="F1029">
            <v>0</v>
          </cell>
          <cell r="G1029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  <cell r="G1038">
            <v>0</v>
          </cell>
        </row>
        <row r="1039">
          <cell r="G1039">
            <v>0</v>
          </cell>
        </row>
        <row r="1040">
          <cell r="G1040">
            <v>0</v>
          </cell>
        </row>
        <row r="1132">
          <cell r="G1132">
            <v>2608</v>
          </cell>
        </row>
        <row r="1152">
          <cell r="M1152" t="str">
            <v>Mt Home Solar 1 LLC - Mt Home Solar 1 LLC</v>
          </cell>
        </row>
        <row r="1170">
          <cell r="F1170">
            <v>0</v>
          </cell>
        </row>
        <row r="1181">
          <cell r="F1181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  <cell r="M1190" t="str">
            <v>Nine Canyon Wind Project - Nine Canyon Phase 3</v>
          </cell>
        </row>
        <row r="1436">
          <cell r="F1436">
            <v>0</v>
          </cell>
          <cell r="M1436" t="str">
            <v>Sawtooth Wind Project - Sawtooth Wind Project</v>
          </cell>
        </row>
        <row r="1447">
          <cell r="F1447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74">
          <cell r="G1474">
            <v>8416</v>
          </cell>
          <cell r="M1474" t="str">
            <v>Sierra Pacific Burlington - SPI Burlington Onsite Load</v>
          </cell>
        </row>
        <row r="1550">
          <cell r="G1550">
            <v>7576</v>
          </cell>
          <cell r="M1550" t="str">
            <v>stimson lumber-plummer - stimson-plummer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(2)(a)(i) One Time (all)"/>
      <sheetName val="(2)(a)(ii)Annual2022est (C)"/>
      <sheetName val="(2)(a)(iii)(A) and (B)"/>
      <sheetName val="electric conv fctr"/>
    </sheetNames>
    <sheetDataSet>
      <sheetData sheetId="0"/>
      <sheetData sheetId="1"/>
      <sheetData sheetId="2"/>
      <sheetData sheetId="3">
        <row r="8">
          <cell r="D8">
            <v>-6.3013698630136989</v>
          </cell>
        </row>
        <row r="9">
          <cell r="D9">
            <v>19.611286734574406</v>
          </cell>
        </row>
        <row r="10">
          <cell r="D10">
            <v>8.0872929964042655</v>
          </cell>
        </row>
        <row r="11">
          <cell r="D11">
            <v>-4.7118490152235557</v>
          </cell>
        </row>
        <row r="12">
          <cell r="D12">
            <v>45.009784735812133</v>
          </cell>
        </row>
        <row r="13">
          <cell r="D13">
            <v>-3.8051750380517504</v>
          </cell>
        </row>
        <row r="14">
          <cell r="D14">
            <v>22.732180130035267</v>
          </cell>
        </row>
        <row r="15">
          <cell r="D15">
            <v>22.754244106525061</v>
          </cell>
        </row>
        <row r="16">
          <cell r="D16">
            <v>2.2831050228310503</v>
          </cell>
        </row>
        <row r="17">
          <cell r="D17">
            <v>15.72103458627609</v>
          </cell>
        </row>
        <row r="18">
          <cell r="D18">
            <v>6.8405664633538992</v>
          </cell>
        </row>
        <row r="19">
          <cell r="D19">
            <v>6.1145793268045407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showGridLines="0" tabSelected="1" zoomScaleNormal="10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.05" outlineLevelRow="1" outlineLevelCol="1" x14ac:dyDescent="0.3"/>
  <cols>
    <col min="2" max="2" width="55" customWidth="1"/>
    <col min="3" max="3" width="8.21875" bestFit="1" customWidth="1"/>
    <col min="4" max="6" width="11.5546875" style="1" customWidth="1" outlineLevel="1"/>
    <col min="7" max="9" width="12.21875" style="1" customWidth="1" outlineLevel="1"/>
    <col min="10" max="11" width="12.21875" style="1" bestFit="1" customWidth="1"/>
    <col min="12" max="12" width="12.21875" style="1" customWidth="1"/>
    <col min="13" max="13" width="12.21875" style="57" customWidth="1"/>
    <col min="14" max="14" width="50.21875" customWidth="1" outlineLevel="1"/>
    <col min="16" max="16" width="13.77734375" bestFit="1" customWidth="1" outlineLevel="1"/>
    <col min="17" max="17" width="12.44140625" customWidth="1" outlineLevel="1"/>
    <col min="18" max="18" width="11.21875" bestFit="1" customWidth="1"/>
    <col min="19" max="19" width="11.5546875" customWidth="1"/>
    <col min="20" max="20" width="11.21875" bestFit="1" customWidth="1"/>
    <col min="22" max="22" width="9" bestFit="1" customWidth="1"/>
    <col min="23" max="23" width="11.5546875" bestFit="1" customWidth="1"/>
    <col min="26" max="26" width="10" bestFit="1" customWidth="1"/>
  </cols>
  <sheetData>
    <row r="1" spans="2:26" x14ac:dyDescent="0.3">
      <c r="N1" s="113" t="s">
        <v>112</v>
      </c>
      <c r="O1" s="113" t="s">
        <v>53</v>
      </c>
      <c r="Q1" s="44" t="s">
        <v>74</v>
      </c>
      <c r="R1" s="44"/>
    </row>
    <row r="2" spans="2:26" x14ac:dyDescent="0.3">
      <c r="N2" s="113" t="s">
        <v>113</v>
      </c>
      <c r="O2" s="113" t="s">
        <v>117</v>
      </c>
      <c r="P2" s="44"/>
      <c r="Q2" s="44" t="s">
        <v>75</v>
      </c>
      <c r="R2" s="44"/>
    </row>
    <row r="3" spans="2:26" x14ac:dyDescent="0.3">
      <c r="B3" s="34" t="s">
        <v>48</v>
      </c>
      <c r="C3" s="34"/>
      <c r="D3" s="35" t="s">
        <v>63</v>
      </c>
      <c r="E3" s="36"/>
      <c r="F3" s="37"/>
      <c r="G3" s="35" t="s">
        <v>90</v>
      </c>
      <c r="H3" s="36"/>
      <c r="I3" s="37"/>
      <c r="J3" s="35" t="s">
        <v>126</v>
      </c>
      <c r="K3" s="36"/>
      <c r="L3" s="37"/>
      <c r="M3" s="117"/>
      <c r="N3" s="113" t="s">
        <v>114</v>
      </c>
      <c r="O3" s="113" t="s">
        <v>116</v>
      </c>
      <c r="P3" s="44" t="s">
        <v>86</v>
      </c>
      <c r="Q3" s="44" t="s">
        <v>72</v>
      </c>
      <c r="R3" s="44"/>
    </row>
    <row r="4" spans="2:26" x14ac:dyDescent="0.3">
      <c r="B4" s="31" t="s">
        <v>43</v>
      </c>
      <c r="C4" s="31" t="s">
        <v>58</v>
      </c>
      <c r="D4" s="31" t="s">
        <v>49</v>
      </c>
      <c r="E4" s="32" t="s">
        <v>65</v>
      </c>
      <c r="F4" s="33" t="s">
        <v>66</v>
      </c>
      <c r="G4" s="31" t="s">
        <v>65</v>
      </c>
      <c r="H4" s="32" t="s">
        <v>91</v>
      </c>
      <c r="I4" s="33" t="s">
        <v>92</v>
      </c>
      <c r="J4" s="31" t="s">
        <v>91</v>
      </c>
      <c r="K4" s="32" t="s">
        <v>127</v>
      </c>
      <c r="L4" s="33" t="s">
        <v>128</v>
      </c>
      <c r="M4" s="44"/>
      <c r="N4" s="114" t="s">
        <v>115</v>
      </c>
      <c r="O4" s="114" t="s">
        <v>43</v>
      </c>
      <c r="P4" s="44" t="s">
        <v>87</v>
      </c>
      <c r="Q4" s="44" t="s">
        <v>73</v>
      </c>
      <c r="R4" s="44"/>
      <c r="S4" s="43" t="s">
        <v>52</v>
      </c>
      <c r="V4" s="27"/>
      <c r="W4" s="27"/>
      <c r="X4" s="27"/>
    </row>
    <row r="5" spans="2:26" x14ac:dyDescent="0.3">
      <c r="B5" s="21" t="s">
        <v>1</v>
      </c>
      <c r="C5" s="21" t="s">
        <v>59</v>
      </c>
      <c r="D5" s="6">
        <f>'[1]Facility Detail'!$F$86</f>
        <v>0</v>
      </c>
      <c r="E5" s="7">
        <f>'[1]Facility Detail'!$F$68+'[1]Facility Detail'!$F$79+'[1]Facility Detail'!$F$87+'[1]Facility Detail'!$F$88</f>
        <v>89806</v>
      </c>
      <c r="F5" s="8">
        <f>SUM(D5:E5)</f>
        <v>89806</v>
      </c>
      <c r="G5" s="6">
        <f>'[1]Facility Detail'!$G$88</f>
        <v>0</v>
      </c>
      <c r="H5" s="7">
        <f>'[1]Facility Detail'!$G$68</f>
        <v>74403</v>
      </c>
      <c r="I5" s="8">
        <f t="shared" ref="I5:I11" si="0">SUM(G5:H5)</f>
        <v>74403</v>
      </c>
      <c r="J5" s="6"/>
      <c r="K5" s="7">
        <f>'[1]Facility Detail'!$H$68+'[1]Facility Detail'!$H$79+'[1]Facility Detail'!$H$91</f>
        <v>101979</v>
      </c>
      <c r="L5" s="8">
        <f>SUM(J5:K5)</f>
        <v>101979</v>
      </c>
      <c r="M5" s="46"/>
      <c r="N5" t="str">
        <f>'[1]Facility Detail'!$M$68</f>
        <v>Baker River Project</v>
      </c>
      <c r="O5" s="27" t="b">
        <f t="shared" ref="O5:O11" si="1">IF(ISBLANK(N5),"blank",N5=B5)</f>
        <v>1</v>
      </c>
      <c r="P5" s="69">
        <f>'[2](2)(a)(iii)(A) and (B)'!$D$8</f>
        <v>-6.3013698630136989</v>
      </c>
      <c r="S5" s="43">
        <v>1</v>
      </c>
      <c r="V5" s="29"/>
      <c r="W5" s="1"/>
      <c r="X5" s="28"/>
    </row>
    <row r="6" spans="2:26" ht="15.65" customHeight="1" x14ac:dyDescent="0.3">
      <c r="B6" s="22" t="s">
        <v>93</v>
      </c>
      <c r="C6" s="22" t="s">
        <v>60</v>
      </c>
      <c r="D6" s="9"/>
      <c r="E6" s="5"/>
      <c r="F6" s="10"/>
      <c r="G6" s="9">
        <f>'[1]Facility Detail'!$G$126</f>
        <v>212195</v>
      </c>
      <c r="H6" s="46">
        <f>'[1]Facility Detail'!$G$106+'[1]Facility Detail'!$G$128+'[1]Facility Detail'!$G$117</f>
        <v>0</v>
      </c>
      <c r="I6" s="10">
        <f t="shared" si="0"/>
        <v>212195</v>
      </c>
      <c r="J6" s="9">
        <f>'[1]Facility Detail'!$H$128</f>
        <v>1291253</v>
      </c>
      <c r="K6" s="5"/>
      <c r="L6" s="10">
        <f t="shared" ref="L6:L7" si="2">SUM(J6:K6)</f>
        <v>1291253</v>
      </c>
      <c r="M6" s="46"/>
      <c r="N6" t="str">
        <f>'[1]Facility Detail'!$M$128</f>
        <v>Clearwater</v>
      </c>
      <c r="O6" s="27" t="b">
        <f t="shared" si="1"/>
        <v>1</v>
      </c>
      <c r="P6" s="69">
        <f>'[2](2)(a)(iii)(A) and (B)'!$D$19</f>
        <v>6.1145793268045407</v>
      </c>
      <c r="Q6" s="5">
        <f>'[1]Facility Detail'!$H$106</f>
        <v>1359830</v>
      </c>
      <c r="S6" s="43" t="s">
        <v>149</v>
      </c>
      <c r="V6" s="29"/>
      <c r="W6" s="1"/>
      <c r="X6" s="28"/>
    </row>
    <row r="7" spans="2:26" x14ac:dyDescent="0.3">
      <c r="B7" s="22" t="s">
        <v>111</v>
      </c>
      <c r="C7" s="123" t="s">
        <v>60</v>
      </c>
      <c r="D7" s="9"/>
      <c r="E7" s="5">
        <f>'[1]Facility Detail'!$F$144+'[1]Facility Detail'!$F$149</f>
        <v>348218</v>
      </c>
      <c r="F7" s="10">
        <f>SUM(D7:E7)</f>
        <v>348218</v>
      </c>
      <c r="G7" s="9"/>
      <c r="H7" s="46">
        <f>'[1]Facility Detail'!$G$144+'[1]Facility Detail'!$G$149</f>
        <v>597384</v>
      </c>
      <c r="I7" s="10">
        <f t="shared" si="0"/>
        <v>597384</v>
      </c>
      <c r="J7" s="57">
        <v>0</v>
      </c>
      <c r="K7" s="5"/>
      <c r="L7" s="10">
        <f t="shared" si="2"/>
        <v>0</v>
      </c>
      <c r="M7" s="46"/>
      <c r="N7" t="str">
        <f>'[1]Facility Detail'!$M$144</f>
        <v>Golden Hills Wind Farm LLC</v>
      </c>
      <c r="O7" s="27" t="b">
        <f t="shared" si="1"/>
        <v>1</v>
      </c>
      <c r="P7" s="69">
        <f>'[2](2)(a)(iii)(A) and (B)'!$D$18</f>
        <v>6.8405664633538992</v>
      </c>
      <c r="Q7" s="5">
        <f>'[1]Facility Detail'!$H$144+'[1]Facility Detail'!$H$147</f>
        <v>643339</v>
      </c>
      <c r="S7" s="43">
        <v>5</v>
      </c>
      <c r="V7" s="29"/>
      <c r="W7" s="1"/>
      <c r="X7" s="59"/>
      <c r="Z7" s="2"/>
    </row>
    <row r="8" spans="2:26" x14ac:dyDescent="0.3">
      <c r="B8" s="22" t="s">
        <v>0</v>
      </c>
      <c r="C8" s="123" t="s">
        <v>60</v>
      </c>
      <c r="D8" s="9"/>
      <c r="E8" s="5">
        <f>'[1]Facility Detail'!$F$182+'[1]Facility Detail'!$F$193+'[1]Facility Detail'!$F$201+'[1]Facility Detail'!$F$202</f>
        <v>334611</v>
      </c>
      <c r="F8" s="10">
        <f>SUM(D8:E8)</f>
        <v>334611</v>
      </c>
      <c r="G8" s="9"/>
      <c r="H8" s="5">
        <f>'[1]Facility Detail'!$G$182</f>
        <v>313622</v>
      </c>
      <c r="I8" s="10">
        <f t="shared" si="0"/>
        <v>313622</v>
      </c>
      <c r="J8" s="9"/>
      <c r="K8" s="5">
        <f>'[1]Facility Detail'!$H$182+'[1]Facility Detail'!$H$193+'[1]Facility Detail'!$H$205</f>
        <v>383773</v>
      </c>
      <c r="L8" s="10">
        <f t="shared" ref="L8:L37" si="3">SUM(J8:K8)</f>
        <v>383773</v>
      </c>
      <c r="M8" s="46"/>
      <c r="N8" t="str">
        <f>'[1]Facility Detail'!$M$182</f>
        <v>Hopkins Ridge</v>
      </c>
      <c r="O8" s="27" t="b">
        <f t="shared" si="1"/>
        <v>1</v>
      </c>
      <c r="P8" s="69">
        <f>'[2](2)(a)(iii)(A) and (B)'!$D$11</f>
        <v>-4.7118490152235557</v>
      </c>
      <c r="S8" s="43">
        <v>5</v>
      </c>
      <c r="V8" s="29"/>
      <c r="W8" s="1"/>
      <c r="X8" s="28"/>
    </row>
    <row r="9" spans="2:26" x14ac:dyDescent="0.3">
      <c r="B9" s="22" t="s">
        <v>2</v>
      </c>
      <c r="C9" s="123" t="s">
        <v>60</v>
      </c>
      <c r="D9" s="9"/>
      <c r="E9" s="5">
        <f>'[1]Facility Detail'!$F$220+'[1]Facility Detail'!$F$231+'[1]Facility Detail'!$F$240</f>
        <v>16128</v>
      </c>
      <c r="F9" s="10">
        <f>SUM(D9:E9)</f>
        <v>16128</v>
      </c>
      <c r="G9" s="9"/>
      <c r="H9" s="5">
        <f>'[1]Facility Detail'!$G$220</f>
        <v>15115</v>
      </c>
      <c r="I9" s="10">
        <f t="shared" si="0"/>
        <v>15115</v>
      </c>
      <c r="J9" s="9"/>
      <c r="K9" s="5">
        <f>'[1]Facility Detail'!$H$220+'[1]Facility Detail'!$H$231+'[1]Facility Detail'!$H$243</f>
        <v>18495</v>
      </c>
      <c r="L9" s="10">
        <f t="shared" si="3"/>
        <v>18495</v>
      </c>
      <c r="M9" s="46"/>
      <c r="N9" t="str">
        <f>'[1]Facility Detail'!$M$220</f>
        <v>Hopkins Ridge Phase II</v>
      </c>
      <c r="O9" s="27" t="b">
        <f t="shared" si="1"/>
        <v>1</v>
      </c>
      <c r="P9" s="69">
        <f>'[2](2)(a)(iii)(A) and (B)'!$D$13</f>
        <v>-3.8051750380517504</v>
      </c>
      <c r="S9" s="43">
        <v>5</v>
      </c>
      <c r="V9" s="29"/>
      <c r="W9" s="1"/>
      <c r="X9" s="28"/>
    </row>
    <row r="10" spans="2:26" x14ac:dyDescent="0.3">
      <c r="B10" s="22" t="s">
        <v>3</v>
      </c>
      <c r="C10" s="123" t="s">
        <v>60</v>
      </c>
      <c r="D10" s="9"/>
      <c r="E10" s="46">
        <f>'[1]Facility Detail'!$F$258+'[1]Facility Detail'!$F$278</f>
        <v>43977</v>
      </c>
      <c r="F10" s="10">
        <f>SUM(D10:E10)</f>
        <v>43977</v>
      </c>
      <c r="G10" s="9">
        <f>'[1]Facility Detail'!$G$278</f>
        <v>74096</v>
      </c>
      <c r="H10" s="46">
        <f>'[1]Facility Detail'!$G$258+'[1]Facility Detail'!$G$280</f>
        <v>51443</v>
      </c>
      <c r="I10" s="10">
        <f t="shared" si="0"/>
        <v>125539</v>
      </c>
      <c r="J10" s="9">
        <f>'[1]Facility Detail'!$H$280</f>
        <v>61644</v>
      </c>
      <c r="K10" s="5"/>
      <c r="L10" s="10">
        <f t="shared" si="3"/>
        <v>61644</v>
      </c>
      <c r="M10" s="46"/>
      <c r="N10" t="str">
        <f>'[1]Facility Detail'!$M$258</f>
        <v>Klondike III</v>
      </c>
      <c r="O10" s="27" t="b">
        <f t="shared" si="1"/>
        <v>1</v>
      </c>
      <c r="P10" s="65">
        <f>'[2](2)(a)(iii)(A) and (B)'!$D$16</f>
        <v>2.2831050228310503</v>
      </c>
      <c r="Q10" s="5"/>
      <c r="R10" s="5"/>
      <c r="S10" s="43" t="s">
        <v>149</v>
      </c>
      <c r="V10" s="29"/>
      <c r="W10" s="1"/>
      <c r="X10" s="28"/>
    </row>
    <row r="11" spans="2:26" x14ac:dyDescent="0.3">
      <c r="B11" s="54" t="s">
        <v>4</v>
      </c>
      <c r="C11" s="124" t="s">
        <v>60</v>
      </c>
      <c r="D11" s="11">
        <f>'[1]Facility Detail'!$E$296+'[1]Facility Detail'!$E$304</f>
        <v>527221</v>
      </c>
      <c r="E11" s="12">
        <f>'Apprenticeship Credits'!D19</f>
        <v>430981.66666666674</v>
      </c>
      <c r="F11" s="13">
        <f>SUM(D11:E11)</f>
        <v>958202.66666666674</v>
      </c>
      <c r="G11" s="11"/>
      <c r="H11" s="12">
        <f>'Apprenticeship Credits'!F19</f>
        <v>391155.83333333343</v>
      </c>
      <c r="I11" s="13">
        <f t="shared" si="0"/>
        <v>391155.83333333343</v>
      </c>
      <c r="J11" s="11">
        <f>'[1]Facility Detail'!$H$318</f>
        <v>0</v>
      </c>
      <c r="K11" s="135">
        <f>'Apprenticeship Credits'!H19</f>
        <v>482685.00000000006</v>
      </c>
      <c r="L11" s="13">
        <f>SUM(J11:K11)</f>
        <v>482685.00000000006</v>
      </c>
      <c r="M11" s="46"/>
      <c r="N11" t="str">
        <f>'[1]Facility Detail'!$M$296</f>
        <v>Lower Snake River - Dodge Junction</v>
      </c>
      <c r="O11" s="27" t="b">
        <f t="shared" si="1"/>
        <v>1</v>
      </c>
      <c r="P11" s="65">
        <f>'[2](2)(a)(iii)(A) and (B)'!$D$14</f>
        <v>22.732180130035267</v>
      </c>
      <c r="Q11" s="2"/>
      <c r="R11" s="5"/>
      <c r="S11" s="43">
        <v>3</v>
      </c>
      <c r="W11" s="2"/>
      <c r="Y11" s="2"/>
    </row>
    <row r="12" spans="2:26" x14ac:dyDescent="0.3">
      <c r="B12" s="54" t="s">
        <v>55</v>
      </c>
      <c r="C12" s="124" t="s">
        <v>62</v>
      </c>
      <c r="D12" s="11">
        <f>'[1]Facility Detail'!$E$299+'[1]Facility Detail'!$E$306</f>
        <v>105444.20000000001</v>
      </c>
      <c r="E12" s="12">
        <f>'Apprenticeship Credits'!D20</f>
        <v>86196.333333333343</v>
      </c>
      <c r="F12" s="13">
        <f t="shared" ref="F12:F14" si="4">SUM(D12:E12)</f>
        <v>191640.53333333335</v>
      </c>
      <c r="G12" s="11"/>
      <c r="H12" s="12">
        <f>'Apprenticeship Credits'!F20</f>
        <v>78231.166666666672</v>
      </c>
      <c r="I12" s="13">
        <f t="shared" ref="I12:I14" si="5">SUM(G12:H12)</f>
        <v>78231.166666666672</v>
      </c>
      <c r="J12" s="11"/>
      <c r="K12" s="135">
        <f>'Apprenticeship Credits'!H20</f>
        <v>96537.000000000015</v>
      </c>
      <c r="L12" s="13">
        <f t="shared" ref="L12:L14" si="6">SUM(J12:K12)</f>
        <v>96537.000000000015</v>
      </c>
      <c r="M12" s="46"/>
      <c r="N12" t="str">
        <f>'[1]Facility Detail'!$M$301</f>
        <v>Lower Snake River - Dodge Junction</v>
      </c>
      <c r="O12" s="27" t="b">
        <f>IF(ISBLANK(N12),"blank",N12=B11)</f>
        <v>1</v>
      </c>
      <c r="P12" s="65">
        <f>P11</f>
        <v>22.732180130035267</v>
      </c>
      <c r="Q12" s="5"/>
      <c r="R12" s="5"/>
      <c r="S12" s="43">
        <v>3</v>
      </c>
      <c r="V12" s="29"/>
      <c r="W12" s="2"/>
      <c r="X12" s="28"/>
    </row>
    <row r="13" spans="2:26" x14ac:dyDescent="0.3">
      <c r="B13" s="54" t="s">
        <v>5</v>
      </c>
      <c r="C13" s="124" t="s">
        <v>60</v>
      </c>
      <c r="D13" s="11">
        <f>'[1]Facility Detail'!$E$334</f>
        <v>395070</v>
      </c>
      <c r="E13" s="12">
        <f>'Apprenticeship Credits'!D28</f>
        <v>321204.16666666674</v>
      </c>
      <c r="F13" s="13">
        <f t="shared" si="4"/>
        <v>716274.16666666674</v>
      </c>
      <c r="G13" s="11"/>
      <c r="H13" s="12">
        <f>'Apprenticeship Credits'!F28</f>
        <v>301835.00000000006</v>
      </c>
      <c r="I13" s="13">
        <f t="shared" si="5"/>
        <v>301835.00000000006</v>
      </c>
      <c r="J13" s="11">
        <f>'[1]Facility Detail'!$H$356</f>
        <v>0</v>
      </c>
      <c r="K13" s="12">
        <f>'Apprenticeship Credits'!H28</f>
        <v>350200.83333333337</v>
      </c>
      <c r="L13" s="13">
        <f t="shared" si="6"/>
        <v>350200.83333333337</v>
      </c>
      <c r="M13" s="46"/>
      <c r="N13" t="str">
        <f>'[1]Facility Detail'!$M$334</f>
        <v>Lower Snake River - Phalen Gulch</v>
      </c>
      <c r="O13" s="27" t="b">
        <f>IF(ISBLANK(N13),"blank",N13=B13)</f>
        <v>1</v>
      </c>
      <c r="P13" s="65">
        <f>'[2](2)(a)(iii)(A) and (B)'!$D$15</f>
        <v>22.754244106525061</v>
      </c>
      <c r="Q13" s="2"/>
      <c r="R13" s="5"/>
      <c r="S13" s="43">
        <v>3</v>
      </c>
      <c r="V13" s="29"/>
      <c r="W13" s="58"/>
      <c r="X13" s="59"/>
      <c r="Y13" s="60"/>
    </row>
    <row r="14" spans="2:26" x14ac:dyDescent="0.3">
      <c r="B14" s="54" t="s">
        <v>56</v>
      </c>
      <c r="C14" s="124" t="s">
        <v>62</v>
      </c>
      <c r="D14" s="11">
        <f>'[1]Facility Detail'!$E$339</f>
        <v>79014</v>
      </c>
      <c r="E14" s="12">
        <f>'Apprenticeship Credits'!D29</f>
        <v>64240.833333333343</v>
      </c>
      <c r="F14" s="13">
        <f t="shared" si="4"/>
        <v>143254.83333333334</v>
      </c>
      <c r="G14" s="11"/>
      <c r="H14" s="12">
        <f>'Apprenticeship Credits'!F29</f>
        <v>60367.000000000007</v>
      </c>
      <c r="I14" s="13">
        <f t="shared" si="5"/>
        <v>60367.000000000007</v>
      </c>
      <c r="J14" s="12"/>
      <c r="K14" s="12">
        <f>'Apprenticeship Credits'!H29</f>
        <v>70040.166666666672</v>
      </c>
      <c r="L14" s="13">
        <f t="shared" si="6"/>
        <v>70040.166666666672</v>
      </c>
      <c r="M14" s="46"/>
      <c r="N14" t="str">
        <f>'[1]Facility Detail'!$M$339</f>
        <v>Lower Snake River - Phalen Gulch</v>
      </c>
      <c r="O14" s="27" t="b">
        <f>IF(ISBLANK(N14),"blank",N14=B13)</f>
        <v>1</v>
      </c>
      <c r="P14" s="65">
        <f>P13</f>
        <v>22.754244106525061</v>
      </c>
      <c r="Q14" s="5"/>
      <c r="R14" s="5"/>
      <c r="S14" s="43">
        <v>3</v>
      </c>
      <c r="V14" s="29"/>
      <c r="W14" s="58"/>
      <c r="X14" s="59"/>
      <c r="Y14" s="60"/>
    </row>
    <row r="15" spans="2:26" x14ac:dyDescent="0.3">
      <c r="B15" s="55" t="s">
        <v>6</v>
      </c>
      <c r="C15" s="125" t="s">
        <v>59</v>
      </c>
      <c r="D15" s="6">
        <f>'[1]Facility Detail'!$F$428</f>
        <v>0</v>
      </c>
      <c r="E15" s="7">
        <f>'[1]Facility Detail'!$F$410+'[1]Facility Detail'!$F$421+'[1]Facility Detail'!$F$429+'[1]Facility Detail'!$F$430</f>
        <v>14706</v>
      </c>
      <c r="F15" s="8">
        <f t="shared" ref="F15:F58" si="7">SUM(D15:E15)</f>
        <v>14706</v>
      </c>
      <c r="G15" s="6">
        <f>'[1]Facility Detail'!$G$430</f>
        <v>0</v>
      </c>
      <c r="H15" s="7">
        <f>'[1]Facility Detail'!$G$410+'[1]Facility Detail'!$G$418</f>
        <v>13672</v>
      </c>
      <c r="I15" s="8">
        <f t="shared" ref="I15:I58" si="8">SUM(G15:H15)</f>
        <v>13672</v>
      </c>
      <c r="J15" s="6">
        <f>'[1]Facility Detail'!$H$432</f>
        <v>0</v>
      </c>
      <c r="K15" s="7">
        <f>'[1]Facility Detail'!$H$410+'[1]Facility Detail'!$H$421+'[1]Facility Detail'!$H$433</f>
        <v>17178</v>
      </c>
      <c r="L15" s="8">
        <f t="shared" si="3"/>
        <v>17178</v>
      </c>
      <c r="M15" s="46"/>
      <c r="N15" t="str">
        <f>'[1]Facility Detail'!$M$410</f>
        <v>Snoqualmie Falls Project</v>
      </c>
      <c r="O15" s="27" t="b">
        <f>IF(ISBLANK(N15),"blank",N15=B15)</f>
        <v>1</v>
      </c>
      <c r="P15" s="65">
        <f>'[2](2)(a)(iii)(A) and (B)'!$D$9</f>
        <v>19.611286734574406</v>
      </c>
      <c r="Q15" s="5"/>
      <c r="R15" s="5"/>
      <c r="S15" s="43">
        <v>1</v>
      </c>
      <c r="V15" s="29"/>
      <c r="W15" s="1"/>
      <c r="X15" s="28"/>
    </row>
    <row r="16" spans="2:26" x14ac:dyDescent="0.3">
      <c r="B16" s="56" t="s">
        <v>7</v>
      </c>
      <c r="C16" s="123" t="s">
        <v>61</v>
      </c>
      <c r="D16" s="9">
        <f>'[1]Facility Detail'!$F$390</f>
        <v>0</v>
      </c>
      <c r="E16" s="5">
        <f>'[1]Facility Detail'!$F$372+'[1]Facility Detail'!$F$383+'[1]Facility Detail'!$F$391+'[1]Facility Detail'!$F$392</f>
        <v>82835</v>
      </c>
      <c r="F16" s="10">
        <f t="shared" si="7"/>
        <v>82835</v>
      </c>
      <c r="G16" s="9">
        <f>'[1]Facility Detail'!$G$392</f>
        <v>0</v>
      </c>
      <c r="H16" s="5">
        <f>'[1]Facility Detail'!$G$372+'[1]Facility Detail'!$G$383+'[1]Facility Detail'!$G$394</f>
        <v>133411</v>
      </c>
      <c r="I16" s="10">
        <f t="shared" si="8"/>
        <v>133411</v>
      </c>
      <c r="J16" s="9">
        <f>'[1]Facility Detail'!$H$394</f>
        <v>0</v>
      </c>
      <c r="K16" s="5">
        <f>101051</f>
        <v>101051</v>
      </c>
      <c r="L16" s="10">
        <f t="shared" si="3"/>
        <v>101051</v>
      </c>
      <c r="M16" s="46"/>
      <c r="N16" t="str">
        <f>'[1]Facility Detail'!$M$372</f>
        <v>Sierra Pacific Burlington - Sierra Pacific Burlington</v>
      </c>
      <c r="O16" s="27" t="b">
        <f>IF(ISBLANK(N16),"blank",N16=B16)</f>
        <v>1</v>
      </c>
      <c r="P16" s="65">
        <f>'[2](2)(a)(iii)(A) and (B)'!$D$17</f>
        <v>15.72103458627609</v>
      </c>
      <c r="Q16" s="5"/>
      <c r="R16" s="5"/>
      <c r="S16" s="43">
        <v>5</v>
      </c>
      <c r="V16" s="29"/>
      <c r="W16" s="1"/>
      <c r="X16" s="28"/>
    </row>
    <row r="17" spans="2:28" x14ac:dyDescent="0.3">
      <c r="B17" s="56" t="s">
        <v>8</v>
      </c>
      <c r="C17" s="22" t="s">
        <v>60</v>
      </c>
      <c r="D17" s="9">
        <f>'[1]Facility Detail'!$F$466</f>
        <v>0</v>
      </c>
      <c r="E17" s="5">
        <f>'[1]Facility Detail'!$F$448+'[1]Facility Detail'!$F$467+'[1]Facility Detail'!$F$468+'[1]Facility Detail'!$F$459</f>
        <v>0</v>
      </c>
      <c r="F17" s="10">
        <f t="shared" si="7"/>
        <v>0</v>
      </c>
      <c r="G17" s="9">
        <f>'[1]Facility Detail'!$G$468</f>
        <v>475051</v>
      </c>
      <c r="H17" s="5">
        <f>'[1]Facility Detail'!$G$448+'[1]Facility Detail'!$G$459+'[1]Facility Detail'!$G$470</f>
        <v>285843</v>
      </c>
      <c r="I17" s="10">
        <f t="shared" si="8"/>
        <v>760894</v>
      </c>
      <c r="J17" s="9">
        <f>'[1]Facility Detail'!$H$470</f>
        <v>142828</v>
      </c>
      <c r="K17" s="5"/>
      <c r="L17" s="10">
        <f t="shared" si="3"/>
        <v>142828</v>
      </c>
      <c r="M17" s="46"/>
      <c r="N17" t="str">
        <f>'[1]Facility Detail'!$M$448</f>
        <v>Wild Horse</v>
      </c>
      <c r="O17" s="27" t="b">
        <f>IF(ISBLANK(N17),"blank",N17=B17)</f>
        <v>1</v>
      </c>
      <c r="P17" s="65">
        <f>'[2](2)(a)(iii)(A) and (B)'!$D$10</f>
        <v>8.0872929964042655</v>
      </c>
      <c r="Q17" s="5"/>
      <c r="R17" s="5"/>
      <c r="S17" s="43" t="s">
        <v>149</v>
      </c>
      <c r="V17" s="29"/>
      <c r="W17" s="1"/>
      <c r="X17" s="28"/>
    </row>
    <row r="18" spans="2:28" x14ac:dyDescent="0.3">
      <c r="B18" s="54" t="s">
        <v>9</v>
      </c>
      <c r="C18" s="23" t="s">
        <v>60</v>
      </c>
      <c r="D18" s="11">
        <f>'Apprenticeship Credits'!C37</f>
        <v>13655.833333333336</v>
      </c>
      <c r="E18" s="12">
        <f>'Apprenticeship Credits'!D37</f>
        <v>91435.833333333343</v>
      </c>
      <c r="F18" s="13">
        <f t="shared" si="7"/>
        <v>105091.66666666669</v>
      </c>
      <c r="G18" s="11">
        <f>'Apprenticeship Credits'!E37</f>
        <v>0</v>
      </c>
      <c r="H18" s="12">
        <f>'Apprenticeship Credits'!F37</f>
        <v>85273.333333333343</v>
      </c>
      <c r="I18" s="13">
        <f t="shared" si="8"/>
        <v>85273.333333333343</v>
      </c>
      <c r="J18" s="11">
        <f>'[1]Facility Detail'!$H$508</f>
        <v>0</v>
      </c>
      <c r="K18" s="12">
        <f>'Apprenticeship Credits'!H37</f>
        <v>75645.000000000015</v>
      </c>
      <c r="L18" s="13">
        <f t="shared" si="3"/>
        <v>75645.000000000015</v>
      </c>
      <c r="M18" s="46"/>
      <c r="N18" t="str">
        <f>'[1]Facility Detail'!$M$486</f>
        <v>Wild Horse Phase II</v>
      </c>
      <c r="O18" s="27" t="b">
        <f>IF(ISBLANK(N18),"blank",N18=B18)</f>
        <v>1</v>
      </c>
      <c r="P18" s="65">
        <f>'[2](2)(a)(iii)(A) and (B)'!$D$12</f>
        <v>45.009784735812133</v>
      </c>
      <c r="Q18" s="5"/>
      <c r="R18" s="5"/>
      <c r="S18" s="43">
        <v>3</v>
      </c>
      <c r="V18" s="29"/>
      <c r="W18" s="1"/>
      <c r="X18" s="28"/>
    </row>
    <row r="19" spans="2:28" x14ac:dyDescent="0.3">
      <c r="B19" s="54" t="s">
        <v>57</v>
      </c>
      <c r="C19" s="23" t="s">
        <v>62</v>
      </c>
      <c r="D19" s="11">
        <f>'Apprenticeship Credits'!C38</f>
        <v>2731.166666666667</v>
      </c>
      <c r="E19" s="12">
        <f>'Apprenticeship Credits'!D38</f>
        <v>18287.166666666668</v>
      </c>
      <c r="F19" s="13">
        <f t="shared" si="7"/>
        <v>21018.333333333336</v>
      </c>
      <c r="G19" s="11">
        <f>'Apprenticeship Credits'!E38</f>
        <v>0</v>
      </c>
      <c r="H19" s="12">
        <f>'Apprenticeship Credits'!F38</f>
        <v>17054.666666666668</v>
      </c>
      <c r="I19" s="13">
        <f t="shared" si="8"/>
        <v>17054.666666666668</v>
      </c>
      <c r="J19" s="11">
        <f>'[1]Facility Detail'!$H$509</f>
        <v>0</v>
      </c>
      <c r="K19" s="12">
        <f>'Apprenticeship Credits'!H38</f>
        <v>15129.000000000002</v>
      </c>
      <c r="L19" s="13">
        <f t="shared" si="3"/>
        <v>15129.000000000002</v>
      </c>
      <c r="M19" s="46"/>
      <c r="N19" t="str">
        <f>'[1]Facility Detail'!$M$491</f>
        <v>Wild Horse Phase II</v>
      </c>
      <c r="O19" s="27" t="b">
        <f>IF(ISBLANK(N19),"blank",N19=B18)</f>
        <v>1</v>
      </c>
      <c r="P19" s="65">
        <f>P18</f>
        <v>45.009784735812133</v>
      </c>
      <c r="Q19" s="5"/>
      <c r="R19" s="5"/>
      <c r="S19" s="43">
        <v>3</v>
      </c>
      <c r="V19" s="29"/>
      <c r="W19" s="1"/>
      <c r="X19" s="28"/>
    </row>
    <row r="20" spans="2:28" outlineLevel="1" x14ac:dyDescent="0.3">
      <c r="B20" s="22" t="s">
        <v>10</v>
      </c>
      <c r="C20" s="49" t="s">
        <v>60</v>
      </c>
      <c r="D20" s="9">
        <f>'[1]Facility Detail'!$F$542</f>
        <v>0</v>
      </c>
      <c r="E20" s="5">
        <f>'[1]Facility Detail'!$F$524+'[1]Facility Detail'!$F$535+'[1]Facility Detail'!$F$543+'[1]Facility Detail'!$F$544</f>
        <v>0</v>
      </c>
      <c r="F20" s="10">
        <f t="shared" si="7"/>
        <v>0</v>
      </c>
      <c r="G20" s="9">
        <f>'[1]Facility Detail'!$G$544</f>
        <v>0</v>
      </c>
      <c r="H20" s="5">
        <f>'[1]Facility Detail'!$G$524+'[1]Facility Detail'!$G$535+'[1]Facility Detail'!$G$545+'[1]Facility Detail'!$G$546</f>
        <v>0</v>
      </c>
      <c r="I20" s="10">
        <f t="shared" si="8"/>
        <v>0</v>
      </c>
      <c r="J20" s="9"/>
      <c r="K20" s="5"/>
      <c r="L20" s="10">
        <f t="shared" si="3"/>
        <v>0</v>
      </c>
      <c r="M20" s="46"/>
      <c r="O20" s="27" t="str">
        <f t="shared" ref="O20:O27" si="9">IF(ISBLANK(N20),"blank",N20=B20)</f>
        <v>blank</v>
      </c>
      <c r="S20" s="61" t="s">
        <v>150</v>
      </c>
      <c r="T20" s="60"/>
      <c r="U20" s="60"/>
      <c r="V20" s="62"/>
      <c r="W20" s="60"/>
      <c r="X20" s="60"/>
    </row>
    <row r="21" spans="2:28" outlineLevel="1" x14ac:dyDescent="0.3">
      <c r="B21" s="22" t="s">
        <v>11</v>
      </c>
      <c r="C21" s="49" t="s">
        <v>60</v>
      </c>
      <c r="D21" s="9">
        <f>'[1]Facility Detail'!$F$580</f>
        <v>0</v>
      </c>
      <c r="E21" s="5">
        <f>'[1]Facility Detail'!$F$562+'[1]Facility Detail'!$F$573+'[1]Facility Detail'!$F$581+'[1]Facility Detail'!$F$582</f>
        <v>0</v>
      </c>
      <c r="F21" s="10">
        <f t="shared" si="7"/>
        <v>0</v>
      </c>
      <c r="G21" s="9">
        <f>'[1]Facility Detail'!$G$582</f>
        <v>0</v>
      </c>
      <c r="H21" s="5">
        <f>'[1]Facility Detail'!$G$562+'[1]Facility Detail'!$G$573+'[1]Facility Detail'!$G$584+'[1]Facility Detail'!$G$583</f>
        <v>0</v>
      </c>
      <c r="I21" s="10">
        <f t="shared" si="8"/>
        <v>0</v>
      </c>
      <c r="J21" s="9"/>
      <c r="K21" s="5"/>
      <c r="L21" s="10">
        <f t="shared" si="3"/>
        <v>0</v>
      </c>
      <c r="M21" s="126"/>
      <c r="N21" t="str">
        <f>'[1]Facility Detail'!$M$562</f>
        <v>Condon Wind Power</v>
      </c>
      <c r="O21" s="27" t="b">
        <f t="shared" si="9"/>
        <v>1</v>
      </c>
      <c r="R21" s="26"/>
      <c r="S21" s="63">
        <f>'[1]Compliance Summary'!$F$9</f>
        <v>3208438</v>
      </c>
      <c r="T21" s="64" t="s">
        <v>53</v>
      </c>
      <c r="U21" s="60"/>
      <c r="V21" s="30"/>
    </row>
    <row r="22" spans="2:28" outlineLevel="1" x14ac:dyDescent="0.3">
      <c r="B22" s="22" t="s">
        <v>12</v>
      </c>
      <c r="C22" s="49" t="s">
        <v>60</v>
      </c>
      <c r="D22" s="9">
        <f>'[1]Facility Detail'!$F$618</f>
        <v>0</v>
      </c>
      <c r="E22" s="5">
        <f>'[1]Facility Detail'!$F$600+'[1]Facility Detail'!$F$611+'[1]Facility Detail'!$F$619+'[1]Facility Detail'!$F$620</f>
        <v>0</v>
      </c>
      <c r="F22" s="10">
        <f t="shared" si="7"/>
        <v>0</v>
      </c>
      <c r="G22" s="9">
        <f>'[1]Facility Detail'!$G$620</f>
        <v>0</v>
      </c>
      <c r="H22" s="5">
        <f>'[1]Facility Detail'!$G$600+'[1]Facility Detail'!$G$611+'[1]Facility Detail'!$G$621+'[1]Facility Detail'!$G$622</f>
        <v>0</v>
      </c>
      <c r="I22" s="10">
        <f t="shared" si="8"/>
        <v>0</v>
      </c>
      <c r="J22" s="9"/>
      <c r="K22" s="5"/>
      <c r="L22" s="10">
        <f t="shared" si="3"/>
        <v>0</v>
      </c>
      <c r="M22" s="46"/>
      <c r="N22" t="str">
        <f>'[1]Facility Detail'!$M$600</f>
        <v>Condon Wind Power Phase II</v>
      </c>
      <c r="O22" s="27" t="b">
        <f t="shared" si="9"/>
        <v>1</v>
      </c>
      <c r="S22" s="66">
        <f>ROUND(L60-S21,0)</f>
        <v>0</v>
      </c>
      <c r="T22" s="64" t="s">
        <v>54</v>
      </c>
      <c r="U22" s="60"/>
      <c r="V22" s="30"/>
    </row>
    <row r="23" spans="2:28" outlineLevel="1" x14ac:dyDescent="0.3">
      <c r="B23" s="22" t="s">
        <v>13</v>
      </c>
      <c r="C23" s="49" t="s">
        <v>61</v>
      </c>
      <c r="D23" s="9">
        <f>'[1]Facility Detail'!$F$656</f>
        <v>0</v>
      </c>
      <c r="E23" s="5">
        <f>'[1]Facility Detail'!$F$638+'[1]Facility Detail'!$F$649+'[1]Facility Detail'!$F$657+'[1]Facility Detail'!$F$658</f>
        <v>7028</v>
      </c>
      <c r="F23" s="10">
        <f t="shared" si="7"/>
        <v>7028</v>
      </c>
      <c r="G23" s="9">
        <f>'[1]Facility Detail'!$G$658</f>
        <v>0</v>
      </c>
      <c r="H23" s="5">
        <f>'[1]Facility Detail'!$G$638+'[1]Facility Detail'!$G$649+'[1]Facility Detail'!$G$659+'[1]Facility Detail'!$G$660</f>
        <v>0</v>
      </c>
      <c r="I23" s="10">
        <f t="shared" si="8"/>
        <v>0</v>
      </c>
      <c r="J23" s="9">
        <f>'[1]Facility Detail'!$H$660</f>
        <v>0</v>
      </c>
      <c r="K23" s="5">
        <f>'[1]Facility Detail'!$H$638+'[1]Facility Detail'!$H$649+'[1]Facility Detail'!$H$661</f>
        <v>0</v>
      </c>
      <c r="L23" s="10">
        <f t="shared" si="3"/>
        <v>0</v>
      </c>
      <c r="M23" s="46"/>
      <c r="N23" t="str">
        <f>'[1]Facility Detail'!$M$638</f>
        <v>Cosmo Specialty Fibers - Cos1</v>
      </c>
      <c r="O23" s="27" t="b">
        <f t="shared" si="9"/>
        <v>1</v>
      </c>
      <c r="V23" s="30"/>
    </row>
    <row r="24" spans="2:28" ht="14.6" customHeight="1" outlineLevel="1" x14ac:dyDescent="0.3">
      <c r="B24" s="22" t="s">
        <v>14</v>
      </c>
      <c r="C24" s="49" t="s">
        <v>61</v>
      </c>
      <c r="D24" s="9">
        <f>'[1]Facility Detail'!$F$694</f>
        <v>0</v>
      </c>
      <c r="E24" s="5">
        <f>'[1]Facility Detail'!$F$676+'[1]Facility Detail'!$F$687+'[1]Facility Detail'!$F$695+'[1]Facility Detail'!$F$696</f>
        <v>11572</v>
      </c>
      <c r="F24" s="10">
        <f t="shared" si="7"/>
        <v>11572</v>
      </c>
      <c r="G24" s="9">
        <f>'[1]Facility Detail'!$G$696</f>
        <v>0</v>
      </c>
      <c r="H24" s="5">
        <f>'[1]Facility Detail'!$G$676+'[1]Facility Detail'!$G$687+'[1]Facility Detail'!$G$697+'[1]Facility Detail'!$G$698</f>
        <v>0</v>
      </c>
      <c r="I24" s="10">
        <f t="shared" si="8"/>
        <v>0</v>
      </c>
      <c r="J24" s="9">
        <f>'[1]Facility Detail'!$H$698</f>
        <v>0</v>
      </c>
      <c r="K24" s="5">
        <f>'[1]Facility Detail'!$H$676+'[1]Facility Detail'!$H$687+'[1]Facility Detail'!$H$699</f>
        <v>0</v>
      </c>
      <c r="L24" s="10">
        <f t="shared" si="3"/>
        <v>0</v>
      </c>
      <c r="M24" s="46"/>
      <c r="N24" t="str">
        <f>'[1]Facility Detail'!$M$676</f>
        <v>Cosmo Specialty Fibers Inc. - COS2</v>
      </c>
      <c r="O24" s="27" t="b">
        <f t="shared" si="9"/>
        <v>1</v>
      </c>
      <c r="R24" s="138">
        <f>K5+K15</f>
        <v>119157</v>
      </c>
      <c r="S24" s="71" t="s">
        <v>50</v>
      </c>
      <c r="T24" s="72"/>
      <c r="U24" s="72"/>
      <c r="V24" s="73"/>
      <c r="W24" s="72"/>
      <c r="X24" s="72"/>
      <c r="Y24" s="72"/>
      <c r="Z24" s="72"/>
      <c r="AA24" s="74"/>
      <c r="AB24" s="144" t="s">
        <v>52</v>
      </c>
    </row>
    <row r="25" spans="2:28" outlineLevel="1" x14ac:dyDescent="0.3">
      <c r="B25" s="22" t="s">
        <v>15</v>
      </c>
      <c r="C25" s="49" t="s">
        <v>60</v>
      </c>
      <c r="D25" s="9">
        <f>'[1]Facility Detail'!$F$732</f>
        <v>0</v>
      </c>
      <c r="E25" s="5">
        <f>'[1]Facility Detail'!$F$714+'[1]Facility Detail'!$F$719+'[1]Facility Detail'!$F$725+'[1]Facility Detail'!$F$733+'[1]Facility Detail'!$F$734</f>
        <v>0</v>
      </c>
      <c r="F25" s="10">
        <f t="shared" si="7"/>
        <v>0</v>
      </c>
      <c r="G25" s="9">
        <f>'[1]Facility Detail'!$G$734</f>
        <v>0</v>
      </c>
      <c r="H25" s="5">
        <f>'[1]Facility Detail'!$G$714+'[1]Facility Detail'!$G$725+'[1]Facility Detail'!$G$735+'[1]Facility Detail'!$G$736</f>
        <v>0</v>
      </c>
      <c r="I25" s="10">
        <f t="shared" si="8"/>
        <v>0</v>
      </c>
      <c r="J25" s="9"/>
      <c r="K25" s="5"/>
      <c r="L25" s="10">
        <f t="shared" si="3"/>
        <v>0</v>
      </c>
      <c r="M25" s="46"/>
      <c r="O25" s="27" t="str">
        <f t="shared" si="9"/>
        <v>blank</v>
      </c>
      <c r="R25" s="138">
        <f>SUM(J5:J58)</f>
        <v>1495725</v>
      </c>
      <c r="S25" s="22" t="s">
        <v>51</v>
      </c>
      <c r="T25" s="24"/>
      <c r="U25" s="24"/>
      <c r="V25" s="75"/>
      <c r="W25" s="24"/>
      <c r="X25" s="24"/>
      <c r="Y25" s="24"/>
      <c r="Z25" s="24"/>
      <c r="AA25" s="76"/>
      <c r="AB25" s="145"/>
    </row>
    <row r="26" spans="2:28" outlineLevel="1" x14ac:dyDescent="0.3">
      <c r="B26" s="22" t="s">
        <v>16</v>
      </c>
      <c r="C26" s="49" t="s">
        <v>60</v>
      </c>
      <c r="D26" s="9">
        <f>'[1]Facility Detail'!$F$770</f>
        <v>0</v>
      </c>
      <c r="E26" s="5">
        <f>'[1]Facility Detail'!$F$752+'[1]Facility Detail'!$F$763+'[1]Facility Detail'!$F$771+'[1]Facility Detail'!$F$772</f>
        <v>0</v>
      </c>
      <c r="F26" s="10">
        <f t="shared" si="7"/>
        <v>0</v>
      </c>
      <c r="G26" s="9">
        <f>'[1]Facility Detail'!$G$772</f>
        <v>0</v>
      </c>
      <c r="H26" s="5">
        <f>'[1]Facility Detail'!$G$752+'[1]Facility Detail'!$G$763+'[1]Facility Detail'!$G$773+'[1]Facility Detail'!$G$774</f>
        <v>0</v>
      </c>
      <c r="I26" s="10">
        <f t="shared" si="8"/>
        <v>0</v>
      </c>
      <c r="J26" s="9"/>
      <c r="K26" s="5"/>
      <c r="L26" s="10">
        <f t="shared" si="3"/>
        <v>0</v>
      </c>
      <c r="M26" s="46"/>
      <c r="O26" s="27" t="str">
        <f t="shared" si="9"/>
        <v>blank</v>
      </c>
      <c r="R26" s="138">
        <f>SUM(K11:K14)+SUM(K18:K19)</f>
        <v>1090237.0000000002</v>
      </c>
      <c r="S26" s="22" t="s">
        <v>133</v>
      </c>
      <c r="T26" s="24"/>
      <c r="U26" s="24"/>
      <c r="V26" s="75"/>
      <c r="W26" s="24"/>
      <c r="X26" s="24"/>
      <c r="Y26" s="24"/>
      <c r="Z26" s="24"/>
      <c r="AA26" s="76"/>
      <c r="AB26" s="145"/>
    </row>
    <row r="27" spans="2:28" outlineLevel="1" x14ac:dyDescent="0.3">
      <c r="B27" s="23" t="s">
        <v>17</v>
      </c>
      <c r="C27" s="50" t="s">
        <v>77</v>
      </c>
      <c r="D27" s="11">
        <f>-'[1]Facility Detail'!$F$808</f>
        <v>0</v>
      </c>
      <c r="E27" s="12">
        <f>'[1]Facility Detail'!$F$790+'[1]Facility Detail'!$F$801+'[1]Facility Detail'!$F$809+'[1]Facility Detail'!$F$810</f>
        <v>0</v>
      </c>
      <c r="F27" s="13">
        <f t="shared" si="7"/>
        <v>0</v>
      </c>
      <c r="G27" s="11"/>
      <c r="H27" s="12"/>
      <c r="I27" s="13">
        <f t="shared" si="8"/>
        <v>0</v>
      </c>
      <c r="J27" s="11"/>
      <c r="K27" s="12"/>
      <c r="L27" s="13">
        <f t="shared" si="3"/>
        <v>0</v>
      </c>
      <c r="M27" s="46"/>
      <c r="N27" t="str">
        <f>'[1]Facility Detail'!$M$790</f>
        <v>Hidden Hollow Energy LLC - Hidden Hollow Energy</v>
      </c>
      <c r="O27" s="27" t="b">
        <f t="shared" si="9"/>
        <v>1</v>
      </c>
      <c r="R27" s="138">
        <f>SUM(K20:K58)</f>
        <v>0</v>
      </c>
      <c r="S27" s="22" t="s">
        <v>134</v>
      </c>
      <c r="T27" s="24"/>
      <c r="U27" s="24"/>
      <c r="V27" s="75"/>
      <c r="W27" s="24"/>
      <c r="X27" s="24"/>
      <c r="Y27" s="24"/>
      <c r="Z27" s="24"/>
      <c r="AA27" s="76"/>
      <c r="AB27" s="145"/>
    </row>
    <row r="28" spans="2:28" outlineLevel="1" x14ac:dyDescent="0.3">
      <c r="B28" s="23" t="s">
        <v>67</v>
      </c>
      <c r="C28" s="50" t="s">
        <v>120</v>
      </c>
      <c r="D28" s="11">
        <f>-'[1]Facility Detail'!$F$808</f>
        <v>0</v>
      </c>
      <c r="E28" s="12">
        <f>'[1]Facility Detail'!$F$790+'[1]Facility Detail'!$F$801+'[1]Facility Detail'!$F$809+'[1]Facility Detail'!$F$810</f>
        <v>0</v>
      </c>
      <c r="F28" s="13">
        <f t="shared" si="7"/>
        <v>0</v>
      </c>
      <c r="G28" s="11"/>
      <c r="H28" s="12"/>
      <c r="I28" s="13">
        <f t="shared" si="8"/>
        <v>0</v>
      </c>
      <c r="J28" s="11"/>
      <c r="K28" s="12"/>
      <c r="L28" s="13">
        <f t="shared" si="3"/>
        <v>0</v>
      </c>
      <c r="M28" s="46"/>
      <c r="N28" t="str">
        <f>'[1]Facility Detail'!$M$790</f>
        <v>Hidden Hollow Energy LLC - Hidden Hollow Energy</v>
      </c>
      <c r="O28" s="27" t="b">
        <f>IF(ISBLANK(N28),"blank",N28=B27)</f>
        <v>1</v>
      </c>
      <c r="R28" s="138">
        <f>K16+K8+K9+K17+K10</f>
        <v>503319</v>
      </c>
      <c r="S28" s="22" t="s">
        <v>135</v>
      </c>
      <c r="T28" s="24"/>
      <c r="U28" s="24"/>
      <c r="V28" s="75"/>
      <c r="W28" s="24"/>
      <c r="X28" s="24"/>
      <c r="Y28" s="24"/>
      <c r="Z28" s="24"/>
      <c r="AA28" s="76"/>
      <c r="AB28" s="145"/>
    </row>
    <row r="29" spans="2:28" outlineLevel="1" x14ac:dyDescent="0.3">
      <c r="B29" s="22" t="s">
        <v>18</v>
      </c>
      <c r="C29" s="49" t="s">
        <v>60</v>
      </c>
      <c r="D29" s="9">
        <f>'[1]Facility Detail'!$F$846</f>
        <v>0</v>
      </c>
      <c r="E29" s="5">
        <f>'[1]Facility Detail'!$F$828+'[1]Facility Detail'!$F$839+'[1]Facility Detail'!$F$847+'[1]Facility Detail'!$F$848</f>
        <v>0</v>
      </c>
      <c r="F29" s="10">
        <f t="shared" si="7"/>
        <v>0</v>
      </c>
      <c r="G29" s="9">
        <f>'[1]Facility Detail'!$G$848</f>
        <v>0</v>
      </c>
      <c r="H29" s="5">
        <f>'[1]Facility Detail'!$G$828+'[1]Facility Detail'!$G$839+'[1]Facility Detail'!$G$849+'[1]Facility Detail'!$G$850</f>
        <v>0</v>
      </c>
      <c r="I29" s="10">
        <f t="shared" si="8"/>
        <v>0</v>
      </c>
      <c r="J29" s="9"/>
      <c r="K29" s="5"/>
      <c r="L29" s="10">
        <f t="shared" si="3"/>
        <v>0</v>
      </c>
      <c r="M29" s="46"/>
      <c r="O29" s="27" t="str">
        <f t="shared" ref="O29:O58" si="10">IF(ISBLANK(N29),"blank",N29=B29)</f>
        <v>blank</v>
      </c>
      <c r="R29" s="138"/>
      <c r="S29" s="77"/>
      <c r="T29" s="78"/>
      <c r="U29" s="78"/>
      <c r="V29" s="79"/>
      <c r="W29" s="78"/>
      <c r="X29" s="78"/>
      <c r="Y29" s="78"/>
      <c r="Z29" s="78"/>
      <c r="AA29" s="80"/>
      <c r="AB29" s="146"/>
    </row>
    <row r="30" spans="2:28" outlineLevel="1" x14ac:dyDescent="0.3">
      <c r="B30" s="22" t="s">
        <v>19</v>
      </c>
      <c r="C30" s="49" t="s">
        <v>76</v>
      </c>
      <c r="D30" s="9"/>
      <c r="E30" s="5"/>
      <c r="F30" s="10">
        <f t="shared" si="7"/>
        <v>0</v>
      </c>
      <c r="G30" s="9"/>
      <c r="H30" s="5"/>
      <c r="I30" s="10">
        <f t="shared" si="8"/>
        <v>0</v>
      </c>
      <c r="J30" s="9"/>
      <c r="K30" s="5"/>
      <c r="L30" s="10">
        <f t="shared" si="3"/>
        <v>0</v>
      </c>
      <c r="M30" s="46"/>
      <c r="O30" s="27" t="str">
        <f t="shared" si="10"/>
        <v>blank</v>
      </c>
      <c r="Q30" s="48">
        <f>L70-R30</f>
        <v>0</v>
      </c>
      <c r="R30" s="70">
        <f>SUM(R24:R29)</f>
        <v>3208438</v>
      </c>
      <c r="S30" t="s">
        <v>97</v>
      </c>
      <c r="V30" s="30"/>
    </row>
    <row r="31" spans="2:28" outlineLevel="1" x14ac:dyDescent="0.3">
      <c r="B31" s="22" t="s">
        <v>68</v>
      </c>
      <c r="C31" s="49" t="s">
        <v>61</v>
      </c>
      <c r="D31" s="9"/>
      <c r="E31" s="5"/>
      <c r="F31" s="10">
        <f t="shared" si="7"/>
        <v>0</v>
      </c>
      <c r="G31" s="9"/>
      <c r="H31" s="5"/>
      <c r="I31" s="10">
        <f t="shared" si="8"/>
        <v>0</v>
      </c>
      <c r="J31" s="9"/>
      <c r="K31" s="5"/>
      <c r="L31" s="10">
        <f t="shared" si="3"/>
        <v>0</v>
      </c>
      <c r="M31" s="46"/>
      <c r="O31" s="27" t="str">
        <f t="shared" si="10"/>
        <v>blank</v>
      </c>
      <c r="Q31" s="48">
        <f>MROUND(L71-R31,1)</f>
        <v>0</v>
      </c>
      <c r="R31" s="2">
        <f>T39</f>
        <v>2738456</v>
      </c>
      <c r="S31" t="s">
        <v>96</v>
      </c>
      <c r="V31" s="30"/>
    </row>
    <row r="32" spans="2:28" ht="15.65" outlineLevel="1" thickBot="1" x14ac:dyDescent="0.35">
      <c r="B32" s="22" t="s">
        <v>69</v>
      </c>
      <c r="C32" s="49" t="s">
        <v>61</v>
      </c>
      <c r="D32" s="9"/>
      <c r="E32" s="5"/>
      <c r="F32" s="10"/>
      <c r="G32" s="9"/>
      <c r="H32" s="5"/>
      <c r="I32" s="10"/>
      <c r="J32" s="9"/>
      <c r="K32" s="5"/>
      <c r="L32" s="10"/>
      <c r="M32" s="46"/>
      <c r="O32" s="27" t="str">
        <f t="shared" si="10"/>
        <v>blank</v>
      </c>
      <c r="Q32" s="48">
        <f>MROUND(L73-R32,1)</f>
        <v>0</v>
      </c>
      <c r="R32" s="52">
        <f>SUM(R30:R31)</f>
        <v>5946894</v>
      </c>
      <c r="S32" s="43" t="s">
        <v>98</v>
      </c>
      <c r="V32" s="30"/>
    </row>
    <row r="33" spans="2:22" ht="15.65" outlineLevel="1" thickTop="1" x14ac:dyDescent="0.3">
      <c r="B33" s="22" t="s">
        <v>20</v>
      </c>
      <c r="C33" s="49" t="s">
        <v>60</v>
      </c>
      <c r="D33" s="9">
        <f>'[1]Facility Detail'!$F$884</f>
        <v>0</v>
      </c>
      <c r="E33" s="5">
        <f>'[1]Facility Detail'!$F$866+'[1]Facility Detail'!$F$877+'[1]Facility Detail'!$F$885+'[1]Facility Detail'!$F$886</f>
        <v>0</v>
      </c>
      <c r="F33" s="10">
        <f t="shared" si="7"/>
        <v>0</v>
      </c>
      <c r="G33" s="9">
        <f>'[1]Facility Detail'!$G$886</f>
        <v>0</v>
      </c>
      <c r="H33" s="5">
        <f>'[1]Facility Detail'!$G$866+'[1]Facility Detail'!$G$877+'[1]Facility Detail'!$G$887+'[1]Facility Detail'!$G$888</f>
        <v>0</v>
      </c>
      <c r="I33" s="10">
        <f t="shared" si="8"/>
        <v>0</v>
      </c>
      <c r="J33" s="9"/>
      <c r="K33" s="5"/>
      <c r="L33" s="10">
        <f t="shared" si="3"/>
        <v>0</v>
      </c>
      <c r="M33" s="46"/>
      <c r="N33" t="str">
        <f>'[1]Facility Detail'!$M$866</f>
        <v>Klondike 1</v>
      </c>
      <c r="O33" s="27" t="b">
        <f t="shared" si="10"/>
        <v>1</v>
      </c>
      <c r="V33" s="30"/>
    </row>
    <row r="34" spans="2:22" outlineLevel="1" x14ac:dyDescent="0.3">
      <c r="B34" s="22" t="s">
        <v>21</v>
      </c>
      <c r="C34" s="49" t="s">
        <v>60</v>
      </c>
      <c r="D34" s="9">
        <f>'[1]Facility Detail'!$F$922</f>
        <v>0</v>
      </c>
      <c r="E34" s="5">
        <f>'[1]Facility Detail'!$F$904+'[1]Facility Detail'!$F$915+'[1]Facility Detail'!$F$923+'[1]Facility Detail'!$F$924</f>
        <v>0</v>
      </c>
      <c r="F34" s="10">
        <f t="shared" si="7"/>
        <v>0</v>
      </c>
      <c r="G34" s="9">
        <f>'[1]Facility Detail'!$G$924</f>
        <v>0</v>
      </c>
      <c r="H34" s="5">
        <f>'[1]Facility Detail'!$G$904+'[1]Facility Detail'!$G$915+'[1]Facility Detail'!$G$925+'[1]Facility Detail'!$G$926</f>
        <v>0</v>
      </c>
      <c r="I34" s="10">
        <f t="shared" si="8"/>
        <v>0</v>
      </c>
      <c r="J34" s="9"/>
      <c r="K34" s="5"/>
      <c r="L34" s="10">
        <f t="shared" si="3"/>
        <v>0</v>
      </c>
      <c r="M34" s="46"/>
      <c r="N34" t="str">
        <f>'[1]Facility Detail'!$M$904</f>
        <v>Klondike III - Klondike Wind Power III LLC</v>
      </c>
      <c r="O34" s="27" t="b">
        <f t="shared" si="10"/>
        <v>1</v>
      </c>
      <c r="T34" s="138">
        <f>'Order of Priority '!E13</f>
        <v>22127</v>
      </c>
      <c r="U34" s="139" t="s">
        <v>141</v>
      </c>
    </row>
    <row r="35" spans="2:22" outlineLevel="1" x14ac:dyDescent="0.3">
      <c r="B35" s="22" t="s">
        <v>22</v>
      </c>
      <c r="C35" s="49" t="s">
        <v>60</v>
      </c>
      <c r="D35" s="9">
        <f>'[1]Facility Detail'!$F$960</f>
        <v>0</v>
      </c>
      <c r="E35" s="5">
        <f>'[1]Facility Detail'!$F$942+'[1]Facility Detail'!$F$953+'[1]Facility Detail'!$F$961+'[1]Facility Detail'!$F$962</f>
        <v>0</v>
      </c>
      <c r="F35" s="10">
        <f t="shared" si="7"/>
        <v>0</v>
      </c>
      <c r="G35" s="9">
        <f>'[1]Facility Detail'!$G$962</f>
        <v>0</v>
      </c>
      <c r="H35" s="5">
        <f>'[1]Facility Detail'!$G$942+'[1]Facility Detail'!$G$953+'[1]Facility Detail'!$G$963+'[1]Facility Detail'!$G$964</f>
        <v>0</v>
      </c>
      <c r="I35" s="10">
        <f t="shared" si="8"/>
        <v>0</v>
      </c>
      <c r="J35" s="9"/>
      <c r="K35" s="5"/>
      <c r="L35" s="10">
        <f t="shared" si="3"/>
        <v>0</v>
      </c>
      <c r="M35" s="46"/>
      <c r="O35" s="27" t="str">
        <f t="shared" si="10"/>
        <v>blank</v>
      </c>
      <c r="T35" s="138">
        <f>'Order of Priority '!E14</f>
        <v>128557</v>
      </c>
      <c r="U35" s="143" t="s">
        <v>3</v>
      </c>
    </row>
    <row r="36" spans="2:22" outlineLevel="1" x14ac:dyDescent="0.3">
      <c r="B36" s="22" t="s">
        <v>23</v>
      </c>
      <c r="C36" s="49" t="s">
        <v>60</v>
      </c>
      <c r="D36" s="9">
        <f>'[1]Facility Detail'!$F$998</f>
        <v>0</v>
      </c>
      <c r="E36" s="5">
        <f>'[1]Facility Detail'!$F$980+'[1]Facility Detail'!$F$991+'[1]Facility Detail'!$F$999+'[1]Facility Detail'!$F$1000</f>
        <v>0</v>
      </c>
      <c r="F36" s="10">
        <f t="shared" si="7"/>
        <v>0</v>
      </c>
      <c r="G36" s="9">
        <f>'[1]Facility Detail'!$G$1000</f>
        <v>0</v>
      </c>
      <c r="H36" s="5">
        <f>'[1]Facility Detail'!$G$980+'[1]Facility Detail'!$G$991+'[1]Facility Detail'!$G$1001+'[1]Facility Detail'!$G$1002</f>
        <v>0</v>
      </c>
      <c r="I36" s="10">
        <f t="shared" si="8"/>
        <v>0</v>
      </c>
      <c r="J36" s="9"/>
      <c r="K36" s="5"/>
      <c r="L36" s="10">
        <f t="shared" si="3"/>
        <v>0</v>
      </c>
      <c r="M36" s="46"/>
      <c r="O36" s="27" t="str">
        <f t="shared" si="10"/>
        <v>blank</v>
      </c>
      <c r="T36" s="138">
        <f>'Order of Priority '!E15</f>
        <v>643339</v>
      </c>
      <c r="U36" s="143" t="s">
        <v>95</v>
      </c>
    </row>
    <row r="37" spans="2:22" outlineLevel="1" x14ac:dyDescent="0.3">
      <c r="B37" s="22" t="s">
        <v>24</v>
      </c>
      <c r="C37" s="49" t="s">
        <v>60</v>
      </c>
      <c r="D37" s="9">
        <f>'[1]Facility Detail'!$F$1036</f>
        <v>0</v>
      </c>
      <c r="E37" s="5">
        <f>'[1]Facility Detail'!$F$1018+'[1]Facility Detail'!$F$1029+'[1]Facility Detail'!$F$1037+'[1]Facility Detail'!$F$1038</f>
        <v>0</v>
      </c>
      <c r="F37" s="10">
        <f t="shared" si="7"/>
        <v>0</v>
      </c>
      <c r="G37" s="9">
        <f>'[1]Facility Detail'!$G$1038</f>
        <v>0</v>
      </c>
      <c r="H37" s="5">
        <f>'[1]Facility Detail'!$G$1018+'[1]Facility Detail'!$G$1029+'[1]Facility Detail'!$G$1039+'[1]Facility Detail'!$G$1040</f>
        <v>0</v>
      </c>
      <c r="I37" s="10">
        <f t="shared" si="8"/>
        <v>0</v>
      </c>
      <c r="J37" s="9"/>
      <c r="K37" s="5"/>
      <c r="L37" s="10">
        <f t="shared" si="3"/>
        <v>0</v>
      </c>
      <c r="M37" s="46"/>
      <c r="O37" s="27" t="str">
        <f t="shared" si="10"/>
        <v>blank</v>
      </c>
      <c r="T37" s="138">
        <f>'Order of Priority '!E16</f>
        <v>584603</v>
      </c>
      <c r="U37" s="143" t="s">
        <v>143</v>
      </c>
      <c r="V37" s="30"/>
    </row>
    <row r="38" spans="2:22" outlineLevel="1" x14ac:dyDescent="0.3">
      <c r="B38" s="22" t="s">
        <v>25</v>
      </c>
      <c r="C38" s="49" t="s">
        <v>60</v>
      </c>
      <c r="D38" s="9"/>
      <c r="E38" s="5"/>
      <c r="F38" s="10">
        <f t="shared" si="7"/>
        <v>0</v>
      </c>
      <c r="G38" s="9"/>
      <c r="H38" s="5"/>
      <c r="I38" s="10">
        <f t="shared" si="8"/>
        <v>0</v>
      </c>
      <c r="J38" s="9"/>
      <c r="K38" s="5"/>
      <c r="L38" s="10">
        <f t="shared" ref="L38:L58" si="11">SUM(J38:K38)</f>
        <v>0</v>
      </c>
      <c r="M38" s="46"/>
      <c r="O38" s="27" t="str">
        <f t="shared" si="10"/>
        <v>blank</v>
      </c>
      <c r="T38" s="138">
        <f>'Order of Priority '!E17</f>
        <v>1359830</v>
      </c>
      <c r="U38" s="143" t="s">
        <v>110</v>
      </c>
      <c r="V38" s="30"/>
    </row>
    <row r="39" spans="2:22" ht="15.65" outlineLevel="1" thickBot="1" x14ac:dyDescent="0.35">
      <c r="B39" s="22" t="s">
        <v>26</v>
      </c>
      <c r="C39" s="49" t="s">
        <v>60</v>
      </c>
      <c r="D39" s="9"/>
      <c r="E39" s="5"/>
      <c r="F39" s="10">
        <f t="shared" si="7"/>
        <v>0</v>
      </c>
      <c r="G39" s="9"/>
      <c r="H39" s="5"/>
      <c r="I39" s="10">
        <f t="shared" si="8"/>
        <v>0</v>
      </c>
      <c r="J39" s="9"/>
      <c r="K39" s="5"/>
      <c r="L39" s="10">
        <f t="shared" si="11"/>
        <v>0</v>
      </c>
      <c r="M39" s="46"/>
      <c r="O39" s="27" t="str">
        <f t="shared" si="10"/>
        <v>blank</v>
      </c>
      <c r="S39" s="48">
        <f>MROUND('[1]Compliance Summary'!$F$38-T39,1)</f>
        <v>0</v>
      </c>
      <c r="T39" s="52">
        <f>SUM(T34:T38)</f>
        <v>2738456</v>
      </c>
      <c r="U39" t="s">
        <v>96</v>
      </c>
      <c r="V39" s="30"/>
    </row>
    <row r="40" spans="2:22" s="60" customFormat="1" ht="15.65" outlineLevel="1" thickTop="1" x14ac:dyDescent="0.3">
      <c r="B40" s="49" t="s">
        <v>130</v>
      </c>
      <c r="C40" s="49" t="s">
        <v>76</v>
      </c>
      <c r="D40" s="136"/>
      <c r="E40" s="46"/>
      <c r="F40" s="53"/>
      <c r="G40" s="136"/>
      <c r="H40" s="46">
        <f>'[1]Facility Detail'!$G$1132</f>
        <v>2608</v>
      </c>
      <c r="I40" s="10">
        <f t="shared" si="8"/>
        <v>2608</v>
      </c>
      <c r="J40" s="136"/>
      <c r="K40" s="46"/>
      <c r="L40" s="53"/>
      <c r="M40" s="46"/>
      <c r="N40" t="str">
        <f>'[1]Facility Detail'!$M$1152</f>
        <v>Mt Home Solar 1 LLC - Mt Home Solar 1 LLC</v>
      </c>
      <c r="O40" s="27" t="b">
        <f>IF(ISBLANK(N40),"blank",N40=B40)</f>
        <v>1</v>
      </c>
      <c r="S40" s="115"/>
      <c r="T40" s="133"/>
      <c r="V40" s="62"/>
    </row>
    <row r="41" spans="2:22" outlineLevel="1" x14ac:dyDescent="0.3">
      <c r="B41" s="22" t="s">
        <v>27</v>
      </c>
      <c r="C41" s="49" t="s">
        <v>60</v>
      </c>
      <c r="D41" s="9"/>
      <c r="E41" s="5"/>
      <c r="F41" s="10">
        <f t="shared" si="7"/>
        <v>0</v>
      </c>
      <c r="G41" s="9"/>
      <c r="H41" s="5"/>
      <c r="I41" s="10">
        <f t="shared" si="8"/>
        <v>0</v>
      </c>
      <c r="J41" s="9"/>
      <c r="K41" s="5"/>
      <c r="L41" s="10">
        <f t="shared" si="11"/>
        <v>0</v>
      </c>
      <c r="M41" s="46"/>
      <c r="N41" t="str">
        <f>'[1]Facility Detail'!$M$1190</f>
        <v>Nine Canyon Wind Project - Nine Canyon Phase 3</v>
      </c>
      <c r="O41" s="27" t="b">
        <f>IF(ISBLANK(N41),"blank",N41=B41)</f>
        <v>1</v>
      </c>
      <c r="V41" s="30"/>
    </row>
    <row r="42" spans="2:22" outlineLevel="1" x14ac:dyDescent="0.3">
      <c r="B42" s="22" t="s">
        <v>28</v>
      </c>
      <c r="C42" s="49" t="s">
        <v>60</v>
      </c>
      <c r="D42" s="9">
        <f>'[1]Facility Detail'!$F$1188</f>
        <v>0</v>
      </c>
      <c r="E42" s="5">
        <f>'[1]Facility Detail'!$F$1170+'[1]Facility Detail'!$F$1181+'[1]Facility Detail'!$F$1189+'[1]Facility Detail'!$F$1190</f>
        <v>0</v>
      </c>
      <c r="F42" s="10">
        <f t="shared" si="7"/>
        <v>0</v>
      </c>
      <c r="G42" s="9"/>
      <c r="H42" s="5"/>
      <c r="I42" s="10">
        <f t="shared" si="8"/>
        <v>0</v>
      </c>
      <c r="J42" s="9"/>
      <c r="K42" s="5"/>
      <c r="L42" s="10">
        <f t="shared" si="11"/>
        <v>0</v>
      </c>
      <c r="M42" s="46"/>
      <c r="O42" s="27" t="str">
        <f>IF(ISBLANK(N42),"blank",N42=B42)</f>
        <v>blank</v>
      </c>
      <c r="V42" s="30"/>
    </row>
    <row r="43" spans="2:22" outlineLevel="1" x14ac:dyDescent="0.3">
      <c r="B43" s="22" t="s">
        <v>29</v>
      </c>
      <c r="C43" s="49" t="s">
        <v>60</v>
      </c>
      <c r="D43" s="9"/>
      <c r="E43" s="5"/>
      <c r="F43" s="10">
        <f t="shared" si="7"/>
        <v>0</v>
      </c>
      <c r="G43" s="9"/>
      <c r="H43" s="5"/>
      <c r="I43" s="10">
        <f t="shared" si="8"/>
        <v>0</v>
      </c>
      <c r="J43" s="9"/>
      <c r="K43" s="5"/>
      <c r="L43" s="10">
        <f t="shared" si="11"/>
        <v>0</v>
      </c>
      <c r="M43" s="46"/>
      <c r="O43" s="27" t="str">
        <f t="shared" si="10"/>
        <v>blank</v>
      </c>
      <c r="V43" s="30"/>
    </row>
    <row r="44" spans="2:22" outlineLevel="1" x14ac:dyDescent="0.3">
      <c r="B44" s="22" t="s">
        <v>30</v>
      </c>
      <c r="C44" s="49" t="s">
        <v>60</v>
      </c>
      <c r="D44" s="9">
        <v>0</v>
      </c>
      <c r="E44" s="5">
        <v>0</v>
      </c>
      <c r="F44" s="10">
        <f t="shared" si="7"/>
        <v>0</v>
      </c>
      <c r="G44" s="9"/>
      <c r="H44" s="5"/>
      <c r="I44" s="10">
        <f t="shared" si="8"/>
        <v>0</v>
      </c>
      <c r="J44" s="9"/>
      <c r="K44" s="5"/>
      <c r="L44" s="10">
        <f t="shared" si="11"/>
        <v>0</v>
      </c>
      <c r="M44" s="46"/>
      <c r="O44" s="27" t="str">
        <f t="shared" si="10"/>
        <v>blank</v>
      </c>
      <c r="V44" s="30"/>
    </row>
    <row r="45" spans="2:22" outlineLevel="1" x14ac:dyDescent="0.3">
      <c r="B45" s="22" t="s">
        <v>31</v>
      </c>
      <c r="C45" s="49" t="s">
        <v>60</v>
      </c>
      <c r="D45" s="9"/>
      <c r="E45" s="5"/>
      <c r="F45" s="10">
        <f t="shared" si="7"/>
        <v>0</v>
      </c>
      <c r="G45" s="9"/>
      <c r="H45" s="5"/>
      <c r="I45" s="10">
        <f t="shared" si="8"/>
        <v>0</v>
      </c>
      <c r="J45" s="9"/>
      <c r="K45" s="5"/>
      <c r="L45" s="10">
        <f t="shared" si="11"/>
        <v>0</v>
      </c>
      <c r="M45" s="46"/>
      <c r="O45" s="27" t="str">
        <f t="shared" si="10"/>
        <v>blank</v>
      </c>
      <c r="V45" s="30"/>
    </row>
    <row r="46" spans="2:22" outlineLevel="1" x14ac:dyDescent="0.3">
      <c r="B46" s="22" t="s">
        <v>32</v>
      </c>
      <c r="C46" s="49" t="s">
        <v>77</v>
      </c>
      <c r="D46" s="9"/>
      <c r="E46" s="5"/>
      <c r="F46" s="10">
        <f t="shared" si="7"/>
        <v>0</v>
      </c>
      <c r="G46" s="9"/>
      <c r="H46" s="5"/>
      <c r="I46" s="10">
        <f t="shared" si="8"/>
        <v>0</v>
      </c>
      <c r="J46" s="9"/>
      <c r="K46" s="5"/>
      <c r="L46" s="10">
        <f t="shared" si="11"/>
        <v>0</v>
      </c>
      <c r="M46" s="46"/>
      <c r="O46" s="27" t="str">
        <f t="shared" si="10"/>
        <v>blank</v>
      </c>
      <c r="V46" s="30"/>
    </row>
    <row r="47" spans="2:22" outlineLevel="1" x14ac:dyDescent="0.3">
      <c r="B47" s="22" t="s">
        <v>33</v>
      </c>
      <c r="C47" s="49" t="s">
        <v>60</v>
      </c>
      <c r="D47" s="9"/>
      <c r="E47" s="5"/>
      <c r="F47" s="10">
        <f t="shared" si="7"/>
        <v>0</v>
      </c>
      <c r="G47" s="9"/>
      <c r="H47" s="5"/>
      <c r="I47" s="10">
        <f t="shared" si="8"/>
        <v>0</v>
      </c>
      <c r="J47" s="9"/>
      <c r="K47" s="5"/>
      <c r="L47" s="10">
        <f t="shared" si="11"/>
        <v>0</v>
      </c>
      <c r="M47" s="46"/>
      <c r="O47" s="27" t="str">
        <f t="shared" si="10"/>
        <v>blank</v>
      </c>
      <c r="V47" s="30"/>
    </row>
    <row r="48" spans="2:22" outlineLevel="1" x14ac:dyDescent="0.3">
      <c r="B48" s="22" t="s">
        <v>34</v>
      </c>
      <c r="C48" s="49" t="s">
        <v>60</v>
      </c>
      <c r="D48" s="9">
        <f>'[1]Facility Detail'!$F$1454</f>
        <v>0</v>
      </c>
      <c r="F48" s="10">
        <f t="shared" si="7"/>
        <v>0</v>
      </c>
      <c r="G48" s="9"/>
      <c r="H48" s="5"/>
      <c r="I48" s="10">
        <f t="shared" si="8"/>
        <v>0</v>
      </c>
      <c r="J48" s="9"/>
      <c r="K48" s="5"/>
      <c r="L48" s="10">
        <f t="shared" si="11"/>
        <v>0</v>
      </c>
      <c r="M48" s="46"/>
      <c r="N48" t="str">
        <f>'[1]Facility Detail'!$M$1436</f>
        <v>Sawtooth Wind Project - Sawtooth Wind Project</v>
      </c>
      <c r="O48" s="27" t="b">
        <f>IF(ISBLANK(N48),"blank",N48=B48)</f>
        <v>1</v>
      </c>
      <c r="V48" s="30"/>
    </row>
    <row r="49" spans="2:22" outlineLevel="1" x14ac:dyDescent="0.3">
      <c r="B49" s="22" t="s">
        <v>131</v>
      </c>
      <c r="C49" s="49" t="s">
        <v>60</v>
      </c>
      <c r="D49" s="9"/>
      <c r="F49" s="10"/>
      <c r="G49" s="9"/>
      <c r="H49" s="5">
        <f>'[1]Facility Detail'!$G$1474</f>
        <v>8416</v>
      </c>
      <c r="I49" s="10">
        <f t="shared" si="8"/>
        <v>8416</v>
      </c>
      <c r="J49" s="9"/>
      <c r="K49" s="5"/>
      <c r="L49" s="10"/>
      <c r="M49" s="46"/>
      <c r="N49" t="str">
        <f>'[1]Facility Detail'!$M$1474</f>
        <v>Sierra Pacific Burlington - SPI Burlington Onsite Load</v>
      </c>
      <c r="O49" s="27" t="b">
        <f>IF(ISBLANK(N49),"blank",N49=B49)</f>
        <v>1</v>
      </c>
      <c r="V49" s="30"/>
    </row>
    <row r="50" spans="2:22" outlineLevel="1" x14ac:dyDescent="0.3">
      <c r="B50" s="22" t="s">
        <v>35</v>
      </c>
      <c r="C50" s="49" t="s">
        <v>60</v>
      </c>
      <c r="D50" s="9"/>
      <c r="E50" s="5">
        <f>'[1]Facility Detail'!$F$1436+'[1]Facility Detail'!$F$1447+'[1]Facility Detail'!$F$1455+'[1]Facility Detail'!$F$1456</f>
        <v>0</v>
      </c>
      <c r="F50" s="10">
        <f>SUM(D50:E50)</f>
        <v>0</v>
      </c>
      <c r="G50" s="9"/>
      <c r="H50" s="5"/>
      <c r="I50" s="10">
        <f t="shared" si="8"/>
        <v>0</v>
      </c>
      <c r="J50" s="9"/>
      <c r="K50" s="5"/>
      <c r="L50" s="10">
        <f t="shared" si="11"/>
        <v>0</v>
      </c>
      <c r="M50" s="46"/>
      <c r="O50" s="27" t="str">
        <f>IF(ISBLANK(N50),"blank",N50=B50)</f>
        <v>blank</v>
      </c>
      <c r="V50" s="30"/>
    </row>
    <row r="51" spans="2:22" outlineLevel="1" x14ac:dyDescent="0.3">
      <c r="B51" s="22" t="s">
        <v>36</v>
      </c>
      <c r="C51" s="49" t="s">
        <v>61</v>
      </c>
      <c r="D51" s="9"/>
      <c r="E51" s="5"/>
      <c r="F51" s="10">
        <f t="shared" si="7"/>
        <v>0</v>
      </c>
      <c r="G51" s="9"/>
      <c r="H51" s="5">
        <f>'[1]Facility Detail'!$G$1550</f>
        <v>7576</v>
      </c>
      <c r="I51" s="10">
        <f t="shared" si="8"/>
        <v>7576</v>
      </c>
      <c r="J51" s="9"/>
      <c r="K51" s="5"/>
      <c r="L51" s="10">
        <f t="shared" si="11"/>
        <v>0</v>
      </c>
      <c r="M51" s="46"/>
      <c r="N51" t="str">
        <f>'[1]Facility Detail'!$M$1550</f>
        <v>stimson lumber-plummer - stimson-plummer</v>
      </c>
      <c r="O51" s="27" t="b">
        <f t="shared" si="10"/>
        <v>1</v>
      </c>
      <c r="V51" s="30"/>
    </row>
    <row r="52" spans="2:22" outlineLevel="1" x14ac:dyDescent="0.3">
      <c r="B52" s="23" t="s">
        <v>37</v>
      </c>
      <c r="C52" s="50" t="s">
        <v>61</v>
      </c>
      <c r="D52" s="11"/>
      <c r="E52" s="12"/>
      <c r="F52" s="13">
        <f t="shared" si="7"/>
        <v>0</v>
      </c>
      <c r="G52" s="11"/>
      <c r="H52" s="12"/>
      <c r="I52" s="13">
        <f t="shared" si="8"/>
        <v>0</v>
      </c>
      <c r="J52" s="11"/>
      <c r="K52" s="12"/>
      <c r="L52" s="13">
        <f t="shared" si="11"/>
        <v>0</v>
      </c>
      <c r="M52" s="46"/>
      <c r="O52" s="27" t="str">
        <f t="shared" si="10"/>
        <v>blank</v>
      </c>
      <c r="V52" s="30"/>
    </row>
    <row r="53" spans="2:22" outlineLevel="1" x14ac:dyDescent="0.3">
      <c r="B53" s="23" t="s">
        <v>70</v>
      </c>
      <c r="C53" s="50" t="s">
        <v>121</v>
      </c>
      <c r="D53" s="11"/>
      <c r="E53" s="12"/>
      <c r="F53" s="13">
        <f t="shared" si="7"/>
        <v>0</v>
      </c>
      <c r="G53" s="11"/>
      <c r="H53" s="12"/>
      <c r="I53" s="13">
        <f t="shared" si="8"/>
        <v>0</v>
      </c>
      <c r="J53" s="11"/>
      <c r="K53" s="12"/>
      <c r="L53" s="13">
        <f t="shared" si="11"/>
        <v>0</v>
      </c>
      <c r="M53" s="46"/>
      <c r="O53" s="27" t="str">
        <f t="shared" si="10"/>
        <v>blank</v>
      </c>
      <c r="V53" s="30"/>
    </row>
    <row r="54" spans="2:22" outlineLevel="1" x14ac:dyDescent="0.3">
      <c r="B54" s="22" t="s">
        <v>38</v>
      </c>
      <c r="C54" s="49" t="s">
        <v>60</v>
      </c>
      <c r="D54" s="9"/>
      <c r="E54" s="5"/>
      <c r="F54" s="10">
        <f t="shared" si="7"/>
        <v>0</v>
      </c>
      <c r="G54" s="9"/>
      <c r="H54" s="5"/>
      <c r="I54" s="10">
        <f t="shared" si="8"/>
        <v>0</v>
      </c>
      <c r="J54" s="9"/>
      <c r="K54" s="5"/>
      <c r="L54" s="10">
        <f t="shared" si="11"/>
        <v>0</v>
      </c>
      <c r="M54" s="46"/>
      <c r="O54" s="27" t="str">
        <f t="shared" si="10"/>
        <v>blank</v>
      </c>
      <c r="V54" s="30"/>
    </row>
    <row r="55" spans="2:22" outlineLevel="1" x14ac:dyDescent="0.3">
      <c r="B55" s="22" t="s">
        <v>39</v>
      </c>
      <c r="C55" s="49" t="s">
        <v>60</v>
      </c>
      <c r="D55" s="9"/>
      <c r="E55" s="5"/>
      <c r="F55" s="10">
        <f t="shared" si="7"/>
        <v>0</v>
      </c>
      <c r="G55" s="9"/>
      <c r="H55" s="5"/>
      <c r="I55" s="10">
        <f t="shared" si="8"/>
        <v>0</v>
      </c>
      <c r="J55" s="9"/>
      <c r="K55" s="5"/>
      <c r="L55" s="10">
        <f t="shared" si="11"/>
        <v>0</v>
      </c>
      <c r="M55" s="46"/>
      <c r="O55" s="27" t="str">
        <f t="shared" si="10"/>
        <v>blank</v>
      </c>
      <c r="V55" s="30"/>
    </row>
    <row r="56" spans="2:22" outlineLevel="1" x14ac:dyDescent="0.3">
      <c r="B56" s="22" t="s">
        <v>40</v>
      </c>
      <c r="C56" s="49" t="s">
        <v>60</v>
      </c>
      <c r="D56" s="9"/>
      <c r="E56" s="5"/>
      <c r="F56" s="10">
        <f t="shared" si="7"/>
        <v>0</v>
      </c>
      <c r="G56" s="9"/>
      <c r="H56" s="5"/>
      <c r="I56" s="10">
        <f t="shared" si="8"/>
        <v>0</v>
      </c>
      <c r="J56" s="9"/>
      <c r="K56" s="5"/>
      <c r="L56" s="10">
        <f t="shared" si="11"/>
        <v>0</v>
      </c>
      <c r="M56" s="46"/>
      <c r="O56" s="27" t="str">
        <f t="shared" si="10"/>
        <v>blank</v>
      </c>
      <c r="V56" s="30"/>
    </row>
    <row r="57" spans="2:22" outlineLevel="1" x14ac:dyDescent="0.3">
      <c r="B57" s="22" t="s">
        <v>41</v>
      </c>
      <c r="C57" s="49" t="s">
        <v>60</v>
      </c>
      <c r="D57" s="9"/>
      <c r="E57" s="5"/>
      <c r="F57" s="10">
        <f t="shared" si="7"/>
        <v>0</v>
      </c>
      <c r="G57" s="9"/>
      <c r="H57" s="5"/>
      <c r="I57" s="10">
        <f t="shared" si="8"/>
        <v>0</v>
      </c>
      <c r="J57" s="9"/>
      <c r="K57" s="5"/>
      <c r="L57" s="10">
        <f t="shared" si="11"/>
        <v>0</v>
      </c>
      <c r="M57" s="46"/>
      <c r="O57" s="27" t="str">
        <f t="shared" si="10"/>
        <v>blank</v>
      </c>
      <c r="V57" s="30"/>
    </row>
    <row r="58" spans="2:22" outlineLevel="1" x14ac:dyDescent="0.3">
      <c r="B58" s="22" t="s">
        <v>42</v>
      </c>
      <c r="C58" s="49" t="s">
        <v>60</v>
      </c>
      <c r="D58" s="9"/>
      <c r="E58" s="5"/>
      <c r="F58" s="10">
        <f t="shared" si="7"/>
        <v>0</v>
      </c>
      <c r="G58" s="9"/>
      <c r="H58" s="5"/>
      <c r="I58" s="10">
        <f t="shared" si="8"/>
        <v>0</v>
      </c>
      <c r="J58" s="9"/>
      <c r="K58" s="5"/>
      <c r="L58" s="10">
        <f t="shared" si="11"/>
        <v>0</v>
      </c>
      <c r="M58" s="46"/>
      <c r="O58" s="27" t="str">
        <f t="shared" si="10"/>
        <v>blank</v>
      </c>
      <c r="V58" s="30"/>
    </row>
    <row r="59" spans="2:22" x14ac:dyDescent="0.3">
      <c r="B59" s="22"/>
      <c r="C59" s="22"/>
      <c r="D59" s="14"/>
      <c r="E59" s="3"/>
      <c r="F59" s="15"/>
      <c r="G59" s="14"/>
      <c r="H59" s="3"/>
      <c r="I59" s="15"/>
      <c r="J59" s="14"/>
      <c r="K59" s="3"/>
      <c r="L59" s="15"/>
      <c r="M59" s="46"/>
      <c r="V59" s="30"/>
    </row>
    <row r="60" spans="2:22" ht="15.65" thickBot="1" x14ac:dyDescent="0.35">
      <c r="B60" s="25" t="s">
        <v>45</v>
      </c>
      <c r="C60" s="25"/>
      <c r="D60" s="16">
        <f t="shared" ref="D60:L60" si="12">SUM(D5:D59)</f>
        <v>1123136.2</v>
      </c>
      <c r="E60" s="4">
        <f t="shared" si="12"/>
        <v>1961227</v>
      </c>
      <c r="F60" s="17">
        <f t="shared" si="12"/>
        <v>3084363.2000000007</v>
      </c>
      <c r="G60" s="16">
        <f t="shared" si="12"/>
        <v>761342</v>
      </c>
      <c r="H60" s="4">
        <f t="shared" si="12"/>
        <v>2437410</v>
      </c>
      <c r="I60" s="17">
        <f t="shared" si="12"/>
        <v>3198752.0000000005</v>
      </c>
      <c r="J60" s="16">
        <f t="shared" si="12"/>
        <v>1495725</v>
      </c>
      <c r="K60" s="4">
        <f t="shared" si="12"/>
        <v>1712713.0000000002</v>
      </c>
      <c r="L60" s="17">
        <f t="shared" si="12"/>
        <v>3208438</v>
      </c>
      <c r="M60" s="46"/>
      <c r="V60" s="30"/>
    </row>
    <row r="61" spans="2:22" ht="15.65" outlineLevel="1" thickTop="1" x14ac:dyDescent="0.3">
      <c r="B61" s="22"/>
      <c r="C61" s="22"/>
      <c r="D61" s="9"/>
      <c r="E61" s="5"/>
      <c r="F61" s="10"/>
      <c r="G61" s="9"/>
      <c r="H61" s="5"/>
      <c r="I61" s="10"/>
      <c r="J61" s="9"/>
      <c r="K61" s="5"/>
      <c r="L61" s="10"/>
      <c r="M61" s="46"/>
    </row>
    <row r="62" spans="2:22" outlineLevel="1" x14ac:dyDescent="0.3">
      <c r="B62" s="22" t="s">
        <v>122</v>
      </c>
      <c r="C62" s="22"/>
      <c r="D62" s="9">
        <f>'[1]Compliance Summary'!$D$27</f>
        <v>1123136</v>
      </c>
      <c r="E62" s="5"/>
      <c r="F62" s="10">
        <f>SUM(D62:E62)</f>
        <v>1123136</v>
      </c>
      <c r="G62" s="9">
        <f>-F66</f>
        <v>761342</v>
      </c>
      <c r="H62" s="5"/>
      <c r="I62" s="10">
        <f>SUM(G62:H62)</f>
        <v>761342</v>
      </c>
      <c r="J62" s="9">
        <f>-I66</f>
        <v>1495725</v>
      </c>
      <c r="K62" s="5"/>
      <c r="L62" s="10">
        <f>SUM(J62:K62)</f>
        <v>1495725</v>
      </c>
      <c r="M62" s="46"/>
    </row>
    <row r="63" spans="2:22" outlineLevel="1" x14ac:dyDescent="0.3">
      <c r="B63" s="22" t="s">
        <v>123</v>
      </c>
      <c r="C63" s="22"/>
      <c r="D63" s="9"/>
      <c r="E63" s="5">
        <f>'[1]Compliance Summary'!$D$14</f>
        <v>2741169</v>
      </c>
      <c r="F63" s="10">
        <f>SUM(D63:E63)</f>
        <v>2741169</v>
      </c>
      <c r="G63" s="9"/>
      <c r="H63" s="5">
        <f>'[1]Compliance Summary'!$E$14</f>
        <v>3987219</v>
      </c>
      <c r="I63" s="10">
        <f>SUM(G63:H63)</f>
        <v>3987219</v>
      </c>
      <c r="J63" s="9"/>
      <c r="K63" s="5">
        <f>'[1]Compliance Summary'!$F$14</f>
        <v>4451169</v>
      </c>
      <c r="L63" s="10">
        <f>SUM(J63:K63)</f>
        <v>4451169</v>
      </c>
      <c r="M63" s="46"/>
    </row>
    <row r="64" spans="2:22" outlineLevel="1" x14ac:dyDescent="0.3">
      <c r="B64" s="22" t="s">
        <v>44</v>
      </c>
      <c r="C64" s="22"/>
      <c r="D64" s="9"/>
      <c r="E64" s="5">
        <f>'[1]Compliance Summary'!$D$20</f>
        <v>-18600</v>
      </c>
      <c r="F64" s="10">
        <f>SUM(D64:E64)</f>
        <v>-18600</v>
      </c>
      <c r="G64" s="9"/>
      <c r="H64" s="5">
        <f>'[1]Compliance Summary'!$E$20</f>
        <v>-54084</v>
      </c>
      <c r="I64" s="10">
        <f>SUM(G64:H64)</f>
        <v>-54084</v>
      </c>
      <c r="J64" s="9"/>
      <c r="K64" s="5">
        <f>'[1]Compliance Summary'!$F$20</f>
        <v>0</v>
      </c>
      <c r="L64" s="10">
        <f>SUM(J64:K64)</f>
        <v>0</v>
      </c>
      <c r="M64" s="46"/>
    </row>
    <row r="65" spans="1:16" outlineLevel="1" x14ac:dyDescent="0.3">
      <c r="B65" s="22" t="s">
        <v>100</v>
      </c>
      <c r="C65" s="22"/>
      <c r="D65" s="9"/>
      <c r="E65" s="5">
        <f>'[1]Compliance Summary'!$D$28</f>
        <v>0</v>
      </c>
      <c r="F65" s="10">
        <f>SUM(D65:E65)</f>
        <v>0</v>
      </c>
      <c r="G65" s="9"/>
      <c r="H65" s="5"/>
      <c r="I65" s="10"/>
      <c r="J65" s="9"/>
      <c r="K65" s="5"/>
      <c r="L65" s="10"/>
      <c r="M65" s="46"/>
    </row>
    <row r="66" spans="1:16" outlineLevel="1" x14ac:dyDescent="0.3">
      <c r="B66" s="22" t="s">
        <v>71</v>
      </c>
      <c r="C66" s="22"/>
      <c r="D66" s="9"/>
      <c r="E66" s="5">
        <f>'[1]Compliance Summary'!$D$29</f>
        <v>-761342</v>
      </c>
      <c r="F66" s="10">
        <f>SUM(D66:E66)</f>
        <v>-761342</v>
      </c>
      <c r="G66" s="9"/>
      <c r="H66" s="5">
        <f>'[1]Compliance Summary'!$E$31</f>
        <v>-1495725</v>
      </c>
      <c r="I66" s="10">
        <f>SUM(G66:H66)</f>
        <v>-1495725</v>
      </c>
      <c r="J66" s="9"/>
      <c r="K66" s="46">
        <f>-'[1]Compliance Summary'!$F$38</f>
        <v>-2738456</v>
      </c>
      <c r="L66" s="10">
        <f>SUM(J66:K66)</f>
        <v>-2738456</v>
      </c>
      <c r="M66" s="46"/>
    </row>
    <row r="67" spans="1:16" outlineLevel="1" x14ac:dyDescent="0.3">
      <c r="B67" s="22"/>
      <c r="C67" s="22"/>
      <c r="D67" s="14"/>
      <c r="E67" s="3"/>
      <c r="F67" s="15"/>
      <c r="G67" s="14"/>
      <c r="H67" s="3"/>
      <c r="I67" s="15"/>
      <c r="J67" s="14"/>
      <c r="K67" s="3"/>
      <c r="L67" s="15"/>
      <c r="M67" s="46"/>
    </row>
    <row r="68" spans="1:16" ht="15.65" outlineLevel="1" thickBot="1" x14ac:dyDescent="0.35">
      <c r="B68" s="22" t="s">
        <v>45</v>
      </c>
      <c r="C68" s="22"/>
      <c r="D68" s="16">
        <f t="shared" ref="D68:L68" si="13">SUM(D62:D67)</f>
        <v>1123136</v>
      </c>
      <c r="E68" s="4">
        <f t="shared" si="13"/>
        <v>1961227</v>
      </c>
      <c r="F68" s="17">
        <f t="shared" si="13"/>
        <v>3084363</v>
      </c>
      <c r="G68" s="16">
        <f t="shared" si="13"/>
        <v>761342</v>
      </c>
      <c r="H68" s="4">
        <f t="shared" si="13"/>
        <v>2437410</v>
      </c>
      <c r="I68" s="17">
        <f t="shared" si="13"/>
        <v>3198752</v>
      </c>
      <c r="J68" s="16">
        <f t="shared" si="13"/>
        <v>1495725</v>
      </c>
      <c r="K68" s="4">
        <f t="shared" si="13"/>
        <v>1712713</v>
      </c>
      <c r="L68" s="17">
        <f t="shared" si="13"/>
        <v>3208438</v>
      </c>
      <c r="M68" s="46"/>
    </row>
    <row r="69" spans="1:16" ht="15.65" outlineLevel="1" thickTop="1" x14ac:dyDescent="0.3">
      <c r="B69" s="22" t="s">
        <v>64</v>
      </c>
      <c r="C69" s="22"/>
      <c r="D69" s="40">
        <f>ROUNDDOWN(D60-D68,0)</f>
        <v>0</v>
      </c>
      <c r="E69" s="42">
        <f t="shared" ref="E69:L69" si="14">ROUND(E60-E68,0)</f>
        <v>0</v>
      </c>
      <c r="F69" s="41">
        <f>ROUNDDOWN(F60-F68,0)</f>
        <v>0</v>
      </c>
      <c r="G69" s="40">
        <f t="shared" si="14"/>
        <v>0</v>
      </c>
      <c r="H69" s="42">
        <f t="shared" si="14"/>
        <v>0</v>
      </c>
      <c r="I69" s="41">
        <f t="shared" si="14"/>
        <v>0</v>
      </c>
      <c r="J69" s="40">
        <f t="shared" si="14"/>
        <v>0</v>
      </c>
      <c r="K69" s="42">
        <f t="shared" si="14"/>
        <v>0</v>
      </c>
      <c r="L69" s="41">
        <f t="shared" si="14"/>
        <v>0</v>
      </c>
      <c r="M69" s="115"/>
    </row>
    <row r="70" spans="1:16" outlineLevel="1" x14ac:dyDescent="0.3">
      <c r="B70" s="22" t="s">
        <v>46</v>
      </c>
      <c r="C70" s="22"/>
      <c r="D70" s="68">
        <f>ROUNDDOWN('[1]Compliance Summary'!$D$27-D60,0)</f>
        <v>0</v>
      </c>
      <c r="E70" s="48">
        <f>ROUND('[1]Compliance Summary'!$D$14+'[1]Compliance Summary'!$D$20+'[1]Compliance Summary'!$D$28+'[1]Compliance Summary'!$D$29-E60,0)</f>
        <v>0</v>
      </c>
      <c r="F70" s="53">
        <f>'[1]Compliance Summary'!$D$9</f>
        <v>3084363</v>
      </c>
      <c r="G70" s="47">
        <f>ROUND('[1]Compliance Summary'!$E$29-G60,0)</f>
        <v>0</v>
      </c>
      <c r="H70" s="48">
        <f>ROUND('[1]Compliance Summary'!$E$14+'[1]Compliance Summary'!$E$20+'[1]Compliance Summary'!$E$31,0)-H68</f>
        <v>0</v>
      </c>
      <c r="I70" s="53">
        <f>'[1]Compliance Summary'!$E$9</f>
        <v>3198752</v>
      </c>
      <c r="J70" s="47">
        <f>ROUND('[1]Compliance Summary'!$F$31-J60,0)</f>
        <v>0</v>
      </c>
      <c r="K70" s="48">
        <f>ROUND('[1]Compliance Summary'!$F$14+'[1]Compliance Summary'!$F$20-L71-K68,0)</f>
        <v>0</v>
      </c>
      <c r="L70" s="10">
        <f>'[1]Compliance Summary'!$F$9</f>
        <v>3208438</v>
      </c>
      <c r="M70" s="46"/>
      <c r="P70" s="2"/>
    </row>
    <row r="71" spans="1:16" outlineLevel="1" x14ac:dyDescent="0.3">
      <c r="B71" s="22" t="s">
        <v>47</v>
      </c>
      <c r="C71" s="22"/>
      <c r="D71" s="9"/>
      <c r="E71" s="5"/>
      <c r="F71" s="10"/>
      <c r="G71" s="9"/>
      <c r="H71" s="5"/>
      <c r="I71" s="10">
        <v>0</v>
      </c>
      <c r="J71" s="9"/>
      <c r="K71" s="5"/>
      <c r="L71" s="10">
        <f>'[1]Compliance Summary'!$F$38</f>
        <v>2738456</v>
      </c>
      <c r="M71" s="46"/>
      <c r="P71" s="1"/>
    </row>
    <row r="72" spans="1:16" outlineLevel="1" x14ac:dyDescent="0.3">
      <c r="B72" s="22"/>
      <c r="C72" s="22"/>
      <c r="D72" s="9"/>
      <c r="E72" s="5"/>
      <c r="F72" s="15"/>
      <c r="G72" s="9"/>
      <c r="H72" s="5"/>
      <c r="I72" s="15"/>
      <c r="J72" s="9"/>
      <c r="K72" s="5"/>
      <c r="L72" s="15"/>
      <c r="M72" s="46"/>
      <c r="P72" s="1"/>
    </row>
    <row r="73" spans="1:16" ht="15.65" outlineLevel="1" thickBot="1" x14ac:dyDescent="0.35">
      <c r="B73" s="22" t="s">
        <v>45</v>
      </c>
      <c r="C73" s="22"/>
      <c r="D73" s="9"/>
      <c r="E73" s="5"/>
      <c r="F73" s="17">
        <f>SUM(F70:F72)</f>
        <v>3084363</v>
      </c>
      <c r="G73" s="9"/>
      <c r="H73" s="5"/>
      <c r="I73" s="17">
        <f>SUM(I70:I72)</f>
        <v>3198752</v>
      </c>
      <c r="J73" s="9"/>
      <c r="K73" s="5"/>
      <c r="L73" s="17">
        <f>SUM(L70:L72)</f>
        <v>5946894</v>
      </c>
      <c r="M73" s="46"/>
      <c r="P73" s="1"/>
    </row>
    <row r="74" spans="1:16" ht="15.65" outlineLevel="1" thickTop="1" x14ac:dyDescent="0.3">
      <c r="B74" s="22"/>
      <c r="C74" s="22"/>
      <c r="D74" s="18"/>
      <c r="E74" s="19"/>
      <c r="F74" s="20">
        <f>ROUNDDOWN(F68-F73,0)</f>
        <v>0</v>
      </c>
      <c r="G74" s="18"/>
      <c r="H74" s="19"/>
      <c r="I74" s="20">
        <f>ROUNDDOWN(I68-I73,0)</f>
        <v>0</v>
      </c>
      <c r="J74" s="18"/>
      <c r="K74" s="19"/>
      <c r="L74" s="20">
        <f>'[1]Compliance Summary'!$F$38+'[1]Compliance Summary'!$F$9-L73</f>
        <v>0</v>
      </c>
      <c r="M74" s="115"/>
    </row>
    <row r="75" spans="1:16" outlineLevel="1" x14ac:dyDescent="0.3">
      <c r="A75" s="76"/>
      <c r="B75" s="76" t="s">
        <v>48</v>
      </c>
      <c r="C75" s="24"/>
      <c r="D75" s="5"/>
      <c r="E75" s="5"/>
      <c r="F75" s="15"/>
      <c r="G75" s="5"/>
      <c r="H75" s="5"/>
      <c r="I75" s="10"/>
      <c r="J75" s="5"/>
      <c r="K75" s="5"/>
      <c r="L75" s="10"/>
      <c r="M75" s="46"/>
    </row>
    <row r="76" spans="1:16" x14ac:dyDescent="0.3">
      <c r="B76" s="72"/>
      <c r="C76" s="72"/>
      <c r="D76" s="122" t="s">
        <v>125</v>
      </c>
      <c r="E76" s="122"/>
      <c r="F76" s="122"/>
      <c r="G76" s="122"/>
      <c r="H76" s="122"/>
      <c r="I76" s="122"/>
      <c r="J76" s="122"/>
      <c r="K76" s="122"/>
      <c r="L76" s="122"/>
      <c r="M76" s="46"/>
    </row>
    <row r="77" spans="1:16" x14ac:dyDescent="0.3">
      <c r="C77" s="51"/>
      <c r="E77" s="38" t="s">
        <v>59</v>
      </c>
      <c r="F77" s="1">
        <f>SUMIF($C$5:$C$58,E77,F$5:F$58)</f>
        <v>104512</v>
      </c>
      <c r="H77" s="38"/>
      <c r="I77" s="1">
        <f>SUMIF($C$5:$C$58,E77,I$5:I$58)</f>
        <v>88075</v>
      </c>
      <c r="K77" s="38"/>
      <c r="L77" s="1">
        <f>SUMIF($C$5:$C$58,E77,$L$5:$L$58)</f>
        <v>119157</v>
      </c>
    </row>
    <row r="78" spans="1:16" x14ac:dyDescent="0.3">
      <c r="E78" s="38" t="s">
        <v>60</v>
      </c>
      <c r="F78" s="1">
        <f>SUMIF($C$5:$C$58,E78,F$5:F$58)</f>
        <v>2522502.5</v>
      </c>
      <c r="H78" s="38"/>
      <c r="I78" s="1">
        <f>SUMIF($C$5:$C$58,E78,I$5:I$58)</f>
        <v>2811429.166666667</v>
      </c>
      <c r="K78" s="38"/>
      <c r="L78" s="1">
        <f>SUMIF($C$5:$C$58,E78,$L$5:$L$58)</f>
        <v>2806523.8333333335</v>
      </c>
    </row>
    <row r="79" spans="1:16" x14ac:dyDescent="0.3">
      <c r="E79" s="38" t="s">
        <v>77</v>
      </c>
      <c r="F79" s="1">
        <f>SUMIF($C$5:$C$58,E79,F$5:F$58)</f>
        <v>0</v>
      </c>
      <c r="H79" s="38"/>
      <c r="I79" s="1">
        <f>SUMIF($C$5:$C$58,E79,I$5:I$58)</f>
        <v>0</v>
      </c>
      <c r="K79" s="38"/>
      <c r="L79" s="1">
        <f>SUMIF($C$5:$C$58,E79,L$5:L$58)</f>
        <v>0</v>
      </c>
    </row>
    <row r="80" spans="1:16" x14ac:dyDescent="0.3">
      <c r="E80" s="38" t="s">
        <v>76</v>
      </c>
      <c r="H80" s="38"/>
      <c r="I80" s="1">
        <f>SUMIF($C$5:$C$58,E80,I$5:I$58)</f>
        <v>2608</v>
      </c>
      <c r="K80" s="38"/>
    </row>
    <row r="81" spans="4:13" x14ac:dyDescent="0.3">
      <c r="E81" s="38" t="s">
        <v>61</v>
      </c>
      <c r="F81" s="1">
        <f>SUMIF($C$5:$C$58,E81,F$5:F$58)</f>
        <v>101435</v>
      </c>
      <c r="H81" s="38"/>
      <c r="I81" s="1">
        <f>SUMIF($C$5:$C$58,E81,I$5:I$58)</f>
        <v>140987</v>
      </c>
      <c r="K81" s="38"/>
      <c r="L81" s="1">
        <f>SUMIF($C$5:$C$58,E81,$L$5:$L$58)</f>
        <v>101051</v>
      </c>
    </row>
    <row r="82" spans="4:13" x14ac:dyDescent="0.3">
      <c r="E82" s="38" t="s">
        <v>152</v>
      </c>
      <c r="F82" s="3">
        <f>SUM(F77:F81)</f>
        <v>2728449.5</v>
      </c>
      <c r="H82" s="38"/>
      <c r="I82" s="3">
        <f>SUM(I77:I81)</f>
        <v>3043099.166666667</v>
      </c>
      <c r="K82" s="38"/>
      <c r="L82" s="3">
        <f>SUM(L77:L81)</f>
        <v>3026731.8333333335</v>
      </c>
      <c r="M82" s="46"/>
    </row>
    <row r="83" spans="4:13" x14ac:dyDescent="0.3">
      <c r="E83" s="38" t="s">
        <v>118</v>
      </c>
      <c r="F83" s="1">
        <f>SUMIF($C$5:$C$58,"Biogas x2",F$5:F$58)</f>
        <v>0</v>
      </c>
      <c r="H83" s="38"/>
      <c r="I83" s="1">
        <f>SUMIF($C$5:$C$58,"Biogas x2",I$5:I$58)</f>
        <v>0</v>
      </c>
      <c r="K83" s="38"/>
      <c r="L83" s="1">
        <f>SUMIF($C$5:$C$58,"Biogas x2",L$5:L$58)</f>
        <v>0</v>
      </c>
      <c r="M83" s="46"/>
    </row>
    <row r="84" spans="4:13" x14ac:dyDescent="0.3">
      <c r="E84" s="38" t="s">
        <v>119</v>
      </c>
      <c r="F84" s="1">
        <f>SUMIF($C$5:$C$58,"Wind-A",F$5:F$58)</f>
        <v>355913.7</v>
      </c>
      <c r="H84" s="38"/>
      <c r="I84" s="1">
        <f>SUMIF($C$5:$C$58,"Wind-A",I$5:I$58)</f>
        <v>155652.83333333334</v>
      </c>
      <c r="K84" s="38"/>
      <c r="L84" s="1">
        <f>SUMIF($C$5:$C$58,"Wind-A",$L$5:$L$58)</f>
        <v>181706.16666666669</v>
      </c>
    </row>
    <row r="85" spans="4:13" ht="15.65" thickBot="1" x14ac:dyDescent="0.35">
      <c r="F85" s="39">
        <f>SUM(F82:F84)</f>
        <v>3084363.2</v>
      </c>
      <c r="I85" s="39">
        <f>SUM(I82:I84)</f>
        <v>3198752.0000000005</v>
      </c>
      <c r="L85" s="39">
        <f>SUM(L82:L84)</f>
        <v>3208438</v>
      </c>
      <c r="M85" s="46"/>
    </row>
    <row r="86" spans="4:13" ht="15.65" thickTop="1" x14ac:dyDescent="0.3">
      <c r="F86" s="45">
        <f>F60-F85</f>
        <v>0</v>
      </c>
      <c r="I86" s="45">
        <f>I60-I85</f>
        <v>0</v>
      </c>
      <c r="L86" s="45">
        <f>L60-L85</f>
        <v>0</v>
      </c>
      <c r="M86" s="116"/>
    </row>
    <row r="89" spans="4:13" x14ac:dyDescent="0.3">
      <c r="D89" s="67"/>
      <c r="E89" s="57"/>
      <c r="F89" s="57"/>
      <c r="G89" s="57"/>
    </row>
    <row r="90" spans="4:13" x14ac:dyDescent="0.3">
      <c r="D90" s="67"/>
      <c r="E90" s="57"/>
      <c r="F90" s="57"/>
      <c r="G90" s="57"/>
    </row>
    <row r="91" spans="4:13" x14ac:dyDescent="0.3">
      <c r="D91" s="57"/>
      <c r="E91" s="57"/>
      <c r="F91" s="57"/>
      <c r="G91" s="57"/>
    </row>
    <row r="92" spans="4:13" x14ac:dyDescent="0.3">
      <c r="D92" s="57"/>
      <c r="E92" s="57"/>
      <c r="F92" s="57"/>
      <c r="G92" s="57"/>
    </row>
    <row r="93" spans="4:13" x14ac:dyDescent="0.3">
      <c r="D93" s="57"/>
      <c r="E93" s="57"/>
      <c r="F93" s="57"/>
      <c r="G93" s="57"/>
    </row>
    <row r="94" spans="4:13" x14ac:dyDescent="0.3">
      <c r="D94" s="57"/>
      <c r="E94" s="57"/>
      <c r="F94" s="57"/>
      <c r="G94" s="57"/>
    </row>
  </sheetData>
  <mergeCells count="1">
    <mergeCell ref="AB24:AB29"/>
  </mergeCells>
  <conditionalFormatting sqref="F71 I71">
    <cfRule type="cellIs" dxfId="9" priority="9" operator="lessThan">
      <formula>0</formula>
    </cfRule>
  </conditionalFormatting>
  <conditionalFormatting sqref="L71:M71">
    <cfRule type="cellIs" dxfId="8" priority="8" operator="lessThan">
      <formula>0</formula>
    </cfRule>
  </conditionalFormatting>
  <conditionalFormatting sqref="D70:E70 F74 I74 L74:M74 G70:H70 J70:K70 D69:M69">
    <cfRule type="cellIs" dxfId="7" priority="7" operator="notEqual">
      <formula>0</formula>
    </cfRule>
  </conditionalFormatting>
  <conditionalFormatting sqref="Q30">
    <cfRule type="cellIs" dxfId="6" priority="6" operator="notEqual">
      <formula>0</formula>
    </cfRule>
  </conditionalFormatting>
  <conditionalFormatting sqref="S39:S40">
    <cfRule type="cellIs" dxfId="5" priority="3" operator="notEqual">
      <formula>0</formula>
    </cfRule>
  </conditionalFormatting>
  <conditionalFormatting sqref="O5:O58">
    <cfRule type="cellIs" dxfId="4" priority="2" operator="equal">
      <formula>FALSE</formula>
    </cfRule>
  </conditionalFormatting>
  <conditionalFormatting sqref="Q31:Q32">
    <cfRule type="cellIs" dxfId="3" priority="1" operator="notEqual">
      <formula>0</formula>
    </cfRule>
  </conditionalFormatting>
  <pageMargins left="0.45" right="0.45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showGridLines="0" zoomScale="90" zoomScaleNormal="90" workbookViewId="0">
      <selection activeCell="A24" sqref="A24"/>
    </sheetView>
  </sheetViews>
  <sheetFormatPr defaultRowHeight="15.05" x14ac:dyDescent="0.3"/>
  <cols>
    <col min="1" max="1" width="48.77734375" bestFit="1" customWidth="1"/>
    <col min="2" max="2" width="12.21875" bestFit="1" customWidth="1"/>
    <col min="3" max="8" width="14.5546875" customWidth="1"/>
  </cols>
  <sheetData>
    <row r="2" spans="1:8" x14ac:dyDescent="0.3">
      <c r="A2" s="82" t="s">
        <v>102</v>
      </c>
    </row>
    <row r="3" spans="1:8" x14ac:dyDescent="0.3">
      <c r="A3" s="82"/>
    </row>
    <row r="4" spans="1:8" ht="15.65" thickBot="1" x14ac:dyDescent="0.35">
      <c r="A4" s="82"/>
    </row>
    <row r="5" spans="1:8" x14ac:dyDescent="0.3">
      <c r="A5" s="83"/>
      <c r="B5" s="111" t="s">
        <v>103</v>
      </c>
      <c r="C5" s="88" t="str">
        <f>'Compliance Table'!$D$3</f>
        <v>PSE 2022 Compliance Plan</v>
      </c>
      <c r="D5" s="89"/>
      <c r="E5" s="88" t="str">
        <f>'Compliance Table'!$G$3</f>
        <v>PSE 2023 Compliance Plan</v>
      </c>
      <c r="F5" s="89"/>
      <c r="G5" s="87" t="str">
        <f>'Compliance Table'!$J$3</f>
        <v>PSE 2024 Compliance Plan</v>
      </c>
      <c r="H5" s="89"/>
    </row>
    <row r="6" spans="1:8" ht="15.65" thickBot="1" x14ac:dyDescent="0.35">
      <c r="A6" s="86"/>
      <c r="B6" s="90"/>
      <c r="C6" s="95" t="str">
        <f>'Compliance Table'!$D$4</f>
        <v>2021 Vintage</v>
      </c>
      <c r="D6" s="96" t="str">
        <f>'Compliance Table'!E$4</f>
        <v>2022 Vintage</v>
      </c>
      <c r="E6" s="95" t="str">
        <f>'Compliance Table'!$G$4</f>
        <v>2022 Vintage</v>
      </c>
      <c r="F6" s="96" t="str">
        <f>'Compliance Table'!$H$4</f>
        <v>2023 Vintage</v>
      </c>
      <c r="G6" s="97" t="str">
        <f>'Compliance Table'!$J$4</f>
        <v>2023 Vintage</v>
      </c>
      <c r="H6" s="96" t="str">
        <f>'Compliance Table'!$K$4</f>
        <v>2024 Vintage</v>
      </c>
    </row>
    <row r="7" spans="1:8" x14ac:dyDescent="0.3">
      <c r="A7" s="86"/>
      <c r="B7" s="90"/>
      <c r="C7" s="98"/>
      <c r="D7" s="107"/>
      <c r="E7" s="109"/>
      <c r="F7" s="110"/>
      <c r="G7" s="98"/>
      <c r="H7" s="99"/>
    </row>
    <row r="8" spans="1:8" x14ac:dyDescent="0.3">
      <c r="A8" s="84" t="s">
        <v>104</v>
      </c>
      <c r="B8" s="84"/>
      <c r="C8" s="100"/>
      <c r="D8" s="105"/>
      <c r="E8" s="100"/>
      <c r="F8" s="101"/>
      <c r="G8" s="100"/>
      <c r="H8" s="101"/>
    </row>
    <row r="9" spans="1:8" x14ac:dyDescent="0.3">
      <c r="A9" s="84" t="s">
        <v>101</v>
      </c>
      <c r="B9" s="104">
        <f>B10*5</f>
        <v>0.83333333333333348</v>
      </c>
      <c r="C9" s="100">
        <f t="shared" ref="C9:G9" si="0">C$8*$B$9</f>
        <v>0</v>
      </c>
      <c r="D9" s="105">
        <f t="shared" si="0"/>
        <v>0</v>
      </c>
      <c r="E9" s="100">
        <f t="shared" si="0"/>
        <v>0</v>
      </c>
      <c r="F9" s="101">
        <f t="shared" si="0"/>
        <v>0</v>
      </c>
      <c r="G9" s="100">
        <f t="shared" si="0"/>
        <v>0</v>
      </c>
      <c r="H9" s="101"/>
    </row>
    <row r="10" spans="1:8" x14ac:dyDescent="0.3">
      <c r="A10" s="84" t="s">
        <v>105</v>
      </c>
      <c r="B10" s="112">
        <f>0.2/1.2</f>
        <v>0.16666666666666669</v>
      </c>
      <c r="C10" s="100">
        <f t="shared" ref="C10:G10" si="1">C$8*$B$10</f>
        <v>0</v>
      </c>
      <c r="D10" s="105">
        <f t="shared" si="1"/>
        <v>0</v>
      </c>
      <c r="E10" s="100">
        <f t="shared" si="1"/>
        <v>0</v>
      </c>
      <c r="F10" s="101">
        <f t="shared" si="1"/>
        <v>0</v>
      </c>
      <c r="G10" s="100">
        <f t="shared" si="1"/>
        <v>0</v>
      </c>
      <c r="H10" s="101"/>
    </row>
    <row r="11" spans="1:8" ht="15.65" thickBot="1" x14ac:dyDescent="0.35">
      <c r="A11" s="85"/>
      <c r="B11" s="106">
        <f>B9+B10</f>
        <v>1.0000000000000002</v>
      </c>
      <c r="C11" s="102"/>
      <c r="D11" s="108"/>
      <c r="E11" s="102"/>
      <c r="F11" s="103"/>
      <c r="G11" s="102"/>
      <c r="H11" s="103"/>
    </row>
    <row r="13" spans="1:8" x14ac:dyDescent="0.3">
      <c r="B13" s="81"/>
      <c r="C13" s="81"/>
      <c r="D13" s="81"/>
      <c r="E13" s="81"/>
      <c r="F13" s="81"/>
      <c r="G13" s="81"/>
      <c r="H13" s="81"/>
    </row>
    <row r="14" spans="1:8" ht="15.65" thickBot="1" x14ac:dyDescent="0.35"/>
    <row r="15" spans="1:8" x14ac:dyDescent="0.3">
      <c r="A15" s="83"/>
      <c r="B15" s="111" t="s">
        <v>103</v>
      </c>
      <c r="C15" s="88" t="str">
        <f>'Compliance Table'!$D$3</f>
        <v>PSE 2022 Compliance Plan</v>
      </c>
      <c r="D15" s="89"/>
      <c r="E15" s="88" t="str">
        <f>'Compliance Table'!$G$3</f>
        <v>PSE 2023 Compliance Plan</v>
      </c>
      <c r="F15" s="89"/>
      <c r="G15" s="87" t="str">
        <f>'Compliance Table'!$J$3</f>
        <v>PSE 2024 Compliance Plan</v>
      </c>
      <c r="H15" s="89"/>
    </row>
    <row r="16" spans="1:8" ht="15.65" thickBot="1" x14ac:dyDescent="0.35">
      <c r="A16" s="54" t="s">
        <v>4</v>
      </c>
      <c r="B16" s="90"/>
      <c r="C16" s="95" t="str">
        <f t="shared" ref="C16:H16" si="2">C6</f>
        <v>2021 Vintage</v>
      </c>
      <c r="D16" s="96" t="str">
        <f t="shared" si="2"/>
        <v>2022 Vintage</v>
      </c>
      <c r="E16" s="95" t="str">
        <f t="shared" si="2"/>
        <v>2022 Vintage</v>
      </c>
      <c r="F16" s="96" t="str">
        <f t="shared" si="2"/>
        <v>2023 Vintage</v>
      </c>
      <c r="G16" s="97" t="str">
        <f t="shared" si="2"/>
        <v>2023 Vintage</v>
      </c>
      <c r="H16" s="96" t="str">
        <f t="shared" si="2"/>
        <v>2024 Vintage</v>
      </c>
    </row>
    <row r="17" spans="1:8" x14ac:dyDescent="0.3">
      <c r="A17" s="86"/>
      <c r="B17" s="91"/>
      <c r="C17" s="98"/>
      <c r="D17" s="107"/>
      <c r="E17" s="109"/>
      <c r="F17" s="110"/>
      <c r="G17" s="98"/>
      <c r="H17" s="99"/>
    </row>
    <row r="18" spans="1:8" x14ac:dyDescent="0.3">
      <c r="A18" s="84" t="s">
        <v>104</v>
      </c>
      <c r="B18" s="92"/>
      <c r="C18" s="100"/>
      <c r="D18" s="105">
        <f>'[1]Facility Detail'!$F$296+'[1]Facility Detail'!$F$301+'[1]Facility Detail'!$F$307+'[1]Facility Detail'!$F$315+'[1]Facility Detail'!$F$316</f>
        <v>517178</v>
      </c>
      <c r="E18" s="100"/>
      <c r="F18" s="101">
        <f>'[1]Facility Detail'!$G$296+'[1]Facility Detail'!$G$301+'[1]Facility Detail'!$G$307</f>
        <v>469387</v>
      </c>
      <c r="G18" s="100"/>
      <c r="H18" s="101">
        <f>'[1]Facility Detail'!$H$296+'[1]Facility Detail'!$H$301</f>
        <v>579222</v>
      </c>
    </row>
    <row r="19" spans="1:8" x14ac:dyDescent="0.3">
      <c r="A19" s="84" t="s">
        <v>101</v>
      </c>
      <c r="B19" s="93">
        <f>B20*5</f>
        <v>0.83333333333333348</v>
      </c>
      <c r="C19" s="100">
        <f t="shared" ref="C19:H19" si="3">C$18*$B$19</f>
        <v>0</v>
      </c>
      <c r="D19" s="105">
        <f t="shared" si="3"/>
        <v>430981.66666666674</v>
      </c>
      <c r="E19" s="100">
        <f t="shared" si="3"/>
        <v>0</v>
      </c>
      <c r="F19" s="101">
        <f t="shared" si="3"/>
        <v>391155.83333333343</v>
      </c>
      <c r="G19" s="100">
        <f t="shared" si="3"/>
        <v>0</v>
      </c>
      <c r="H19" s="101">
        <f t="shared" si="3"/>
        <v>482685.00000000006</v>
      </c>
    </row>
    <row r="20" spans="1:8" x14ac:dyDescent="0.3">
      <c r="A20" s="84" t="s">
        <v>105</v>
      </c>
      <c r="B20" s="112">
        <f>0.2/1.2</f>
        <v>0.16666666666666669</v>
      </c>
      <c r="C20" s="100">
        <f t="shared" ref="C20:H20" si="4">C$18*$B$20</f>
        <v>0</v>
      </c>
      <c r="D20" s="105">
        <f t="shared" si="4"/>
        <v>86196.333333333343</v>
      </c>
      <c r="E20" s="100">
        <f t="shared" si="4"/>
        <v>0</v>
      </c>
      <c r="F20" s="101">
        <f t="shared" si="4"/>
        <v>78231.166666666672</v>
      </c>
      <c r="G20" s="100">
        <f t="shared" si="4"/>
        <v>0</v>
      </c>
      <c r="H20" s="101">
        <f t="shared" si="4"/>
        <v>96537.000000000015</v>
      </c>
    </row>
    <row r="21" spans="1:8" ht="15.65" thickBot="1" x14ac:dyDescent="0.35">
      <c r="A21" s="85"/>
      <c r="B21" s="94">
        <f>B19+B20</f>
        <v>1.0000000000000002</v>
      </c>
      <c r="C21" s="102"/>
      <c r="D21" s="108"/>
      <c r="E21" s="102"/>
      <c r="F21" s="103"/>
      <c r="G21" s="102"/>
      <c r="H21" s="103"/>
    </row>
    <row r="23" spans="1:8" ht="15.65" thickBot="1" x14ac:dyDescent="0.35"/>
    <row r="24" spans="1:8" x14ac:dyDescent="0.3">
      <c r="A24" s="83"/>
      <c r="B24" s="111" t="s">
        <v>103</v>
      </c>
      <c r="C24" s="88" t="str">
        <f>'Compliance Table'!$D$3</f>
        <v>PSE 2022 Compliance Plan</v>
      </c>
      <c r="D24" s="89"/>
      <c r="E24" s="88" t="str">
        <f>'Compliance Table'!$G$3</f>
        <v>PSE 2023 Compliance Plan</v>
      </c>
      <c r="F24" s="89"/>
      <c r="G24" s="87" t="str">
        <f>'Compliance Table'!$J$3</f>
        <v>PSE 2024 Compliance Plan</v>
      </c>
      <c r="H24" s="89"/>
    </row>
    <row r="25" spans="1:8" ht="15.65" thickBot="1" x14ac:dyDescent="0.35">
      <c r="A25" s="54" t="s">
        <v>5</v>
      </c>
      <c r="B25" s="90"/>
      <c r="C25" s="95" t="str">
        <f>'Compliance Table'!$D$4</f>
        <v>2021 Vintage</v>
      </c>
      <c r="D25" s="96" t="str">
        <f>D16</f>
        <v>2022 Vintage</v>
      </c>
      <c r="E25" s="95" t="str">
        <f>E16</f>
        <v>2022 Vintage</v>
      </c>
      <c r="F25" s="96" t="str">
        <f>F16</f>
        <v>2023 Vintage</v>
      </c>
      <c r="G25" s="97" t="str">
        <f>G16</f>
        <v>2023 Vintage</v>
      </c>
      <c r="H25" s="96" t="str">
        <f>H16</f>
        <v>2024 Vintage</v>
      </c>
    </row>
    <row r="26" spans="1:8" x14ac:dyDescent="0.3">
      <c r="A26" s="86"/>
      <c r="B26" s="91"/>
      <c r="C26" s="98"/>
      <c r="D26" s="107"/>
      <c r="E26" s="109"/>
      <c r="F26" s="110"/>
      <c r="G26" s="98"/>
      <c r="H26" s="99"/>
    </row>
    <row r="27" spans="1:8" x14ac:dyDescent="0.3">
      <c r="A27" s="84" t="s">
        <v>104</v>
      </c>
      <c r="B27" s="92"/>
      <c r="C27" s="100"/>
      <c r="D27" s="105">
        <f>'[1]Facility Detail'!$F$334+'[1]Facility Detail'!$F$339+'[1]Facility Detail'!$F$353+'[1]Facility Detail'!$F$354</f>
        <v>385445</v>
      </c>
      <c r="E27" s="100"/>
      <c r="F27" s="101">
        <f>'[1]Facility Detail'!$G$334+'[1]Facility Detail'!$G$339</f>
        <v>362202</v>
      </c>
      <c r="G27" s="100"/>
      <c r="H27" s="101">
        <f>'[1]Facility Detail'!$H$334+'[1]Facility Detail'!$H$339</f>
        <v>420241</v>
      </c>
    </row>
    <row r="28" spans="1:8" x14ac:dyDescent="0.3">
      <c r="A28" s="84" t="s">
        <v>101</v>
      </c>
      <c r="B28" s="93">
        <f>B29*5</f>
        <v>0.83333333333333348</v>
      </c>
      <c r="C28" s="100">
        <f>C$27*$B$28</f>
        <v>0</v>
      </c>
      <c r="D28" s="105">
        <f t="shared" ref="D28:H28" si="5">D$27*$B$28</f>
        <v>321204.16666666674</v>
      </c>
      <c r="E28" s="100">
        <f t="shared" si="5"/>
        <v>0</v>
      </c>
      <c r="F28" s="101">
        <f t="shared" si="5"/>
        <v>301835.00000000006</v>
      </c>
      <c r="G28" s="100">
        <f t="shared" si="5"/>
        <v>0</v>
      </c>
      <c r="H28" s="101">
        <f t="shared" si="5"/>
        <v>350200.83333333337</v>
      </c>
    </row>
    <row r="29" spans="1:8" x14ac:dyDescent="0.3">
      <c r="A29" s="84" t="s">
        <v>105</v>
      </c>
      <c r="B29" s="112">
        <f>0.2/1.2</f>
        <v>0.16666666666666669</v>
      </c>
      <c r="C29" s="100">
        <f>C$27*$B29</f>
        <v>0</v>
      </c>
      <c r="D29" s="105">
        <f t="shared" ref="D29:H29" si="6">D$27*$B29</f>
        <v>64240.833333333343</v>
      </c>
      <c r="E29" s="100">
        <f t="shared" si="6"/>
        <v>0</v>
      </c>
      <c r="F29" s="101">
        <f t="shared" si="6"/>
        <v>60367.000000000007</v>
      </c>
      <c r="G29" s="100">
        <f t="shared" si="6"/>
        <v>0</v>
      </c>
      <c r="H29" s="101">
        <f t="shared" si="6"/>
        <v>70040.166666666672</v>
      </c>
    </row>
    <row r="30" spans="1:8" ht="15.65" thickBot="1" x14ac:dyDescent="0.35">
      <c r="A30" s="85"/>
      <c r="B30" s="94">
        <f>B28+B29</f>
        <v>1.0000000000000002</v>
      </c>
      <c r="C30" s="102"/>
      <c r="D30" s="108"/>
      <c r="E30" s="102"/>
      <c r="F30" s="103"/>
      <c r="G30" s="102"/>
      <c r="H30" s="103"/>
    </row>
    <row r="32" spans="1:8" ht="15.65" thickBot="1" x14ac:dyDescent="0.35"/>
    <row r="33" spans="1:8" x14ac:dyDescent="0.3">
      <c r="A33" s="83"/>
      <c r="B33" s="111" t="s">
        <v>103</v>
      </c>
      <c r="C33" s="88" t="str">
        <f>'Compliance Table'!$D$3</f>
        <v>PSE 2022 Compliance Plan</v>
      </c>
      <c r="D33" s="89"/>
      <c r="E33" s="88" t="str">
        <f>'Compliance Table'!$G$3</f>
        <v>PSE 2023 Compliance Plan</v>
      </c>
      <c r="F33" s="89"/>
      <c r="G33" s="87" t="str">
        <f>'Compliance Table'!$J$3</f>
        <v>PSE 2024 Compliance Plan</v>
      </c>
      <c r="H33" s="89"/>
    </row>
    <row r="34" spans="1:8" ht="15.65" thickBot="1" x14ac:dyDescent="0.35">
      <c r="A34" s="54" t="s">
        <v>9</v>
      </c>
      <c r="B34" s="90"/>
      <c r="C34" s="95" t="str">
        <f>'Compliance Table'!$D$4</f>
        <v>2021 Vintage</v>
      </c>
      <c r="D34" s="96" t="str">
        <f>D25</f>
        <v>2022 Vintage</v>
      </c>
      <c r="E34" s="95" t="str">
        <f>E25</f>
        <v>2022 Vintage</v>
      </c>
      <c r="F34" s="96" t="str">
        <f>F25</f>
        <v>2023 Vintage</v>
      </c>
      <c r="G34" s="97" t="str">
        <f>G25</f>
        <v>2023 Vintage</v>
      </c>
      <c r="H34" s="96" t="str">
        <f>H25</f>
        <v>2024 Vintage</v>
      </c>
    </row>
    <row r="35" spans="1:8" x14ac:dyDescent="0.3">
      <c r="A35" s="86"/>
      <c r="B35" s="91"/>
      <c r="C35" s="98"/>
      <c r="D35" s="107"/>
      <c r="E35" s="109"/>
      <c r="F35" s="110"/>
      <c r="G35" s="98"/>
      <c r="H35" s="99"/>
    </row>
    <row r="36" spans="1:8" x14ac:dyDescent="0.3">
      <c r="A36" s="84" t="s">
        <v>104</v>
      </c>
      <c r="B36" s="92"/>
      <c r="C36" s="100">
        <f>'[1]Facility Detail'!$F$504</f>
        <v>16387</v>
      </c>
      <c r="D36" s="105">
        <f>'[1]Facility Detail'!$F$486+'[1]Facility Detail'!$F$491</f>
        <v>109723</v>
      </c>
      <c r="E36" s="100">
        <f>'[1]Facility Detail'!$G$506</f>
        <v>0</v>
      </c>
      <c r="F36" s="101">
        <f>'[1]Facility Detail'!$G$486+'[1]Facility Detail'!$G$491</f>
        <v>102328</v>
      </c>
      <c r="G36" s="100"/>
      <c r="H36" s="101">
        <f>'[1]Facility Detail'!$H$486+'[1]Facility Detail'!$H$491</f>
        <v>90774</v>
      </c>
    </row>
    <row r="37" spans="1:8" x14ac:dyDescent="0.3">
      <c r="A37" s="84" t="s">
        <v>101</v>
      </c>
      <c r="B37" s="93">
        <f>B38*5</f>
        <v>0.83333333333333348</v>
      </c>
      <c r="C37" s="100">
        <f t="shared" ref="C37:H37" si="7">C$36*$B$37</f>
        <v>13655.833333333336</v>
      </c>
      <c r="D37" s="105">
        <f>B37*D36</f>
        <v>91435.833333333343</v>
      </c>
      <c r="E37" s="100">
        <f t="shared" si="7"/>
        <v>0</v>
      </c>
      <c r="F37" s="101">
        <f t="shared" si="7"/>
        <v>85273.333333333343</v>
      </c>
      <c r="G37" s="100">
        <f t="shared" si="7"/>
        <v>0</v>
      </c>
      <c r="H37" s="101">
        <f t="shared" si="7"/>
        <v>75645.000000000015</v>
      </c>
    </row>
    <row r="38" spans="1:8" x14ac:dyDescent="0.3">
      <c r="A38" s="84" t="s">
        <v>105</v>
      </c>
      <c r="B38" s="112">
        <f>0.2/1.2</f>
        <v>0.16666666666666669</v>
      </c>
      <c r="C38" s="100">
        <f t="shared" ref="C38:H38" si="8">C$36*$B$38</f>
        <v>2731.166666666667</v>
      </c>
      <c r="D38" s="105">
        <f>B38*D36</f>
        <v>18287.166666666668</v>
      </c>
      <c r="E38" s="100">
        <f t="shared" si="8"/>
        <v>0</v>
      </c>
      <c r="F38" s="101">
        <f t="shared" si="8"/>
        <v>17054.666666666668</v>
      </c>
      <c r="G38" s="100">
        <f t="shared" si="8"/>
        <v>0</v>
      </c>
      <c r="H38" s="101">
        <f t="shared" si="8"/>
        <v>15129.000000000002</v>
      </c>
    </row>
    <row r="39" spans="1:8" ht="15.65" thickBot="1" x14ac:dyDescent="0.35">
      <c r="A39" s="85"/>
      <c r="B39" s="94">
        <f>B37+B38</f>
        <v>1.0000000000000002</v>
      </c>
      <c r="C39" s="102"/>
      <c r="D39" s="108"/>
      <c r="E39" s="102"/>
      <c r="F39" s="103"/>
      <c r="G39" s="102"/>
      <c r="H39" s="103"/>
    </row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3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5" sqref="A35"/>
    </sheetView>
  </sheetViews>
  <sheetFormatPr defaultRowHeight="15.05" x14ac:dyDescent="0.3"/>
  <cols>
    <col min="1" max="1" width="96.88671875" bestFit="1" customWidth="1"/>
    <col min="2" max="4" width="22.44140625" bestFit="1" customWidth="1"/>
    <col min="5" max="5" width="15.44140625" bestFit="1" customWidth="1"/>
    <col min="6" max="6" width="10.5546875" bestFit="1" customWidth="1"/>
  </cols>
  <sheetData>
    <row r="3" spans="1:6" x14ac:dyDescent="0.3">
      <c r="A3" s="32" t="s">
        <v>78</v>
      </c>
      <c r="B3" s="32" t="s">
        <v>79</v>
      </c>
      <c r="C3" s="32" t="s">
        <v>94</v>
      </c>
      <c r="D3" s="32" t="s">
        <v>129</v>
      </c>
      <c r="E3" s="32"/>
    </row>
    <row r="5" spans="1:6" x14ac:dyDescent="0.3">
      <c r="A5" t="s">
        <v>80</v>
      </c>
      <c r="B5" s="57">
        <f>'Compliance Table'!F5+'Compliance Table'!F15</f>
        <v>104512</v>
      </c>
      <c r="C5" s="57">
        <f>'Compliance Table'!H5+'Compliance Table'!H15</f>
        <v>88075</v>
      </c>
      <c r="D5" s="57">
        <f>'Compliance Table'!K5+'Compliance Table'!K15</f>
        <v>119157</v>
      </c>
      <c r="E5" s="1"/>
    </row>
    <row r="6" spans="1:6" x14ac:dyDescent="0.3">
      <c r="A6" t="s">
        <v>99</v>
      </c>
      <c r="B6" s="57">
        <f>'Compliance Table'!D60</f>
        <v>1123136.2</v>
      </c>
      <c r="C6" s="57">
        <f>'Compliance Table'!G60</f>
        <v>761342</v>
      </c>
      <c r="D6" s="57">
        <f>'Compliance Table'!J60</f>
        <v>1495725</v>
      </c>
    </row>
    <row r="7" spans="1:6" x14ac:dyDescent="0.3">
      <c r="A7" s="22" t="s">
        <v>137</v>
      </c>
      <c r="B7" s="57">
        <f>B26</f>
        <v>1012346.0000000002</v>
      </c>
      <c r="C7" s="57">
        <f t="shared" ref="C7:D7" si="0">C26</f>
        <v>933917.00000000023</v>
      </c>
      <c r="D7" s="57">
        <f t="shared" si="0"/>
        <v>1090237.0000000002</v>
      </c>
    </row>
    <row r="8" spans="1:6" x14ac:dyDescent="0.3">
      <c r="A8" s="22" t="s">
        <v>136</v>
      </c>
      <c r="B8" s="57">
        <f>SUM('Compliance Table'!E20:E26,'Compliance Table'!E29:E51,'Compliance Table'!E54:E58)</f>
        <v>18600</v>
      </c>
      <c r="C8" s="57">
        <f>SUM('Compliance Table'!H20:H26,'Compliance Table'!H29:H51,'Compliance Table'!H54:H58)</f>
        <v>18600</v>
      </c>
      <c r="D8" s="57">
        <f>SUM('Compliance Table'!K20:K26,'Compliance Table'!K29:K51,'Compliance Table'!K54:K58)</f>
        <v>0</v>
      </c>
      <c r="F8" s="1"/>
    </row>
    <row r="9" spans="1:6" x14ac:dyDescent="0.3">
      <c r="A9" s="22" t="s">
        <v>138</v>
      </c>
      <c r="B9" s="57">
        <f>B38</f>
        <v>825769</v>
      </c>
      <c r="C9" s="57">
        <f>C38</f>
        <v>1396818</v>
      </c>
      <c r="D9" s="57">
        <f>D38</f>
        <v>503319</v>
      </c>
      <c r="F9" s="1"/>
    </row>
    <row r="10" spans="1:6" s="139" customFormat="1" x14ac:dyDescent="0.3">
      <c r="A10" s="142"/>
      <c r="B10" s="140"/>
      <c r="C10" s="140"/>
      <c r="D10" s="140"/>
      <c r="F10" s="141"/>
    </row>
    <row r="11" spans="1:6" x14ac:dyDescent="0.3">
      <c r="B11" s="127"/>
      <c r="C11" s="127"/>
      <c r="D11" s="127"/>
      <c r="F11" s="1"/>
    </row>
    <row r="12" spans="1:6" ht="15.65" thickBot="1" x14ac:dyDescent="0.35">
      <c r="A12" t="s">
        <v>81</v>
      </c>
      <c r="B12" s="128">
        <f>SUM(B5:B10)</f>
        <v>3084363.2</v>
      </c>
      <c r="C12" s="128">
        <f>SUM(C5:C11)</f>
        <v>3198752</v>
      </c>
      <c r="D12" s="128">
        <f>SUM(D5:D11)</f>
        <v>3208438</v>
      </c>
      <c r="F12" s="1"/>
    </row>
    <row r="13" spans="1:6" ht="15.65" thickTop="1" x14ac:dyDescent="0.3">
      <c r="B13" s="57"/>
      <c r="C13" s="57"/>
      <c r="D13" s="57"/>
      <c r="F13" s="1"/>
    </row>
    <row r="14" spans="1:6" x14ac:dyDescent="0.3">
      <c r="A14" t="s">
        <v>82</v>
      </c>
      <c r="B14" s="57">
        <f>'[1]Compliance Summary'!$D$9</f>
        <v>3084363</v>
      </c>
      <c r="C14" s="57">
        <f>'[1]Compliance Summary'!$E$9</f>
        <v>3198752</v>
      </c>
      <c r="D14" s="57">
        <f>'[1]Compliance Summary'!$F$9</f>
        <v>3208438</v>
      </c>
      <c r="F14" s="1"/>
    </row>
    <row r="15" spans="1:6" x14ac:dyDescent="0.3">
      <c r="A15" t="s">
        <v>83</v>
      </c>
      <c r="B15" s="116">
        <f>ROUND(B14-B12,0)</f>
        <v>0</v>
      </c>
      <c r="C15" s="116">
        <f>C14-C12</f>
        <v>0</v>
      </c>
      <c r="D15" s="134">
        <f>D14-D12</f>
        <v>0</v>
      </c>
      <c r="F15" s="1"/>
    </row>
    <row r="16" spans="1:6" x14ac:dyDescent="0.3">
      <c r="B16" s="57"/>
      <c r="C16" s="57"/>
      <c r="D16" s="57"/>
      <c r="F16" s="1"/>
    </row>
    <row r="17" spans="1:6" x14ac:dyDescent="0.3">
      <c r="B17" s="57"/>
      <c r="C17" s="57"/>
      <c r="D17" s="57"/>
      <c r="F17" s="1"/>
    </row>
    <row r="18" spans="1:6" x14ac:dyDescent="0.3">
      <c r="A18" s="51" t="s">
        <v>84</v>
      </c>
      <c r="B18" s="131" t="s">
        <v>153</v>
      </c>
      <c r="C18" s="131" t="s">
        <v>153</v>
      </c>
      <c r="D18" s="131" t="s">
        <v>153</v>
      </c>
      <c r="F18" s="1"/>
    </row>
    <row r="19" spans="1:6" x14ac:dyDescent="0.3">
      <c r="B19" s="131"/>
      <c r="C19" s="131"/>
      <c r="D19" s="131"/>
      <c r="F19" s="1"/>
    </row>
    <row r="20" spans="1:6" x14ac:dyDescent="0.3">
      <c r="B20" s="60"/>
      <c r="C20" s="60"/>
      <c r="D20" s="60"/>
      <c r="F20" s="1"/>
    </row>
    <row r="21" spans="1:6" x14ac:dyDescent="0.3">
      <c r="A21" s="51" t="s">
        <v>88</v>
      </c>
      <c r="B21" s="57">
        <f>'Compliance Table'!E11+'Compliance Table'!E12</f>
        <v>517178.00000000012</v>
      </c>
      <c r="C21" s="57">
        <f>'Compliance Table'!H11+'Compliance Table'!H12</f>
        <v>469387.00000000012</v>
      </c>
      <c r="D21" s="57">
        <f>'Compliance Table'!K11+'Compliance Table'!K12</f>
        <v>579222.00000000012</v>
      </c>
      <c r="F21" s="1"/>
    </row>
    <row r="22" spans="1:6" x14ac:dyDescent="0.3">
      <c r="A22" s="51" t="s">
        <v>89</v>
      </c>
      <c r="B22" s="57">
        <f>'Compliance Table'!E13+'Compliance Table'!E14</f>
        <v>385445.00000000012</v>
      </c>
      <c r="C22" s="57">
        <f>'Compliance Table'!H13+'Compliance Table'!H14</f>
        <v>362202.00000000006</v>
      </c>
      <c r="D22" s="57">
        <f>'Compliance Table'!K13+'Compliance Table'!K14</f>
        <v>420241.00000000006</v>
      </c>
      <c r="F22" s="1"/>
    </row>
    <row r="23" spans="1:6" x14ac:dyDescent="0.3">
      <c r="A23" s="51" t="s">
        <v>139</v>
      </c>
      <c r="B23" s="57">
        <f>'Compliance Table'!E18+'Compliance Table'!E19</f>
        <v>109723.00000000001</v>
      </c>
      <c r="C23" s="57">
        <f>'Compliance Table'!H18+'Compliance Table'!H19</f>
        <v>102328.00000000001</v>
      </c>
      <c r="D23" s="57">
        <f>'Compliance Table'!K18+'Compliance Table'!K19</f>
        <v>90774.000000000015</v>
      </c>
      <c r="F23" s="1"/>
    </row>
    <row r="24" spans="1:6" x14ac:dyDescent="0.3">
      <c r="A24" s="51"/>
      <c r="B24" s="57"/>
      <c r="C24" s="57"/>
      <c r="D24" s="57"/>
      <c r="F24" s="1"/>
    </row>
    <row r="25" spans="1:6" x14ac:dyDescent="0.3">
      <c r="A25" s="51"/>
      <c r="B25" s="57"/>
      <c r="C25" s="57"/>
      <c r="D25" s="57"/>
      <c r="F25" s="1"/>
    </row>
    <row r="26" spans="1:6" ht="15.65" thickBot="1" x14ac:dyDescent="0.35">
      <c r="B26" s="129">
        <f>SUM(B21:B25)</f>
        <v>1012346.0000000002</v>
      </c>
      <c r="C26" s="130">
        <f>SUM(C21:C25)</f>
        <v>933917.00000000023</v>
      </c>
      <c r="D26" s="130">
        <f>SUM(D21:D25)</f>
        <v>1090237.0000000002</v>
      </c>
    </row>
    <row r="27" spans="1:6" ht="15.65" thickTop="1" x14ac:dyDescent="0.3">
      <c r="B27" s="60"/>
      <c r="C27" s="60"/>
      <c r="D27" s="60"/>
    </row>
    <row r="28" spans="1:6" x14ac:dyDescent="0.3">
      <c r="B28" s="60"/>
      <c r="C28" s="60"/>
      <c r="D28" s="60"/>
    </row>
    <row r="29" spans="1:6" x14ac:dyDescent="0.3">
      <c r="A29" s="51" t="s">
        <v>85</v>
      </c>
      <c r="B29" s="131" t="s">
        <v>145</v>
      </c>
      <c r="C29" s="131" t="s">
        <v>146</v>
      </c>
      <c r="D29" s="131" t="s">
        <v>147</v>
      </c>
    </row>
    <row r="30" spans="1:6" x14ac:dyDescent="0.3">
      <c r="B30" s="131"/>
      <c r="C30" s="131"/>
      <c r="D30" s="131" t="s">
        <v>148</v>
      </c>
    </row>
    <row r="31" spans="1:6" x14ac:dyDescent="0.3">
      <c r="B31" s="60"/>
      <c r="C31" s="60"/>
      <c r="D31" s="60"/>
    </row>
    <row r="32" spans="1:6" x14ac:dyDescent="0.3">
      <c r="A32" s="51" t="s">
        <v>140</v>
      </c>
      <c r="B32" s="57">
        <f>'Compliance Table'!E8+'Compliance Table'!E9</f>
        <v>350739</v>
      </c>
      <c r="C32" s="57">
        <f>'Compliance Table'!H8+'Compliance Table'!H9</f>
        <v>328737</v>
      </c>
      <c r="D32" s="57">
        <f>'Compliance Table'!K8+'Compliance Table'!K9</f>
        <v>402268</v>
      </c>
    </row>
    <row r="33" spans="1:4" x14ac:dyDescent="0.3">
      <c r="A33" s="51" t="s">
        <v>141</v>
      </c>
      <c r="B33" s="57">
        <f>'Compliance Table'!E16</f>
        <v>82835</v>
      </c>
      <c r="C33" s="57">
        <f>'Compliance Table'!H16</f>
        <v>133411</v>
      </c>
      <c r="D33" s="57">
        <f>'Order of Priority '!D13</f>
        <v>101051</v>
      </c>
    </row>
    <row r="34" spans="1:4" x14ac:dyDescent="0.3">
      <c r="A34" s="51" t="s">
        <v>95</v>
      </c>
      <c r="B34" s="57">
        <f>'Compliance Table'!E$7</f>
        <v>348218</v>
      </c>
      <c r="C34" s="57">
        <f>'Compliance Table'!H$7</f>
        <v>597384</v>
      </c>
      <c r="D34" s="57">
        <f>'Order of Priority '!D14</f>
        <v>0</v>
      </c>
    </row>
    <row r="35" spans="1:4" x14ac:dyDescent="0.3">
      <c r="A35" s="51" t="s">
        <v>3</v>
      </c>
      <c r="B35" s="57">
        <f>'Compliance Table'!E10</f>
        <v>43977</v>
      </c>
      <c r="C35" s="57">
        <f>'Compliance Table'!H10</f>
        <v>51443</v>
      </c>
      <c r="D35" s="57">
        <f>'Order of Priority '!D14</f>
        <v>0</v>
      </c>
    </row>
    <row r="36" spans="1:4" x14ac:dyDescent="0.3">
      <c r="A36" s="51" t="s">
        <v>143</v>
      </c>
      <c r="B36" s="57">
        <v>0</v>
      </c>
      <c r="C36" s="57">
        <f>'Compliance Table'!H17</f>
        <v>285843</v>
      </c>
      <c r="D36" s="57">
        <f>'Order of Priority '!D16</f>
        <v>0</v>
      </c>
    </row>
    <row r="37" spans="1:4" x14ac:dyDescent="0.3">
      <c r="A37" s="51" t="s">
        <v>110</v>
      </c>
      <c r="B37" s="57">
        <v>0</v>
      </c>
      <c r="C37" s="57">
        <v>0</v>
      </c>
      <c r="D37" s="57">
        <v>0</v>
      </c>
    </row>
    <row r="38" spans="1:4" ht="15.65" thickBot="1" x14ac:dyDescent="0.35">
      <c r="A38" s="51" t="s">
        <v>81</v>
      </c>
      <c r="B38" s="129">
        <f>SUM(B32:B37)</f>
        <v>825769</v>
      </c>
      <c r="C38" s="129">
        <f>SUM(C32:C37)</f>
        <v>1396818</v>
      </c>
      <c r="D38" s="129">
        <f>SUM(D32:D37)</f>
        <v>503319</v>
      </c>
    </row>
    <row r="39" spans="1:4" ht="15.65" thickTop="1" x14ac:dyDescent="0.3">
      <c r="A39" s="51"/>
      <c r="B39" s="46"/>
      <c r="C39" s="46"/>
      <c r="D39" s="46"/>
    </row>
    <row r="40" spans="1:4" x14ac:dyDescent="0.3">
      <c r="A40" s="51"/>
      <c r="B40" s="46"/>
      <c r="C40" s="46"/>
      <c r="D40" s="46"/>
    </row>
    <row r="41" spans="1:4" x14ac:dyDescent="0.3">
      <c r="A41" s="51"/>
      <c r="B41" s="57"/>
      <c r="C41" s="57"/>
      <c r="D41" s="57"/>
    </row>
    <row r="42" spans="1:4" x14ac:dyDescent="0.3">
      <c r="A42" s="132"/>
      <c r="B42" s="133"/>
      <c r="C42" s="133"/>
      <c r="D42" s="133"/>
    </row>
    <row r="43" spans="1:4" x14ac:dyDescent="0.3">
      <c r="A43" s="24"/>
      <c r="B43" s="24"/>
      <c r="C43" s="24"/>
      <c r="D43" s="24"/>
    </row>
  </sheetData>
  <conditionalFormatting sqref="B15:D15">
    <cfRule type="cellIs" dxfId="2" priority="1" operator="notEqual">
      <formula>0</formula>
    </cfRule>
    <cfRule type="cellIs" dxfId="1" priority="2" operator="notEqual">
      <formula>0</formula>
    </cfRule>
  </conditionalFormatting>
  <pageMargins left="0.7" right="0.7" top="0.75" bottom="0.75" header="0.3" footer="0.3"/>
  <pageSetup orientation="portrait" horizontalDpi="4294967293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topLeftCell="A3" zoomScaleNormal="100" workbookViewId="0">
      <selection activeCell="B23" sqref="B23"/>
    </sheetView>
  </sheetViews>
  <sheetFormatPr defaultRowHeight="15.05" x14ac:dyDescent="0.3"/>
  <cols>
    <col min="1" max="1" width="13.21875" bestFit="1" customWidth="1"/>
    <col min="2" max="2" width="39.5546875" bestFit="1" customWidth="1"/>
    <col min="3" max="4" width="10.5546875" bestFit="1" customWidth="1"/>
    <col min="5" max="5" width="13.21875" bestFit="1" customWidth="1"/>
  </cols>
  <sheetData>
    <row r="1" spans="1:12" x14ac:dyDescent="0.3">
      <c r="A1" s="82">
        <v>2024</v>
      </c>
    </row>
    <row r="2" spans="1:12" x14ac:dyDescent="0.3">
      <c r="A2" t="s">
        <v>109</v>
      </c>
    </row>
    <row r="3" spans="1:12" x14ac:dyDescent="0.3">
      <c r="A3" s="118">
        <f>'Compliance Table'!L70</f>
        <v>3208438</v>
      </c>
    </row>
    <row r="5" spans="1:12" x14ac:dyDescent="0.3">
      <c r="E5" s="27" t="s">
        <v>144</v>
      </c>
    </row>
    <row r="6" spans="1:12" x14ac:dyDescent="0.3">
      <c r="B6" s="120" t="s">
        <v>43</v>
      </c>
      <c r="C6" s="121" t="s">
        <v>106</v>
      </c>
      <c r="D6" s="121" t="s">
        <v>107</v>
      </c>
      <c r="E6" s="121" t="s">
        <v>124</v>
      </c>
    </row>
    <row r="7" spans="1:12" x14ac:dyDescent="0.3">
      <c r="B7" t="s">
        <v>80</v>
      </c>
      <c r="C7" s="1">
        <f>'Compliance Table'!L77</f>
        <v>119157</v>
      </c>
      <c r="D7" s="1">
        <f>IF(SUM(C$7:C7)&lt;A$3,C7,A$3-C7)</f>
        <v>119157</v>
      </c>
      <c r="E7" s="2">
        <f>C7-D7</f>
        <v>0</v>
      </c>
    </row>
    <row r="8" spans="1:12" x14ac:dyDescent="0.3">
      <c r="B8" t="s">
        <v>99</v>
      </c>
      <c r="C8" s="1">
        <f>'Compliance Table'!J62</f>
        <v>1495725</v>
      </c>
      <c r="D8" s="1">
        <f>IF(SUM(C$7:C8)&lt;A$3,C8,A$3-SUM(D7)-C8)</f>
        <v>1495725</v>
      </c>
      <c r="E8" s="2">
        <f>C8-D8</f>
        <v>0</v>
      </c>
    </row>
    <row r="9" spans="1:12" x14ac:dyDescent="0.3">
      <c r="B9" t="s">
        <v>142</v>
      </c>
      <c r="C9" s="2">
        <f>'[1]Facility Detail'!$H$296+'[1]Facility Detail'!$H$301+'[1]Facility Detail'!$H$334+'[1]Facility Detail'!$H$339</f>
        <v>999463</v>
      </c>
      <c r="D9" s="1">
        <f>IF(SUM(C$7:C9)&lt;A$3,C9,A$3-SUM(D7:D8)-C9)</f>
        <v>999463</v>
      </c>
      <c r="E9" s="2">
        <f t="shared" ref="E9:E17" si="0">C9-D9</f>
        <v>0</v>
      </c>
    </row>
    <row r="10" spans="1:12" x14ac:dyDescent="0.3">
      <c r="B10" t="s">
        <v>108</v>
      </c>
      <c r="C10" s="2">
        <f>'[1]Facility Detail'!$H$486+'[1]Facility Detail'!$H$491</f>
        <v>90774</v>
      </c>
      <c r="D10" s="1">
        <f>IF(SUM(C$7:C10)&lt;A$3,C10,A$3-SUM(D7:D9)-C10)</f>
        <v>90774</v>
      </c>
      <c r="E10" s="2">
        <f t="shared" si="0"/>
        <v>0</v>
      </c>
    </row>
    <row r="11" spans="1:12" x14ac:dyDescent="0.3">
      <c r="B11" t="s">
        <v>151</v>
      </c>
      <c r="C11" s="1">
        <v>0</v>
      </c>
      <c r="D11" s="1">
        <f>IF(SUM(C$7:C11)&lt;A$3,C11,A$3-SUM(D7:D10)-C11)</f>
        <v>0</v>
      </c>
      <c r="E11" s="2">
        <f>C11-D11</f>
        <v>0</v>
      </c>
    </row>
    <row r="12" spans="1:12" x14ac:dyDescent="0.3">
      <c r="B12" s="142" t="s">
        <v>140</v>
      </c>
      <c r="C12" s="1">
        <f>'Compliance Table'!K8+'Compliance Table'!K9</f>
        <v>402268</v>
      </c>
      <c r="D12" s="1">
        <f>IF(SUM(C$7:C12)&lt;A$3,C12,A$3-SUM(D7:D11)-C12)</f>
        <v>402268</v>
      </c>
      <c r="E12" s="2">
        <f>C12-D12</f>
        <v>0</v>
      </c>
      <c r="L12" s="2"/>
    </row>
    <row r="13" spans="1:12" x14ac:dyDescent="0.3">
      <c r="B13" t="s">
        <v>141</v>
      </c>
      <c r="C13" s="1">
        <f>'[1]Facility Detail'!$H$372</f>
        <v>123178</v>
      </c>
      <c r="D13" s="1">
        <f>IF(SUM(C$7:C13)&lt;A$3,C13,A$3-SUM(D$7:D12))</f>
        <v>101051</v>
      </c>
      <c r="E13" s="2">
        <f>C13-D13</f>
        <v>22127</v>
      </c>
    </row>
    <row r="14" spans="1:12" x14ac:dyDescent="0.3">
      <c r="B14" s="43" t="s">
        <v>3</v>
      </c>
      <c r="C14" s="1">
        <f>'[1]Facility Detail'!$H$258</f>
        <v>128557</v>
      </c>
      <c r="D14" s="1">
        <f>IF(SUM(C$7:C14)&lt;A$3,C14,A$3-SUM(D$7:D13))</f>
        <v>0</v>
      </c>
      <c r="E14" s="2">
        <f t="shared" si="0"/>
        <v>128557</v>
      </c>
    </row>
    <row r="15" spans="1:12" x14ac:dyDescent="0.3">
      <c r="B15" s="43" t="s">
        <v>95</v>
      </c>
      <c r="C15" s="1">
        <f>'[1]Facility Detail'!$H$144</f>
        <v>643339</v>
      </c>
      <c r="D15" s="1">
        <f>IF(SUM(C$7:C15)&lt;A$3,C15,A$3-SUM(D$7:D14))</f>
        <v>0</v>
      </c>
      <c r="E15" s="2">
        <f t="shared" si="0"/>
        <v>643339</v>
      </c>
    </row>
    <row r="16" spans="1:12" x14ac:dyDescent="0.3">
      <c r="B16" s="43" t="s">
        <v>143</v>
      </c>
      <c r="C16" s="1">
        <f>'[1]Facility Detail'!$H$448</f>
        <v>584603</v>
      </c>
      <c r="D16" s="1">
        <f>IF(SUM(C$7:C16)&lt;A$3,C16,A$3-SUM(D$7:D15))</f>
        <v>0</v>
      </c>
      <c r="E16" s="2">
        <f t="shared" si="0"/>
        <v>584603</v>
      </c>
    </row>
    <row r="17" spans="2:5" ht="15.65" thickBot="1" x14ac:dyDescent="0.35">
      <c r="B17" s="43" t="s">
        <v>110</v>
      </c>
      <c r="C17" s="4">
        <f>'[1]Facility Detail'!$H$106</f>
        <v>1359830</v>
      </c>
      <c r="D17" s="4">
        <f>IF(SUM(C$7:C17)&lt;A$3,C17,A$3-SUM(D$7:D16))</f>
        <v>0</v>
      </c>
      <c r="E17" s="4">
        <f t="shared" si="0"/>
        <v>1359830</v>
      </c>
    </row>
    <row r="18" spans="2:5" ht="15.65" thickTop="1" x14ac:dyDescent="0.3">
      <c r="B18" s="43"/>
      <c r="C18" s="1">
        <f>SUM(C7:C17)</f>
        <v>5946894</v>
      </c>
      <c r="D18" s="118">
        <f t="shared" ref="D18:E18" si="1">SUM(D7:D17)</f>
        <v>3208438</v>
      </c>
      <c r="E18" s="1">
        <f t="shared" si="1"/>
        <v>2738456</v>
      </c>
    </row>
    <row r="19" spans="2:5" x14ac:dyDescent="0.3">
      <c r="B19" s="43"/>
      <c r="D19" s="1"/>
      <c r="E19" s="2"/>
    </row>
    <row r="21" spans="2:5" x14ac:dyDescent="0.3">
      <c r="B21" s="137" t="s">
        <v>132</v>
      </c>
      <c r="C21" s="48">
        <f>'Compliance Table'!L73-'Order of Priority '!C18</f>
        <v>0</v>
      </c>
      <c r="D21" s="119">
        <f>A3-D18</f>
        <v>0</v>
      </c>
    </row>
    <row r="26" spans="2:5" x14ac:dyDescent="0.3">
      <c r="D26" s="2"/>
    </row>
    <row r="27" spans="2:5" x14ac:dyDescent="0.3">
      <c r="D27" s="2"/>
    </row>
    <row r="28" spans="2:5" x14ac:dyDescent="0.3">
      <c r="C28" s="2"/>
    </row>
    <row r="30" spans="2:5" x14ac:dyDescent="0.3">
      <c r="D30" s="2"/>
    </row>
  </sheetData>
  <conditionalFormatting sqref="C21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EEC48729FCC940AE34103384135F45" ma:contentTypeVersion="28" ma:contentTypeDescription="" ma:contentTypeScope="" ma:versionID="997ceeb8dc04fe6d920601b8d1665b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220405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99FA21-1ECA-41E5-8D30-1143504F873E}"/>
</file>

<file path=customXml/itemProps2.xml><?xml version="1.0" encoding="utf-8"?>
<ds:datastoreItem xmlns:ds="http://schemas.openxmlformats.org/officeDocument/2006/customXml" ds:itemID="{BBB9CBD0-3658-4F35-A843-9FCD9FF403B9}"/>
</file>

<file path=customXml/itemProps3.xml><?xml version="1.0" encoding="utf-8"?>
<ds:datastoreItem xmlns:ds="http://schemas.openxmlformats.org/officeDocument/2006/customXml" ds:itemID="{70F03431-3FA7-4854-936A-6EDAB4C138FF}"/>
</file>

<file path=customXml/itemProps4.xml><?xml version="1.0" encoding="utf-8"?>
<ds:datastoreItem xmlns:ds="http://schemas.openxmlformats.org/officeDocument/2006/customXml" ds:itemID="{285C55B1-218C-4E7B-B913-4F91AED911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Compliance Table</vt:lpstr>
      <vt:lpstr>Apprenticeship Credits</vt:lpstr>
      <vt:lpstr>How selection was made</vt:lpstr>
      <vt:lpstr>Order of Priority </vt:lpstr>
      <vt:lpstr>'Compliance Table'!Print_Area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Chris Schaefer</cp:lastModifiedBy>
  <cp:lastPrinted>2021-05-23T03:21:10Z</cp:lastPrinted>
  <dcterms:created xsi:type="dcterms:W3CDTF">2021-05-20T03:26:04Z</dcterms:created>
  <dcterms:modified xsi:type="dcterms:W3CDTF">2024-05-22T21:31:27Z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0x0101006E56B4D1795A2E4DB2F0B01679ED314A00D9EEC48729FCC940AE34103384135F45</vt:lpwstr>
  </property>
  <property fmtid="{D5CDD505-2E9C-101B-9397-08002B2CF9AE}" pid="3" name="_docset_NoMedatataSyncRequired">
    <vt:lpwstr>False</vt:lpwstr>
  </property>
</Properties>
</file>