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7368" windowWidth="21840" windowHeight="7428"/>
  </bookViews>
  <sheets>
    <sheet name="Lead G" sheetId="37" r:id="rId1"/>
    <sheet name="3-YR AVERAGE-GAS" sheetId="31" r:id="rId2"/>
    <sheet name="NetWriteoffs-Gas" sheetId="25" r:id="rId3"/>
    <sheet name="BS Accts Gas" sheetId="109" r:id="rId4"/>
    <sheet name="SOG 12ME 5-2016" sheetId="116" r:id="rId5"/>
    <sheet name="SOG 12ME 5-2015" sheetId="115" r:id="rId6"/>
    <sheet name="SOG 12ME 5-2014" sheetId="113" r:id="rId7"/>
    <sheet name="SOG 12ME 5-2013" sheetId="112" r:id="rId8"/>
    <sheet name="SOG 12ME 5-2012" sheetId="114" r:id="rId9"/>
    <sheet name="904G Uncollectible 5YE 9-2016" sheetId="117" r:id="rId10"/>
  </sheets>
  <externalReferences>
    <externalReference r:id="rId11"/>
    <externalReference r:id="rId12"/>
  </externalReferences>
  <definedNames>
    <definedName name="__123Graph_D" localSheetId="3" hidden="1">#REF!</definedName>
    <definedName name="__123Graph_D" hidden="1">#REF!</definedName>
    <definedName name="__123Graph_ECURRENT" localSheetId="1" hidden="1">[1]ConsolidatingPL!#REF!</definedName>
    <definedName name="__123Graph_ECURRENT" localSheetId="3" hidden="1">[1]ConsolidatingPL!#REF!</definedName>
    <definedName name="__123Graph_ECURRENT" localSheetId="0" hidden="1">[1]ConsolidatingPL!#REF!</definedName>
    <definedName name="__123Graph_ECURRENT" localSheetId="2" hidden="1">[1]ConsolidatingPL!#REF!</definedName>
    <definedName name="__123Graph_ECURRENT" hidden="1">[1]ConsolidatingPL!#REF!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localSheetId="3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3" hidden="1">#REF!</definedName>
    <definedName name="BEx3L7D0PI38HWZ7VADU16C9E33D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1" hidden="1">#REF!</definedName>
    <definedName name="BEx3O85IKWARA6NCJOLRBRJFMEWW" localSheetId="3" hidden="1">#REF!</definedName>
    <definedName name="BEx3O85IKWARA6NCJOLRBRJFMEWW" localSheetId="0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3" hidden="1">#REF!</definedName>
    <definedName name="BEx3OJZSCGFRW7SVGBFI0X9DNVMM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3" hidden="1">#REF!</definedName>
    <definedName name="BEx3UKOCOQG7S1YQ436S997K1KWV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1" hidden="1">#REF!</definedName>
    <definedName name="BEx5MLQZM68YQSKARVWTTPINFQ2C" localSheetId="3" hidden="1">#REF!</definedName>
    <definedName name="BEx5MLQZM68YQSKARVWTTPINFQ2C" localSheetId="0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3" hidden="1">#REF!</definedName>
    <definedName name="BEx5MMCJMU7FOOWUCW9EA13B7V5F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3" hidden="1">#REF!</definedName>
    <definedName name="BEx9EG9KBJ77M8LEOR9ITOKN5KXY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3" hidden="1">#REF!</definedName>
    <definedName name="BExBCK9SCAABKOT9IP6TEPRR7YDT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3" hidden="1">#REF!</definedName>
    <definedName name="BExDCP3UZ3C2O4C1F7KMU0Z9U32N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1" hidden="1">#REF!</definedName>
    <definedName name="BExERWCEBKQRYWRQLYJ4UCMMKTHG" localSheetId="3" hidden="1">#REF!</definedName>
    <definedName name="BExERWCEBKQRYWRQLYJ4UCMMKTHG" localSheetId="0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3" hidden="1">#REF!</definedName>
    <definedName name="BExERXE1QW042A2T25RI4DVUU59O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3" hidden="1">#REF!</definedName>
    <definedName name="BExEUNU7FYVTR4DD1D31SS7PNXX2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3" hidden="1">#REF!</definedName>
    <definedName name="BExIPKNFUDPDKOSH5GHDVNA8D66S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3" hidden="1">#REF!</definedName>
    <definedName name="BExKGNK5YGKP0YHHTAAOV17Z9EIM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3" hidden="1">#REF!</definedName>
    <definedName name="BExKPFFSVTL757PNITV8R9RN4452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1" hidden="1">#REF!</definedName>
    <definedName name="BExMBYPQDG9AYDQ5E8IECVFREPO6" localSheetId="3" hidden="1">#REF!</definedName>
    <definedName name="BExMBYPQDG9AYDQ5E8IECVFREPO6" localSheetId="0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3" hidden="1">#REF!</definedName>
    <definedName name="BExMKP92JGBM5BJO174H9A4HQIB9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1" hidden="1">#REF!</definedName>
    <definedName name="BExQ9ZLYHWABXAA9NJDW8ZS0UQ9P" localSheetId="3" hidden="1">#REF!</definedName>
    <definedName name="BExQ9ZLYHWABXAA9NJDW8ZS0UQ9P" localSheetId="0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3" hidden="1">#REF!</definedName>
    <definedName name="BExQ9ZWQ19KSRZNZNPY6ZNWEST1J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3" hidden="1">#REF!</definedName>
    <definedName name="BExQG8TYRD2G42UA5ZPCRLNKUDMX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3" hidden="1">#REF!</definedName>
    <definedName name="BExQL2NSE8OYZFXQH8A23RMVMFW7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1" hidden="1">#REF!</definedName>
    <definedName name="BExTUY9WNSJ91GV8CP0SKJTEIV82" localSheetId="3" hidden="1">#REF!</definedName>
    <definedName name="BExTUY9WNSJ91GV8CP0SKJTEIV82" localSheetId="0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3" hidden="1">#REF!</definedName>
    <definedName name="BExTV67VIM8PV6KO253M4DUBJQLC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3" hidden="1">#REF!</definedName>
    <definedName name="BExUAMWQODKBXMRH1QCMJLJBF8M7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3" hidden="1">#REF!</definedName>
    <definedName name="BExW1U0JLKQ094DW5MMOI8UHO09V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3" hidden="1">#REF!</definedName>
    <definedName name="BExXO278QHQN8JDK5425EJ615ECC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3" hidden="1">#REF!</definedName>
    <definedName name="BExZSTNUWCRNCL22SMKXKFSLCJ0O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3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3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3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3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hidden="1">{#N/A,#N/A,FALSE,"Coversheet";#N/A,#N/A,FALSE,"QA"}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7">'SOG 12ME 5-2013'!$A$1:$W$66</definedName>
    <definedName name="_xlnm.Print_Area" localSheetId="6">'SOG 12ME 5-2014'!$A$1:$AA$66</definedName>
    <definedName name="SAPBEXhrIndnt" hidden="1">"Wide"</definedName>
    <definedName name="SAPsysID" hidden="1">"708C5W7SBKP804JT78WJ0JNKI"</definedName>
    <definedName name="SAPwbID" hidden="1">"ARS"</definedName>
    <definedName name="Transfer" localSheetId="3" hidden="1">#REF!</definedName>
    <definedName name="Transfer" hidden="1">#REF!</definedName>
    <definedName name="Transfers" localSheetId="3" hidden="1">#REF!</definedName>
    <definedName name="Transfers" hidden="1">#REF!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1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E20" i="37" l="1"/>
  <c r="D20" i="37"/>
  <c r="G103" i="109" l="1"/>
  <c r="A22" i="37" l="1"/>
  <c r="A23" i="37"/>
  <c r="F16" i="31" l="1"/>
  <c r="F13" i="31"/>
  <c r="F18" i="31"/>
  <c r="D76" i="25" l="1"/>
  <c r="D75" i="25"/>
  <c r="F27" i="37" l="1"/>
  <c r="D27" i="31"/>
  <c r="C27" i="31"/>
  <c r="B27" i="31"/>
  <c r="F93" i="117"/>
  <c r="F27" i="31" l="1"/>
  <c r="E27" i="31"/>
  <c r="D74" i="25"/>
  <c r="D73" i="25"/>
  <c r="D62" i="25"/>
  <c r="D47" i="25"/>
  <c r="D31" i="25"/>
  <c r="D15" i="25"/>
  <c r="B16" i="25" l="1"/>
  <c r="D23" i="109"/>
  <c r="D22" i="109"/>
  <c r="D21" i="109"/>
  <c r="D20" i="109"/>
  <c r="D19" i="109"/>
  <c r="D18" i="109"/>
  <c r="D17" i="109"/>
  <c r="D16" i="109"/>
  <c r="D15" i="109"/>
  <c r="D14" i="109"/>
  <c r="D13" i="109"/>
  <c r="D12" i="109"/>
  <c r="B11" i="25"/>
  <c r="B15" i="25" s="1"/>
  <c r="B8" i="25"/>
  <c r="B12" i="25" s="1"/>
  <c r="B13" i="25" s="1"/>
  <c r="M66" i="116"/>
  <c r="W28" i="116" s="1"/>
  <c r="G66" i="116"/>
  <c r="E66" i="116"/>
  <c r="O66" i="116" s="1"/>
  <c r="O64" i="116"/>
  <c r="Q64" i="116" s="1"/>
  <c r="K64" i="116"/>
  <c r="I64" i="116"/>
  <c r="O63" i="116"/>
  <c r="Q63" i="116" s="1"/>
  <c r="I63" i="116"/>
  <c r="K63" i="116" s="1"/>
  <c r="M58" i="116"/>
  <c r="W20" i="116" s="1"/>
  <c r="I58" i="116"/>
  <c r="K58" i="116" s="1"/>
  <c r="G58" i="116"/>
  <c r="E58" i="116"/>
  <c r="S20" i="116" s="1"/>
  <c r="O56" i="116"/>
  <c r="Q56" i="116" s="1"/>
  <c r="K56" i="116"/>
  <c r="I56" i="116"/>
  <c r="O55" i="116"/>
  <c r="Q55" i="116" s="1"/>
  <c r="I55" i="116"/>
  <c r="K55" i="116" s="1"/>
  <c r="O52" i="116"/>
  <c r="Q52" i="116" s="1"/>
  <c r="M52" i="116"/>
  <c r="M60" i="116" s="1"/>
  <c r="G52" i="116"/>
  <c r="I52" i="116" s="1"/>
  <c r="E52" i="116"/>
  <c r="E60" i="116" s="1"/>
  <c r="Q50" i="116"/>
  <c r="O50" i="116"/>
  <c r="K50" i="116"/>
  <c r="I50" i="116"/>
  <c r="Q49" i="116"/>
  <c r="O49" i="116"/>
  <c r="K49" i="116"/>
  <c r="I49" i="116"/>
  <c r="Q48" i="116"/>
  <c r="O48" i="116"/>
  <c r="K48" i="116"/>
  <c r="I48" i="116"/>
  <c r="O33" i="116"/>
  <c r="Q33" i="116" s="1"/>
  <c r="I33" i="116"/>
  <c r="K33" i="116" s="1"/>
  <c r="O32" i="116"/>
  <c r="Q32" i="116" s="1"/>
  <c r="I32" i="116"/>
  <c r="K32" i="116" s="1"/>
  <c r="U28" i="116"/>
  <c r="M28" i="116"/>
  <c r="I28" i="116"/>
  <c r="G28" i="116"/>
  <c r="K28" i="116" s="1"/>
  <c r="E28" i="116"/>
  <c r="O28" i="116" s="1"/>
  <c r="Q28" i="116" s="1"/>
  <c r="W26" i="116"/>
  <c r="U26" i="116"/>
  <c r="S26" i="116"/>
  <c r="Q26" i="116"/>
  <c r="O26" i="116"/>
  <c r="K26" i="116"/>
  <c r="I26" i="116"/>
  <c r="W25" i="116"/>
  <c r="U25" i="116"/>
  <c r="S25" i="116"/>
  <c r="O25" i="116"/>
  <c r="Q25" i="116" s="1"/>
  <c r="I25" i="116"/>
  <c r="K25" i="116" s="1"/>
  <c r="U20" i="116"/>
  <c r="M20" i="116"/>
  <c r="G20" i="116"/>
  <c r="K20" i="116" s="1"/>
  <c r="E20" i="116"/>
  <c r="I20" i="116" s="1"/>
  <c r="W18" i="116"/>
  <c r="U18" i="116"/>
  <c r="S18" i="116"/>
  <c r="Q18" i="116"/>
  <c r="O18" i="116"/>
  <c r="K18" i="116"/>
  <c r="I18" i="116"/>
  <c r="W17" i="116"/>
  <c r="U17" i="116"/>
  <c r="S17" i="116"/>
  <c r="O17" i="116"/>
  <c r="Q17" i="116" s="1"/>
  <c r="I17" i="116"/>
  <c r="K17" i="116" s="1"/>
  <c r="U14" i="116"/>
  <c r="M14" i="116"/>
  <c r="M22" i="116" s="1"/>
  <c r="G14" i="116"/>
  <c r="G22" i="116" s="1"/>
  <c r="E14" i="116"/>
  <c r="S14" i="116" s="1"/>
  <c r="W12" i="116"/>
  <c r="U12" i="116"/>
  <c r="S12" i="116"/>
  <c r="Q12" i="116"/>
  <c r="O12" i="116"/>
  <c r="K12" i="116"/>
  <c r="I12" i="116"/>
  <c r="W11" i="116"/>
  <c r="U11" i="116"/>
  <c r="S11" i="116"/>
  <c r="O11" i="116"/>
  <c r="Q11" i="116" s="1"/>
  <c r="I11" i="116"/>
  <c r="K11" i="116" s="1"/>
  <c r="W10" i="116"/>
  <c r="U10" i="116"/>
  <c r="S10" i="116"/>
  <c r="Q10" i="116"/>
  <c r="O10" i="116"/>
  <c r="K10" i="116"/>
  <c r="I10" i="116"/>
  <c r="D25" i="109" l="1"/>
  <c r="B17" i="25"/>
  <c r="G30" i="116"/>
  <c r="E68" i="116"/>
  <c r="O60" i="116"/>
  <c r="M30" i="116"/>
  <c r="Q20" i="116"/>
  <c r="W22" i="116"/>
  <c r="M68" i="116"/>
  <c r="Q60" i="116"/>
  <c r="K66" i="116"/>
  <c r="K52" i="116"/>
  <c r="G60" i="116"/>
  <c r="I60" i="116" s="1"/>
  <c r="I66" i="116"/>
  <c r="Q66" i="116"/>
  <c r="O14" i="116"/>
  <c r="W14" i="116"/>
  <c r="O20" i="116"/>
  <c r="S28" i="116"/>
  <c r="O58" i="116"/>
  <c r="Q58" i="116" s="1"/>
  <c r="I14" i="116"/>
  <c r="K14" i="116" s="1"/>
  <c r="Q14" i="116"/>
  <c r="E22" i="116"/>
  <c r="S22" i="116" s="1"/>
  <c r="G35" i="116" l="1"/>
  <c r="O22" i="116"/>
  <c r="Q22" i="116" s="1"/>
  <c r="E30" i="116"/>
  <c r="I22" i="116"/>
  <c r="K22" i="116" s="1"/>
  <c r="G68" i="116"/>
  <c r="K60" i="116"/>
  <c r="U22" i="116"/>
  <c r="Q68" i="116"/>
  <c r="W30" i="116"/>
  <c r="M35" i="116"/>
  <c r="I68" i="116"/>
  <c r="O68" i="116"/>
  <c r="E35" i="116" l="1"/>
  <c r="I30" i="116"/>
  <c r="K30" i="116" s="1"/>
  <c r="O30" i="116"/>
  <c r="Q30" i="116" s="1"/>
  <c r="S30" i="116"/>
  <c r="K68" i="116"/>
  <c r="U30" i="116"/>
  <c r="O35" i="116" l="1"/>
  <c r="Q35" i="116" s="1"/>
  <c r="I35" i="116"/>
  <c r="K35" i="116" s="1"/>
  <c r="D26" i="31" l="1"/>
  <c r="D25" i="31"/>
  <c r="C26" i="31" l="1"/>
  <c r="I10" i="115"/>
  <c r="K10" i="115"/>
  <c r="O10" i="115"/>
  <c r="Q10" i="115"/>
  <c r="S10" i="115"/>
  <c r="U10" i="115"/>
  <c r="W10" i="115"/>
  <c r="I11" i="115"/>
  <c r="K11" i="115" s="1"/>
  <c r="O11" i="115"/>
  <c r="Q11" i="115" s="1"/>
  <c r="S11" i="115"/>
  <c r="U11" i="115"/>
  <c r="W11" i="115"/>
  <c r="I12" i="115"/>
  <c r="K12" i="115"/>
  <c r="O12" i="115"/>
  <c r="Q12" i="115"/>
  <c r="S12" i="115"/>
  <c r="U12" i="115"/>
  <c r="W12" i="115"/>
  <c r="E14" i="115"/>
  <c r="O14" i="115" s="1"/>
  <c r="Q14" i="115" s="1"/>
  <c r="G14" i="115"/>
  <c r="I14" i="115"/>
  <c r="K14" i="115" s="1"/>
  <c r="M14" i="115"/>
  <c r="I17" i="115"/>
  <c r="K17" i="115" s="1"/>
  <c r="O17" i="115"/>
  <c r="Q17" i="115" s="1"/>
  <c r="S17" i="115"/>
  <c r="U17" i="115"/>
  <c r="W17" i="115"/>
  <c r="I18" i="115"/>
  <c r="K18" i="115"/>
  <c r="O18" i="115"/>
  <c r="Q18" i="115"/>
  <c r="S18" i="115"/>
  <c r="U18" i="115"/>
  <c r="W18" i="115"/>
  <c r="E20" i="115"/>
  <c r="O20" i="115" s="1"/>
  <c r="Q20" i="115" s="1"/>
  <c r="G20" i="115"/>
  <c r="I20" i="115"/>
  <c r="K20" i="115" s="1"/>
  <c r="M20" i="115"/>
  <c r="E22" i="115"/>
  <c r="O22" i="115" s="1"/>
  <c r="Q22" i="115" s="1"/>
  <c r="G22" i="115"/>
  <c r="I22" i="115"/>
  <c r="K22" i="115" s="1"/>
  <c r="M22" i="115"/>
  <c r="I25" i="115"/>
  <c r="K25" i="115" s="1"/>
  <c r="O25" i="115"/>
  <c r="Q25" i="115" s="1"/>
  <c r="S25" i="115"/>
  <c r="U25" i="115"/>
  <c r="W25" i="115"/>
  <c r="I26" i="115"/>
  <c r="K26" i="115"/>
  <c r="O26" i="115"/>
  <c r="Q26" i="115"/>
  <c r="S26" i="115"/>
  <c r="U26" i="115"/>
  <c r="W26" i="115"/>
  <c r="E28" i="115"/>
  <c r="O28" i="115" s="1"/>
  <c r="Q28" i="115" s="1"/>
  <c r="G28" i="115"/>
  <c r="I28" i="115"/>
  <c r="K28" i="115" s="1"/>
  <c r="M28" i="115"/>
  <c r="E30" i="115"/>
  <c r="O30" i="115" s="1"/>
  <c r="Q30" i="115" s="1"/>
  <c r="G30" i="115"/>
  <c r="I30" i="115"/>
  <c r="K30" i="115" s="1"/>
  <c r="M30" i="115"/>
  <c r="I32" i="115"/>
  <c r="K32" i="115" s="1"/>
  <c r="O32" i="115"/>
  <c r="Q32" i="115" s="1"/>
  <c r="I33" i="115"/>
  <c r="K33" i="115" s="1"/>
  <c r="O33" i="115"/>
  <c r="Q33" i="115" s="1"/>
  <c r="E35" i="115"/>
  <c r="O35" i="115" s="1"/>
  <c r="Q35" i="115" s="1"/>
  <c r="G35" i="115"/>
  <c r="I35" i="115"/>
  <c r="K35" i="115" s="1"/>
  <c r="M35" i="115"/>
  <c r="I46" i="115"/>
  <c r="K46" i="115"/>
  <c r="O46" i="115"/>
  <c r="Q46" i="115" s="1"/>
  <c r="I47" i="115"/>
  <c r="K47" i="115" s="1"/>
  <c r="O47" i="115"/>
  <c r="Q47" i="115" s="1"/>
  <c r="I48" i="115"/>
  <c r="K48" i="115" s="1"/>
  <c r="O48" i="115"/>
  <c r="Q48" i="115" s="1"/>
  <c r="E50" i="115"/>
  <c r="S14" i="115" s="1"/>
  <c r="G50" i="115"/>
  <c r="M50" i="115"/>
  <c r="W14" i="115" s="1"/>
  <c r="I53" i="115"/>
  <c r="K53" i="115"/>
  <c r="O53" i="115"/>
  <c r="Q53" i="115" s="1"/>
  <c r="I54" i="115"/>
  <c r="K54" i="115" s="1"/>
  <c r="O54" i="115"/>
  <c r="Q54" i="115" s="1"/>
  <c r="E56" i="115"/>
  <c r="G56" i="115"/>
  <c r="U20" i="115" s="1"/>
  <c r="M56" i="115"/>
  <c r="W20" i="115" s="1"/>
  <c r="I61" i="115"/>
  <c r="K61" i="115"/>
  <c r="O61" i="115"/>
  <c r="Q61" i="115" s="1"/>
  <c r="I62" i="115"/>
  <c r="K62" i="115" s="1"/>
  <c r="O62" i="115"/>
  <c r="Q62" i="115" s="1"/>
  <c r="E64" i="115"/>
  <c r="G64" i="115"/>
  <c r="U28" i="115" s="1"/>
  <c r="M64" i="115"/>
  <c r="W28" i="115" s="1"/>
  <c r="I64" i="115" l="1"/>
  <c r="K64" i="115" s="1"/>
  <c r="S28" i="115"/>
  <c r="G58" i="115"/>
  <c r="I56" i="115"/>
  <c r="K56" i="115" s="1"/>
  <c r="S20" i="115"/>
  <c r="O50" i="115"/>
  <c r="Q50" i="115" s="1"/>
  <c r="I50" i="115"/>
  <c r="K50" i="115" s="1"/>
  <c r="U14" i="115"/>
  <c r="O64" i="115"/>
  <c r="Q64" i="115" s="1"/>
  <c r="M58" i="115"/>
  <c r="E58" i="115"/>
  <c r="O56" i="115"/>
  <c r="Q56" i="115" s="1"/>
  <c r="U22" i="115" l="1"/>
  <c r="G66" i="115"/>
  <c r="U30" i="115" s="1"/>
  <c r="S22" i="115"/>
  <c r="I58" i="115"/>
  <c r="K58" i="115" s="1"/>
  <c r="E66" i="115"/>
  <c r="O58" i="115"/>
  <c r="W22" i="115"/>
  <c r="Q58" i="115"/>
  <c r="M66" i="115"/>
  <c r="W30" i="115" l="1"/>
  <c r="Q66" i="115"/>
  <c r="S30" i="115"/>
  <c r="I66" i="115"/>
  <c r="K66" i="115" s="1"/>
  <c r="O66" i="115"/>
  <c r="C25" i="31" l="1"/>
  <c r="D24" i="31"/>
  <c r="C24" i="31"/>
  <c r="D23" i="31"/>
  <c r="C23" i="31"/>
  <c r="I10" i="113" l="1"/>
  <c r="K10" i="113" s="1"/>
  <c r="O10" i="113"/>
  <c r="Q10" i="113" s="1"/>
  <c r="S10" i="113"/>
  <c r="U10" i="113"/>
  <c r="W10" i="113"/>
  <c r="I11" i="113"/>
  <c r="K11" i="113" s="1"/>
  <c r="O11" i="113"/>
  <c r="Q11" i="113" s="1"/>
  <c r="S11" i="113"/>
  <c r="U11" i="113"/>
  <c r="W11" i="113"/>
  <c r="I12" i="113"/>
  <c r="K12" i="113" s="1"/>
  <c r="O12" i="113"/>
  <c r="Q12" i="113" s="1"/>
  <c r="S12" i="113"/>
  <c r="U12" i="113"/>
  <c r="W12" i="113"/>
  <c r="E14" i="113"/>
  <c r="O14" i="113" s="1"/>
  <c r="Q14" i="113" s="1"/>
  <c r="G14" i="113"/>
  <c r="M14" i="113"/>
  <c r="I17" i="113"/>
  <c r="K17" i="113" s="1"/>
  <c r="O17" i="113"/>
  <c r="Q17" i="113" s="1"/>
  <c r="S17" i="113"/>
  <c r="U17" i="113"/>
  <c r="W17" i="113"/>
  <c r="I18" i="113"/>
  <c r="K18" i="113" s="1"/>
  <c r="O18" i="113"/>
  <c r="Q18" i="113" s="1"/>
  <c r="S18" i="113"/>
  <c r="U18" i="113"/>
  <c r="W18" i="113"/>
  <c r="E20" i="113"/>
  <c r="O20" i="113" s="1"/>
  <c r="Q20" i="113" s="1"/>
  <c r="G20" i="113"/>
  <c r="M20" i="113"/>
  <c r="S20" i="113"/>
  <c r="E22" i="113"/>
  <c r="O22" i="113" s="1"/>
  <c r="Q22" i="113" s="1"/>
  <c r="G22" i="113"/>
  <c r="M22" i="113"/>
  <c r="I25" i="113"/>
  <c r="K25" i="113" s="1"/>
  <c r="O25" i="113"/>
  <c r="Q25" i="113" s="1"/>
  <c r="S25" i="113"/>
  <c r="U25" i="113"/>
  <c r="W25" i="113"/>
  <c r="I26" i="113"/>
  <c r="K26" i="113" s="1"/>
  <c r="O26" i="113"/>
  <c r="Q26" i="113" s="1"/>
  <c r="S26" i="113"/>
  <c r="U26" i="113"/>
  <c r="W26" i="113"/>
  <c r="E28" i="113"/>
  <c r="O28" i="113" s="1"/>
  <c r="Q28" i="113" s="1"/>
  <c r="G28" i="113"/>
  <c r="M28" i="113"/>
  <c r="S28" i="113"/>
  <c r="E30" i="113"/>
  <c r="O30" i="113" s="1"/>
  <c r="Q30" i="113" s="1"/>
  <c r="G30" i="113"/>
  <c r="M30" i="113"/>
  <c r="I32" i="113"/>
  <c r="K32" i="113" s="1"/>
  <c r="O32" i="113"/>
  <c r="Q32" i="113"/>
  <c r="I33" i="113"/>
  <c r="K33" i="113" s="1"/>
  <c r="O33" i="113"/>
  <c r="Q33" i="113" s="1"/>
  <c r="E35" i="113"/>
  <c r="O35" i="113" s="1"/>
  <c r="Q35" i="113" s="1"/>
  <c r="G35" i="113"/>
  <c r="M35" i="113"/>
  <c r="I44" i="113"/>
  <c r="K44" i="113" s="1"/>
  <c r="O44" i="113"/>
  <c r="Q44" i="113" s="1"/>
  <c r="I45" i="113"/>
  <c r="K45" i="113" s="1"/>
  <c r="O45" i="113"/>
  <c r="Q45" i="113" s="1"/>
  <c r="I46" i="113"/>
  <c r="K46" i="113" s="1"/>
  <c r="O46" i="113"/>
  <c r="Q46" i="113" s="1"/>
  <c r="E48" i="113"/>
  <c r="I48" i="113" s="1"/>
  <c r="K48" i="113" s="1"/>
  <c r="G48" i="113"/>
  <c r="U14" i="113" s="1"/>
  <c r="M48" i="113"/>
  <c r="W14" i="113" s="1"/>
  <c r="I51" i="113"/>
  <c r="K51" i="113"/>
  <c r="O51" i="113"/>
  <c r="Q51" i="113"/>
  <c r="I52" i="113"/>
  <c r="K52" i="113"/>
  <c r="O52" i="113"/>
  <c r="Q52" i="113"/>
  <c r="E54" i="113"/>
  <c r="G54" i="113"/>
  <c r="M54" i="113"/>
  <c r="W20" i="113" s="1"/>
  <c r="O54" i="113"/>
  <c r="Q54" i="113" s="1"/>
  <c r="M56" i="113"/>
  <c r="W22" i="113" s="1"/>
  <c r="I59" i="113"/>
  <c r="K59" i="113"/>
  <c r="O59" i="113"/>
  <c r="Q59" i="113"/>
  <c r="I60" i="113"/>
  <c r="K60" i="113"/>
  <c r="O60" i="113"/>
  <c r="Q60" i="113"/>
  <c r="E62" i="113"/>
  <c r="G62" i="113"/>
  <c r="U28" i="113" s="1"/>
  <c r="M62" i="113"/>
  <c r="W28" i="113" s="1"/>
  <c r="O62" i="113"/>
  <c r="Q62" i="113" s="1"/>
  <c r="M64" i="113"/>
  <c r="W30" i="113" s="1"/>
  <c r="E56" i="113" l="1"/>
  <c r="I35" i="113"/>
  <c r="K35" i="113" s="1"/>
  <c r="I30" i="113"/>
  <c r="K30" i="113" s="1"/>
  <c r="I28" i="113"/>
  <c r="K28" i="113" s="1"/>
  <c r="I22" i="113"/>
  <c r="K22" i="113" s="1"/>
  <c r="I20" i="113"/>
  <c r="I14" i="113"/>
  <c r="K14" i="113" s="1"/>
  <c r="S22" i="113"/>
  <c r="K20" i="113"/>
  <c r="S14" i="113"/>
  <c r="I62" i="113"/>
  <c r="K62" i="113" s="1"/>
  <c r="G56" i="113"/>
  <c r="I54" i="113"/>
  <c r="K54" i="113" s="1"/>
  <c r="O48" i="113"/>
  <c r="Q48" i="113" s="1"/>
  <c r="U20" i="113"/>
  <c r="O56" i="113" l="1"/>
  <c r="Q56" i="113" s="1"/>
  <c r="E64" i="113"/>
  <c r="U22" i="113"/>
  <c r="G64" i="113"/>
  <c r="I56" i="113"/>
  <c r="K56" i="113" s="1"/>
  <c r="S30" i="113" l="1"/>
  <c r="O64" i="113"/>
  <c r="Q64" i="113" s="1"/>
  <c r="U30" i="113"/>
  <c r="I64" i="113"/>
  <c r="K64" i="113" s="1"/>
  <c r="I10" i="112" l="1"/>
  <c r="K10" i="112" s="1"/>
  <c r="O10" i="112"/>
  <c r="Q10" i="112" s="1"/>
  <c r="S10" i="112"/>
  <c r="U10" i="112"/>
  <c r="W10" i="112"/>
  <c r="I11" i="112"/>
  <c r="K11" i="112" s="1"/>
  <c r="O11" i="112"/>
  <c r="Q11" i="112" s="1"/>
  <c r="S11" i="112"/>
  <c r="U11" i="112"/>
  <c r="W11" i="112"/>
  <c r="I12" i="112"/>
  <c r="K12" i="112" s="1"/>
  <c r="O12" i="112"/>
  <c r="Q12" i="112" s="1"/>
  <c r="S12" i="112"/>
  <c r="U12" i="112"/>
  <c r="W12" i="112"/>
  <c r="E14" i="112"/>
  <c r="G14" i="112"/>
  <c r="I14" i="112" s="1"/>
  <c r="K14" i="112" s="1"/>
  <c r="M14" i="112"/>
  <c r="M22" i="112" s="1"/>
  <c r="I17" i="112"/>
  <c r="K17" i="112" s="1"/>
  <c r="O17" i="112"/>
  <c r="Q17" i="112" s="1"/>
  <c r="S17" i="112"/>
  <c r="U17" i="112"/>
  <c r="W17" i="112"/>
  <c r="I18" i="112"/>
  <c r="K18" i="112" s="1"/>
  <c r="O18" i="112"/>
  <c r="Q18" i="112" s="1"/>
  <c r="S18" i="112"/>
  <c r="U18" i="112"/>
  <c r="W18" i="112"/>
  <c r="E20" i="112"/>
  <c r="G20" i="112"/>
  <c r="I20" i="112" s="1"/>
  <c r="K20" i="112" s="1"/>
  <c r="M20" i="112"/>
  <c r="E22" i="112"/>
  <c r="I25" i="112"/>
  <c r="K25" i="112" s="1"/>
  <c r="O25" i="112"/>
  <c r="Q25" i="112" s="1"/>
  <c r="S25" i="112"/>
  <c r="U25" i="112"/>
  <c r="W25" i="112"/>
  <c r="I26" i="112"/>
  <c r="K26" i="112"/>
  <c r="O26" i="112"/>
  <c r="Q26" i="112"/>
  <c r="S26" i="112"/>
  <c r="U26" i="112"/>
  <c r="W26" i="112"/>
  <c r="E28" i="112"/>
  <c r="O28" i="112" s="1"/>
  <c r="Q28" i="112" s="1"/>
  <c r="G28" i="112"/>
  <c r="I28" i="112"/>
  <c r="K28" i="112" s="1"/>
  <c r="M28" i="112"/>
  <c r="U28" i="112"/>
  <c r="I32" i="112"/>
  <c r="K32" i="112" s="1"/>
  <c r="O32" i="112"/>
  <c r="Q32" i="112" s="1"/>
  <c r="I42" i="112"/>
  <c r="K42" i="112"/>
  <c r="O42" i="112"/>
  <c r="Q42" i="112"/>
  <c r="I43" i="112"/>
  <c r="K43" i="112"/>
  <c r="O43" i="112"/>
  <c r="Q43" i="112"/>
  <c r="I44" i="112"/>
  <c r="K44" i="112"/>
  <c r="O44" i="112"/>
  <c r="Q44" i="112"/>
  <c r="E46" i="112"/>
  <c r="S14" i="112" s="1"/>
  <c r="G46" i="112"/>
  <c r="I46" i="112" s="1"/>
  <c r="K46" i="112" s="1"/>
  <c r="M46" i="112"/>
  <c r="O46" i="112"/>
  <c r="Q46" i="112" s="1"/>
  <c r="I49" i="112"/>
  <c r="K49" i="112" s="1"/>
  <c r="O49" i="112"/>
  <c r="Q49" i="112" s="1"/>
  <c r="I50" i="112"/>
  <c r="K50" i="112" s="1"/>
  <c r="O50" i="112"/>
  <c r="Q50" i="112" s="1"/>
  <c r="E52" i="112"/>
  <c r="S20" i="112" s="1"/>
  <c r="G52" i="112"/>
  <c r="U20" i="112" s="1"/>
  <c r="M52" i="112"/>
  <c r="W20" i="112" s="1"/>
  <c r="I57" i="112"/>
  <c r="K57" i="112" s="1"/>
  <c r="O57" i="112"/>
  <c r="Q57" i="112" s="1"/>
  <c r="I58" i="112"/>
  <c r="K58" i="112" s="1"/>
  <c r="O58" i="112"/>
  <c r="Q58" i="112" s="1"/>
  <c r="E60" i="112"/>
  <c r="S28" i="112" s="1"/>
  <c r="G60" i="112"/>
  <c r="I60" i="112"/>
  <c r="K60" i="112" s="1"/>
  <c r="M60" i="112"/>
  <c r="W28" i="112" s="1"/>
  <c r="M30" i="112" l="1"/>
  <c r="M34" i="112" s="1"/>
  <c r="O22" i="112"/>
  <c r="Q22" i="112" s="1"/>
  <c r="G54" i="112"/>
  <c r="I52" i="112"/>
  <c r="K52" i="112" s="1"/>
  <c r="W14" i="112"/>
  <c r="E30" i="112"/>
  <c r="G22" i="112"/>
  <c r="O20" i="112"/>
  <c r="Q20" i="112" s="1"/>
  <c r="O14" i="112"/>
  <c r="Q14" i="112"/>
  <c r="U14" i="112"/>
  <c r="O60" i="112"/>
  <c r="Q60" i="112" s="1"/>
  <c r="M54" i="112"/>
  <c r="E54" i="112"/>
  <c r="O52" i="112"/>
  <c r="Q52" i="112" s="1"/>
  <c r="I22" i="112" l="1"/>
  <c r="K22" i="112" s="1"/>
  <c r="G30" i="112"/>
  <c r="G34" i="112" s="1"/>
  <c r="U22" i="112"/>
  <c r="G62" i="112"/>
  <c r="U30" i="112" s="1"/>
  <c r="O30" i="112"/>
  <c r="Q30" i="112" s="1"/>
  <c r="I30" i="112"/>
  <c r="K30" i="112" s="1"/>
  <c r="E34" i="112"/>
  <c r="W22" i="112"/>
  <c r="M62" i="112"/>
  <c r="S22" i="112"/>
  <c r="I54" i="112"/>
  <c r="K54" i="112" s="1"/>
  <c r="E62" i="112"/>
  <c r="O54" i="112"/>
  <c r="Q54" i="112" s="1"/>
  <c r="O34" i="112" l="1"/>
  <c r="Q34" i="112" s="1"/>
  <c r="I34" i="112"/>
  <c r="K34" i="112" s="1"/>
  <c r="S30" i="112"/>
  <c r="I62" i="112"/>
  <c r="K62" i="112" s="1"/>
  <c r="O62" i="112"/>
  <c r="W30" i="112"/>
  <c r="Q62" i="112"/>
  <c r="B78" i="25" l="1"/>
  <c r="B88" i="25"/>
  <c r="B85" i="25"/>
  <c r="B73" i="25"/>
  <c r="B70" i="25"/>
  <c r="B58" i="25"/>
  <c r="B55" i="25"/>
  <c r="B43" i="25"/>
  <c r="B27" i="25"/>
  <c r="B24" i="25"/>
  <c r="B40" i="25"/>
  <c r="D43" i="109"/>
  <c r="D44" i="109"/>
  <c r="D45" i="109"/>
  <c r="D35" i="109"/>
  <c r="D36" i="109"/>
  <c r="D37" i="109"/>
  <c r="D38" i="109"/>
  <c r="D39" i="109"/>
  <c r="D40" i="109"/>
  <c r="D41" i="109"/>
  <c r="D42" i="109"/>
  <c r="D34" i="109"/>
  <c r="D65" i="109"/>
  <c r="D53" i="109"/>
  <c r="D54" i="109"/>
  <c r="D55" i="109"/>
  <c r="D56" i="109"/>
  <c r="D57" i="109"/>
  <c r="D58" i="109"/>
  <c r="D59" i="109"/>
  <c r="D60" i="109"/>
  <c r="D61" i="109"/>
  <c r="D62" i="109"/>
  <c r="D63" i="109"/>
  <c r="D52" i="109"/>
  <c r="D71" i="109"/>
  <c r="D72" i="109"/>
  <c r="D73" i="109"/>
  <c r="D74" i="109"/>
  <c r="D75" i="109"/>
  <c r="D76" i="109"/>
  <c r="D77" i="109"/>
  <c r="D78" i="109"/>
  <c r="D79" i="109"/>
  <c r="D80" i="109"/>
  <c r="D81" i="109"/>
  <c r="D70" i="109"/>
  <c r="D83" i="109" s="1"/>
  <c r="B89" i="25" l="1"/>
  <c r="B59" i="25"/>
  <c r="D47" i="109"/>
  <c r="D89" i="109"/>
  <c r="D90" i="109"/>
  <c r="D91" i="109"/>
  <c r="D92" i="109"/>
  <c r="D93" i="109"/>
  <c r="D94" i="109"/>
  <c r="D95" i="109"/>
  <c r="D96" i="109"/>
  <c r="D97" i="109"/>
  <c r="D98" i="109"/>
  <c r="D99" i="109"/>
  <c r="D88" i="109"/>
  <c r="D101" i="109" l="1"/>
  <c r="D107" i="109" l="1"/>
  <c r="D108" i="109"/>
  <c r="D109" i="109"/>
  <c r="D110" i="109"/>
  <c r="D111" i="109"/>
  <c r="D112" i="109"/>
  <c r="D113" i="109"/>
  <c r="D114" i="109"/>
  <c r="D115" i="109"/>
  <c r="D116" i="109"/>
  <c r="D117" i="109"/>
  <c r="D106" i="109"/>
  <c r="E106" i="109" s="1"/>
  <c r="F106" i="109" l="1"/>
  <c r="E107" i="109"/>
  <c r="F107" i="109" s="1"/>
  <c r="D118" i="109"/>
  <c r="B93" i="25" s="1"/>
  <c r="B63" i="25"/>
  <c r="B48" i="25"/>
  <c r="B32" i="25"/>
  <c r="E108" i="109" l="1"/>
  <c r="F108" i="109"/>
  <c r="A4" i="31"/>
  <c r="E109" i="109" l="1"/>
  <c r="F109" i="109"/>
  <c r="E110" i="109" l="1"/>
  <c r="F110" i="109"/>
  <c r="E111" i="109" l="1"/>
  <c r="F111" i="109"/>
  <c r="E112" i="109" l="1"/>
  <c r="F112" i="109"/>
  <c r="E113" i="109" l="1"/>
  <c r="F113" i="109"/>
  <c r="E114" i="109" l="1"/>
  <c r="F114" i="109"/>
  <c r="E115" i="109" l="1"/>
  <c r="F115" i="109"/>
  <c r="E116" i="109" l="1"/>
  <c r="F116" i="109"/>
  <c r="E117" i="109" l="1"/>
  <c r="F117" i="109"/>
  <c r="E87" i="109" l="1"/>
  <c r="G24" i="109" s="1"/>
  <c r="E120" i="109"/>
  <c r="G120" i="109" s="1"/>
  <c r="E88" i="109" l="1"/>
  <c r="E89" i="109" l="1"/>
  <c r="F88" i="109"/>
  <c r="E90" i="109" l="1"/>
  <c r="F90" i="109"/>
  <c r="F89" i="109"/>
  <c r="B47" i="25"/>
  <c r="B49" i="25" s="1"/>
  <c r="B25" i="31" s="1"/>
  <c r="B62" i="25"/>
  <c r="B64" i="25" s="1"/>
  <c r="B24" i="31" s="1"/>
  <c r="B77" i="25"/>
  <c r="B92" i="25"/>
  <c r="B94" i="25" s="1"/>
  <c r="B90" i="25"/>
  <c r="B74" i="25"/>
  <c r="B75" i="25" s="1"/>
  <c r="B60" i="25"/>
  <c r="B44" i="25"/>
  <c r="B45" i="25" s="1"/>
  <c r="B31" i="25"/>
  <c r="E91" i="109" l="1"/>
  <c r="F91" i="109" s="1"/>
  <c r="B33" i="25"/>
  <c r="B79" i="25"/>
  <c r="B23" i="31" s="1"/>
  <c r="B28" i="25"/>
  <c r="B29" i="25" s="1"/>
  <c r="E92" i="109" l="1"/>
  <c r="E93" i="109" s="1"/>
  <c r="F93" i="109" l="1"/>
  <c r="E94" i="109"/>
  <c r="F94" i="109" s="1"/>
  <c r="F92" i="109"/>
  <c r="B26" i="31"/>
  <c r="E95" i="109" l="1"/>
  <c r="F95" i="109"/>
  <c r="E23" i="31"/>
  <c r="E25" i="31"/>
  <c r="E24" i="31"/>
  <c r="E26" i="31"/>
  <c r="E96" i="109" l="1"/>
  <c r="A15" i="37"/>
  <c r="A16" i="37" s="1"/>
  <c r="A17" i="37" s="1"/>
  <c r="A18" i="37" s="1"/>
  <c r="A19" i="37" s="1"/>
  <c r="A20" i="37" s="1"/>
  <c r="A21" i="37" s="1"/>
  <c r="A24" i="37" l="1"/>
  <c r="A25" i="37" s="1"/>
  <c r="A26" i="37" s="1"/>
  <c r="A27" i="37" s="1"/>
  <c r="A28" i="37" s="1"/>
  <c r="A29" i="37" s="1"/>
  <c r="A30" i="37" s="1"/>
  <c r="A31" i="37" s="1"/>
  <c r="A32" i="37" s="1"/>
  <c r="E97" i="109"/>
  <c r="F96" i="109"/>
  <c r="F20" i="37"/>
  <c r="F25" i="37" s="1"/>
  <c r="F97" i="109" l="1"/>
  <c r="E98" i="109"/>
  <c r="E99" i="109" s="1"/>
  <c r="E69" i="109" s="1"/>
  <c r="F23" i="31"/>
  <c r="F26" i="31"/>
  <c r="F25" i="31"/>
  <c r="F24" i="31"/>
  <c r="H24" i="31" l="1"/>
  <c r="F98" i="109"/>
  <c r="H25" i="31"/>
  <c r="H23" i="31"/>
  <c r="B12" i="31" s="1"/>
  <c r="H27" i="31"/>
  <c r="H26" i="31"/>
  <c r="B15" i="31" s="1"/>
  <c r="C15" i="37" s="1"/>
  <c r="E70" i="109"/>
  <c r="F70" i="109"/>
  <c r="F99" i="109"/>
  <c r="E103" i="109"/>
  <c r="E13" i="31"/>
  <c r="B14" i="31"/>
  <c r="B16" i="31" l="1"/>
  <c r="E16" i="31"/>
  <c r="D16" i="31"/>
  <c r="E16" i="37" s="1"/>
  <c r="C16" i="31"/>
  <c r="D16" i="37" s="1"/>
  <c r="C12" i="31"/>
  <c r="C14" i="31"/>
  <c r="E71" i="109"/>
  <c r="E15" i="31"/>
  <c r="F15" i="31" s="1"/>
  <c r="C15" i="31"/>
  <c r="D15" i="37" s="1"/>
  <c r="E12" i="31"/>
  <c r="D15" i="31"/>
  <c r="E15" i="37" s="1"/>
  <c r="D12" i="31"/>
  <c r="B13" i="31"/>
  <c r="C14" i="37" s="1"/>
  <c r="D13" i="31"/>
  <c r="E14" i="37" s="1"/>
  <c r="D14" i="31"/>
  <c r="C13" i="31"/>
  <c r="D14" i="37" s="1"/>
  <c r="E14" i="31"/>
  <c r="F14" i="31" s="1"/>
  <c r="F12" i="31" l="1"/>
  <c r="C16" i="37"/>
  <c r="F14" i="37"/>
  <c r="G14" i="37" s="1"/>
  <c r="F16" i="37"/>
  <c r="E72" i="109"/>
  <c r="F72" i="109"/>
  <c r="F71" i="109"/>
  <c r="F15" i="37"/>
  <c r="G15" i="37" s="1"/>
  <c r="G16" i="37" l="1"/>
  <c r="G18" i="37" s="1"/>
  <c r="F24" i="37" s="1"/>
  <c r="E73" i="109"/>
  <c r="E74" i="109" l="1"/>
  <c r="F74" i="109"/>
  <c r="F73" i="109"/>
  <c r="E75" i="109" l="1"/>
  <c r="F75" i="109"/>
  <c r="E76" i="109" l="1"/>
  <c r="F76" i="109"/>
  <c r="E77" i="109" l="1"/>
  <c r="F77" i="109"/>
  <c r="E78" i="109" l="1"/>
  <c r="F78" i="109"/>
  <c r="E79" i="109" l="1"/>
  <c r="F79" i="109"/>
  <c r="E80" i="109" l="1"/>
  <c r="F80" i="109"/>
  <c r="E81" i="109" l="1"/>
  <c r="E51" i="109" s="1"/>
  <c r="E52" i="109" l="1"/>
  <c r="E85" i="109"/>
  <c r="G85" i="109" s="1"/>
  <c r="F81" i="109"/>
  <c r="E53" i="109" l="1"/>
  <c r="F52" i="109"/>
  <c r="E54" i="109" l="1"/>
  <c r="F54" i="109"/>
  <c r="F53" i="109"/>
  <c r="E55" i="109" l="1"/>
  <c r="F55" i="109"/>
  <c r="E56" i="109" l="1"/>
  <c r="F56" i="109"/>
  <c r="E57" i="109" l="1"/>
  <c r="F57" i="109"/>
  <c r="E58" i="109" l="1"/>
  <c r="F58" i="109"/>
  <c r="E59" i="109" l="1"/>
  <c r="F59" i="109"/>
  <c r="E60" i="109" l="1"/>
  <c r="F60" i="109"/>
  <c r="E61" i="109" l="1"/>
  <c r="F61" i="109"/>
  <c r="E62" i="109" l="1"/>
  <c r="F62" i="109"/>
  <c r="E63" i="109" l="1"/>
  <c r="E33" i="109" s="1"/>
  <c r="F63" i="109"/>
  <c r="E34" i="109" l="1"/>
  <c r="F34" i="109" s="1"/>
  <c r="E67" i="109"/>
  <c r="G67" i="109" s="1"/>
  <c r="E35" i="109" l="1"/>
  <c r="F35" i="109" s="1"/>
  <c r="E36" i="109" l="1"/>
  <c r="F36" i="109" s="1"/>
  <c r="E37" i="109" l="1"/>
  <c r="F37" i="109" s="1"/>
  <c r="E38" i="109" l="1"/>
  <c r="F38" i="109" s="1"/>
  <c r="E39" i="109" l="1"/>
  <c r="F39" i="109" s="1"/>
  <c r="E40" i="109" l="1"/>
  <c r="F40" i="109" s="1"/>
  <c r="E41" i="109" l="1"/>
  <c r="F41" i="109" s="1"/>
  <c r="E42" i="109" l="1"/>
  <c r="F42" i="109"/>
  <c r="E43" i="109" l="1"/>
  <c r="F43" i="109" s="1"/>
  <c r="E44" i="109" l="1"/>
  <c r="F44" i="109" s="1"/>
  <c r="E45" i="109" l="1"/>
  <c r="F45" i="109" s="1"/>
  <c r="E11" i="109" l="1"/>
  <c r="E12" i="109" s="1"/>
  <c r="E13" i="109" s="1"/>
  <c r="E14" i="109" s="1"/>
  <c r="E15" i="109" s="1"/>
  <c r="E16" i="109" s="1"/>
  <c r="E17" i="109" s="1"/>
  <c r="E18" i="109" s="1"/>
  <c r="E19" i="109" s="1"/>
  <c r="E20" i="109" s="1"/>
  <c r="E21" i="109" s="1"/>
  <c r="E22" i="109" s="1"/>
  <c r="E23" i="109" s="1"/>
  <c r="E49" i="109"/>
  <c r="E27" i="109" l="1"/>
  <c r="G27" i="109" s="1"/>
  <c r="F24" i="109"/>
  <c r="G23" i="109"/>
  <c r="G25" i="109" s="1"/>
  <c r="H27" i="109" s="1"/>
  <c r="G28" i="37" l="1"/>
  <c r="G30" i="37" l="1"/>
  <c r="G31" i="37"/>
  <c r="G32" i="37" l="1"/>
</calcChain>
</file>

<file path=xl/sharedStrings.xml><?xml version="1.0" encoding="utf-8"?>
<sst xmlns="http://schemas.openxmlformats.org/spreadsheetml/2006/main" count="1042" uniqueCount="209">
  <si>
    <t>Cost elements</t>
  </si>
  <si>
    <t>Act. Costs</t>
  </si>
  <si>
    <t>Puget Sound Energy / Net Write-Offs</t>
  </si>
  <si>
    <t>Cost Element: rpt_pse: order group 904; transaction code:  ZRW_ZO12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</si>
  <si>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</si>
  <si>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</si>
  <si>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</si>
  <si>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</si>
  <si>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</si>
  <si>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</si>
  <si>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12ME December 2006</t>
  </si>
  <si>
    <t>(a)</t>
  </si>
  <si>
    <t>(b)</t>
  </si>
  <si>
    <t>BAD DEBT</t>
  </si>
  <si>
    <t>FOR THE 3-Yr Average</t>
  </si>
  <si>
    <t>PERCENT</t>
  </si>
  <si>
    <t>NET</t>
  </si>
  <si>
    <t>GROSS</t>
  </si>
  <si>
    <t>WRITEOFF'S</t>
  </si>
  <si>
    <t>YEAR</t>
  </si>
  <si>
    <t>REVENUES</t>
  </si>
  <si>
    <t>TO REVENUE</t>
  </si>
  <si>
    <t>3-Yr Average</t>
  </si>
  <si>
    <t>*Agreed to drop the highest and lowest of % writeoff's to revenue per Docket UE-040641</t>
  </si>
  <si>
    <t>PUGET SOUND ENERGY</t>
  </si>
  <si>
    <t>LINE</t>
  </si>
  <si>
    <t>NO.</t>
  </si>
  <si>
    <t>WRITEOFFS</t>
  </si>
  <si>
    <t>12 MOS ENDED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</si>
  <si>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</si>
  <si>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</si>
  <si>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</si>
  <si>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</si>
  <si>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</si>
  <si>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</si>
  <si>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</si>
  <si>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INCREASE (DECREASE)</t>
  </si>
  <si>
    <t/>
  </si>
  <si>
    <t>VARIANCE FROM BUDGET</t>
  </si>
  <si>
    <t>ACTUAL</t>
  </si>
  <si>
    <t>BUDGET</t>
  </si>
  <si>
    <t>AMOUNT</t>
  </si>
  <si>
    <t>%</t>
  </si>
  <si>
    <t>Low Income Surcharge included in above</t>
  </si>
  <si>
    <t xml:space="preserve"> Net Write Off Rate</t>
  </si>
  <si>
    <t>'3-Yr Average of</t>
  </si>
  <si>
    <t xml:space="preserve">OTHER </t>
  </si>
  <si>
    <t>OPERATING</t>
  </si>
  <si>
    <t>REVENUE</t>
  </si>
  <si>
    <t>(c)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</si>
  <si>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</si>
  <si>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</si>
  <si>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</si>
  <si>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</si>
  <si>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</si>
  <si>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</si>
  <si>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</si>
  <si>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</si>
  <si>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</si>
  <si>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</si>
  <si>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</si>
  <si>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</si>
  <si>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</si>
  <si>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</si>
  <si>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</si>
  <si>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</si>
  <si>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>SCH. 132 (Merger Rate Credit) in above</t>
  </si>
  <si>
    <t>SCH. 120 (Cons. Tracker Rev) in above</t>
  </si>
  <si>
    <t xml:space="preserve">    Total operating revenues</t>
  </si>
  <si>
    <t>Other Operating Revenues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</si>
  <si>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</si>
  <si>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</si>
  <si>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</si>
  <si>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</si>
  <si>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</si>
  <si>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</si>
  <si>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REVENUE PER THERM</t>
  </si>
  <si>
    <t>SUMMARY OF GAS OPERATING REVENUE &amp; THERM SALES</t>
  </si>
  <si>
    <t>PUGET SOUND ENERGY - GAS</t>
  </si>
  <si>
    <t xml:space="preserve">(d) = (b) - (c) </t>
  </si>
  <si>
    <t>(e) = (a) / (d)</t>
  </si>
  <si>
    <t>BAD DEBTS - GAS</t>
  </si>
  <si>
    <t>Download from SAP</t>
  </si>
  <si>
    <t>VARIANCE FROM 2012</t>
  </si>
  <si>
    <t xml:space="preserve">*  In March 2013 balances in account 14400032 Gas APUA were transferred to 14400312 Gas APUA to accommodate </t>
  </si>
  <si>
    <t>VARIANCE FROM 2011</t>
  </si>
  <si>
    <t xml:space="preserve">the conversion from CLX to CIS.  For purposes of this adjustment, March 2013 balances of 14400032 and 14400312 </t>
  </si>
  <si>
    <t>have been combined.</t>
  </si>
  <si>
    <t>90400001  3180- Uncollectible Accts- Dir WO Elec</t>
  </si>
  <si>
    <t xml:space="preserve">90400301  3180 -Uncollectible Accts- Dir WO- Gas </t>
  </si>
  <si>
    <t>Decoupling Revenue</t>
  </si>
  <si>
    <t>SAP 14400032 and 14400312</t>
  </si>
  <si>
    <t>Gas Reserve for Uncollectible Accounts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</si>
  <si>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</si>
  <si>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</si>
  <si>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</si>
  <si>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</si>
  <si>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</si>
  <si>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</si>
  <si>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</si>
  <si>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</si>
  <si>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</si>
  <si>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</si>
  <si>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</si>
  <si>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</si>
  <si>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1/31/2013</t>
  </si>
  <si>
    <t>2/28/2013</t>
  </si>
  <si>
    <t>3/31/2013</t>
  </si>
  <si>
    <t>4/30/2013</t>
  </si>
  <si>
    <t>5/31/2013</t>
  </si>
  <si>
    <t>6/30/2013</t>
  </si>
  <si>
    <t>7/31/2013</t>
  </si>
  <si>
    <t>8/31/2013</t>
  </si>
  <si>
    <t>9/30/2013</t>
  </si>
  <si>
    <t>10/31/2013</t>
  </si>
  <si>
    <t>11/30/2013</t>
  </si>
  <si>
    <t>12/31/2013</t>
  </si>
  <si>
    <t>sum of net changes ==&gt;</t>
  </si>
  <si>
    <t>Ending Balance minus Beginning Balance ====&gt;</t>
  </si>
  <si>
    <t>SCH. 140 (Prop Tax in BillEngy) in above</t>
  </si>
  <si>
    <t>Plus change in 14400311</t>
  </si>
  <si>
    <t>Plus change in 14400011 / 14400311</t>
  </si>
  <si>
    <t xml:space="preserve">Plus change in 14400011 </t>
  </si>
  <si>
    <t>1/31/2015</t>
  </si>
  <si>
    <t>2/28/2015</t>
  </si>
  <si>
    <t>3/31/2015</t>
  </si>
  <si>
    <t>4/30/2015</t>
  </si>
  <si>
    <t>5/31/2015</t>
  </si>
  <si>
    <t>6/30/2015</t>
  </si>
  <si>
    <t>SCH. 81 (Utility Tax &amp; FranFee) in above</t>
  </si>
  <si>
    <t>SCH. 149 (Pipeline Replacement) in above</t>
  </si>
  <si>
    <t>* Note: Budget Electric Revenues and KWHs are coming from 5 year plan (2013-2018) and are based on 2013 loads.</t>
  </si>
  <si>
    <t>VARIANCE FROM 2013</t>
  </si>
  <si>
    <t>VARIANCE FROM 2014</t>
  </si>
  <si>
    <t>Check</t>
  </si>
  <si>
    <t>12ME September 30, 2015</t>
  </si>
  <si>
    <t>Net write-off for 12ME September 2015</t>
  </si>
  <si>
    <t>12ME September 30, 2014</t>
  </si>
  <si>
    <t>Net write-off for 12ME September 2014</t>
  </si>
  <si>
    <t>12ME September 30, 2013</t>
  </si>
  <si>
    <t>Net write-off for 12ME September 2013</t>
  </si>
  <si>
    <t>12ME September 30, 2012</t>
  </si>
  <si>
    <t>Net write-off for 12ME September 2012</t>
  </si>
  <si>
    <t>12ME September 30, 2011</t>
  </si>
  <si>
    <t>Net write-off for 12ME September 2011</t>
  </si>
  <si>
    <t>September</t>
  </si>
  <si>
    <t>May</t>
  </si>
  <si>
    <t>12 ME 9/30/2012 and 5/31/2012</t>
  </si>
  <si>
    <t>12 ME 9/30/2013 and 5/31/2013</t>
  </si>
  <si>
    <t>12 ME 9/30/2014 and 5/31/2014</t>
  </si>
  <si>
    <t>12 ME 9/30/2015 and 5/31/2015</t>
  </si>
  <si>
    <t>TWELVE MONTHS ENDED  MAY, 2013</t>
  </si>
  <si>
    <t>TWELVE MONTHS ENDED  MAY, 2014</t>
  </si>
  <si>
    <t>TWELVE MONTHS ENDED MAY 31, 2012</t>
  </si>
  <si>
    <t>TWELVE MONTHS ENDED  MAY, 2015</t>
  </si>
  <si>
    <t>Total</t>
  </si>
  <si>
    <t>check</t>
  </si>
  <si>
    <t>TWELVE MONTHS ENDED MAY 30, 2016</t>
  </si>
  <si>
    <t>VARIANCE FROM 2015</t>
  </si>
  <si>
    <t>SCH. 141 (Expedt in BillEngy) in above</t>
  </si>
  <si>
    <t>SCH. 142 (Decup in BillEngy) in above</t>
  </si>
  <si>
    <t>* Note: Sch. 141 Expedited Rate Filing and Sch. 142 Decoupling Riders were included in this report starting in July 2015</t>
  </si>
  <si>
    <t>12ME September 30, 2016</t>
  </si>
  <si>
    <t>Net write-off for 12ME September 2016</t>
  </si>
  <si>
    <t>1/31/2016</t>
  </si>
  <si>
    <t>2/28/2016</t>
  </si>
  <si>
    <t>3/31/2016</t>
  </si>
  <si>
    <t>4/30/2016</t>
  </si>
  <si>
    <t>5/31/2016</t>
  </si>
  <si>
    <t>6/30/2016</t>
  </si>
  <si>
    <t>Change</t>
  </si>
  <si>
    <t xml:space="preserve">          The Description in Column E also incorrectly indicates Elec APUA and A/R when it is actually Gas.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</si>
  <si>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Column D incorrectly  indicates Electric account 14400311 as the offsetting APUA account. It is actually 14400312.  </t>
    </r>
  </si>
  <si>
    <t>90400302</t>
  </si>
  <si>
    <t>APUA - Elec Cust A/R</t>
  </si>
  <si>
    <t>14400311</t>
  </si>
  <si>
    <t>Provision for Uncoll</t>
  </si>
  <si>
    <t>63400200</t>
  </si>
  <si>
    <t>BLKD Elec/APUA CLX</t>
  </si>
  <si>
    <t>14400011</t>
  </si>
  <si>
    <t>Electric - Residenti</t>
  </si>
  <si>
    <t>44000001</t>
  </si>
  <si>
    <t>Mail Return Resident</t>
  </si>
  <si>
    <t>18401143</t>
  </si>
  <si>
    <t>90400301</t>
  </si>
  <si>
    <t>Posting Date</t>
  </si>
  <si>
    <t>Val.in rep.cur.</t>
  </si>
  <si>
    <t>Name of offsetting account</t>
  </si>
  <si>
    <t>Offsetting acct no.</t>
  </si>
  <si>
    <t>Cost element name</t>
  </si>
  <si>
    <t>Cost Element</t>
  </si>
  <si>
    <t>Order</t>
  </si>
  <si>
    <t>SAP Download</t>
  </si>
  <si>
    <t>Report currency           USD          US Dollar</t>
  </si>
  <si>
    <t>Order                     90400301...  CLSD-3180-Uncoll Accts-Direct...</t>
  </si>
  <si>
    <t>Layout                    1SAP         Primary cost posting</t>
  </si>
  <si>
    <t>FOR THE TWELVE MONTHS ENDED SEPTEMBER 30, 2016</t>
  </si>
  <si>
    <t>13 ME 9/30/2016 and 5/31/2016</t>
  </si>
  <si>
    <t>Beginning Bal</t>
  </si>
  <si>
    <t>Ending Bal</t>
  </si>
  <si>
    <t>Total Gas Uncollectible 10/01/2011 to 9/30/2016</t>
  </si>
  <si>
    <t>Total ZO12</t>
  </si>
  <si>
    <t>SAP chk</t>
  </si>
  <si>
    <t>Total KOB1</t>
  </si>
  <si>
    <t>Page 10.08</t>
  </si>
  <si>
    <t>REPORTING PERIOD REVENUES</t>
  </si>
  <si>
    <t>12 ME 9/30/2013 AND 5/31/2013</t>
  </si>
  <si>
    <t>12 ME 9/30/2015 AND 5/31/2015</t>
  </si>
  <si>
    <t>12 ME 9/30/2016 AND 5/31/2016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</si>
</sst>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\(&quot;$&quot;#,##0.00\)"/>
    <numFmt numFmtId="165" formatCode="dd\-mmm\-yy"/>
    <numFmt numFmtId="166" formatCode="&quot;$&quot;#,##0\ ;\(&quot;$&quot;#,##0\)"/>
    <numFmt numFmtId="167" formatCode="0.000000"/>
    <numFmt numFmtId="168" formatCode="0.00_)"/>
    <numFmt numFmtId="169" formatCode="_(* #,##0_);_(* \(#,##0\);_(* &quot;-&quot;??_);_(@_)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yyyy"/>
    <numFmt numFmtId="179" formatCode="0.0000000%"/>
    <numFmt numFmtId="180" formatCode="0.0000%"/>
    <numFmt numFmtId="181" formatCode="_(#,##0.0%_);\(#,##0.0%\);_(#,##0.0%_);_(@_)"/>
    <numFmt numFmtId="182" formatCode="_-* #,##0.00\ &quot;DM&quot;_-;\-* #,##0.00\ &quot;DM&quot;_-;_-* &quot;-&quot;??\ &quot;DM&quot;_-;_-@_-"/>
    <numFmt numFmtId="183" formatCode="_(#,##0_);\(#,##0\);_(#,##0_);_(@_)"/>
    <numFmt numFmtId="184" formatCode="_(#,##0_._0_0_);\(#,##0\)_._0_0;_(#,##0_._0_0\);_(@_)"/>
    <numFmt numFmtId="185" formatCode="0.0%;\(0.0%\)"/>
    <numFmt numFmtId="186" formatCode="0.00%;\(0.00%\)"/>
    <numFmt numFmtId="187" formatCode="_(&quot;$&quot;* #,##0.00_);_(&quot;$&quot;* \(#,##0.00\);_(&quot;$&quot;* &quot;-&quot;_);_(@_)"/>
    <numFmt numFmtId="188" formatCode="_(&quot;$&quot;* #,##0.000_);_(&quot;$&quot;* \(#,##0.000\);_(&quot;$&quot;* &quot;-&quot;??_);_(@_)"/>
    <numFmt numFmtId="189" formatCode="_(&quot;$&quot;* #,##0.0000_);_(&quot;$&quot;* \(#,##0.0000\);_(&quot;$&quot;* &quot;-&quot;??_);_(@_)"/>
    <numFmt numFmtId="190" formatCode="_(* #,##0.000_);_(* \(#,##0.000\);_(* &quot;-&quot;??_);_(@_)"/>
    <numFmt numFmtId="191" formatCode="\,"/>
    <numFmt numFmtId="192" formatCode="0.00000%"/>
    <numFmt numFmtId="193" formatCode="_-* #,##0.00\ _D_M_-;\-* #,##0.00\ _D_M_-;_-* &quot;-&quot;??\ _D_M_-;_-@_-"/>
    <numFmt numFmtId="194" formatCode="0000"/>
    <numFmt numFmtId="195" formatCode="000000"/>
    <numFmt numFmtId="196" formatCode="_(&quot;$&quot;* #,##0.0_);_(&quot;$&quot;* \(#,##0.0\);_(&quot;$&quot;* &quot;-&quot;??_);_(@_)"/>
    <numFmt numFmtId="197" formatCode="0.0%"/>
    <numFmt numFmtId="198" formatCode="_-* #,##0\ _D_M_-;\-* #,##0\ _D_M_-;_-* &quot;-&quot;??\ _D_M_-;_-@_-"/>
    <numFmt numFmtId="199" formatCode="0.000"/>
    <numFmt numFmtId="200" formatCode="#,##0.000_);\(#,##0.000\)"/>
    <numFmt numFmtId="201" formatCode="_(&quot;$&quot;* #,##0.000_);_(&quot;$&quot;* \(#,##0.000\);_(&quot;$&quot;* &quot;-&quot;???_);_(@_)"/>
    <numFmt numFmtId="202" formatCode="_(* #,##0.000_);_(* \(#,##0.000\);_(* &quot;-&quot;???_);_(@_)"/>
    <numFmt numFmtId="203" formatCode="#,##0_-;#,##0\-;&quot; &quot;"/>
    <numFmt numFmtId="204" formatCode="_(&quot;$&quot;* #,##0_);_(&quot;$&quot;* \(#,##0\);_(&quot;$&quot;* &quot;-&quot;??_);_(@_)"/>
    <numFmt numFmtId="205" formatCode="###,000"/>
  </numFmts>
  <fonts count="1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9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8"/>
      <color indexed="62"/>
      <name val="Cambri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name val="Univers (WN)"/>
    </font>
    <font>
      <b/>
      <sz val="10"/>
      <name val="Univers (WN)"/>
    </font>
    <font>
      <sz val="12"/>
      <name val="Univers (WN)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2"/>
      <name val="MS Serif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name val="Arial"/>
      <family val="2"/>
    </font>
    <font>
      <b/>
      <sz val="10"/>
      <color rgb="FF000000"/>
      <name val="Courier"/>
      <family val="3"/>
    </font>
    <font>
      <sz val="11"/>
      <name val="Calibri"/>
      <family val="2"/>
      <scheme val="minor"/>
    </font>
  </fonts>
  <fills count="1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962">
    <xf numFmtId="0" fontId="0" fillId="0" borderId="0"/>
    <xf numFmtId="167" fontId="16" fillId="0" borderId="0">
      <alignment horizontal="left" wrapText="1"/>
    </xf>
    <xf numFmtId="170" fontId="16" fillId="0" borderId="0">
      <alignment horizontal="left" wrapText="1"/>
    </xf>
    <xf numFmtId="171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67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67" fontId="16" fillId="0" borderId="0">
      <alignment horizontal="left" wrapText="1"/>
    </xf>
    <xf numFmtId="167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0" fontId="25" fillId="0" borderId="0"/>
    <xf numFmtId="170" fontId="16" fillId="0" borderId="0">
      <alignment horizontal="left" wrapText="1"/>
    </xf>
    <xf numFmtId="167" fontId="16" fillId="0" borderId="0">
      <alignment horizontal="left" wrapText="1"/>
    </xf>
    <xf numFmtId="170" fontId="16" fillId="0" borderId="0">
      <alignment horizontal="left" wrapText="1"/>
    </xf>
    <xf numFmtId="167" fontId="4" fillId="0" borderId="0">
      <alignment horizontal="left" wrapText="1"/>
    </xf>
    <xf numFmtId="167" fontId="16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6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0" fontId="25" fillId="0" borderId="0"/>
    <xf numFmtId="194" fontId="69" fillId="0" borderId="0">
      <alignment horizontal="left"/>
    </xf>
    <xf numFmtId="195" fontId="70" fillId="0" borderId="0">
      <alignment horizontal="left"/>
    </xf>
    <xf numFmtId="0" fontId="73" fillId="5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3" fillId="5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3" fillId="5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3" fillId="6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3" fillId="6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3" fillId="6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3" fillId="6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3" fillId="6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3" fillId="6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73" fillId="6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3" fillId="6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3" fillId="6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74" fillId="71" borderId="0" applyNumberFormat="0" applyBorder="0" applyAlignment="0" applyProtection="0"/>
    <xf numFmtId="0" fontId="74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74" fillId="7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74" fillId="7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74" fillId="7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74" fillId="7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2" borderId="0" applyNumberFormat="0" applyBorder="0" applyAlignment="0" applyProtection="0"/>
    <xf numFmtId="0" fontId="74" fillId="7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5" borderId="0" applyNumberFormat="0" applyBorder="0" applyAlignment="0" applyProtection="0"/>
    <xf numFmtId="0" fontId="74" fillId="80" borderId="0" applyNumberFormat="0" applyBorder="0" applyAlignment="0" applyProtection="0"/>
    <xf numFmtId="0" fontId="1" fillId="24" borderId="0" applyNumberFormat="0" applyBorder="0" applyAlignment="0" applyProtection="0"/>
    <xf numFmtId="0" fontId="1" fillId="18" borderId="0" applyNumberFormat="0" applyBorder="0" applyAlignment="0" applyProtection="0"/>
    <xf numFmtId="0" fontId="2" fillId="25" borderId="0" applyNumberFormat="0" applyBorder="0" applyAlignment="0" applyProtection="0"/>
    <xf numFmtId="0" fontId="75" fillId="81" borderId="0" applyNumberFormat="0" applyBorder="0" applyAlignment="0" applyProtection="0"/>
    <xf numFmtId="0" fontId="70" fillId="0" borderId="0" applyFont="0" applyFill="0" applyBorder="0" applyAlignment="0" applyProtection="0">
      <alignment horizontal="right"/>
    </xf>
    <xf numFmtId="172" fontId="21" fillId="0" borderId="0" applyFill="0" applyBorder="0" applyAlignment="0"/>
    <xf numFmtId="0" fontId="76" fillId="82" borderId="26" applyNumberFormat="0" applyAlignment="0" applyProtection="0"/>
    <xf numFmtId="0" fontId="77" fillId="83" borderId="27" applyNumberFormat="0" applyAlignment="0" applyProtection="0"/>
    <xf numFmtId="41" fontId="16" fillId="26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93" fontId="4" fillId="0" borderId="0" applyFont="0" applyFill="0" applyBorder="0" applyAlignment="0" applyProtection="0"/>
    <xf numFmtId="43" fontId="63" fillId="0" borderId="0" applyFont="0" applyFill="0" applyBorder="0" applyAlignment="0" applyProtection="0"/>
    <xf numFmtId="193" fontId="65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173" fontId="28" fillId="0" borderId="0">
      <protection locked="0"/>
    </xf>
    <xf numFmtId="0" fontId="27" fillId="0" borderId="0"/>
    <xf numFmtId="0" fontId="29" fillId="0" borderId="0" applyNumberFormat="0" applyAlignment="0">
      <alignment horizontal="left"/>
    </xf>
    <xf numFmtId="0" fontId="20" fillId="0" borderId="0" applyNumberFormat="0" applyAlignment="0"/>
    <xf numFmtId="0" fontId="26" fillId="0" borderId="0"/>
    <xf numFmtId="0" fontId="27" fillId="0" borderId="0"/>
    <xf numFmtId="0" fontId="26" fillId="0" borderId="0"/>
    <xf numFmtId="0" fontId="27" fillId="0" borderId="0"/>
    <xf numFmtId="44" fontId="4" fillId="0" borderId="0" applyFont="0" applyFill="0" applyBorder="0" applyAlignment="0" applyProtection="0"/>
    <xf numFmtId="44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4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167" fontId="4" fillId="0" borderId="0"/>
    <xf numFmtId="0" fontId="78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6" fillId="0" borderId="0"/>
    <xf numFmtId="0" fontId="79" fillId="84" borderId="0" applyNumberFormat="0" applyBorder="0" applyAlignment="0" applyProtection="0"/>
    <xf numFmtId="38" fontId="6" fillId="26" borderId="0" applyNumberFormat="0" applyBorder="0" applyAlignment="0" applyProtection="0"/>
    <xf numFmtId="196" fontId="11" fillId="0" borderId="0" applyNumberFormat="0" applyFill="0" applyBorder="0" applyProtection="0">
      <alignment horizontal="right"/>
    </xf>
    <xf numFmtId="0" fontId="17" fillId="0" borderId="1" applyNumberFormat="0" applyAlignment="0" applyProtection="0">
      <alignment horizontal="left"/>
    </xf>
    <xf numFmtId="0" fontId="17" fillId="0" borderId="2">
      <alignment horizontal="left"/>
    </xf>
    <xf numFmtId="14" fontId="8" fillId="30" borderId="3">
      <alignment horizontal="center" vertical="center" wrapText="1"/>
    </xf>
    <xf numFmtId="0" fontId="80" fillId="0" borderId="28" applyNumberFormat="0" applyFill="0" applyAlignment="0" applyProtection="0"/>
    <xf numFmtId="0" fontId="81" fillId="0" borderId="29" applyNumberFormat="0" applyFill="0" applyAlignment="0" applyProtection="0"/>
    <xf numFmtId="0" fontId="82" fillId="0" borderId="30" applyNumberFormat="0" applyFill="0" applyAlignment="0" applyProtection="0"/>
    <xf numFmtId="0" fontId="82" fillId="0" borderId="0" applyNumberFormat="0" applyFill="0" applyBorder="0" applyAlignment="0" applyProtection="0"/>
    <xf numFmtId="38" fontId="7" fillId="0" borderId="0"/>
    <xf numFmtId="40" fontId="7" fillId="0" borderId="0"/>
    <xf numFmtId="0" fontId="83" fillId="85" borderId="26" applyNumberFormat="0" applyAlignment="0" applyProtection="0"/>
    <xf numFmtId="10" fontId="6" fillId="31" borderId="4" applyNumberFormat="0" applyBorder="0" applyAlignment="0" applyProtection="0"/>
    <xf numFmtId="41" fontId="31" fillId="32" borderId="5">
      <alignment horizontal="left"/>
      <protection locked="0"/>
    </xf>
    <xf numFmtId="10" fontId="31" fillId="32" borderId="5">
      <alignment horizontal="right"/>
      <protection locked="0"/>
    </xf>
    <xf numFmtId="0" fontId="23" fillId="26" borderId="0"/>
    <xf numFmtId="3" fontId="32" fillId="0" borderId="0" applyFill="0" applyBorder="0" applyAlignment="0" applyProtection="0"/>
    <xf numFmtId="0" fontId="84" fillId="0" borderId="31" applyNumberFormat="0" applyFill="0" applyAlignment="0" applyProtection="0"/>
    <xf numFmtId="44" fontId="8" fillId="0" borderId="6" applyNumberFormat="0" applyFont="0" applyAlignment="0">
      <alignment horizontal="center"/>
    </xf>
    <xf numFmtId="44" fontId="8" fillId="0" borderId="7" applyNumberFormat="0" applyFont="0" applyAlignment="0">
      <alignment horizontal="center"/>
    </xf>
    <xf numFmtId="0" fontId="85" fillId="86" borderId="0" applyNumberFormat="0" applyBorder="0" applyAlignment="0" applyProtection="0"/>
    <xf numFmtId="37" fontId="33" fillId="0" borderId="0"/>
    <xf numFmtId="168" fontId="9" fillId="0" borderId="0"/>
    <xf numFmtId="0" fontId="6" fillId="33" borderId="0"/>
    <xf numFmtId="0" fontId="55" fillId="0" borderId="0"/>
    <xf numFmtId="0" fontId="4" fillId="0" borderId="0"/>
    <xf numFmtId="164" fontId="55" fillId="0" borderId="0">
      <alignment horizontal="left" wrapText="1"/>
    </xf>
    <xf numFmtId="164" fontId="55" fillId="0" borderId="0">
      <alignment horizontal="left" wrapText="1"/>
    </xf>
    <xf numFmtId="0" fontId="59" fillId="0" borderId="0"/>
    <xf numFmtId="0" fontId="40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164" fontId="61" fillId="0" borderId="0">
      <alignment horizontal="left" wrapText="1"/>
    </xf>
    <xf numFmtId="164" fontId="61" fillId="0" borderId="0">
      <alignment horizontal="left" wrapText="1"/>
    </xf>
    <xf numFmtId="164" fontId="61" fillId="0" borderId="0">
      <alignment horizontal="left" wrapText="1"/>
    </xf>
    <xf numFmtId="164" fontId="61" fillId="0" borderId="0">
      <alignment horizontal="left" wrapText="1"/>
    </xf>
    <xf numFmtId="0" fontId="62" fillId="33" borderId="0"/>
    <xf numFmtId="0" fontId="61" fillId="0" borderId="0"/>
    <xf numFmtId="0" fontId="63" fillId="0" borderId="0"/>
    <xf numFmtId="0" fontId="64" fillId="33" borderId="0"/>
    <xf numFmtId="0" fontId="65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7" fontId="4" fillId="0" borderId="0">
      <alignment horizontal="left" wrapText="1"/>
    </xf>
    <xf numFmtId="167" fontId="66" fillId="0" borderId="0">
      <alignment horizontal="left" wrapText="1"/>
    </xf>
    <xf numFmtId="167" fontId="67" fillId="0" borderId="0">
      <alignment horizontal="left" wrapText="1"/>
    </xf>
    <xf numFmtId="167" fontId="68" fillId="0" borderId="0">
      <alignment horizontal="left" wrapText="1"/>
    </xf>
    <xf numFmtId="0" fontId="68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4" fillId="0" borderId="0"/>
    <xf numFmtId="174" fontId="16" fillId="0" borderId="0">
      <alignment horizontal="left" wrapText="1"/>
    </xf>
    <xf numFmtId="0" fontId="4" fillId="0" borderId="0"/>
    <xf numFmtId="192" fontId="4" fillId="0" borderId="0">
      <alignment horizontal="left" wrapText="1"/>
    </xf>
    <xf numFmtId="0" fontId="4" fillId="0" borderId="0"/>
    <xf numFmtId="39" fontId="20" fillId="0" borderId="0"/>
    <xf numFmtId="0" fontId="60" fillId="87" borderId="32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86" fillId="82" borderId="33" applyNumberFormat="0" applyAlignment="0" applyProtection="0"/>
    <xf numFmtId="0" fontId="26" fillId="0" borderId="0"/>
    <xf numFmtId="0" fontId="26" fillId="0" borderId="0"/>
    <xf numFmtId="0" fontId="27" fillId="0" borderId="0"/>
    <xf numFmtId="197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5" fillId="0" borderId="0" applyFont="0" applyFill="0" applyBorder="0" applyAlignment="0" applyProtection="0"/>
    <xf numFmtId="41" fontId="16" fillId="34" borderId="5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35" fillId="0" borderId="3">
      <alignment horizontal="center"/>
    </xf>
    <xf numFmtId="3" fontId="19" fillId="0" borderId="0" applyFont="0" applyFill="0" applyBorder="0" applyAlignment="0" applyProtection="0"/>
    <xf numFmtId="0" fontId="19" fillId="35" borderId="0" applyNumberFormat="0" applyFont="0" applyBorder="0" applyAlignment="0" applyProtection="0"/>
    <xf numFmtId="0" fontId="27" fillId="0" borderId="0"/>
    <xf numFmtId="3" fontId="36" fillId="0" borderId="0" applyFill="0" applyBorder="0" applyAlignment="0" applyProtection="0"/>
    <xf numFmtId="0" fontId="37" fillId="0" borderId="0"/>
    <xf numFmtId="42" fontId="16" fillId="31" borderId="0"/>
    <xf numFmtId="42" fontId="16" fillId="31" borderId="10">
      <alignment vertical="center"/>
    </xf>
    <xf numFmtId="0" fontId="18" fillId="31" borderId="11" applyNumberFormat="0">
      <alignment horizontal="center" vertical="center" wrapText="1"/>
    </xf>
    <xf numFmtId="10" fontId="16" fillId="31" borderId="0"/>
    <xf numFmtId="175" fontId="16" fillId="31" borderId="0"/>
    <xf numFmtId="169" fontId="24" fillId="0" borderId="0" applyBorder="0" applyAlignment="0"/>
    <xf numFmtId="42" fontId="16" fillId="31" borderId="12">
      <alignment horizontal="left"/>
    </xf>
    <xf numFmtId="175" fontId="38" fillId="31" borderId="12">
      <alignment horizontal="left"/>
    </xf>
    <xf numFmtId="14" fontId="39" fillId="0" borderId="0" applyNumberFormat="0" applyFill="0" applyBorder="0" applyAlignment="0" applyProtection="0">
      <alignment horizontal="left"/>
    </xf>
    <xf numFmtId="176" fontId="16" fillId="0" borderId="0" applyFont="0" applyFill="0" applyAlignment="0">
      <alignment horizontal="right"/>
    </xf>
    <xf numFmtId="4" fontId="40" fillId="32" borderId="9" applyNumberFormat="0" applyProtection="0">
      <alignment vertical="center"/>
    </xf>
    <xf numFmtId="4" fontId="41" fillId="32" borderId="9" applyNumberFormat="0" applyProtection="0">
      <alignment vertical="center"/>
    </xf>
    <xf numFmtId="4" fontId="40" fillId="32" borderId="9" applyNumberFormat="0" applyProtection="0">
      <alignment horizontal="left" vertical="center" indent="1"/>
    </xf>
    <xf numFmtId="4" fontId="40" fillId="32" borderId="9" applyNumberFormat="0" applyProtection="0">
      <alignment horizontal="left" vertical="center" indent="1"/>
    </xf>
    <xf numFmtId="0" fontId="16" fillId="36" borderId="9" applyNumberFormat="0" applyProtection="0">
      <alignment horizontal="left" vertical="center" indent="1"/>
    </xf>
    <xf numFmtId="0" fontId="4" fillId="37" borderId="0" applyNumberFormat="0" applyProtection="0">
      <alignment horizontal="left" vertical="center" indent="1"/>
    </xf>
    <xf numFmtId="4" fontId="40" fillId="38" borderId="9" applyNumberFormat="0" applyProtection="0">
      <alignment horizontal="right" vertical="center"/>
    </xf>
    <xf numFmtId="4" fontId="40" fillId="39" borderId="9" applyNumberFormat="0" applyProtection="0">
      <alignment horizontal="right" vertical="center"/>
    </xf>
    <xf numFmtId="4" fontId="40" fillId="40" borderId="9" applyNumberFormat="0" applyProtection="0">
      <alignment horizontal="right" vertical="center"/>
    </xf>
    <xf numFmtId="4" fontId="40" fillId="41" borderId="9" applyNumberFormat="0" applyProtection="0">
      <alignment horizontal="right" vertical="center"/>
    </xf>
    <xf numFmtId="4" fontId="40" fillId="42" borderId="9" applyNumberFormat="0" applyProtection="0">
      <alignment horizontal="right" vertical="center"/>
    </xf>
    <xf numFmtId="4" fontId="40" fillId="43" borderId="9" applyNumberFormat="0" applyProtection="0">
      <alignment horizontal="right" vertical="center"/>
    </xf>
    <xf numFmtId="4" fontId="40" fillId="44" borderId="9" applyNumberFormat="0" applyProtection="0">
      <alignment horizontal="right" vertical="center"/>
    </xf>
    <xf numFmtId="4" fontId="40" fillId="45" borderId="9" applyNumberFormat="0" applyProtection="0">
      <alignment horizontal="right" vertical="center"/>
    </xf>
    <xf numFmtId="4" fontId="40" fillId="46" borderId="9" applyNumberFormat="0" applyProtection="0">
      <alignment horizontal="right" vertical="center"/>
    </xf>
    <xf numFmtId="4" fontId="42" fillId="47" borderId="9" applyNumberFormat="0" applyProtection="0">
      <alignment horizontal="left" vertical="center" indent="1"/>
    </xf>
    <xf numFmtId="4" fontId="40" fillId="48" borderId="13" applyNumberFormat="0" applyProtection="0">
      <alignment horizontal="left" vertical="center" indent="1"/>
    </xf>
    <xf numFmtId="4" fontId="43" fillId="49" borderId="0" applyNumberFormat="0" applyProtection="0">
      <alignment horizontal="left" vertical="center" indent="1"/>
    </xf>
    <xf numFmtId="0" fontId="16" fillId="36" borderId="9" applyNumberFormat="0" applyProtection="0">
      <alignment horizontal="left" vertical="center" indent="1"/>
    </xf>
    <xf numFmtId="4" fontId="40" fillId="48" borderId="9" applyNumberFormat="0" applyProtection="0">
      <alignment horizontal="left" vertical="center" indent="1"/>
    </xf>
    <xf numFmtId="4" fontId="40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26" borderId="9" applyNumberFormat="0" applyProtection="0">
      <alignment horizontal="left" vertical="center" indent="1"/>
    </xf>
    <xf numFmtId="0" fontId="16" fillId="26" borderId="9" applyNumberFormat="0" applyProtection="0">
      <alignment horizontal="left" vertical="center" indent="1"/>
    </xf>
    <xf numFmtId="0" fontId="16" fillId="36" borderId="9" applyNumberFormat="0" applyProtection="0">
      <alignment horizontal="left" vertical="center" indent="1"/>
    </xf>
    <xf numFmtId="0" fontId="16" fillId="36" borderId="9" applyNumberFormat="0" applyProtection="0">
      <alignment horizontal="left" vertical="center" indent="1"/>
    </xf>
    <xf numFmtId="0" fontId="16" fillId="2" borderId="4" applyNumberFormat="0">
      <protection locked="0"/>
    </xf>
    <xf numFmtId="0" fontId="7" fillId="23" borderId="14" applyBorder="0"/>
    <xf numFmtId="4" fontId="40" fillId="52" borderId="9" applyNumberFormat="0" applyProtection="0">
      <alignment vertical="center"/>
    </xf>
    <xf numFmtId="4" fontId="41" fillId="52" borderId="9" applyNumberFormat="0" applyProtection="0">
      <alignment vertical="center"/>
    </xf>
    <xf numFmtId="4" fontId="40" fillId="52" borderId="9" applyNumberFormat="0" applyProtection="0">
      <alignment horizontal="left" vertical="center" indent="1"/>
    </xf>
    <xf numFmtId="4" fontId="40" fillId="52" borderId="9" applyNumberFormat="0" applyProtection="0">
      <alignment horizontal="left" vertical="center" indent="1"/>
    </xf>
    <xf numFmtId="4" fontId="40" fillId="48" borderId="9" applyNumberFormat="0" applyProtection="0">
      <alignment horizontal="right" vertical="center"/>
    </xf>
    <xf numFmtId="4" fontId="41" fillId="48" borderId="9" applyNumberFormat="0" applyProtection="0">
      <alignment horizontal="right" vertical="center"/>
    </xf>
    <xf numFmtId="0" fontId="16" fillId="36" borderId="9" applyNumberFormat="0" applyProtection="0">
      <alignment horizontal="left" vertical="center" indent="1"/>
    </xf>
    <xf numFmtId="0" fontId="16" fillId="36" borderId="9" applyNumberFormat="0" applyProtection="0">
      <alignment horizontal="left" vertical="center" indent="1"/>
    </xf>
    <xf numFmtId="0" fontId="44" fillId="0" borderId="0"/>
    <xf numFmtId="0" fontId="6" fillId="53" borderId="4"/>
    <xf numFmtId="4" fontId="45" fillId="48" borderId="9" applyNumberFormat="0" applyProtection="0">
      <alignment horizontal="right" vertical="center"/>
    </xf>
    <xf numFmtId="39" fontId="16" fillId="54" borderId="0"/>
    <xf numFmtId="0" fontId="52" fillId="0" borderId="0" applyNumberFormat="0" applyFill="0" applyBorder="0" applyAlignment="0" applyProtection="0"/>
    <xf numFmtId="38" fontId="6" fillId="0" borderId="15"/>
    <xf numFmtId="38" fontId="7" fillId="0" borderId="12"/>
    <xf numFmtId="39" fontId="39" fillId="55" borderId="0"/>
    <xf numFmtId="167" fontId="4" fillId="0" borderId="0">
      <alignment horizontal="left" wrapText="1"/>
    </xf>
    <xf numFmtId="170" fontId="16" fillId="0" borderId="0">
      <alignment horizontal="left" wrapText="1"/>
    </xf>
    <xf numFmtId="173" fontId="16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4" fontId="4" fillId="0" borderId="0">
      <alignment horizontal="left" wrapText="1"/>
    </xf>
    <xf numFmtId="40" fontId="46" fillId="0" borderId="0" applyBorder="0">
      <alignment horizontal="right"/>
    </xf>
    <xf numFmtId="41" fontId="47" fillId="31" borderId="0">
      <alignment horizontal="left"/>
    </xf>
    <xf numFmtId="0" fontId="71" fillId="0" borderId="0"/>
    <xf numFmtId="0" fontId="72" fillId="0" borderId="0" applyFill="0" applyBorder="0" applyProtection="0">
      <alignment horizontal="left" vertical="top"/>
    </xf>
    <xf numFmtId="0" fontId="87" fillId="0" borderId="0" applyNumberFormat="0" applyFill="0" applyBorder="0" applyAlignment="0" applyProtection="0"/>
    <xf numFmtId="177" fontId="48" fillId="31" borderId="0">
      <alignment horizontal="left" vertical="center"/>
    </xf>
    <xf numFmtId="0" fontId="18" fillId="31" borderId="0">
      <alignment horizontal="left" wrapText="1"/>
    </xf>
    <xf numFmtId="0" fontId="49" fillId="0" borderId="0">
      <alignment horizontal="left" vertical="center"/>
    </xf>
    <xf numFmtId="0" fontId="88" fillId="0" borderId="34" applyNumberFormat="0" applyFill="0" applyAlignment="0" applyProtection="0"/>
    <xf numFmtId="0" fontId="27" fillId="0" borderId="16"/>
    <xf numFmtId="0" fontId="89" fillId="0" borderId="0" applyNumberFormat="0" applyFill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3" fillId="0" borderId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63" borderId="0" applyNumberFormat="0" applyBorder="0" applyAlignment="0" applyProtection="0"/>
    <xf numFmtId="0" fontId="73" fillId="64" borderId="0" applyNumberFormat="0" applyBorder="0" applyAlignment="0" applyProtection="0"/>
    <xf numFmtId="0" fontId="73" fillId="65" borderId="0" applyNumberFormat="0" applyBorder="0" applyAlignment="0" applyProtection="0"/>
    <xf numFmtId="0" fontId="73" fillId="66" borderId="0" applyNumberFormat="0" applyBorder="0" applyAlignment="0" applyProtection="0"/>
    <xf numFmtId="0" fontId="73" fillId="67" borderId="0" applyNumberFormat="0" applyBorder="0" applyAlignment="0" applyProtection="0"/>
    <xf numFmtId="0" fontId="73" fillId="68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90" fillId="0" borderId="0"/>
    <xf numFmtId="0" fontId="73" fillId="5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3" fillId="5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3" fillId="5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3" fillId="6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3" fillId="6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3" fillId="6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3" fillId="6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3" fillId="6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3" fillId="6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73" fillId="6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3" fillId="6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3" fillId="6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168" fontId="9" fillId="0" borderId="0"/>
    <xf numFmtId="0" fontId="1" fillId="0" borderId="0"/>
    <xf numFmtId="0" fontId="1" fillId="0" borderId="0"/>
    <xf numFmtId="0" fontId="4" fillId="0" borderId="0"/>
    <xf numFmtId="0" fontId="73" fillId="0" borderId="0"/>
    <xf numFmtId="0" fontId="1" fillId="0" borderId="0"/>
    <xf numFmtId="0" fontId="73" fillId="0" borderId="0"/>
    <xf numFmtId="0" fontId="34" fillId="0" borderId="0"/>
    <xf numFmtId="174" fontId="4" fillId="0" borderId="0">
      <alignment horizontal="left" wrapText="1"/>
    </xf>
    <xf numFmtId="0" fontId="1" fillId="0" borderId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73" fillId="87" borderId="32" applyNumberFormat="0" applyFont="0" applyAlignment="0" applyProtection="0"/>
    <xf numFmtId="0" fontId="1" fillId="87" borderId="32" applyNumberFormat="0" applyFont="0" applyAlignment="0" applyProtection="0"/>
    <xf numFmtId="0" fontId="1" fillId="87" borderId="32" applyNumberFormat="0" applyFont="0" applyAlignment="0" applyProtection="0"/>
    <xf numFmtId="0" fontId="1" fillId="87" borderId="32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4" fontId="42" fillId="88" borderId="35" applyNumberFormat="0" applyProtection="0">
      <alignment vertical="center"/>
    </xf>
    <xf numFmtId="4" fontId="91" fillId="32" borderId="35" applyNumberFormat="0" applyProtection="0">
      <alignment vertical="center"/>
    </xf>
    <xf numFmtId="4" fontId="42" fillId="32" borderId="35" applyNumberFormat="0" applyProtection="0">
      <alignment horizontal="left" vertical="center" indent="1"/>
    </xf>
    <xf numFmtId="0" fontId="42" fillId="32" borderId="35" applyNumberFormat="0" applyProtection="0">
      <alignment horizontal="left" vertical="top" indent="1"/>
    </xf>
    <xf numFmtId="4" fontId="42" fillId="89" borderId="0" applyNumberFormat="0" applyProtection="0">
      <alignment horizontal="left" vertical="center" indent="1"/>
    </xf>
    <xf numFmtId="4" fontId="40" fillId="5" borderId="35" applyNumberFormat="0" applyProtection="0">
      <alignment horizontal="right" vertical="center"/>
    </xf>
    <xf numFmtId="4" fontId="40" fillId="11" borderId="35" applyNumberFormat="0" applyProtection="0">
      <alignment horizontal="right" vertical="center"/>
    </xf>
    <xf numFmtId="4" fontId="40" fillId="90" borderId="35" applyNumberFormat="0" applyProtection="0">
      <alignment horizontal="right" vertical="center"/>
    </xf>
    <xf numFmtId="4" fontId="40" fillId="13" borderId="35" applyNumberFormat="0" applyProtection="0">
      <alignment horizontal="right" vertical="center"/>
    </xf>
    <xf numFmtId="4" fontId="40" fillId="91" borderId="35" applyNumberFormat="0" applyProtection="0">
      <alignment horizontal="right" vertical="center"/>
    </xf>
    <xf numFmtId="4" fontId="40" fillId="92" borderId="35" applyNumberFormat="0" applyProtection="0">
      <alignment horizontal="right" vertical="center"/>
    </xf>
    <xf numFmtId="4" fontId="40" fillId="93" borderId="35" applyNumberFormat="0" applyProtection="0">
      <alignment horizontal="right" vertical="center"/>
    </xf>
    <xf numFmtId="4" fontId="40" fillId="94" borderId="35" applyNumberFormat="0" applyProtection="0">
      <alignment horizontal="right" vertical="center"/>
    </xf>
    <xf numFmtId="4" fontId="40" fillId="12" borderId="35" applyNumberFormat="0" applyProtection="0">
      <alignment horizontal="right" vertical="center"/>
    </xf>
    <xf numFmtId="4" fontId="42" fillId="95" borderId="36" applyNumberFormat="0" applyProtection="0">
      <alignment horizontal="left" vertical="center" indent="1"/>
    </xf>
    <xf numFmtId="4" fontId="40" fillId="96" borderId="0" applyNumberFormat="0" applyProtection="0">
      <alignment horizontal="left" vertical="center" indent="1"/>
    </xf>
    <xf numFmtId="4" fontId="40" fillId="97" borderId="35" applyNumberFormat="0" applyProtection="0">
      <alignment horizontal="right" vertical="center"/>
    </xf>
    <xf numFmtId="4" fontId="40" fillId="96" borderId="0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0" fontId="4" fillId="49" borderId="35" applyNumberFormat="0" applyProtection="0">
      <alignment horizontal="left" vertical="center" indent="1"/>
    </xf>
    <xf numFmtId="0" fontId="4" fillId="49" borderId="35" applyNumberFormat="0" applyProtection="0">
      <alignment horizontal="left" vertical="top" indent="1"/>
    </xf>
    <xf numFmtId="0" fontId="4" fillId="89" borderId="35" applyNumberFormat="0" applyProtection="0">
      <alignment horizontal="left" vertical="center" indent="1"/>
    </xf>
    <xf numFmtId="0" fontId="4" fillId="89" borderId="35" applyNumberFormat="0" applyProtection="0">
      <alignment horizontal="left" vertical="top" indent="1"/>
    </xf>
    <xf numFmtId="0" fontId="4" fillId="98" borderId="35" applyNumberFormat="0" applyProtection="0">
      <alignment horizontal="left" vertical="center" indent="1"/>
    </xf>
    <xf numFmtId="0" fontId="4" fillId="98" borderId="35" applyNumberFormat="0" applyProtection="0">
      <alignment horizontal="left" vertical="top" indent="1"/>
    </xf>
    <xf numFmtId="0" fontId="4" fillId="34" borderId="35" applyNumberFormat="0" applyProtection="0">
      <alignment horizontal="left" vertical="center" indent="1"/>
    </xf>
    <xf numFmtId="0" fontId="4" fillId="34" borderId="35" applyNumberFormat="0" applyProtection="0">
      <alignment horizontal="left" vertical="top" indent="1"/>
    </xf>
    <xf numFmtId="4" fontId="40" fillId="52" borderId="35" applyNumberFormat="0" applyProtection="0">
      <alignment vertical="center"/>
    </xf>
    <xf numFmtId="4" fontId="41" fillId="52" borderId="35" applyNumberFormat="0" applyProtection="0">
      <alignment vertical="center"/>
    </xf>
    <xf numFmtId="4" fontId="40" fillId="52" borderId="35" applyNumberFormat="0" applyProtection="0">
      <alignment horizontal="left" vertical="center" indent="1"/>
    </xf>
    <xf numFmtId="0" fontId="40" fillId="52" borderId="35" applyNumberFormat="0" applyProtection="0">
      <alignment horizontal="left" vertical="top" indent="1"/>
    </xf>
    <xf numFmtId="4" fontId="40" fillId="96" borderId="35" applyNumberFormat="0" applyProtection="0">
      <alignment horizontal="right" vertical="center"/>
    </xf>
    <xf numFmtId="4" fontId="41" fillId="96" borderId="35" applyNumberFormat="0" applyProtection="0">
      <alignment horizontal="right" vertical="center"/>
    </xf>
    <xf numFmtId="4" fontId="40" fillId="97" borderId="35" applyNumberFormat="0" applyProtection="0">
      <alignment horizontal="left" vertical="center" indent="1"/>
    </xf>
    <xf numFmtId="0" fontId="40" fillId="89" borderId="35" applyNumberFormat="0" applyProtection="0">
      <alignment horizontal="left" vertical="top" indent="1"/>
    </xf>
    <xf numFmtId="4" fontId="92" fillId="99" borderId="0" applyNumberFormat="0" applyProtection="0">
      <alignment horizontal="left" vertical="center" indent="1"/>
    </xf>
    <xf numFmtId="4" fontId="45" fillId="96" borderId="35" applyNumberFormat="0" applyProtection="0">
      <alignment horizontal="right" vertical="center"/>
    </xf>
    <xf numFmtId="193" fontId="4" fillId="0" borderId="0" applyFont="0" applyFill="0" applyBorder="0" applyAlignment="0" applyProtection="0"/>
    <xf numFmtId="0" fontId="93" fillId="0" borderId="0"/>
    <xf numFmtId="9" fontId="93" fillId="0" borderId="0" applyFont="0" applyFill="0" applyBorder="0" applyAlignment="0" applyProtection="0"/>
    <xf numFmtId="193" fontId="93" fillId="0" borderId="0" applyFont="0" applyFill="0" applyBorder="0" applyAlignment="0" applyProtection="0"/>
    <xf numFmtId="182" fontId="93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94" fillId="0" borderId="0"/>
    <xf numFmtId="19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6" fillId="33" borderId="0"/>
    <xf numFmtId="0" fontId="4" fillId="0" borderId="0"/>
    <xf numFmtId="9" fontId="4" fillId="0" borderId="0" applyFont="0" applyFill="0" applyBorder="0" applyAlignment="0" applyProtection="0"/>
    <xf numFmtId="0" fontId="96" fillId="0" borderId="0"/>
    <xf numFmtId="0" fontId="97" fillId="0" borderId="39" applyNumberFormat="0" applyFont="0" applyFill="0" applyAlignment="0" applyProtection="0"/>
    <xf numFmtId="205" fontId="98" fillId="0" borderId="40" applyNumberFormat="0" applyProtection="0">
      <alignment horizontal="right" vertical="center"/>
    </xf>
    <xf numFmtId="205" fontId="99" fillId="0" borderId="41" applyNumberFormat="0" applyProtection="0">
      <alignment horizontal="right" vertical="center"/>
    </xf>
    <xf numFmtId="0" fontId="99" fillId="101" borderId="39" applyNumberFormat="0" applyAlignment="0" applyProtection="0">
      <alignment horizontal="left" vertical="center" indent="1"/>
    </xf>
    <xf numFmtId="0" fontId="100" fillId="102" borderId="41" applyNumberFormat="0" applyAlignment="0" applyProtection="0">
      <alignment horizontal="left" vertical="center" indent="1"/>
    </xf>
    <xf numFmtId="0" fontId="100" fillId="102" borderId="41" applyNumberFormat="0" applyAlignment="0" applyProtection="0">
      <alignment horizontal="left" vertical="center" indent="1"/>
    </xf>
    <xf numFmtId="0" fontId="101" fillId="0" borderId="42" applyNumberFormat="0" applyFill="0" applyBorder="0" applyAlignment="0" applyProtection="0"/>
    <xf numFmtId="0" fontId="102" fillId="0" borderId="42" applyBorder="0" applyAlignment="0" applyProtection="0"/>
    <xf numFmtId="205" fontId="103" fillId="103" borderId="43" applyNumberFormat="0" applyBorder="0" applyAlignment="0" applyProtection="0">
      <alignment horizontal="right" vertical="center" indent="1"/>
    </xf>
    <xf numFmtId="205" fontId="104" fillId="104" borderId="43" applyNumberFormat="0" applyBorder="0" applyAlignment="0" applyProtection="0">
      <alignment horizontal="right" vertical="center" indent="1"/>
    </xf>
    <xf numFmtId="205" fontId="104" fillId="105" borderId="43" applyNumberFormat="0" applyBorder="0" applyAlignment="0" applyProtection="0">
      <alignment horizontal="right" vertical="center" indent="1"/>
    </xf>
    <xf numFmtId="205" fontId="105" fillId="106" borderId="43" applyNumberFormat="0" applyBorder="0" applyAlignment="0" applyProtection="0">
      <alignment horizontal="right" vertical="center" indent="1"/>
    </xf>
    <xf numFmtId="205" fontId="105" fillId="107" borderId="43" applyNumberFormat="0" applyBorder="0" applyAlignment="0" applyProtection="0">
      <alignment horizontal="right" vertical="center" indent="1"/>
    </xf>
    <xf numFmtId="205" fontId="105" fillId="108" borderId="43" applyNumberFormat="0" applyBorder="0" applyAlignment="0" applyProtection="0">
      <alignment horizontal="right" vertical="center" indent="1"/>
    </xf>
    <xf numFmtId="205" fontId="106" fillId="109" borderId="43" applyNumberFormat="0" applyBorder="0" applyAlignment="0" applyProtection="0">
      <alignment horizontal="right" vertical="center" indent="1"/>
    </xf>
    <xf numFmtId="205" fontId="106" fillId="110" borderId="43" applyNumberFormat="0" applyBorder="0" applyAlignment="0" applyProtection="0">
      <alignment horizontal="right" vertical="center" indent="1"/>
    </xf>
    <xf numFmtId="205" fontId="106" fillId="111" borderId="43" applyNumberFormat="0" applyBorder="0" applyAlignment="0" applyProtection="0">
      <alignment horizontal="right" vertical="center" indent="1"/>
    </xf>
    <xf numFmtId="0" fontId="100" fillId="112" borderId="39" applyNumberFormat="0" applyAlignment="0" applyProtection="0">
      <alignment horizontal="left" vertical="center" indent="1"/>
    </xf>
    <xf numFmtId="0" fontId="100" fillId="113" borderId="39" applyNumberFormat="0" applyAlignment="0" applyProtection="0">
      <alignment horizontal="left" vertical="center" indent="1"/>
    </xf>
    <xf numFmtId="0" fontId="100" fillId="114" borderId="39" applyNumberFormat="0" applyAlignment="0" applyProtection="0">
      <alignment horizontal="left" vertical="center" indent="1"/>
    </xf>
    <xf numFmtId="0" fontId="100" fillId="115" borderId="39" applyNumberFormat="0" applyAlignment="0" applyProtection="0">
      <alignment horizontal="left" vertical="center" indent="1"/>
    </xf>
    <xf numFmtId="0" fontId="100" fillId="116" borderId="41" applyNumberFormat="0" applyAlignment="0" applyProtection="0">
      <alignment horizontal="left" vertical="center" indent="1"/>
    </xf>
    <xf numFmtId="205" fontId="98" fillId="115" borderId="40" applyNumberFormat="0" applyBorder="0" applyProtection="0">
      <alignment horizontal="right" vertical="center"/>
    </xf>
    <xf numFmtId="205" fontId="99" fillId="115" borderId="41" applyNumberFormat="0" applyBorder="0" applyProtection="0">
      <alignment horizontal="right" vertical="center"/>
    </xf>
    <xf numFmtId="205" fontId="98" fillId="117" borderId="39" applyNumberFormat="0" applyAlignment="0" applyProtection="0">
      <alignment horizontal="left" vertical="center" indent="1"/>
    </xf>
    <xf numFmtId="0" fontId="99" fillId="101" borderId="41" applyNumberFormat="0" applyAlignment="0" applyProtection="0">
      <alignment horizontal="left" vertical="center" indent="1"/>
    </xf>
    <xf numFmtId="0" fontId="100" fillId="116" borderId="41" applyNumberFormat="0" applyAlignment="0" applyProtection="0">
      <alignment horizontal="left" vertical="center" indent="1"/>
    </xf>
    <xf numFmtId="205" fontId="99" fillId="116" borderId="41" applyNumberFormat="0" applyProtection="0">
      <alignment horizontal="right" vertical="center"/>
    </xf>
    <xf numFmtId="0" fontId="107" fillId="0" borderId="0"/>
  </cellStyleXfs>
  <cellXfs count="320">
    <xf numFmtId="0" fontId="0" fillId="0" borderId="0" xfId="0"/>
    <xf numFmtId="37" fontId="0" fillId="0" borderId="0" xfId="0" applyNumberFormat="1"/>
    <xf numFmtId="0" fontId="4" fillId="0" borderId="0" xfId="240"/>
    <xf numFmtId="37" fontId="10" fillId="0" borderId="17" xfId="0" applyNumberFormat="1" applyFont="1" applyFill="1" applyBorder="1"/>
    <xf numFmtId="41" fontId="10" fillId="0" borderId="18" xfId="143" applyNumberFormat="1" applyFont="1" applyFill="1" applyBorder="1"/>
    <xf numFmtId="49" fontId="11" fillId="0" borderId="4" xfId="0" applyNumberFormat="1" applyFont="1" applyFill="1" applyBorder="1" applyAlignment="1">
      <alignment horizontal="left"/>
    </xf>
    <xf numFmtId="41" fontId="11" fillId="0" borderId="4" xfId="143" applyNumberFormat="1" applyFont="1" applyFill="1" applyBorder="1" applyAlignment="1">
      <alignment horizontal="center"/>
    </xf>
    <xf numFmtId="37" fontId="12" fillId="0" borderId="19" xfId="0" applyNumberFormat="1" applyFont="1" applyFill="1" applyBorder="1" applyAlignment="1">
      <alignment horizontal="left"/>
    </xf>
    <xf numFmtId="41" fontId="12" fillId="0" borderId="19" xfId="143" applyNumberFormat="1" applyFont="1" applyFill="1" applyBorder="1"/>
    <xf numFmtId="41" fontId="13" fillId="0" borderId="19" xfId="143" applyNumberFormat="1" applyFont="1" applyFill="1" applyBorder="1"/>
    <xf numFmtId="37" fontId="13" fillId="0" borderId="20" xfId="0" applyNumberFormat="1" applyFont="1" applyFill="1" applyBorder="1"/>
    <xf numFmtId="37" fontId="12" fillId="0" borderId="4" xfId="0" applyNumberFormat="1" applyFont="1" applyFill="1" applyBorder="1" applyAlignment="1">
      <alignment horizontal="left"/>
    </xf>
    <xf numFmtId="41" fontId="12" fillId="0" borderId="4" xfId="143" applyNumberFormat="1" applyFont="1" applyFill="1" applyBorder="1"/>
    <xf numFmtId="37" fontId="14" fillId="0" borderId="21" xfId="0" applyNumberFormat="1" applyFont="1" applyFill="1" applyBorder="1"/>
    <xf numFmtId="41" fontId="12" fillId="0" borderId="20" xfId="143" applyNumberFormat="1" applyFont="1" applyFill="1" applyBorder="1"/>
    <xf numFmtId="37" fontId="12" fillId="0" borderId="19" xfId="0" applyNumberFormat="1" applyFont="1" applyFill="1" applyBorder="1"/>
    <xf numFmtId="37" fontId="15" fillId="0" borderId="22" xfId="0" applyNumberFormat="1" applyFont="1" applyFill="1" applyBorder="1"/>
    <xf numFmtId="41" fontId="12" fillId="0" borderId="23" xfId="143" applyNumberFormat="1" applyFont="1" applyFill="1" applyBorder="1"/>
    <xf numFmtId="37" fontId="13" fillId="56" borderId="0" xfId="0" applyNumberFormat="1" applyFont="1" applyFill="1"/>
    <xf numFmtId="41" fontId="12" fillId="56" borderId="0" xfId="143" applyNumberFormat="1" applyFont="1" applyFill="1"/>
    <xf numFmtId="0" fontId="16" fillId="0" borderId="0" xfId="260"/>
    <xf numFmtId="0" fontId="18" fillId="0" borderId="0" xfId="260" applyFont="1"/>
    <xf numFmtId="39" fontId="0" fillId="0" borderId="0" xfId="0" applyNumberFormat="1"/>
    <xf numFmtId="0" fontId="18" fillId="0" borderId="0" xfId="260" applyFont="1" applyAlignment="1">
      <alignment horizontal="centerContinuous" vertical="center"/>
    </xf>
    <xf numFmtId="0" fontId="22" fillId="0" borderId="0" xfId="260" applyFont="1" applyFill="1" applyAlignment="1">
      <alignment horizontal="centerContinuous"/>
    </xf>
    <xf numFmtId="0" fontId="22" fillId="0" borderId="0" xfId="260" applyFont="1" applyFill="1" applyAlignment="1">
      <alignment horizontal="center"/>
    </xf>
    <xf numFmtId="0" fontId="22" fillId="0" borderId="0" xfId="260" applyFont="1" applyFill="1"/>
    <xf numFmtId="0" fontId="22" fillId="0" borderId="0" xfId="260" applyFont="1" applyFill="1" applyBorder="1" applyAlignment="1">
      <alignment horizontal="center"/>
    </xf>
    <xf numFmtId="0" fontId="22" fillId="0" borderId="11" xfId="260" applyFont="1" applyFill="1" applyBorder="1" applyAlignment="1">
      <alignment horizontal="center"/>
    </xf>
    <xf numFmtId="42" fontId="50" fillId="0" borderId="0" xfId="260" applyNumberFormat="1" applyFont="1" applyFill="1" applyBorder="1" applyAlignment="1">
      <alignment horizontal="right"/>
    </xf>
    <xf numFmtId="179" fontId="50" fillId="0" borderId="0" xfId="301" applyNumberFormat="1" applyFont="1" applyFill="1" applyBorder="1" applyAlignment="1">
      <alignment horizontal="right"/>
    </xf>
    <xf numFmtId="41" fontId="50" fillId="0" borderId="0" xfId="260" applyNumberFormat="1" applyFont="1" applyFill="1" applyBorder="1"/>
    <xf numFmtId="179" fontId="22" fillId="0" borderId="24" xfId="301" applyNumberFormat="1" applyFont="1" applyFill="1" applyBorder="1" applyAlignment="1">
      <alignment horizontal="right"/>
    </xf>
    <xf numFmtId="42" fontId="50" fillId="0" borderId="0" xfId="260" applyNumberFormat="1" applyFont="1" applyFill="1" applyBorder="1"/>
    <xf numFmtId="0" fontId="34" fillId="0" borderId="0" xfId="260" applyFont="1"/>
    <xf numFmtId="0" fontId="53" fillId="0" borderId="0" xfId="260" applyFont="1" applyFill="1" applyAlignment="1"/>
    <xf numFmtId="0" fontId="53" fillId="0" borderId="0" xfId="260" applyFont="1" applyFill="1" applyAlignment="1" applyProtection="1">
      <alignment horizontal="centerContinuous"/>
      <protection locked="0"/>
    </xf>
    <xf numFmtId="0" fontId="53" fillId="0" borderId="0" xfId="260" applyFont="1" applyFill="1" applyAlignment="1">
      <alignment horizontal="centerContinuous"/>
    </xf>
    <xf numFmtId="15" fontId="53" fillId="0" borderId="0" xfId="260" applyNumberFormat="1" applyFont="1" applyFill="1" applyAlignment="1">
      <alignment horizontal="centerContinuous"/>
    </xf>
    <xf numFmtId="18" fontId="53" fillId="0" borderId="0" xfId="260" applyNumberFormat="1" applyFont="1" applyFill="1" applyAlignment="1">
      <alignment horizontal="centerContinuous"/>
    </xf>
    <xf numFmtId="0" fontId="53" fillId="0" borderId="0" xfId="260" applyFont="1" applyFill="1" applyAlignment="1">
      <alignment horizontal="left"/>
    </xf>
    <xf numFmtId="0" fontId="53" fillId="0" borderId="0" xfId="260" applyFont="1" applyFill="1" applyAlignment="1">
      <alignment horizontal="center"/>
    </xf>
    <xf numFmtId="0" fontId="53" fillId="0" borderId="11" xfId="260" applyFont="1" applyFill="1" applyBorder="1" applyAlignment="1">
      <alignment horizontal="center"/>
    </xf>
    <xf numFmtId="0" fontId="53" fillId="0" borderId="0" xfId="260" applyFont="1" applyFill="1" applyBorder="1" applyAlignment="1">
      <alignment horizontal="center"/>
    </xf>
    <xf numFmtId="0" fontId="54" fillId="0" borderId="0" xfId="260" applyFont="1" applyFill="1" applyAlignment="1">
      <alignment horizontal="center"/>
    </xf>
    <xf numFmtId="178" fontId="54" fillId="0" borderId="0" xfId="260" quotePrefix="1" applyNumberFormat="1" applyFont="1" applyFill="1" applyAlignment="1">
      <alignment horizontal="left"/>
    </xf>
    <xf numFmtId="42" fontId="54" fillId="0" borderId="0" xfId="260" applyNumberFormat="1" applyFont="1" applyFill="1"/>
    <xf numFmtId="42" fontId="54" fillId="0" borderId="0" xfId="260" applyNumberFormat="1" applyFont="1" applyFill="1" applyAlignment="1">
      <alignment horizontal="right"/>
    </xf>
    <xf numFmtId="180" fontId="50" fillId="0" borderId="0" xfId="301" applyNumberFormat="1" applyFont="1" applyFill="1" applyBorder="1" applyAlignment="1">
      <alignment horizontal="right"/>
    </xf>
    <xf numFmtId="180" fontId="54" fillId="0" borderId="0" xfId="301" applyNumberFormat="1" applyFont="1" applyFill="1" applyBorder="1" applyAlignment="1">
      <alignment horizontal="right"/>
    </xf>
    <xf numFmtId="180" fontId="53" fillId="0" borderId="0" xfId="301" applyNumberFormat="1" applyFont="1" applyFill="1" applyBorder="1" applyAlignment="1">
      <alignment horizontal="right"/>
    </xf>
    <xf numFmtId="178" fontId="54" fillId="0" borderId="0" xfId="260" applyNumberFormat="1" applyFont="1" applyFill="1" applyAlignment="1">
      <alignment horizontal="left"/>
    </xf>
    <xf numFmtId="42" fontId="54" fillId="0" borderId="0" xfId="260" applyNumberFormat="1" applyFont="1" applyFill="1" applyAlignment="1"/>
    <xf numFmtId="179" fontId="54" fillId="0" borderId="0" xfId="301" applyNumberFormat="1" applyFont="1" applyFill="1" applyBorder="1" applyAlignment="1">
      <alignment horizontal="right"/>
    </xf>
    <xf numFmtId="0" fontId="54" fillId="0" borderId="0" xfId="260" applyFont="1" applyFill="1" applyAlignment="1"/>
    <xf numFmtId="41" fontId="54" fillId="0" borderId="0" xfId="260" applyNumberFormat="1" applyFont="1" applyFill="1" applyAlignment="1"/>
    <xf numFmtId="41" fontId="54" fillId="0" borderId="0" xfId="260" applyNumberFormat="1" applyFont="1" applyFill="1" applyAlignment="1">
      <alignment horizontal="center"/>
    </xf>
    <xf numFmtId="180" fontId="54" fillId="0" borderId="11" xfId="301" applyNumberFormat="1" applyFont="1" applyFill="1" applyBorder="1" applyAlignment="1"/>
    <xf numFmtId="0" fontId="54" fillId="0" borderId="0" xfId="260" applyFont="1" applyFill="1" applyAlignment="1">
      <alignment horizontal="left"/>
    </xf>
    <xf numFmtId="41" fontId="54" fillId="0" borderId="0" xfId="260" applyNumberFormat="1" applyFont="1" applyFill="1" applyAlignment="1">
      <alignment horizontal="fill"/>
    </xf>
    <xf numFmtId="1" fontId="54" fillId="0" borderId="0" xfId="260" quotePrefix="1" applyNumberFormat="1" applyFont="1" applyFill="1" applyAlignment="1">
      <alignment horizontal="left"/>
    </xf>
    <xf numFmtId="41" fontId="54" fillId="0" borderId="12" xfId="260" applyNumberFormat="1" applyFont="1" applyFill="1" applyBorder="1" applyAlignment="1"/>
    <xf numFmtId="1" fontId="54" fillId="0" borderId="0" xfId="260" applyNumberFormat="1" applyFont="1" applyFill="1" applyAlignment="1"/>
    <xf numFmtId="167" fontId="54" fillId="0" borderId="0" xfId="378" applyNumberFormat="1" applyFont="1" applyFill="1" applyAlignment="1">
      <alignment horizontal="left"/>
    </xf>
    <xf numFmtId="167" fontId="54" fillId="0" borderId="0" xfId="378" applyNumberFormat="1" applyFont="1" applyFill="1" applyAlignment="1"/>
    <xf numFmtId="42" fontId="54" fillId="0" borderId="0" xfId="378" applyNumberFormat="1" applyFont="1" applyFill="1" applyAlignment="1"/>
    <xf numFmtId="17" fontId="53" fillId="0" borderId="0" xfId="260" applyNumberFormat="1" applyFont="1" applyFill="1" applyBorder="1" applyAlignment="1">
      <alignment horizontal="center"/>
    </xf>
    <xf numFmtId="167" fontId="22" fillId="0" borderId="0" xfId="0" applyNumberFormat="1" applyFont="1" applyFill="1" applyAlignment="1">
      <alignment horizontal="right"/>
    </xf>
    <xf numFmtId="0" fontId="22" fillId="0" borderId="25" xfId="0" applyNumberFormat="1" applyFont="1" applyFill="1" applyBorder="1" applyAlignment="1">
      <alignment horizontal="right"/>
    </xf>
    <xf numFmtId="167" fontId="54" fillId="0" borderId="0" xfId="378" applyNumberFormat="1" applyFont="1" applyFill="1" applyBorder="1" applyAlignment="1">
      <alignment horizontal="left"/>
    </xf>
    <xf numFmtId="39" fontId="8" fillId="0" borderId="0" xfId="280" applyFont="1" applyFill="1" applyAlignment="1" applyProtection="1"/>
    <xf numFmtId="39" fontId="8" fillId="0" borderId="0" xfId="280" applyNumberFormat="1" applyFont="1" applyFill="1" applyProtection="1"/>
    <xf numFmtId="169" fontId="4" fillId="0" borderId="11" xfId="140" applyNumberFormat="1" applyFont="1" applyFill="1" applyBorder="1" applyAlignment="1" applyProtection="1">
      <alignment horizontal="centerContinuous"/>
    </xf>
    <xf numFmtId="169" fontId="4" fillId="0" borderId="0" xfId="140" applyNumberFormat="1" applyFont="1" applyFill="1" applyAlignment="1" applyProtection="1">
      <alignment horizontal="centerContinuous"/>
    </xf>
    <xf numFmtId="169" fontId="4" fillId="0" borderId="11" xfId="140" applyNumberFormat="1" applyFont="1" applyFill="1" applyBorder="1" applyAlignment="1" applyProtection="1">
      <alignment horizontal="center"/>
    </xf>
    <xf numFmtId="10" fontId="4" fillId="0" borderId="11" xfId="140" applyNumberFormat="1" applyFont="1" applyFill="1" applyBorder="1" applyAlignment="1" applyProtection="1">
      <alignment horizontal="center"/>
    </xf>
    <xf numFmtId="0" fontId="4" fillId="0" borderId="11" xfId="140" applyNumberFormat="1" applyFont="1" applyFill="1" applyBorder="1" applyAlignment="1" applyProtection="1">
      <alignment horizontal="center"/>
    </xf>
    <xf numFmtId="169" fontId="4" fillId="0" borderId="0" xfId="140" applyNumberFormat="1" applyFont="1" applyFill="1" applyProtection="1"/>
    <xf numFmtId="44" fontId="4" fillId="0" borderId="0" xfId="178" applyNumberFormat="1" applyFont="1" applyFill="1" applyBorder="1" applyAlignment="1" applyProtection="1">
      <alignment horizontal="right"/>
    </xf>
    <xf numFmtId="181" fontId="4" fillId="0" borderId="0" xfId="300" applyNumberFormat="1" applyFont="1" applyFill="1" applyAlignment="1" applyProtection="1">
      <alignment horizontal="right"/>
    </xf>
    <xf numFmtId="188" fontId="4" fillId="0" borderId="0" xfId="178" applyNumberFormat="1" applyFont="1" applyFill="1" applyAlignment="1" applyProtection="1">
      <alignment horizontal="right"/>
    </xf>
    <xf numFmtId="189" fontId="4" fillId="0" borderId="0" xfId="178" applyNumberFormat="1" applyFont="1" applyFill="1" applyAlignment="1" applyProtection="1">
      <alignment horizontal="right"/>
    </xf>
    <xf numFmtId="43" fontId="4" fillId="0" borderId="0" xfId="140" applyNumberFormat="1" applyFont="1" applyFill="1" applyAlignment="1" applyProtection="1">
      <alignment horizontal="right"/>
    </xf>
    <xf numFmtId="169" fontId="4" fillId="0" borderId="0" xfId="140" applyNumberFormat="1" applyFont="1" applyFill="1" applyAlignment="1" applyProtection="1">
      <alignment horizontal="right"/>
    </xf>
    <xf numFmtId="190" fontId="4" fillId="0" borderId="0" xfId="140" applyNumberFormat="1" applyFont="1" applyFill="1" applyAlignment="1" applyProtection="1">
      <alignment horizontal="right"/>
    </xf>
    <xf numFmtId="181" fontId="4" fillId="0" borderId="11" xfId="300" applyNumberFormat="1" applyFont="1" applyFill="1" applyBorder="1" applyAlignment="1" applyProtection="1">
      <alignment horizontal="right"/>
    </xf>
    <xf numFmtId="169" fontId="4" fillId="0" borderId="0" xfId="140" applyNumberFormat="1" applyFont="1" applyFill="1" applyBorder="1" applyAlignment="1" applyProtection="1">
      <alignment horizontal="right"/>
    </xf>
    <xf numFmtId="190" fontId="4" fillId="0" borderId="0" xfId="140" applyNumberFormat="1" applyFont="1" applyFill="1" applyBorder="1" applyAlignment="1" applyProtection="1">
      <alignment horizontal="right"/>
    </xf>
    <xf numFmtId="169" fontId="4" fillId="0" borderId="12" xfId="140" applyNumberFormat="1" applyFont="1" applyFill="1" applyBorder="1" applyAlignment="1" applyProtection="1">
      <alignment horizontal="right"/>
    </xf>
    <xf numFmtId="185" fontId="4" fillId="0" borderId="0" xfId="140" applyNumberFormat="1" applyFont="1" applyFill="1" applyAlignment="1" applyProtection="1">
      <alignment horizontal="right"/>
    </xf>
    <xf numFmtId="190" fontId="4" fillId="0" borderId="12" xfId="140" applyNumberFormat="1" applyFont="1" applyFill="1" applyBorder="1" applyAlignment="1" applyProtection="1">
      <alignment horizontal="right"/>
    </xf>
    <xf numFmtId="190" fontId="6" fillId="0" borderId="0" xfId="140" applyNumberFormat="1" applyFont="1" applyFill="1" applyAlignment="1" applyProtection="1">
      <alignment horizontal="right"/>
    </xf>
    <xf numFmtId="43" fontId="4" fillId="0" borderId="11" xfId="140" applyNumberFormat="1" applyFont="1" applyFill="1" applyBorder="1" applyAlignment="1" applyProtection="1">
      <alignment horizontal="right"/>
    </xf>
    <xf numFmtId="186" fontId="4" fillId="0" borderId="0" xfId="300" applyNumberFormat="1" applyFont="1" applyFill="1" applyBorder="1" applyAlignment="1" applyProtection="1">
      <alignment horizontal="right"/>
    </xf>
    <xf numFmtId="44" fontId="4" fillId="0" borderId="24" xfId="178" applyNumberFormat="1" applyFont="1" applyFill="1" applyBorder="1" applyAlignment="1" applyProtection="1">
      <alignment horizontal="right"/>
    </xf>
    <xf numFmtId="181" fontId="4" fillId="0" borderId="24" xfId="300" applyNumberFormat="1" applyFont="1" applyFill="1" applyBorder="1" applyAlignment="1" applyProtection="1">
      <alignment horizontal="right"/>
    </xf>
    <xf numFmtId="186" fontId="4" fillId="0" borderId="0" xfId="140" applyNumberFormat="1" applyFont="1" applyFill="1" applyAlignment="1" applyProtection="1">
      <alignment horizontal="right"/>
    </xf>
    <xf numFmtId="181" fontId="4" fillId="0" borderId="0" xfId="300" applyNumberFormat="1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183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Alignment="1" applyProtection="1">
      <alignment horizontal="right"/>
    </xf>
    <xf numFmtId="0" fontId="0" fillId="0" borderId="0" xfId="0" applyFill="1" applyProtection="1"/>
    <xf numFmtId="0" fontId="4" fillId="0" borderId="0" xfId="0" applyFont="1" applyFill="1" applyProtection="1"/>
    <xf numFmtId="0" fontId="56" fillId="0" borderId="0" xfId="0" applyFont="1" applyFill="1" applyProtection="1"/>
    <xf numFmtId="184" fontId="4" fillId="0" borderId="24" xfId="0" applyNumberFormat="1" applyFont="1" applyFill="1" applyBorder="1" applyAlignment="1" applyProtection="1">
      <alignment horizontal="right"/>
    </xf>
    <xf numFmtId="184" fontId="4" fillId="0" borderId="11" xfId="0" applyNumberFormat="1" applyFont="1" applyFill="1" applyBorder="1" applyAlignment="1" applyProtection="1">
      <alignment horizontal="right"/>
    </xf>
    <xf numFmtId="37" fontId="4" fillId="0" borderId="12" xfId="0" applyNumberFormat="1" applyFont="1" applyFill="1" applyBorder="1" applyAlignment="1" applyProtection="1">
      <alignment horizontal="right"/>
    </xf>
    <xf numFmtId="184" fontId="4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Protection="1"/>
    <xf numFmtId="185" fontId="4" fillId="0" borderId="12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right"/>
    </xf>
    <xf numFmtId="0" fontId="8" fillId="0" borderId="0" xfId="0" applyFont="1" applyFill="1" applyBorder="1" applyProtection="1"/>
    <xf numFmtId="0" fontId="57" fillId="0" borderId="0" xfId="0" applyFont="1" applyFill="1" applyBorder="1" applyProtection="1"/>
    <xf numFmtId="43" fontId="4" fillId="0" borderId="0" xfId="0" applyNumberFormat="1" applyFont="1" applyFill="1" applyAlignment="1" applyProtection="1">
      <alignment horizontal="right"/>
    </xf>
    <xf numFmtId="43" fontId="4" fillId="0" borderId="0" xfId="0" applyNumberFormat="1" applyFont="1" applyFill="1" applyBorder="1" applyAlignment="1" applyProtection="1">
      <alignment horizontal="right"/>
    </xf>
    <xf numFmtId="186" fontId="4" fillId="0" borderId="0" xfId="0" applyNumberFormat="1" applyFont="1" applyFill="1" applyBorder="1" applyAlignment="1" applyProtection="1">
      <alignment horizontal="right"/>
    </xf>
    <xf numFmtId="187" fontId="4" fillId="0" borderId="0" xfId="0" applyNumberFormat="1" applyFont="1" applyFill="1" applyBorder="1" applyAlignment="1" applyProtection="1">
      <alignment horizontal="right"/>
    </xf>
    <xf numFmtId="42" fontId="4" fillId="0" borderId="0" xfId="0" applyNumberFormat="1" applyFont="1" applyFill="1" applyAlignment="1" applyProtection="1">
      <alignment horizontal="right"/>
    </xf>
    <xf numFmtId="39" fontId="4" fillId="0" borderId="0" xfId="0" applyNumberFormat="1" applyFont="1" applyFill="1" applyBorder="1" applyAlignment="1" applyProtection="1">
      <alignment horizontal="right"/>
    </xf>
    <xf numFmtId="39" fontId="4" fillId="0" borderId="0" xfId="0" applyNumberFormat="1" applyFont="1" applyFill="1" applyAlignment="1" applyProtection="1">
      <alignment horizontal="right"/>
    </xf>
    <xf numFmtId="188" fontId="4" fillId="0" borderId="12" xfId="0" applyNumberFormat="1" applyFont="1" applyFill="1" applyBorder="1" applyAlignment="1" applyProtection="1">
      <alignment horizontal="right"/>
    </xf>
    <xf numFmtId="39" fontId="4" fillId="0" borderId="0" xfId="0" applyNumberFormat="1" applyFont="1" applyFill="1" applyProtection="1"/>
    <xf numFmtId="0" fontId="6" fillId="0" borderId="0" xfId="0" applyFont="1" applyFill="1" applyProtection="1"/>
    <xf numFmtId="1" fontId="4" fillId="0" borderId="0" xfId="0" applyNumberFormat="1" applyFont="1" applyFill="1" applyProtection="1"/>
    <xf numFmtId="0" fontId="6" fillId="0" borderId="0" xfId="0" applyFont="1" applyFill="1" applyAlignment="1" applyProtection="1">
      <alignment horizontal="centerContinuous"/>
    </xf>
    <xf numFmtId="0" fontId="4" fillId="0" borderId="0" xfId="0" applyFont="1" applyFill="1" applyAlignment="1" applyProtection="1">
      <alignment horizontal="centerContinuous"/>
    </xf>
    <xf numFmtId="0" fontId="4" fillId="0" borderId="0" xfId="0" applyFont="1" applyFill="1" applyAlignment="1" applyProtection="1">
      <alignment horizontal="center"/>
    </xf>
    <xf numFmtId="0" fontId="51" fillId="0" borderId="11" xfId="0" applyFont="1" applyFill="1" applyBorder="1" applyAlignment="1" applyProtection="1">
      <alignment horizontal="centerContinuous"/>
    </xf>
    <xf numFmtId="0" fontId="6" fillId="0" borderId="11" xfId="0" applyFont="1" applyFill="1" applyBorder="1" applyAlignment="1" applyProtection="1">
      <alignment horizontal="centerContinuous"/>
    </xf>
    <xf numFmtId="0" fontId="4" fillId="0" borderId="11" xfId="0" applyFont="1" applyFill="1" applyBorder="1" applyAlignment="1" applyProtection="1">
      <alignment horizontal="centerContinuous"/>
    </xf>
    <xf numFmtId="10" fontId="4" fillId="0" borderId="11" xfId="0" applyNumberFormat="1" applyFont="1" applyFill="1" applyBorder="1" applyAlignment="1" applyProtection="1">
      <alignment horizontal="centerContinuous"/>
    </xf>
    <xf numFmtId="0" fontId="58" fillId="0" borderId="0" xfId="0" applyFont="1" applyFill="1" applyAlignment="1" applyProtection="1">
      <alignment horizontal="centerContinuous"/>
    </xf>
    <xf numFmtId="0" fontId="56" fillId="0" borderId="0" xfId="0" applyFont="1" applyFill="1" applyAlignment="1" applyProtection="1">
      <alignment horizontal="centerContinuous"/>
    </xf>
    <xf numFmtId="1" fontId="56" fillId="0" borderId="0" xfId="0" applyNumberFormat="1" applyFont="1" applyFill="1" applyAlignment="1" applyProtection="1">
      <alignment horizontal="centerContinuous"/>
    </xf>
    <xf numFmtId="0" fontId="17" fillId="0" borderId="0" xfId="0" applyFont="1" applyFill="1" applyBorder="1" applyAlignment="1" applyProtection="1">
      <alignment horizontal="centerContinuous"/>
    </xf>
    <xf numFmtId="0" fontId="8" fillId="0" borderId="0" xfId="0" applyFont="1" applyFill="1" applyBorder="1" applyAlignment="1" applyProtection="1">
      <alignment horizontal="centerContinuous"/>
    </xf>
    <xf numFmtId="191" fontId="58" fillId="0" borderId="0" xfId="0" applyNumberFormat="1" applyFont="1" applyFill="1" applyProtection="1"/>
    <xf numFmtId="181" fontId="12" fillId="0" borderId="24" xfId="280" applyNumberFormat="1" applyFont="1" applyFill="1" applyBorder="1" applyAlignment="1" applyProtection="1">
      <alignment horizontal="right"/>
    </xf>
    <xf numFmtId="183" fontId="12" fillId="0" borderId="24" xfId="140" applyNumberFormat="1" applyFont="1" applyBorder="1" applyAlignment="1" applyProtection="1"/>
    <xf numFmtId="198" fontId="12" fillId="0" borderId="0" xfId="140" applyNumberFormat="1" applyFont="1" applyProtection="1"/>
    <xf numFmtId="185" fontId="12" fillId="0" borderId="0" xfId="300" applyNumberFormat="1" applyFont="1" applyFill="1" applyProtection="1"/>
    <xf numFmtId="183" fontId="12" fillId="0" borderId="0" xfId="140" applyNumberFormat="1" applyFont="1" applyAlignment="1" applyProtection="1"/>
    <xf numFmtId="181" fontId="12" fillId="0" borderId="11" xfId="280" applyNumberFormat="1" applyFont="1" applyFill="1" applyBorder="1" applyAlignment="1" applyProtection="1">
      <alignment horizontal="right"/>
    </xf>
    <xf numFmtId="183" fontId="12" fillId="0" borderId="11" xfId="140" applyNumberFormat="1" applyFont="1" applyBorder="1" applyAlignment="1" applyProtection="1"/>
    <xf numFmtId="181" fontId="12" fillId="0" borderId="0" xfId="280" applyNumberFormat="1" applyFont="1" applyFill="1" applyAlignment="1" applyProtection="1">
      <alignment horizontal="right"/>
    </xf>
    <xf numFmtId="193" fontId="12" fillId="0" borderId="0" xfId="140" applyFont="1" applyAlignment="1" applyProtection="1"/>
    <xf numFmtId="39" fontId="12" fillId="0" borderId="0" xfId="140" applyNumberFormat="1" applyFont="1" applyAlignment="1" applyProtection="1">
      <alignment horizontal="right"/>
    </xf>
    <xf numFmtId="43" fontId="12" fillId="0" borderId="0" xfId="140" applyNumberFormat="1" applyFont="1" applyAlignment="1" applyProtection="1">
      <alignment horizontal="right"/>
    </xf>
    <xf numFmtId="44" fontId="12" fillId="0" borderId="0" xfId="140" applyNumberFormat="1" applyFont="1" applyAlignment="1" applyProtection="1">
      <alignment horizontal="right"/>
    </xf>
    <xf numFmtId="44" fontId="12" fillId="0" borderId="24" xfId="140" applyNumberFormat="1" applyFont="1" applyBorder="1" applyAlignment="1" applyProtection="1">
      <alignment horizontal="right"/>
    </xf>
    <xf numFmtId="185" fontId="12" fillId="0" borderId="0" xfId="300" applyNumberFormat="1" applyFont="1" applyFill="1" applyBorder="1" applyProtection="1"/>
    <xf numFmtId="43" fontId="12" fillId="0" borderId="11" xfId="140" applyNumberFormat="1" applyFont="1" applyBorder="1" applyAlignment="1" applyProtection="1">
      <alignment horizontal="right"/>
    </xf>
    <xf numFmtId="200" fontId="12" fillId="0" borderId="0" xfId="178" applyNumberFormat="1" applyFont="1" applyFill="1" applyBorder="1" applyAlignment="1" applyProtection="1">
      <alignment horizontal="right"/>
    </xf>
    <xf numFmtId="39" fontId="12" fillId="0" borderId="0" xfId="140" applyNumberFormat="1" applyFont="1" applyBorder="1" applyAlignment="1" applyProtection="1">
      <alignment horizontal="right"/>
    </xf>
    <xf numFmtId="181" fontId="12" fillId="0" borderId="0" xfId="280" applyNumberFormat="1" applyFont="1" applyFill="1" applyBorder="1" applyAlignment="1" applyProtection="1">
      <alignment horizontal="right"/>
    </xf>
    <xf numFmtId="201" fontId="12" fillId="0" borderId="0" xfId="178" applyNumberFormat="1" applyFont="1" applyFill="1" applyAlignment="1" applyProtection="1">
      <alignment horizontal="right"/>
    </xf>
    <xf numFmtId="202" fontId="12" fillId="0" borderId="11" xfId="178" applyNumberFormat="1" applyFont="1" applyFill="1" applyBorder="1" applyAlignment="1" applyProtection="1">
      <alignment horizontal="right"/>
    </xf>
    <xf numFmtId="202" fontId="12" fillId="0" borderId="0" xfId="178" applyNumberFormat="1" applyFont="1" applyFill="1" applyAlignment="1" applyProtection="1">
      <alignment horizontal="right"/>
    </xf>
    <xf numFmtId="42" fontId="54" fillId="0" borderId="0" xfId="261" applyNumberFormat="1" applyFont="1" applyFill="1" applyAlignment="1"/>
    <xf numFmtId="41" fontId="54" fillId="0" borderId="0" xfId="261" applyNumberFormat="1" applyFont="1" applyFill="1" applyAlignment="1"/>
    <xf numFmtId="41" fontId="11" fillId="0" borderId="19" xfId="143" applyNumberFormat="1" applyFont="1" applyFill="1" applyBorder="1" applyAlignment="1">
      <alignment horizontal="center"/>
    </xf>
    <xf numFmtId="203" fontId="0" fillId="0" borderId="19" xfId="0" applyNumberFormat="1" applyFill="1" applyBorder="1"/>
    <xf numFmtId="37" fontId="54" fillId="0" borderId="0" xfId="153" applyNumberFormat="1" applyFont="1" applyFill="1" applyBorder="1" applyAlignment="1"/>
    <xf numFmtId="0" fontId="22" fillId="0" borderId="0" xfId="260" applyFont="1" applyFill="1" applyAlignment="1">
      <alignment horizontal="center"/>
    </xf>
    <xf numFmtId="0" fontId="0" fillId="0" borderId="0" xfId="0" applyFill="1"/>
    <xf numFmtId="0" fontId="88" fillId="0" borderId="0" xfId="0" applyFont="1" applyFill="1" applyAlignment="1">
      <alignment horizontal="left"/>
    </xf>
    <xf numFmtId="0" fontId="88" fillId="0" borderId="0" xfId="0" applyFont="1" applyFill="1"/>
    <xf numFmtId="0" fontId="88" fillId="0" borderId="0" xfId="0" applyFont="1" applyFill="1" applyAlignment="1">
      <alignment horizontal="center"/>
    </xf>
    <xf numFmtId="0" fontId="88" fillId="0" borderId="11" xfId="0" applyFont="1" applyFill="1" applyBorder="1"/>
    <xf numFmtId="0" fontId="88" fillId="0" borderId="11" xfId="0" applyFont="1" applyFill="1" applyBorder="1" applyAlignment="1">
      <alignment horizontal="center"/>
    </xf>
    <xf numFmtId="49" fontId="0" fillId="0" borderId="0" xfId="0" applyNumberFormat="1" applyFill="1"/>
    <xf numFmtId="43" fontId="0" fillId="0" borderId="0" xfId="924" applyFont="1" applyFill="1"/>
    <xf numFmtId="43" fontId="0" fillId="0" borderId="37" xfId="924" applyFont="1" applyFill="1" applyBorder="1"/>
    <xf numFmtId="43" fontId="0" fillId="0" borderId="2" xfId="924" applyFont="1" applyFill="1" applyBorder="1" applyAlignment="1">
      <alignment horizontal="right"/>
    </xf>
    <xf numFmtId="43" fontId="0" fillId="0" borderId="38" xfId="924" applyFont="1" applyFill="1" applyBorder="1"/>
    <xf numFmtId="0" fontId="0" fillId="0" borderId="37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14" fontId="0" fillId="0" borderId="0" xfId="0" applyNumberFormat="1" applyFill="1"/>
    <xf numFmtId="43" fontId="0" fillId="0" borderId="0" xfId="0" applyNumberFormat="1" applyAlignment="1">
      <alignment horizontal="right" vertical="top"/>
    </xf>
    <xf numFmtId="14" fontId="0" fillId="0" borderId="0" xfId="0" applyNumberFormat="1" applyFill="1" applyAlignment="1">
      <alignment horizontal="left"/>
    </xf>
    <xf numFmtId="0" fontId="3" fillId="0" borderId="0" xfId="0" applyFont="1"/>
    <xf numFmtId="43" fontId="12" fillId="0" borderId="20" xfId="143" applyNumberFormat="1" applyFont="1" applyFill="1" applyBorder="1"/>
    <xf numFmtId="41" fontId="12" fillId="100" borderId="22" xfId="143" applyNumberFormat="1" applyFont="1" applyFill="1" applyBorder="1"/>
    <xf numFmtId="43" fontId="0" fillId="0" borderId="0" xfId="0" applyNumberFormat="1"/>
    <xf numFmtId="0" fontId="51" fillId="0" borderId="0" xfId="0" applyFont="1" applyFill="1" applyProtection="1"/>
    <xf numFmtId="42" fontId="4" fillId="0" borderId="0" xfId="0" applyNumberFormat="1" applyFont="1" applyFill="1" applyBorder="1" applyAlignment="1" applyProtection="1">
      <alignment horizontal="right"/>
    </xf>
    <xf numFmtId="0" fontId="51" fillId="0" borderId="0" xfId="0" applyFont="1" applyFill="1" applyAlignment="1" applyProtection="1">
      <alignment horizontal="right"/>
    </xf>
    <xf numFmtId="41" fontId="4" fillId="0" borderId="0" xfId="0" applyNumberFormat="1" applyFont="1" applyFill="1" applyAlignment="1" applyProtection="1">
      <alignment horizontal="right"/>
    </xf>
    <xf numFmtId="178" fontId="50" fillId="0" borderId="0" xfId="261" quotePrefix="1" applyNumberFormat="1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88" fillId="0" borderId="0" xfId="0" applyFont="1" applyAlignment="1">
      <alignment horizontal="center"/>
    </xf>
    <xf numFmtId="0" fontId="4" fillId="0" borderId="11" xfId="0" applyFont="1" applyFill="1" applyBorder="1" applyAlignment="1" applyProtection="1">
      <alignment horizontal="center"/>
    </xf>
    <xf numFmtId="49" fontId="0" fillId="0" borderId="0" xfId="0" applyNumberFormat="1" applyFill="1" applyAlignment="1">
      <alignment horizontal="right"/>
    </xf>
    <xf numFmtId="41" fontId="0" fillId="0" borderId="0" xfId="0" applyNumberFormat="1"/>
    <xf numFmtId="0" fontId="12" fillId="0" borderId="0" xfId="932" applyFont="1" applyProtection="1"/>
    <xf numFmtId="0" fontId="12" fillId="0" borderId="0" xfId="932" applyFont="1" applyFill="1" applyProtection="1"/>
    <xf numFmtId="199" fontId="12" fillId="0" borderId="0" xfId="932" applyNumberFormat="1" applyFont="1" applyFill="1" applyProtection="1"/>
    <xf numFmtId="0" fontId="13" fillId="0" borderId="0" xfId="932" applyFont="1" applyProtection="1"/>
    <xf numFmtId="0" fontId="8" fillId="0" borderId="0" xfId="932" applyFont="1" applyProtection="1"/>
    <xf numFmtId="43" fontId="12" fillId="0" borderId="0" xfId="932" applyNumberFormat="1" applyFont="1" applyProtection="1"/>
    <xf numFmtId="0" fontId="12" fillId="0" borderId="0" xfId="932" applyFont="1" applyBorder="1" applyProtection="1"/>
    <xf numFmtId="202" fontId="12" fillId="0" borderId="0" xfId="932" applyNumberFormat="1" applyFont="1" applyFill="1" applyProtection="1"/>
    <xf numFmtId="0" fontId="4" fillId="0" borderId="0" xfId="932" applyFont="1" applyProtection="1"/>
    <xf numFmtId="0" fontId="4" fillId="0" borderId="11" xfId="932" applyFont="1" applyBorder="1" applyAlignment="1" applyProtection="1">
      <alignment horizontal="center"/>
    </xf>
    <xf numFmtId="0" fontId="4" fillId="0" borderId="0" xfId="932" applyFont="1" applyFill="1" applyProtection="1"/>
    <xf numFmtId="0" fontId="4" fillId="0" borderId="11" xfId="932" applyFont="1" applyFill="1" applyBorder="1" applyAlignment="1" applyProtection="1">
      <alignment horizontal="center"/>
    </xf>
    <xf numFmtId="0" fontId="4" fillId="0" borderId="0" xfId="932" applyFont="1" applyFill="1" applyAlignment="1" applyProtection="1">
      <alignment horizontal="center"/>
    </xf>
    <xf numFmtId="0" fontId="4" fillId="0" borderId="0" xfId="932" applyFont="1" applyAlignment="1" applyProtection="1">
      <alignment horizontal="center"/>
    </xf>
    <xf numFmtId="0" fontId="8" fillId="0" borderId="0" xfId="932" applyFont="1" applyFill="1" applyProtection="1"/>
    <xf numFmtId="0" fontId="11" fillId="0" borderId="0" xfId="932" applyFont="1" applyProtection="1"/>
    <xf numFmtId="0" fontId="11" fillId="0" borderId="0" xfId="932" applyFont="1" applyFill="1" applyProtection="1"/>
    <xf numFmtId="204" fontId="12" fillId="0" borderId="0" xfId="140" applyNumberFormat="1" applyFont="1" applyAlignment="1" applyProtection="1">
      <alignment horizontal="right"/>
    </xf>
    <xf numFmtId="204" fontId="12" fillId="0" borderId="0" xfId="932" applyNumberFormat="1" applyFont="1" applyProtection="1"/>
    <xf numFmtId="204" fontId="12" fillId="0" borderId="0" xfId="932" applyNumberFormat="1" applyFont="1" applyFill="1" applyProtection="1"/>
    <xf numFmtId="204" fontId="12" fillId="0" borderId="0" xfId="932" applyNumberFormat="1" applyFont="1" applyBorder="1" applyProtection="1"/>
    <xf numFmtId="204" fontId="12" fillId="0" borderId="24" xfId="140" applyNumberFormat="1" applyFont="1" applyBorder="1" applyAlignment="1" applyProtection="1">
      <alignment horizontal="right"/>
    </xf>
    <xf numFmtId="204" fontId="12" fillId="0" borderId="24" xfId="280" applyNumberFormat="1" applyFont="1" applyFill="1" applyBorder="1" applyAlignment="1" applyProtection="1">
      <alignment horizontal="right"/>
    </xf>
    <xf numFmtId="169" fontId="12" fillId="0" borderId="11" xfId="140" applyNumberFormat="1" applyFont="1" applyBorder="1" applyAlignment="1" applyProtection="1">
      <alignment horizontal="right"/>
    </xf>
    <xf numFmtId="169" fontId="12" fillId="0" borderId="0" xfId="178" applyNumberFormat="1" applyFont="1" applyFill="1" applyBorder="1" applyAlignment="1" applyProtection="1">
      <alignment horizontal="right"/>
    </xf>
    <xf numFmtId="169" fontId="12" fillId="0" borderId="11" xfId="280" applyNumberFormat="1" applyFont="1" applyFill="1" applyBorder="1" applyAlignment="1" applyProtection="1">
      <alignment horizontal="right"/>
    </xf>
    <xf numFmtId="169" fontId="12" fillId="0" borderId="0" xfId="140" applyNumberFormat="1" applyFont="1" applyBorder="1" applyAlignment="1" applyProtection="1">
      <alignment horizontal="right"/>
    </xf>
    <xf numFmtId="169" fontId="12" fillId="0" borderId="0" xfId="280" applyNumberFormat="1" applyFont="1" applyFill="1" applyBorder="1" applyAlignment="1" applyProtection="1">
      <alignment horizontal="right"/>
    </xf>
    <xf numFmtId="169" fontId="12" fillId="0" borderId="0" xfId="140" applyNumberFormat="1" applyFont="1" applyAlignment="1" applyProtection="1">
      <alignment horizontal="right"/>
    </xf>
    <xf numFmtId="169" fontId="12" fillId="0" borderId="0" xfId="932" applyNumberFormat="1" applyFont="1" applyBorder="1" applyProtection="1"/>
    <xf numFmtId="169" fontId="12" fillId="0" borderId="0" xfId="280" applyNumberFormat="1" applyFont="1" applyFill="1" applyAlignment="1" applyProtection="1">
      <alignment horizontal="right"/>
    </xf>
    <xf numFmtId="169" fontId="12" fillId="0" borderId="0" xfId="300" applyNumberFormat="1" applyFont="1" applyFill="1" applyProtection="1"/>
    <xf numFmtId="169" fontId="12" fillId="0" borderId="0" xfId="932" applyNumberFormat="1" applyFont="1" applyProtection="1"/>
    <xf numFmtId="204" fontId="12" fillId="0" borderId="0" xfId="280" applyNumberFormat="1" applyFont="1" applyFill="1" applyAlignment="1" applyProtection="1">
      <alignment horizontal="right"/>
    </xf>
    <xf numFmtId="6" fontId="54" fillId="0" borderId="0" xfId="260" applyNumberFormat="1" applyFont="1" applyFill="1" applyAlignment="1">
      <alignment horizontal="right"/>
    </xf>
    <xf numFmtId="41" fontId="12" fillId="0" borderId="22" xfId="143" applyNumberFormat="1" applyFont="1" applyFill="1" applyBorder="1"/>
    <xf numFmtId="180" fontId="16" fillId="0" borderId="0" xfId="260" applyNumberFormat="1"/>
    <xf numFmtId="4" fontId="0" fillId="0" borderId="0" xfId="0" applyNumberFormat="1"/>
    <xf numFmtId="14" fontId="0" fillId="0" borderId="0" xfId="0" applyNumberFormat="1"/>
    <xf numFmtId="42" fontId="0" fillId="0" borderId="0" xfId="0" applyNumberFormat="1"/>
    <xf numFmtId="0" fontId="89" fillId="0" borderId="0" xfId="0" applyFont="1"/>
    <xf numFmtId="42" fontId="89" fillId="0" borderId="0" xfId="0" applyNumberFormat="1" applyFont="1"/>
    <xf numFmtId="43" fontId="0" fillId="118" borderId="0" xfId="924" applyFont="1" applyFill="1"/>
    <xf numFmtId="43" fontId="89" fillId="0" borderId="0" xfId="0" applyNumberFormat="1" applyFont="1"/>
    <xf numFmtId="0" fontId="11" fillId="0" borderId="0" xfId="961" applyFont="1" applyProtection="1"/>
    <xf numFmtId="0" fontId="11" fillId="0" borderId="0" xfId="961" applyFont="1" applyFill="1" applyProtection="1"/>
    <xf numFmtId="0" fontId="8" fillId="0" borderId="0" xfId="961" applyFont="1" applyProtection="1"/>
    <xf numFmtId="0" fontId="8" fillId="0" borderId="0" xfId="961" applyFont="1" applyFill="1" applyProtection="1"/>
    <xf numFmtId="0" fontId="12" fillId="0" borderId="0" xfId="961" applyFont="1" applyProtection="1"/>
    <xf numFmtId="0" fontId="12" fillId="0" borderId="0" xfId="961" applyFont="1" applyFill="1" applyProtection="1"/>
    <xf numFmtId="0" fontId="4" fillId="0" borderId="0" xfId="961" applyFont="1" applyProtection="1"/>
    <xf numFmtId="0" fontId="4" fillId="0" borderId="0" xfId="961" applyFont="1" applyAlignment="1" applyProtection="1">
      <alignment horizontal="center"/>
    </xf>
    <xf numFmtId="0" fontId="4" fillId="0" borderId="0" xfId="961" applyFont="1" applyFill="1" applyAlignment="1" applyProtection="1">
      <alignment horizontal="center"/>
    </xf>
    <xf numFmtId="0" fontId="4" fillId="0" borderId="0" xfId="961" applyFont="1" applyFill="1" applyProtection="1"/>
    <xf numFmtId="0" fontId="4" fillId="0" borderId="11" xfId="961" applyFont="1" applyBorder="1" applyAlignment="1" applyProtection="1">
      <alignment horizontal="center"/>
    </xf>
    <xf numFmtId="0" fontId="4" fillId="0" borderId="11" xfId="961" applyFont="1" applyFill="1" applyBorder="1" applyAlignment="1" applyProtection="1">
      <alignment horizontal="center"/>
    </xf>
    <xf numFmtId="0" fontId="13" fillId="0" borderId="0" xfId="961" applyFont="1" applyProtection="1"/>
    <xf numFmtId="44" fontId="12" fillId="0" borderId="0" xfId="961" applyNumberFormat="1" applyFont="1" applyProtection="1"/>
    <xf numFmtId="44" fontId="12" fillId="0" borderId="0" xfId="280" applyNumberFormat="1" applyFont="1" applyFill="1" applyAlignment="1" applyProtection="1">
      <alignment horizontal="right"/>
    </xf>
    <xf numFmtId="202" fontId="12" fillId="0" borderId="0" xfId="961" applyNumberFormat="1" applyFont="1" applyFill="1" applyProtection="1"/>
    <xf numFmtId="43" fontId="12" fillId="0" borderId="0" xfId="961" applyNumberFormat="1" applyFont="1" applyProtection="1"/>
    <xf numFmtId="43" fontId="12" fillId="0" borderId="0" xfId="280" applyNumberFormat="1" applyFont="1" applyFill="1" applyAlignment="1" applyProtection="1">
      <alignment horizontal="right"/>
    </xf>
    <xf numFmtId="43" fontId="12" fillId="0" borderId="11" xfId="280" applyNumberFormat="1" applyFont="1" applyFill="1" applyBorder="1" applyAlignment="1" applyProtection="1">
      <alignment horizontal="right"/>
    </xf>
    <xf numFmtId="43" fontId="12" fillId="0" borderId="0" xfId="300" applyNumberFormat="1" applyFont="1" applyFill="1" applyProtection="1"/>
    <xf numFmtId="43" fontId="12" fillId="0" borderId="0" xfId="140" applyNumberFormat="1" applyFont="1" applyBorder="1" applyAlignment="1" applyProtection="1">
      <alignment horizontal="right"/>
    </xf>
    <xf numFmtId="43" fontId="12" fillId="0" borderId="0" xfId="280" applyNumberFormat="1" applyFont="1" applyFill="1" applyBorder="1" applyAlignment="1" applyProtection="1">
      <alignment horizontal="right"/>
    </xf>
    <xf numFmtId="43" fontId="12" fillId="0" borderId="0" xfId="178" applyNumberFormat="1" applyFont="1" applyFill="1" applyBorder="1" applyAlignment="1" applyProtection="1">
      <alignment horizontal="right"/>
    </xf>
    <xf numFmtId="43" fontId="12" fillId="0" borderId="0" xfId="961" applyNumberFormat="1" applyFont="1" applyBorder="1" applyProtection="1"/>
    <xf numFmtId="199" fontId="12" fillId="0" borderId="0" xfId="961" applyNumberFormat="1" applyFont="1" applyFill="1" applyProtection="1"/>
    <xf numFmtId="0" fontId="12" fillId="0" borderId="0" xfId="961" applyFont="1" applyBorder="1" applyProtection="1"/>
    <xf numFmtId="44" fontId="12" fillId="0" borderId="0" xfId="961" applyNumberFormat="1" applyFont="1" applyBorder="1" applyProtection="1"/>
    <xf numFmtId="44" fontId="12" fillId="0" borderId="24" xfId="280" applyNumberFormat="1" applyFont="1" applyFill="1" applyBorder="1" applyAlignment="1" applyProtection="1">
      <alignment horizontal="right"/>
    </xf>
    <xf numFmtId="204" fontId="12" fillId="0" borderId="0" xfId="961" applyNumberFormat="1" applyFont="1" applyBorder="1" applyProtection="1"/>
    <xf numFmtId="204" fontId="12" fillId="0" borderId="0" xfId="961" applyNumberFormat="1" applyFont="1" applyProtection="1"/>
    <xf numFmtId="204" fontId="12" fillId="0" borderId="0" xfId="961" applyNumberFormat="1" applyFont="1" applyFill="1" applyProtection="1"/>
    <xf numFmtId="43" fontId="12" fillId="0" borderId="0" xfId="961" applyNumberFormat="1" applyFont="1" applyFill="1" applyProtection="1"/>
    <xf numFmtId="183" fontId="12" fillId="0" borderId="0" xfId="140" applyNumberFormat="1" applyFont="1" applyBorder="1" applyAlignment="1" applyProtection="1"/>
    <xf numFmtId="0" fontId="88" fillId="0" borderId="0" xfId="0" applyFont="1" applyFill="1" applyBorder="1"/>
    <xf numFmtId="0" fontId="88" fillId="0" borderId="0" xfId="0" applyFont="1" applyFill="1" applyBorder="1" applyAlignment="1">
      <alignment horizontal="center"/>
    </xf>
    <xf numFmtId="43" fontId="0" fillId="0" borderId="11" xfId="0" applyNumberFormat="1" applyBorder="1"/>
    <xf numFmtId="41" fontId="13" fillId="0" borderId="20" xfId="143" applyNumberFormat="1" applyFont="1" applyFill="1" applyBorder="1"/>
    <xf numFmtId="37" fontId="0" fillId="0" borderId="11" xfId="0" applyNumberFormat="1" applyBorder="1"/>
    <xf numFmtId="0" fontId="4" fillId="0" borderId="0" xfId="231" applyAlignment="1">
      <alignment vertical="top"/>
    </xf>
    <xf numFmtId="0" fontId="4" fillId="0" borderId="0" xfId="231" applyFont="1" applyAlignment="1">
      <alignment vertical="top"/>
    </xf>
    <xf numFmtId="14" fontId="4" fillId="0" borderId="0" xfId="231" applyNumberFormat="1" applyFill="1" applyBorder="1" applyAlignment="1">
      <alignment horizontal="right" vertical="top"/>
    </xf>
    <xf numFmtId="44" fontId="8" fillId="0" borderId="0" xfId="231" applyNumberFormat="1" applyFont="1" applyFill="1" applyBorder="1" applyAlignment="1">
      <alignment horizontal="right" vertical="top"/>
    </xf>
    <xf numFmtId="0" fontId="8" fillId="0" borderId="0" xfId="231" applyFont="1" applyFill="1" applyBorder="1" applyAlignment="1">
      <alignment horizontal="center" vertical="top" wrapText="1"/>
    </xf>
    <xf numFmtId="0" fontId="4" fillId="0" borderId="0" xfId="231" applyFill="1" applyBorder="1" applyAlignment="1">
      <alignment vertical="top"/>
    </xf>
    <xf numFmtId="14" fontId="4" fillId="0" borderId="12" xfId="231" applyNumberFormat="1" applyFill="1" applyBorder="1" applyAlignment="1">
      <alignment horizontal="right" vertical="top"/>
    </xf>
    <xf numFmtId="44" fontId="8" fillId="0" borderId="10" xfId="231" applyNumberFormat="1" applyFont="1" applyFill="1" applyBorder="1" applyAlignment="1">
      <alignment horizontal="right" vertical="top"/>
    </xf>
    <xf numFmtId="0" fontId="4" fillId="0" borderId="12" xfId="231" applyFill="1" applyBorder="1" applyAlignment="1">
      <alignment vertical="top"/>
    </xf>
    <xf numFmtId="14" fontId="4" fillId="119" borderId="2" xfId="231" applyNumberFormat="1" applyFill="1" applyBorder="1" applyAlignment="1">
      <alignment horizontal="right" vertical="top"/>
    </xf>
    <xf numFmtId="43" fontId="8" fillId="119" borderId="2" xfId="231" applyNumberFormat="1" applyFont="1" applyFill="1" applyBorder="1" applyAlignment="1">
      <alignment horizontal="right" vertical="top"/>
    </xf>
    <xf numFmtId="0" fontId="4" fillId="119" borderId="2" xfId="231" applyFill="1" applyBorder="1" applyAlignment="1">
      <alignment vertical="top"/>
    </xf>
    <xf numFmtId="0" fontId="8" fillId="119" borderId="2" xfId="231" applyFont="1" applyFill="1" applyBorder="1" applyAlignment="1">
      <alignment vertical="top"/>
    </xf>
    <xf numFmtId="14" fontId="4" fillId="0" borderId="0" xfId="231" applyNumberFormat="1" applyAlignment="1">
      <alignment horizontal="right" vertical="top"/>
    </xf>
    <xf numFmtId="43" fontId="4" fillId="0" borderId="0" xfId="231" applyNumberFormat="1" applyAlignment="1">
      <alignment horizontal="right" vertical="top"/>
    </xf>
    <xf numFmtId="0" fontId="4" fillId="26" borderId="4" xfId="231" applyFill="1" applyBorder="1" applyAlignment="1">
      <alignment vertical="top"/>
    </xf>
    <xf numFmtId="0" fontId="4" fillId="26" borderId="4" xfId="231" applyFill="1" applyBorder="1" applyAlignment="1">
      <alignment vertical="top" wrapText="1"/>
    </xf>
    <xf numFmtId="0" fontId="8" fillId="0" borderId="0" xfId="231" applyFont="1" applyAlignment="1">
      <alignment vertical="top"/>
    </xf>
    <xf numFmtId="0" fontId="108" fillId="0" borderId="0" xfId="231" applyFont="1" applyAlignment="1">
      <alignment vertical="top"/>
    </xf>
    <xf numFmtId="41" fontId="89" fillId="0" borderId="0" xfId="0" applyNumberFormat="1" applyFont="1"/>
    <xf numFmtId="0" fontId="0" fillId="0" borderId="0" xfId="0" applyAlignment="1">
      <alignment horizontal="right"/>
    </xf>
    <xf numFmtId="41" fontId="109" fillId="0" borderId="11" xfId="0" applyNumberFormat="1" applyFont="1" applyBorder="1"/>
    <xf numFmtId="42" fontId="22" fillId="0" borderId="0" xfId="152" applyNumberFormat="1" applyFont="1" applyBorder="1"/>
    <xf numFmtId="41" fontId="54" fillId="0" borderId="11" xfId="260" applyNumberFormat="1" applyFont="1" applyFill="1" applyBorder="1" applyAlignment="1"/>
    <xf numFmtId="0" fontId="4" fillId="0" borderId="0" xfId="260" applyFont="1"/>
    <xf numFmtId="9" fontId="54" fillId="0" borderId="0" xfId="301" applyFont="1" applyFill="1" applyAlignment="1"/>
    <xf numFmtId="37" fontId="54" fillId="0" borderId="11" xfId="152" applyNumberFormat="1" applyFont="1" applyFill="1" applyBorder="1" applyAlignment="1"/>
    <xf numFmtId="42" fontId="54" fillId="0" borderId="0" xfId="189" applyNumberFormat="1" applyFont="1" applyFill="1" applyBorder="1" applyAlignment="1"/>
    <xf numFmtId="42" fontId="54" fillId="0" borderId="24" xfId="188" applyNumberFormat="1" applyFont="1" applyFill="1" applyBorder="1" applyAlignment="1"/>
    <xf numFmtId="0" fontId="22" fillId="0" borderId="0" xfId="260" applyFont="1" applyFill="1" applyAlignment="1">
      <alignment horizontal="center"/>
    </xf>
    <xf numFmtId="0" fontId="4" fillId="0" borderId="11" xfId="961" applyFont="1" applyFill="1" applyBorder="1" applyAlignment="1" applyProtection="1">
      <alignment horizontal="center"/>
    </xf>
    <xf numFmtId="39" fontId="4" fillId="0" borderId="0" xfId="280" applyNumberFormat="1" applyFont="1" applyFill="1" applyAlignment="1" applyProtection="1">
      <alignment wrapText="1"/>
    </xf>
    <xf numFmtId="0" fontId="107" fillId="0" borderId="0" xfId="961" applyAlignment="1">
      <alignment wrapText="1"/>
    </xf>
    <xf numFmtId="0" fontId="11" fillId="0" borderId="0" xfId="961" applyFont="1" applyAlignment="1" applyProtection="1">
      <alignment horizontal="center"/>
    </xf>
    <xf numFmtId="0" fontId="8" fillId="0" borderId="0" xfId="961" applyFont="1" applyAlignment="1" applyProtection="1">
      <alignment horizontal="center"/>
    </xf>
    <xf numFmtId="0" fontId="4" fillId="0" borderId="11" xfId="961" applyFont="1" applyBorder="1" applyAlignment="1" applyProtection="1">
      <alignment horizontal="center"/>
    </xf>
    <xf numFmtId="0" fontId="4" fillId="0" borderId="11" xfId="932" applyFont="1" applyFill="1" applyBorder="1" applyAlignment="1" applyProtection="1">
      <alignment horizontal="center"/>
    </xf>
    <xf numFmtId="0" fontId="96" fillId="0" borderId="0" xfId="932" applyAlignment="1">
      <alignment wrapText="1"/>
    </xf>
    <xf numFmtId="0" fontId="11" fillId="0" borderId="0" xfId="932" applyFont="1" applyAlignment="1" applyProtection="1">
      <alignment horizontal="center"/>
    </xf>
    <xf numFmtId="0" fontId="8" fillId="0" borderId="0" xfId="932" applyFont="1" applyAlignment="1" applyProtection="1">
      <alignment horizontal="center"/>
    </xf>
    <xf numFmtId="0" fontId="4" fillId="0" borderId="11" xfId="932" applyFont="1" applyBorder="1" applyAlignment="1" applyProtection="1">
      <alignment horizontal="center"/>
    </xf>
  </cellXfs>
  <cellStyles count="962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Pro Forma Rev 07 GRC" xfId="20"/>
    <cellStyle name="_Recon to Darrin's 5.11.05 proforma" xfId="2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Tenaska Comparison" xfId="45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C 6.15.06 update on 06GRC power costs.xls Chart 1" xfId="55"/>
    <cellStyle name="_VC 6.15.06 update on 06GRC power costs.xls Chart 2" xfId="56"/>
    <cellStyle name="_VC 6.15.06 update on 06GRC power costs.xls Chart 3" xfId="57"/>
    <cellStyle name="0,0_x000d__x000a_NA_x000d__x000a_" xfId="58"/>
    <cellStyle name="0000" xfId="59"/>
    <cellStyle name="000000" xfId="60"/>
    <cellStyle name="20% - Accent1" xfId="61" builtinId="30" customBuiltin="1"/>
    <cellStyle name="20% - Accent1 10" xfId="395"/>
    <cellStyle name="20% - Accent1 11" xfId="396"/>
    <cellStyle name="20% - Accent1 12" xfId="765"/>
    <cellStyle name="20% - Accent1 13" xfId="792"/>
    <cellStyle name="20% - Accent1 2" xfId="62"/>
    <cellStyle name="20% - Accent1 2 2" xfId="793"/>
    <cellStyle name="20% - Accent1 3" xfId="63"/>
    <cellStyle name="20% - Accent1 3 2" xfId="794"/>
    <cellStyle name="20% - Accent1 4" xfId="397"/>
    <cellStyle name="20% - Accent1 5" xfId="398"/>
    <cellStyle name="20% - Accent1 6" xfId="399"/>
    <cellStyle name="20% - Accent1 7" xfId="400"/>
    <cellStyle name="20% - Accent1 8" xfId="401"/>
    <cellStyle name="20% - Accent1 9" xfId="402"/>
    <cellStyle name="20% - Accent2" xfId="64" builtinId="34" customBuiltin="1"/>
    <cellStyle name="20% - Accent2 10" xfId="403"/>
    <cellStyle name="20% - Accent2 11" xfId="404"/>
    <cellStyle name="20% - Accent2 12" xfId="766"/>
    <cellStyle name="20% - Accent2 13" xfId="795"/>
    <cellStyle name="20% - Accent2 2" xfId="65"/>
    <cellStyle name="20% - Accent2 2 2" xfId="796"/>
    <cellStyle name="20% - Accent2 3" xfId="66"/>
    <cellStyle name="20% - Accent2 3 2" xfId="797"/>
    <cellStyle name="20% - Accent2 4" xfId="405"/>
    <cellStyle name="20% - Accent2 5" xfId="406"/>
    <cellStyle name="20% - Accent2 6" xfId="407"/>
    <cellStyle name="20% - Accent2 7" xfId="408"/>
    <cellStyle name="20% - Accent2 8" xfId="409"/>
    <cellStyle name="20% - Accent2 9" xfId="410"/>
    <cellStyle name="20% - Accent3" xfId="67" builtinId="38" customBuiltin="1"/>
    <cellStyle name="20% - Accent3 10" xfId="411"/>
    <cellStyle name="20% - Accent3 11" xfId="412"/>
    <cellStyle name="20% - Accent3 12" xfId="767"/>
    <cellStyle name="20% - Accent3 13" xfId="798"/>
    <cellStyle name="20% - Accent3 2" xfId="68"/>
    <cellStyle name="20% - Accent3 2 2" xfId="799"/>
    <cellStyle name="20% - Accent3 3" xfId="69"/>
    <cellStyle name="20% - Accent3 3 2" xfId="800"/>
    <cellStyle name="20% - Accent3 4" xfId="413"/>
    <cellStyle name="20% - Accent3 5" xfId="414"/>
    <cellStyle name="20% - Accent3 6" xfId="415"/>
    <cellStyle name="20% - Accent3 7" xfId="416"/>
    <cellStyle name="20% - Accent3 8" xfId="417"/>
    <cellStyle name="20% - Accent3 9" xfId="418"/>
    <cellStyle name="20% - Accent4" xfId="70" builtinId="42" customBuiltin="1"/>
    <cellStyle name="20% - Accent4 10" xfId="419"/>
    <cellStyle name="20% - Accent4 11" xfId="420"/>
    <cellStyle name="20% - Accent4 12" xfId="768"/>
    <cellStyle name="20% - Accent4 13" xfId="801"/>
    <cellStyle name="20% - Accent4 2" xfId="71"/>
    <cellStyle name="20% - Accent4 2 2" xfId="802"/>
    <cellStyle name="20% - Accent4 3" xfId="72"/>
    <cellStyle name="20% - Accent4 3 2" xfId="803"/>
    <cellStyle name="20% - Accent4 4" xfId="421"/>
    <cellStyle name="20% - Accent4 5" xfId="422"/>
    <cellStyle name="20% - Accent4 6" xfId="423"/>
    <cellStyle name="20% - Accent4 7" xfId="424"/>
    <cellStyle name="20% - Accent4 8" xfId="425"/>
    <cellStyle name="20% - Accent4 9" xfId="426"/>
    <cellStyle name="20% - Accent5" xfId="73" builtinId="46" customBuiltin="1"/>
    <cellStyle name="20% - Accent5 10" xfId="427"/>
    <cellStyle name="20% - Accent5 11" xfId="428"/>
    <cellStyle name="20% - Accent5 12" xfId="769"/>
    <cellStyle name="20% - Accent5 13" xfId="804"/>
    <cellStyle name="20% - Accent5 2" xfId="74"/>
    <cellStyle name="20% - Accent5 2 2" xfId="805"/>
    <cellStyle name="20% - Accent5 3" xfId="75"/>
    <cellStyle name="20% - Accent5 3 2" xfId="806"/>
    <cellStyle name="20% - Accent5 4" xfId="429"/>
    <cellStyle name="20% - Accent5 5" xfId="430"/>
    <cellStyle name="20% - Accent5 6" xfId="431"/>
    <cellStyle name="20% - Accent5 7" xfId="432"/>
    <cellStyle name="20% - Accent5 8" xfId="433"/>
    <cellStyle name="20% - Accent5 9" xfId="434"/>
    <cellStyle name="20% - Accent6" xfId="76" builtinId="50" customBuiltin="1"/>
    <cellStyle name="20% - Accent6 10" xfId="435"/>
    <cellStyle name="20% - Accent6 11" xfId="436"/>
    <cellStyle name="20% - Accent6 12" xfId="770"/>
    <cellStyle name="20% - Accent6 13" xfId="807"/>
    <cellStyle name="20% - Accent6 2" xfId="77"/>
    <cellStyle name="20% - Accent6 2 2" xfId="808"/>
    <cellStyle name="20% - Accent6 3" xfId="78"/>
    <cellStyle name="20% - Accent6 3 2" xfId="809"/>
    <cellStyle name="20% - Accent6 4" xfId="437"/>
    <cellStyle name="20% - Accent6 5" xfId="438"/>
    <cellStyle name="20% - Accent6 6" xfId="439"/>
    <cellStyle name="20% - Accent6 7" xfId="440"/>
    <cellStyle name="20% - Accent6 8" xfId="441"/>
    <cellStyle name="20% - Accent6 9" xfId="442"/>
    <cellStyle name="40% - Accent1" xfId="79" builtinId="31" customBuiltin="1"/>
    <cellStyle name="40% - Accent1 10" xfId="443"/>
    <cellStyle name="40% - Accent1 11" xfId="444"/>
    <cellStyle name="40% - Accent1 12" xfId="771"/>
    <cellStyle name="40% - Accent1 13" xfId="810"/>
    <cellStyle name="40% - Accent1 2" xfId="80"/>
    <cellStyle name="40% - Accent1 2 2" xfId="811"/>
    <cellStyle name="40% - Accent1 3" xfId="81"/>
    <cellStyle name="40% - Accent1 3 2" xfId="812"/>
    <cellStyle name="40% - Accent1 4" xfId="445"/>
    <cellStyle name="40% - Accent1 5" xfId="446"/>
    <cellStyle name="40% - Accent1 6" xfId="447"/>
    <cellStyle name="40% - Accent1 7" xfId="448"/>
    <cellStyle name="40% - Accent1 8" xfId="449"/>
    <cellStyle name="40% - Accent1 9" xfId="450"/>
    <cellStyle name="40% - Accent2" xfId="82" builtinId="35" customBuiltin="1"/>
    <cellStyle name="40% - Accent2 10" xfId="451"/>
    <cellStyle name="40% - Accent2 11" xfId="452"/>
    <cellStyle name="40% - Accent2 12" xfId="772"/>
    <cellStyle name="40% - Accent2 13" xfId="813"/>
    <cellStyle name="40% - Accent2 2" xfId="83"/>
    <cellStyle name="40% - Accent2 2 2" xfId="814"/>
    <cellStyle name="40% - Accent2 3" xfId="84"/>
    <cellStyle name="40% - Accent2 3 2" xfId="815"/>
    <cellStyle name="40% - Accent2 4" xfId="453"/>
    <cellStyle name="40% - Accent2 5" xfId="454"/>
    <cellStyle name="40% - Accent2 6" xfId="455"/>
    <cellStyle name="40% - Accent2 7" xfId="456"/>
    <cellStyle name="40% - Accent2 8" xfId="457"/>
    <cellStyle name="40% - Accent2 9" xfId="458"/>
    <cellStyle name="40% - Accent3" xfId="85" builtinId="39" customBuiltin="1"/>
    <cellStyle name="40% - Accent3 10" xfId="459"/>
    <cellStyle name="40% - Accent3 11" xfId="460"/>
    <cellStyle name="40% - Accent3 12" xfId="773"/>
    <cellStyle name="40% - Accent3 13" xfId="816"/>
    <cellStyle name="40% - Accent3 2" xfId="86"/>
    <cellStyle name="40% - Accent3 2 2" xfId="817"/>
    <cellStyle name="40% - Accent3 3" xfId="87"/>
    <cellStyle name="40% - Accent3 3 2" xfId="818"/>
    <cellStyle name="40% - Accent3 4" xfId="461"/>
    <cellStyle name="40% - Accent3 5" xfId="462"/>
    <cellStyle name="40% - Accent3 6" xfId="463"/>
    <cellStyle name="40% - Accent3 7" xfId="464"/>
    <cellStyle name="40% - Accent3 8" xfId="465"/>
    <cellStyle name="40% - Accent3 9" xfId="466"/>
    <cellStyle name="40% - Accent4" xfId="88" builtinId="43" customBuiltin="1"/>
    <cellStyle name="40% - Accent4 10" xfId="467"/>
    <cellStyle name="40% - Accent4 11" xfId="468"/>
    <cellStyle name="40% - Accent4 12" xfId="774"/>
    <cellStyle name="40% - Accent4 13" xfId="819"/>
    <cellStyle name="40% - Accent4 2" xfId="89"/>
    <cellStyle name="40% - Accent4 2 2" xfId="820"/>
    <cellStyle name="40% - Accent4 3" xfId="90"/>
    <cellStyle name="40% - Accent4 3 2" xfId="821"/>
    <cellStyle name="40% - Accent4 4" xfId="469"/>
    <cellStyle name="40% - Accent4 5" xfId="470"/>
    <cellStyle name="40% - Accent4 6" xfId="471"/>
    <cellStyle name="40% - Accent4 7" xfId="472"/>
    <cellStyle name="40% - Accent4 8" xfId="473"/>
    <cellStyle name="40% - Accent4 9" xfId="474"/>
    <cellStyle name="40% - Accent5" xfId="91" builtinId="47" customBuiltin="1"/>
    <cellStyle name="40% - Accent5 10" xfId="475"/>
    <cellStyle name="40% - Accent5 11" xfId="476"/>
    <cellStyle name="40% - Accent5 12" xfId="775"/>
    <cellStyle name="40% - Accent5 13" xfId="822"/>
    <cellStyle name="40% - Accent5 2" xfId="92"/>
    <cellStyle name="40% - Accent5 2 2" xfId="823"/>
    <cellStyle name="40% - Accent5 3" xfId="93"/>
    <cellStyle name="40% - Accent5 3 2" xfId="824"/>
    <cellStyle name="40% - Accent5 4" xfId="477"/>
    <cellStyle name="40% - Accent5 5" xfId="478"/>
    <cellStyle name="40% - Accent5 6" xfId="479"/>
    <cellStyle name="40% - Accent5 7" xfId="480"/>
    <cellStyle name="40% - Accent5 8" xfId="481"/>
    <cellStyle name="40% - Accent5 9" xfId="482"/>
    <cellStyle name="40% - Accent6" xfId="94" builtinId="51" customBuiltin="1"/>
    <cellStyle name="40% - Accent6 10" xfId="483"/>
    <cellStyle name="40% - Accent6 11" xfId="484"/>
    <cellStyle name="40% - Accent6 12" xfId="776"/>
    <cellStyle name="40% - Accent6 13" xfId="825"/>
    <cellStyle name="40% - Accent6 2" xfId="95"/>
    <cellStyle name="40% - Accent6 2 2" xfId="826"/>
    <cellStyle name="40% - Accent6 3" xfId="96"/>
    <cellStyle name="40% - Accent6 3 2" xfId="827"/>
    <cellStyle name="40% - Accent6 4" xfId="485"/>
    <cellStyle name="40% - Accent6 5" xfId="486"/>
    <cellStyle name="40% - Accent6 6" xfId="487"/>
    <cellStyle name="40% - Accent6 7" xfId="488"/>
    <cellStyle name="40% - Accent6 8" xfId="489"/>
    <cellStyle name="40% - Accent6 9" xfId="490"/>
    <cellStyle name="60% - Accent1" xfId="97" builtinId="32" customBuiltin="1"/>
    <cellStyle name="60% - Accent1 2" xfId="491"/>
    <cellStyle name="60% - Accent1 3" xfId="492"/>
    <cellStyle name="60% - Accent1 4" xfId="493"/>
    <cellStyle name="60% - Accent1 5" xfId="494"/>
    <cellStyle name="60% - Accent1 6" xfId="495"/>
    <cellStyle name="60% - Accent1 7" xfId="496"/>
    <cellStyle name="60% - Accent1 8" xfId="497"/>
    <cellStyle name="60% - Accent1 9" xfId="498"/>
    <cellStyle name="60% - Accent2" xfId="98" builtinId="36" customBuiltin="1"/>
    <cellStyle name="60% - Accent2 2" xfId="499"/>
    <cellStyle name="60% - Accent2 3" xfId="500"/>
    <cellStyle name="60% - Accent2 4" xfId="501"/>
    <cellStyle name="60% - Accent2 5" xfId="502"/>
    <cellStyle name="60% - Accent2 6" xfId="503"/>
    <cellStyle name="60% - Accent2 7" xfId="504"/>
    <cellStyle name="60% - Accent2 8" xfId="505"/>
    <cellStyle name="60% - Accent2 9" xfId="506"/>
    <cellStyle name="60% - Accent3" xfId="99" builtinId="40" customBuiltin="1"/>
    <cellStyle name="60% - Accent3 2" xfId="507"/>
    <cellStyle name="60% - Accent3 3" xfId="508"/>
    <cellStyle name="60% - Accent3 4" xfId="509"/>
    <cellStyle name="60% - Accent3 5" xfId="510"/>
    <cellStyle name="60% - Accent3 6" xfId="511"/>
    <cellStyle name="60% - Accent3 7" xfId="512"/>
    <cellStyle name="60% - Accent3 8" xfId="513"/>
    <cellStyle name="60% - Accent3 9" xfId="514"/>
    <cellStyle name="60% - Accent4" xfId="100" builtinId="44" customBuiltin="1"/>
    <cellStyle name="60% - Accent4 2" xfId="515"/>
    <cellStyle name="60% - Accent4 3" xfId="516"/>
    <cellStyle name="60% - Accent4 4" xfId="517"/>
    <cellStyle name="60% - Accent4 5" xfId="518"/>
    <cellStyle name="60% - Accent4 6" xfId="519"/>
    <cellStyle name="60% - Accent4 7" xfId="520"/>
    <cellStyle name="60% - Accent4 8" xfId="521"/>
    <cellStyle name="60% - Accent4 9" xfId="522"/>
    <cellStyle name="60% - Accent5" xfId="101" builtinId="48" customBuiltin="1"/>
    <cellStyle name="60% - Accent5 2" xfId="523"/>
    <cellStyle name="60% - Accent5 3" xfId="524"/>
    <cellStyle name="60% - Accent5 4" xfId="525"/>
    <cellStyle name="60% - Accent5 5" xfId="526"/>
    <cellStyle name="60% - Accent5 6" xfId="527"/>
    <cellStyle name="60% - Accent5 7" xfId="528"/>
    <cellStyle name="60% - Accent5 8" xfId="529"/>
    <cellStyle name="60% - Accent5 9" xfId="530"/>
    <cellStyle name="60% - Accent6" xfId="102" builtinId="52" customBuiltin="1"/>
    <cellStyle name="60% - Accent6 2" xfId="531"/>
    <cellStyle name="60% - Accent6 3" xfId="532"/>
    <cellStyle name="60% - Accent6 4" xfId="533"/>
    <cellStyle name="60% - Accent6 5" xfId="534"/>
    <cellStyle name="60% - Accent6 6" xfId="535"/>
    <cellStyle name="60% - Accent6 7" xfId="536"/>
    <cellStyle name="60% - Accent6 8" xfId="537"/>
    <cellStyle name="60% - Accent6 9" xfId="538"/>
    <cellStyle name="Accent1" xfId="103" builtinId="29" customBuiltin="1"/>
    <cellStyle name="Accent1 - 20%" xfId="104"/>
    <cellStyle name="Accent1 - 40%" xfId="105"/>
    <cellStyle name="Accent1 - 60%" xfId="106"/>
    <cellStyle name="Accent1 10" xfId="539"/>
    <cellStyle name="Accent1 11" xfId="540"/>
    <cellStyle name="Accent1 12" xfId="541"/>
    <cellStyle name="Accent1 13" xfId="542"/>
    <cellStyle name="Accent1 14" xfId="543"/>
    <cellStyle name="Accent1 15" xfId="544"/>
    <cellStyle name="Accent1 16" xfId="545"/>
    <cellStyle name="Accent1 17" xfId="777"/>
    <cellStyle name="Accent1 18" xfId="778"/>
    <cellStyle name="Accent1 19" xfId="828"/>
    <cellStyle name="Accent1 2" xfId="546"/>
    <cellStyle name="Accent1 20" xfId="829"/>
    <cellStyle name="Accent1 21" xfId="830"/>
    <cellStyle name="Accent1 22" xfId="831"/>
    <cellStyle name="Accent1 3" xfId="547"/>
    <cellStyle name="Accent1 4" xfId="548"/>
    <cellStyle name="Accent1 5" xfId="549"/>
    <cellStyle name="Accent1 6" xfId="550"/>
    <cellStyle name="Accent1 7" xfId="551"/>
    <cellStyle name="Accent1 8" xfId="552"/>
    <cellStyle name="Accent1 9" xfId="553"/>
    <cellStyle name="Accent2" xfId="107" builtinId="33" customBuiltin="1"/>
    <cellStyle name="Accent2 - 20%" xfId="108"/>
    <cellStyle name="Accent2 - 40%" xfId="109"/>
    <cellStyle name="Accent2 - 60%" xfId="110"/>
    <cellStyle name="Accent2 10" xfId="554"/>
    <cellStyle name="Accent2 11" xfId="555"/>
    <cellStyle name="Accent2 12" xfId="556"/>
    <cellStyle name="Accent2 13" xfId="557"/>
    <cellStyle name="Accent2 14" xfId="558"/>
    <cellStyle name="Accent2 15" xfId="559"/>
    <cellStyle name="Accent2 16" xfId="560"/>
    <cellStyle name="Accent2 17" xfId="779"/>
    <cellStyle name="Accent2 18" xfId="780"/>
    <cellStyle name="Accent2 19" xfId="832"/>
    <cellStyle name="Accent2 2" xfId="561"/>
    <cellStyle name="Accent2 20" xfId="833"/>
    <cellStyle name="Accent2 21" xfId="834"/>
    <cellStyle name="Accent2 22" xfId="835"/>
    <cellStyle name="Accent2 3" xfId="562"/>
    <cellStyle name="Accent2 4" xfId="563"/>
    <cellStyle name="Accent2 5" xfId="564"/>
    <cellStyle name="Accent2 6" xfId="565"/>
    <cellStyle name="Accent2 7" xfId="566"/>
    <cellStyle name="Accent2 8" xfId="567"/>
    <cellStyle name="Accent2 9" xfId="568"/>
    <cellStyle name="Accent3" xfId="111" builtinId="37" customBuiltin="1"/>
    <cellStyle name="Accent3 - 20%" xfId="112"/>
    <cellStyle name="Accent3 - 40%" xfId="113"/>
    <cellStyle name="Accent3 - 60%" xfId="114"/>
    <cellStyle name="Accent3 10" xfId="569"/>
    <cellStyle name="Accent3 11" xfId="570"/>
    <cellStyle name="Accent3 12" xfId="571"/>
    <cellStyle name="Accent3 13" xfId="572"/>
    <cellStyle name="Accent3 14" xfId="573"/>
    <cellStyle name="Accent3 15" xfId="574"/>
    <cellStyle name="Accent3 16" xfId="575"/>
    <cellStyle name="Accent3 17" xfId="781"/>
    <cellStyle name="Accent3 18" xfId="782"/>
    <cellStyle name="Accent3 19" xfId="836"/>
    <cellStyle name="Accent3 2" xfId="576"/>
    <cellStyle name="Accent3 20" xfId="837"/>
    <cellStyle name="Accent3 21" xfId="838"/>
    <cellStyle name="Accent3 22" xfId="839"/>
    <cellStyle name="Accent3 3" xfId="577"/>
    <cellStyle name="Accent3 4" xfId="578"/>
    <cellStyle name="Accent3 5" xfId="579"/>
    <cellStyle name="Accent3 6" xfId="580"/>
    <cellStyle name="Accent3 7" xfId="581"/>
    <cellStyle name="Accent3 8" xfId="582"/>
    <cellStyle name="Accent3 9" xfId="583"/>
    <cellStyle name="Accent4" xfId="115" builtinId="41" customBuiltin="1"/>
    <cellStyle name="Accent4 - 20%" xfId="116"/>
    <cellStyle name="Accent4 - 40%" xfId="117"/>
    <cellStyle name="Accent4 - 60%" xfId="118"/>
    <cellStyle name="Accent4 10" xfId="584"/>
    <cellStyle name="Accent4 11" xfId="585"/>
    <cellStyle name="Accent4 12" xfId="586"/>
    <cellStyle name="Accent4 13" xfId="587"/>
    <cellStyle name="Accent4 14" xfId="588"/>
    <cellStyle name="Accent4 15" xfId="589"/>
    <cellStyle name="Accent4 16" xfId="590"/>
    <cellStyle name="Accent4 17" xfId="783"/>
    <cellStyle name="Accent4 18" xfId="784"/>
    <cellStyle name="Accent4 19" xfId="840"/>
    <cellStyle name="Accent4 2" xfId="591"/>
    <cellStyle name="Accent4 20" xfId="841"/>
    <cellStyle name="Accent4 21" xfId="842"/>
    <cellStyle name="Accent4 22" xfId="843"/>
    <cellStyle name="Accent4 3" xfId="592"/>
    <cellStyle name="Accent4 4" xfId="593"/>
    <cellStyle name="Accent4 5" xfId="594"/>
    <cellStyle name="Accent4 6" xfId="595"/>
    <cellStyle name="Accent4 7" xfId="596"/>
    <cellStyle name="Accent4 8" xfId="597"/>
    <cellStyle name="Accent4 9" xfId="598"/>
    <cellStyle name="Accent5" xfId="119" builtinId="45" customBuiltin="1"/>
    <cellStyle name="Accent5 - 20%" xfId="120"/>
    <cellStyle name="Accent5 - 40%" xfId="121"/>
    <cellStyle name="Accent5 - 60%" xfId="122"/>
    <cellStyle name="Accent5 10" xfId="599"/>
    <cellStyle name="Accent5 11" xfId="600"/>
    <cellStyle name="Accent5 12" xfId="601"/>
    <cellStyle name="Accent5 13" xfId="602"/>
    <cellStyle name="Accent5 14" xfId="603"/>
    <cellStyle name="Accent5 15" xfId="604"/>
    <cellStyle name="Accent5 16" xfId="605"/>
    <cellStyle name="Accent5 17" xfId="785"/>
    <cellStyle name="Accent5 18" xfId="786"/>
    <cellStyle name="Accent5 19" xfId="844"/>
    <cellStyle name="Accent5 2" xfId="606"/>
    <cellStyle name="Accent5 20" xfId="845"/>
    <cellStyle name="Accent5 21" xfId="846"/>
    <cellStyle name="Accent5 22" xfId="847"/>
    <cellStyle name="Accent5 3" xfId="607"/>
    <cellStyle name="Accent5 4" xfId="608"/>
    <cellStyle name="Accent5 5" xfId="609"/>
    <cellStyle name="Accent5 6" xfId="610"/>
    <cellStyle name="Accent5 7" xfId="611"/>
    <cellStyle name="Accent5 8" xfId="612"/>
    <cellStyle name="Accent5 9" xfId="613"/>
    <cellStyle name="Accent6" xfId="123" builtinId="49" customBuiltin="1"/>
    <cellStyle name="Accent6 - 20%" xfId="124"/>
    <cellStyle name="Accent6 - 40%" xfId="125"/>
    <cellStyle name="Accent6 - 60%" xfId="126"/>
    <cellStyle name="Accent6 10" xfId="614"/>
    <cellStyle name="Accent6 11" xfId="615"/>
    <cellStyle name="Accent6 12" xfId="616"/>
    <cellStyle name="Accent6 13" xfId="617"/>
    <cellStyle name="Accent6 14" xfId="618"/>
    <cellStyle name="Accent6 15" xfId="619"/>
    <cellStyle name="Accent6 16" xfId="620"/>
    <cellStyle name="Accent6 17" xfId="787"/>
    <cellStyle name="Accent6 18" xfId="788"/>
    <cellStyle name="Accent6 19" xfId="848"/>
    <cellStyle name="Accent6 2" xfId="621"/>
    <cellStyle name="Accent6 20" xfId="849"/>
    <cellStyle name="Accent6 21" xfId="850"/>
    <cellStyle name="Accent6 22" xfId="851"/>
    <cellStyle name="Accent6 3" xfId="622"/>
    <cellStyle name="Accent6 4" xfId="623"/>
    <cellStyle name="Accent6 5" xfId="624"/>
    <cellStyle name="Accent6 6" xfId="625"/>
    <cellStyle name="Accent6 7" xfId="626"/>
    <cellStyle name="Accent6 8" xfId="627"/>
    <cellStyle name="Accent6 9" xfId="628"/>
    <cellStyle name="Bad" xfId="127" builtinId="27" customBuiltin="1"/>
    <cellStyle name="Bad 2" xfId="629"/>
    <cellStyle name="Bad 3" xfId="630"/>
    <cellStyle name="Bad 4" xfId="631"/>
    <cellStyle name="Bad 5" xfId="632"/>
    <cellStyle name="Bad 6" xfId="633"/>
    <cellStyle name="Bad 7" xfId="634"/>
    <cellStyle name="Bad 8" xfId="635"/>
    <cellStyle name="Bad 9" xfId="636"/>
    <cellStyle name="blank" xfId="128"/>
    <cellStyle name="Calc Currency (0)" xfId="129"/>
    <cellStyle name="Calculation" xfId="130" builtinId="22" customBuiltin="1"/>
    <cellStyle name="Calculation 2" xfId="637"/>
    <cellStyle name="Calculation 3" xfId="638"/>
    <cellStyle name="Calculation 4" xfId="639"/>
    <cellStyle name="Calculation 5" xfId="640"/>
    <cellStyle name="Calculation 6" xfId="641"/>
    <cellStyle name="Calculation 7" xfId="642"/>
    <cellStyle name="Calculation 8" xfId="643"/>
    <cellStyle name="Calculation 9" xfId="644"/>
    <cellStyle name="Check Cell" xfId="131" builtinId="23" customBuiltin="1"/>
    <cellStyle name="Check Cell 2" xfId="645"/>
    <cellStyle name="Check Cell 3" xfId="646"/>
    <cellStyle name="Check Cell 4" xfId="647"/>
    <cellStyle name="Check Cell 5" xfId="648"/>
    <cellStyle name="Check Cell 6" xfId="649"/>
    <cellStyle name="Check Cell 7" xfId="650"/>
    <cellStyle name="Check Cell 8" xfId="651"/>
    <cellStyle name="Check Cell 9" xfId="652"/>
    <cellStyle name="CheckCell" xfId="132"/>
    <cellStyle name="Comma" xfId="924" builtinId="3"/>
    <cellStyle name="Comma 10" xfId="133"/>
    <cellStyle name="Comma 11" xfId="134"/>
    <cellStyle name="Comma 12" xfId="135"/>
    <cellStyle name="Comma 13" xfId="136"/>
    <cellStyle name="Comma 14" xfId="137"/>
    <cellStyle name="Comma 15" xfId="138"/>
    <cellStyle name="Comma 16" xfId="139"/>
    <cellStyle name="Comma 17" xfId="140"/>
    <cellStyle name="Comma 18" xfId="141"/>
    <cellStyle name="Comma 19" xfId="142"/>
    <cellStyle name="Comma 19 2" xfId="926"/>
    <cellStyle name="Comma 2" xfId="143"/>
    <cellStyle name="Comma 2 2" xfId="144"/>
    <cellStyle name="Comma 2 3" xfId="145"/>
    <cellStyle name="Comma 20" xfId="146"/>
    <cellStyle name="Comma 21" xfId="147"/>
    <cellStyle name="Comma 22" xfId="148"/>
    <cellStyle name="Comma 23" xfId="149"/>
    <cellStyle name="Comma 24" xfId="150"/>
    <cellStyle name="Comma 25" xfId="151"/>
    <cellStyle name="Comma 26" xfId="919"/>
    <cellStyle name="Comma 27" xfId="922"/>
    <cellStyle name="Comma 3" xfId="152"/>
    <cellStyle name="Comma 3 2" xfId="153"/>
    <cellStyle name="Comma 3 3" xfId="852"/>
    <cellStyle name="Comma 4" xfId="154"/>
    <cellStyle name="Comma 4 2" xfId="853"/>
    <cellStyle name="Comma 5" xfId="155"/>
    <cellStyle name="Comma 5 2" xfId="854"/>
    <cellStyle name="Comma 6" xfId="156"/>
    <cellStyle name="Comma 6 2" xfId="855"/>
    <cellStyle name="Comma 7" xfId="157"/>
    <cellStyle name="Comma 8" xfId="158"/>
    <cellStyle name="Comma 9" xfId="159"/>
    <cellStyle name="Comma0" xfId="160"/>
    <cellStyle name="Comma0 - Style2" xfId="161"/>
    <cellStyle name="Comma0 - Style4" xfId="162"/>
    <cellStyle name="Comma0 - Style5" xfId="163"/>
    <cellStyle name="Comma0_00COS Ind Allocators" xfId="164"/>
    <cellStyle name="Comma1 - Style1" xfId="165"/>
    <cellStyle name="Copied" xfId="166"/>
    <cellStyle name="COST1" xfId="167"/>
    <cellStyle name="Curren - Style1" xfId="168"/>
    <cellStyle name="Curren - Style2" xfId="169"/>
    <cellStyle name="Curren - Style5" xfId="170"/>
    <cellStyle name="Curren - Style6" xfId="171"/>
    <cellStyle name="Currency 10" xfId="172"/>
    <cellStyle name="Currency 11" xfId="173"/>
    <cellStyle name="Currency 12" xfId="174"/>
    <cellStyle name="Currency 13" xfId="175"/>
    <cellStyle name="Currency 14" xfId="176"/>
    <cellStyle name="Currency 15" xfId="177"/>
    <cellStyle name="Currency 16" xfId="178"/>
    <cellStyle name="Currency 17" xfId="179"/>
    <cellStyle name="Currency 17 2" xfId="927"/>
    <cellStyle name="Currency 18" xfId="180"/>
    <cellStyle name="Currency 19" xfId="181"/>
    <cellStyle name="Currency 2" xfId="182"/>
    <cellStyle name="Currency 2 2" xfId="183"/>
    <cellStyle name="Currency 20" xfId="184"/>
    <cellStyle name="Currency 21" xfId="185"/>
    <cellStyle name="Currency 22" xfId="186"/>
    <cellStyle name="Currency 23" xfId="187"/>
    <cellStyle name="Currency 24" xfId="923"/>
    <cellStyle name="Currency 3" xfId="188"/>
    <cellStyle name="Currency 3 2" xfId="189"/>
    <cellStyle name="Currency 4" xfId="190"/>
    <cellStyle name="Currency 5" xfId="191"/>
    <cellStyle name="Currency 6" xfId="192"/>
    <cellStyle name="Currency 7" xfId="193"/>
    <cellStyle name="Currency 8" xfId="194"/>
    <cellStyle name="Currency 9" xfId="195"/>
    <cellStyle name="Currency0" xfId="196"/>
    <cellStyle name="Date" xfId="197"/>
    <cellStyle name="Emphasis 1" xfId="198"/>
    <cellStyle name="Emphasis 2" xfId="199"/>
    <cellStyle name="Emphasis 3" xfId="200"/>
    <cellStyle name="Entered" xfId="201"/>
    <cellStyle name="Explanatory Text" xfId="202" builtinId="53" customBuiltin="1"/>
    <cellStyle name="Explanatory Text 2" xfId="653"/>
    <cellStyle name="Explanatory Text 3" xfId="654"/>
    <cellStyle name="Explanatory Text 4" xfId="655"/>
    <cellStyle name="Explanatory Text 5" xfId="656"/>
    <cellStyle name="Explanatory Text 6" xfId="657"/>
    <cellStyle name="Explanatory Text 7" xfId="658"/>
    <cellStyle name="Explanatory Text 8" xfId="659"/>
    <cellStyle name="Explanatory Text 9" xfId="660"/>
    <cellStyle name="Fixed" xfId="203"/>
    <cellStyle name="Fixed3 - Style3" xfId="204"/>
    <cellStyle name="Good" xfId="205" builtinId="26" customBuiltin="1"/>
    <cellStyle name="Good 2" xfId="661"/>
    <cellStyle name="Good 3" xfId="662"/>
    <cellStyle name="Good 4" xfId="663"/>
    <cellStyle name="Good 5" xfId="664"/>
    <cellStyle name="Good 6" xfId="665"/>
    <cellStyle name="Good 7" xfId="666"/>
    <cellStyle name="Good 8" xfId="667"/>
    <cellStyle name="Good 9" xfId="668"/>
    <cellStyle name="Grey" xfId="206"/>
    <cellStyle name="Header" xfId="207"/>
    <cellStyle name="Header1" xfId="208"/>
    <cellStyle name="Header2" xfId="209"/>
    <cellStyle name="Heading" xfId="210"/>
    <cellStyle name="Heading 1" xfId="211" builtinId="16" customBuiltin="1"/>
    <cellStyle name="Heading 1 2" xfId="669"/>
    <cellStyle name="Heading 1 3" xfId="670"/>
    <cellStyle name="Heading 1 4" xfId="671"/>
    <cellStyle name="Heading 1 5" xfId="672"/>
    <cellStyle name="Heading 1 6" xfId="673"/>
    <cellStyle name="Heading 1 7" xfId="674"/>
    <cellStyle name="Heading 1 8" xfId="675"/>
    <cellStyle name="Heading 1 9" xfId="676"/>
    <cellStyle name="Heading 2" xfId="212" builtinId="17" customBuiltin="1"/>
    <cellStyle name="Heading 2 2" xfId="677"/>
    <cellStyle name="Heading 2 3" xfId="678"/>
    <cellStyle name="Heading 2 4" xfId="679"/>
    <cellStyle name="Heading 2 5" xfId="680"/>
    <cellStyle name="Heading 2 6" xfId="681"/>
    <cellStyle name="Heading 2 7" xfId="682"/>
    <cellStyle name="Heading 2 8" xfId="683"/>
    <cellStyle name="Heading 2 9" xfId="684"/>
    <cellStyle name="Heading 3" xfId="213" builtinId="18" customBuiltin="1"/>
    <cellStyle name="Heading 3 2" xfId="685"/>
    <cellStyle name="Heading 3 3" xfId="686"/>
    <cellStyle name="Heading 3 4" xfId="687"/>
    <cellStyle name="Heading 3 5" xfId="688"/>
    <cellStyle name="Heading 3 6" xfId="689"/>
    <cellStyle name="Heading 3 7" xfId="690"/>
    <cellStyle name="Heading 3 8" xfId="691"/>
    <cellStyle name="Heading 3 9" xfId="692"/>
    <cellStyle name="Heading 4" xfId="214" builtinId="19" customBuiltin="1"/>
    <cellStyle name="Heading 4 2" xfId="693"/>
    <cellStyle name="Heading 4 3" xfId="694"/>
    <cellStyle name="Heading 4 4" xfId="695"/>
    <cellStyle name="Heading 4 5" xfId="696"/>
    <cellStyle name="Heading 4 6" xfId="697"/>
    <cellStyle name="Heading 4 7" xfId="698"/>
    <cellStyle name="Heading 4 8" xfId="699"/>
    <cellStyle name="Heading 4 9" xfId="700"/>
    <cellStyle name="Heading1" xfId="215"/>
    <cellStyle name="Heading2" xfId="216"/>
    <cellStyle name="Hyperlink_Net of cust chrg" xfId="928"/>
    <cellStyle name="Input" xfId="217" builtinId="20" customBuiltin="1"/>
    <cellStyle name="Input [yellow]" xfId="218"/>
    <cellStyle name="Input 10" xfId="701"/>
    <cellStyle name="Input 11" xfId="702"/>
    <cellStyle name="Input 12" xfId="703"/>
    <cellStyle name="Input 13" xfId="704"/>
    <cellStyle name="Input 14" xfId="705"/>
    <cellStyle name="Input 15" xfId="706"/>
    <cellStyle name="Input 16" xfId="707"/>
    <cellStyle name="Input 17" xfId="789"/>
    <cellStyle name="Input 18" xfId="790"/>
    <cellStyle name="Input 19" xfId="856"/>
    <cellStyle name="Input 2" xfId="708"/>
    <cellStyle name="Input 20" xfId="857"/>
    <cellStyle name="Input 21" xfId="858"/>
    <cellStyle name="Input 22" xfId="859"/>
    <cellStyle name="Input 3" xfId="709"/>
    <cellStyle name="Input 4" xfId="710"/>
    <cellStyle name="Input 5" xfId="711"/>
    <cellStyle name="Input 6" xfId="712"/>
    <cellStyle name="Input 7" xfId="713"/>
    <cellStyle name="Input 8" xfId="714"/>
    <cellStyle name="Input 9" xfId="715"/>
    <cellStyle name="Input Cells" xfId="219"/>
    <cellStyle name="Input Cells Percent" xfId="220"/>
    <cellStyle name="Lines" xfId="221"/>
    <cellStyle name="LINKED" xfId="222"/>
    <cellStyle name="Linked Cell" xfId="223" builtinId="24" customBuiltin="1"/>
    <cellStyle name="Linked Cell 2" xfId="716"/>
    <cellStyle name="Linked Cell 3" xfId="717"/>
    <cellStyle name="Linked Cell 4" xfId="718"/>
    <cellStyle name="Linked Cell 5" xfId="719"/>
    <cellStyle name="Linked Cell 6" xfId="720"/>
    <cellStyle name="Linked Cell 7" xfId="721"/>
    <cellStyle name="Linked Cell 8" xfId="722"/>
    <cellStyle name="Linked Cell 9" xfId="723"/>
    <cellStyle name="modified border" xfId="224"/>
    <cellStyle name="modified border1" xfId="225"/>
    <cellStyle name="Neutral" xfId="226" builtinId="28" customBuiltin="1"/>
    <cellStyle name="Neutral 2" xfId="724"/>
    <cellStyle name="Neutral 3" xfId="725"/>
    <cellStyle name="Neutral 4" xfId="726"/>
    <cellStyle name="Neutral 5" xfId="727"/>
    <cellStyle name="Neutral 6" xfId="728"/>
    <cellStyle name="Neutral 7" xfId="729"/>
    <cellStyle name="Neutral 8" xfId="730"/>
    <cellStyle name="Neutral 9" xfId="731"/>
    <cellStyle name="no dec" xfId="227"/>
    <cellStyle name="Normal" xfId="0" builtinId="0"/>
    <cellStyle name="Normal - Style1" xfId="228"/>
    <cellStyle name="Normal - Style1 2" xfId="860"/>
    <cellStyle name="Normal 10" xfId="229"/>
    <cellStyle name="Normal 10 2" xfId="861"/>
    <cellStyle name="Normal 11" xfId="230"/>
    <cellStyle name="Normal 11 2" xfId="231"/>
    <cellStyle name="Normal 12" xfId="232"/>
    <cellStyle name="Normal 12 2" xfId="862"/>
    <cellStyle name="Normal 13" xfId="233"/>
    <cellStyle name="Normal 13 2" xfId="863"/>
    <cellStyle name="Normal 14" xfId="234"/>
    <cellStyle name="Normal 15" xfId="235"/>
    <cellStyle name="Normal 16" xfId="236"/>
    <cellStyle name="Normal 17" xfId="237"/>
    <cellStyle name="Normal 18" xfId="238"/>
    <cellStyle name="Normal 19" xfId="239"/>
    <cellStyle name="Normal 2" xfId="240"/>
    <cellStyle name="Normal 2 2" xfId="241"/>
    <cellStyle name="Normal 2 2 2" xfId="242"/>
    <cellStyle name="Normal 2 2 3" xfId="243"/>
    <cellStyle name="Normal 2 3" xfId="244"/>
    <cellStyle name="Normal 2 4" xfId="245"/>
    <cellStyle name="Normal 2 5" xfId="246"/>
    <cellStyle name="Normal 2 6" xfId="247"/>
    <cellStyle name="Normal 2 7" xfId="248"/>
    <cellStyle name="Normal 2 8" xfId="864"/>
    <cellStyle name="Normal 2_Allocation Method - Working File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7 2" xfId="929"/>
    <cellStyle name="Normal 28" xfId="258"/>
    <cellStyle name="Normal 29" xfId="259"/>
    <cellStyle name="Normal 3" xfId="260"/>
    <cellStyle name="Normal 3 2" xfId="261"/>
    <cellStyle name="Normal 3 3" xfId="262"/>
    <cellStyle name="Normal 3 4" xfId="263"/>
    <cellStyle name="Normal 3 5" xfId="264"/>
    <cellStyle name="Normal 3 6" xfId="764"/>
    <cellStyle name="Normal 3_Net Classified Plant" xfId="265"/>
    <cellStyle name="Normal 30" xfId="266"/>
    <cellStyle name="Normal 31" xfId="267"/>
    <cellStyle name="Normal 32" xfId="268"/>
    <cellStyle name="Normal 33" xfId="269"/>
    <cellStyle name="Normal 34" xfId="270"/>
    <cellStyle name="Normal 35" xfId="791"/>
    <cellStyle name="Normal 35 2" xfId="930"/>
    <cellStyle name="Normal 36" xfId="920"/>
    <cellStyle name="Normal 37" xfId="925"/>
    <cellStyle name="Normal 38" xfId="932"/>
    <cellStyle name="Normal 39" xfId="961"/>
    <cellStyle name="Normal 4" xfId="271"/>
    <cellStyle name="Normal 4 2" xfId="272"/>
    <cellStyle name="Normal 4 3" xfId="865"/>
    <cellStyle name="Normal 4_Net Classified Plant" xfId="273"/>
    <cellStyle name="Normal 5" xfId="274"/>
    <cellStyle name="Normal 5 2" xfId="866"/>
    <cellStyle name="Normal 6" xfId="275"/>
    <cellStyle name="Normal 6 2" xfId="867"/>
    <cellStyle name="Normal 7" xfId="276"/>
    <cellStyle name="Normal 7 2" xfId="868"/>
    <cellStyle name="Normal 8" xfId="277"/>
    <cellStyle name="Normal 8 2" xfId="278"/>
    <cellStyle name="Normal 9" xfId="279"/>
    <cellStyle name="Normal 9 2" xfId="869"/>
    <cellStyle name="Normal_Monthly" xfId="280"/>
    <cellStyle name="Note" xfId="281" builtinId="10" customBuiltin="1"/>
    <cellStyle name="Note 10" xfId="282"/>
    <cellStyle name="Note 10 2" xfId="870"/>
    <cellStyle name="Note 11" xfId="283"/>
    <cellStyle name="Note 11 2" xfId="871"/>
    <cellStyle name="Note 12" xfId="284"/>
    <cellStyle name="Note 12 2" xfId="872"/>
    <cellStyle name="Note 13" xfId="873"/>
    <cellStyle name="Note 2" xfId="285"/>
    <cellStyle name="Note 2 2" xfId="874"/>
    <cellStyle name="Note 3" xfId="286"/>
    <cellStyle name="Note 3 2" xfId="875"/>
    <cellStyle name="Note 4" xfId="287"/>
    <cellStyle name="Note 4 2" xfId="876"/>
    <cellStyle name="Note 5" xfId="288"/>
    <cellStyle name="Note 5 2" xfId="877"/>
    <cellStyle name="Note 6" xfId="289"/>
    <cellStyle name="Note 6 2" xfId="878"/>
    <cellStyle name="Note 7" xfId="290"/>
    <cellStyle name="Note 7 2" xfId="879"/>
    <cellStyle name="Note 8" xfId="291"/>
    <cellStyle name="Note 8 2" xfId="880"/>
    <cellStyle name="Note 9" xfId="292"/>
    <cellStyle name="Note 9 2" xfId="881"/>
    <cellStyle name="Output" xfId="293" builtinId="21" customBuiltin="1"/>
    <cellStyle name="Output 2" xfId="732"/>
    <cellStyle name="Output 3" xfId="733"/>
    <cellStyle name="Output 4" xfId="734"/>
    <cellStyle name="Output 5" xfId="735"/>
    <cellStyle name="Output 6" xfId="736"/>
    <cellStyle name="Output 7" xfId="737"/>
    <cellStyle name="Output 8" xfId="738"/>
    <cellStyle name="Output 9" xfId="739"/>
    <cellStyle name="Percen - Style1" xfId="294"/>
    <cellStyle name="Percen - Style2" xfId="295"/>
    <cellStyle name="Percen - Style3" xfId="296"/>
    <cellStyle name="Percent (0)" xfId="297"/>
    <cellStyle name="Percent [2]" xfId="298"/>
    <cellStyle name="Percent 10" xfId="299"/>
    <cellStyle name="Percent 11" xfId="921"/>
    <cellStyle name="Percent 2" xfId="300"/>
    <cellStyle name="Percent 3" xfId="301"/>
    <cellStyle name="Percent 3 2" xfId="302"/>
    <cellStyle name="Percent 4" xfId="303"/>
    <cellStyle name="Percent 5" xfId="304"/>
    <cellStyle name="Percent 6" xfId="305"/>
    <cellStyle name="Percent 7" xfId="306"/>
    <cellStyle name="Percent 8" xfId="307"/>
    <cellStyle name="Percent 9" xfId="308"/>
    <cellStyle name="Percent 9 2" xfId="931"/>
    <cellStyle name="Processing" xfId="309"/>
    <cellStyle name="PSChar" xfId="310"/>
    <cellStyle name="PSDate" xfId="311"/>
    <cellStyle name="PSDec" xfId="312"/>
    <cellStyle name="PSHeading" xfId="313"/>
    <cellStyle name="PSInt" xfId="314"/>
    <cellStyle name="PSSpacer" xfId="315"/>
    <cellStyle name="purple - Style8" xfId="316"/>
    <cellStyle name="RED" xfId="317"/>
    <cellStyle name="Red - Style7" xfId="318"/>
    <cellStyle name="Report" xfId="319"/>
    <cellStyle name="Report Bar" xfId="320"/>
    <cellStyle name="Report Heading" xfId="321"/>
    <cellStyle name="Report Percent" xfId="322"/>
    <cellStyle name="Report Unit Cost" xfId="323"/>
    <cellStyle name="Reports" xfId="324"/>
    <cellStyle name="Reports Total" xfId="325"/>
    <cellStyle name="Reports Unit Cost Total" xfId="326"/>
    <cellStyle name="RevList" xfId="327"/>
    <cellStyle name="round100" xfId="328"/>
    <cellStyle name="SAPBEXaggData" xfId="329"/>
    <cellStyle name="SAPBEXaggData 2" xfId="882"/>
    <cellStyle name="SAPBEXaggDataEmph" xfId="330"/>
    <cellStyle name="SAPBEXaggDataEmph 2" xfId="883"/>
    <cellStyle name="SAPBEXaggItem" xfId="331"/>
    <cellStyle name="SAPBEXaggItem 2" xfId="884"/>
    <cellStyle name="SAPBEXaggItemX" xfId="332"/>
    <cellStyle name="SAPBEXaggItemX 2" xfId="885"/>
    <cellStyle name="SAPBEXchaText" xfId="333"/>
    <cellStyle name="SAPBEXchaText 2" xfId="334"/>
    <cellStyle name="SAPBEXchaText 3" xfId="886"/>
    <cellStyle name="SAPBEXexcBad7" xfId="335"/>
    <cellStyle name="SAPBEXexcBad7 2" xfId="887"/>
    <cellStyle name="SAPBEXexcBad8" xfId="336"/>
    <cellStyle name="SAPBEXexcBad8 2" xfId="888"/>
    <cellStyle name="SAPBEXexcBad9" xfId="337"/>
    <cellStyle name="SAPBEXexcBad9 2" xfId="889"/>
    <cellStyle name="SAPBEXexcCritical4" xfId="338"/>
    <cellStyle name="SAPBEXexcCritical4 2" xfId="890"/>
    <cellStyle name="SAPBEXexcCritical5" xfId="339"/>
    <cellStyle name="SAPBEXexcCritical5 2" xfId="891"/>
    <cellStyle name="SAPBEXexcCritical6" xfId="340"/>
    <cellStyle name="SAPBEXexcCritical6 2" xfId="892"/>
    <cellStyle name="SAPBEXexcGood1" xfId="341"/>
    <cellStyle name="SAPBEXexcGood1 2" xfId="893"/>
    <cellStyle name="SAPBEXexcGood2" xfId="342"/>
    <cellStyle name="SAPBEXexcGood2 2" xfId="894"/>
    <cellStyle name="SAPBEXexcGood3" xfId="343"/>
    <cellStyle name="SAPBEXexcGood3 2" xfId="895"/>
    <cellStyle name="SAPBEXfilterDrill" xfId="344"/>
    <cellStyle name="SAPBEXfilterDrill 2" xfId="896"/>
    <cellStyle name="SAPBEXfilterItem" xfId="345"/>
    <cellStyle name="SAPBEXfilterItem 2" xfId="897"/>
    <cellStyle name="SAPBEXfilterText" xfId="346"/>
    <cellStyle name="SAPBEXformats" xfId="347"/>
    <cellStyle name="SAPBEXformats 2" xfId="898"/>
    <cellStyle name="SAPBEXheaderItem" xfId="348"/>
    <cellStyle name="SAPBEXheaderItem 2" xfId="899"/>
    <cellStyle name="SAPBEXheaderText" xfId="349"/>
    <cellStyle name="SAPBEXheaderText 2" xfId="900"/>
    <cellStyle name="SAPBEXHLevel0" xfId="350"/>
    <cellStyle name="SAPBEXHLevel0 2" xfId="901"/>
    <cellStyle name="SAPBEXHLevel0X" xfId="351"/>
    <cellStyle name="SAPBEXHLevel0X 2" xfId="902"/>
    <cellStyle name="SAPBEXHLevel1" xfId="352"/>
    <cellStyle name="SAPBEXHLevel1 2" xfId="903"/>
    <cellStyle name="SAPBEXHLevel1X" xfId="353"/>
    <cellStyle name="SAPBEXHLevel1X 2" xfId="904"/>
    <cellStyle name="SAPBEXHLevel2" xfId="354"/>
    <cellStyle name="SAPBEXHLevel2 2" xfId="905"/>
    <cellStyle name="SAPBEXHLevel2X" xfId="355"/>
    <cellStyle name="SAPBEXHLevel2X 2" xfId="906"/>
    <cellStyle name="SAPBEXHLevel3" xfId="356"/>
    <cellStyle name="SAPBEXHLevel3 2" xfId="907"/>
    <cellStyle name="SAPBEXHLevel3X" xfId="357"/>
    <cellStyle name="SAPBEXHLevel3X 2" xfId="908"/>
    <cellStyle name="SAPBEXinputData" xfId="358"/>
    <cellStyle name="SAPBEXItemHeader" xfId="359"/>
    <cellStyle name="SAPBEXresData" xfId="360"/>
    <cellStyle name="SAPBEXresData 2" xfId="909"/>
    <cellStyle name="SAPBEXresDataEmph" xfId="361"/>
    <cellStyle name="SAPBEXresDataEmph 2" xfId="910"/>
    <cellStyle name="SAPBEXresItem" xfId="362"/>
    <cellStyle name="SAPBEXresItem 2" xfId="911"/>
    <cellStyle name="SAPBEXresItemX" xfId="363"/>
    <cellStyle name="SAPBEXresItemX 2" xfId="912"/>
    <cellStyle name="SAPBEXstdData" xfId="364"/>
    <cellStyle name="SAPBEXstdData 2" xfId="913"/>
    <cellStyle name="SAPBEXstdDataEmph" xfId="365"/>
    <cellStyle name="SAPBEXstdDataEmph 2" xfId="914"/>
    <cellStyle name="SAPBEXstdItem" xfId="366"/>
    <cellStyle name="SAPBEXstdItem 2" xfId="915"/>
    <cellStyle name="SAPBEXstdItemX" xfId="367"/>
    <cellStyle name="SAPBEXstdItemX 2" xfId="916"/>
    <cellStyle name="SAPBEXtitle" xfId="368"/>
    <cellStyle name="SAPBEXtitle 2" xfId="917"/>
    <cellStyle name="SAPBEXunassignedItem" xfId="369"/>
    <cellStyle name="SAPBEXundefined" xfId="370"/>
    <cellStyle name="SAPBEXundefined 2" xfId="918"/>
    <cellStyle name="SAPBorder" xfId="933"/>
    <cellStyle name="SAPDataCell" xfId="934"/>
    <cellStyle name="SAPDataTotalCell" xfId="935"/>
    <cellStyle name="SAPDimensionCell" xfId="936"/>
    <cellStyle name="SAPEditableDataCell" xfId="937"/>
    <cellStyle name="SAPEditableDataTotalCell" xfId="938"/>
    <cellStyle name="SAPEmphasized" xfId="939"/>
    <cellStyle name="SAPEmphasizedTotal" xfId="940"/>
    <cellStyle name="SAPExceptionLevel1" xfId="941"/>
    <cellStyle name="SAPExceptionLevel2" xfId="942"/>
    <cellStyle name="SAPExceptionLevel3" xfId="943"/>
    <cellStyle name="SAPExceptionLevel4" xfId="944"/>
    <cellStyle name="SAPExceptionLevel5" xfId="945"/>
    <cellStyle name="SAPExceptionLevel6" xfId="946"/>
    <cellStyle name="SAPExceptionLevel7" xfId="947"/>
    <cellStyle name="SAPExceptionLevel8" xfId="948"/>
    <cellStyle name="SAPExceptionLevel9" xfId="949"/>
    <cellStyle name="SAPHierarchyCell0" xfId="950"/>
    <cellStyle name="SAPHierarchyCell1" xfId="951"/>
    <cellStyle name="SAPHierarchyCell2" xfId="952"/>
    <cellStyle name="SAPHierarchyCell3" xfId="953"/>
    <cellStyle name="SAPHierarchyCell4" xfId="954"/>
    <cellStyle name="SAPLockedDataCell" xfId="955"/>
    <cellStyle name="SAPLockedDataTotalCell" xfId="956"/>
    <cellStyle name="SAPMemberCell" xfId="957"/>
    <cellStyle name="SAPMemberTotalCell" xfId="958"/>
    <cellStyle name="SAPReadonlyDataCell" xfId="959"/>
    <cellStyle name="SAPReadonlyDataTotalCell" xfId="960"/>
    <cellStyle name="shade" xfId="371"/>
    <cellStyle name="Sheet Title" xfId="372"/>
    <cellStyle name="StmtTtl1" xfId="373"/>
    <cellStyle name="StmtTtl2" xfId="374"/>
    <cellStyle name="STYL1 - Style1" xfId="375"/>
    <cellStyle name="Style 1" xfId="376"/>
    <cellStyle name="Style 1 2" xfId="377"/>
    <cellStyle name="Style 1 3" xfId="378"/>
    <cellStyle name="Style 1 3 2" xfId="379"/>
    <cellStyle name="Style 1 3 2 2" xfId="380"/>
    <cellStyle name="Style 1 3 3" xfId="381"/>
    <cellStyle name="Style 1 3 4" xfId="382"/>
    <cellStyle name="Style 1 4" xfId="383"/>
    <cellStyle name="Subtotal" xfId="384"/>
    <cellStyle name="Sub-total" xfId="385"/>
    <cellStyle name="taples Plaza" xfId="386"/>
    <cellStyle name="Tickmark" xfId="387"/>
    <cellStyle name="Title" xfId="388" builtinId="15" customBuiltin="1"/>
    <cellStyle name="Title 2" xfId="740"/>
    <cellStyle name="Title 3" xfId="741"/>
    <cellStyle name="Title 4" xfId="742"/>
    <cellStyle name="Title 5" xfId="743"/>
    <cellStyle name="Title 6" xfId="744"/>
    <cellStyle name="Title 7" xfId="745"/>
    <cellStyle name="Title 8" xfId="746"/>
    <cellStyle name="Title 9" xfId="747"/>
    <cellStyle name="Title: Major" xfId="389"/>
    <cellStyle name="Title: Minor" xfId="390"/>
    <cellStyle name="Title: Worksheet" xfId="391"/>
    <cellStyle name="Total" xfId="392" builtinId="25" customBuiltin="1"/>
    <cellStyle name="Total 2" xfId="748"/>
    <cellStyle name="Total 3" xfId="749"/>
    <cellStyle name="Total 4" xfId="750"/>
    <cellStyle name="Total 5" xfId="751"/>
    <cellStyle name="Total 6" xfId="752"/>
    <cellStyle name="Total 7" xfId="753"/>
    <cellStyle name="Total 8" xfId="754"/>
    <cellStyle name="Total 9" xfId="755"/>
    <cellStyle name="Total4 - Style4" xfId="393"/>
    <cellStyle name="Warning Text" xfId="394" builtinId="11" customBuiltin="1"/>
    <cellStyle name="Warning Text 2" xfId="756"/>
    <cellStyle name="Warning Text 3" xfId="757"/>
    <cellStyle name="Warning Text 4" xfId="758"/>
    <cellStyle name="Warning Text 5" xfId="759"/>
    <cellStyle name="Warning Text 6" xfId="760"/>
    <cellStyle name="Warning Text 7" xfId="761"/>
    <cellStyle name="Warning Text 8" xfId="762"/>
    <cellStyle name="Warning Text 9" xfId="7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1E%20&amp;%205.01G%20Income%20Statement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  <sheetName val="Unallocated Detail"/>
      <sheetName val="12 ME Q2"/>
      <sheetName val="5.01E &amp; 5"/>
    </sheetNames>
    <sheetDataSet>
      <sheetData sheetId="0">
        <row r="12">
          <cell r="C12">
            <v>37980142.479999997</v>
          </cell>
        </row>
        <row r="13">
          <cell r="C13">
            <v>895472598.58000004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H33"/>
  <sheetViews>
    <sheetView tabSelected="1" topLeftCell="A10" zoomScaleNormal="100" workbookViewId="0">
      <selection activeCell="E15" sqref="E15"/>
    </sheetView>
  </sheetViews>
  <sheetFormatPr defaultColWidth="9.109375" defaultRowHeight="13.8"/>
  <cols>
    <col min="1" max="1" width="5.5546875" style="34" customWidth="1"/>
    <col min="2" max="2" width="29.88671875" style="34" customWidth="1"/>
    <col min="3" max="3" width="12.5546875" style="34" bestFit="1" customWidth="1"/>
    <col min="4" max="4" width="16" style="34" customWidth="1"/>
    <col min="5" max="5" width="14.6640625" style="34" customWidth="1"/>
    <col min="6" max="6" width="15.33203125" style="34" customWidth="1"/>
    <col min="7" max="7" width="16" style="34" customWidth="1"/>
    <col min="8" max="8" width="11" style="20" bestFit="1" customWidth="1"/>
    <col min="9" max="16384" width="9.109375" style="20"/>
  </cols>
  <sheetData>
    <row r="2" spans="1:8">
      <c r="G2" s="67"/>
    </row>
    <row r="3" spans="1:8" ht="14.4" thickBot="1">
      <c r="G3" s="67"/>
    </row>
    <row r="4" spans="1:8" ht="14.4" thickBot="1">
      <c r="A4" s="35"/>
      <c r="B4" s="35"/>
      <c r="C4" s="35"/>
      <c r="D4" s="35"/>
      <c r="E4" s="35"/>
      <c r="F4" s="35"/>
      <c r="G4" s="68" t="s">
        <v>204</v>
      </c>
    </row>
    <row r="5" spans="1:8">
      <c r="A5" s="36" t="s">
        <v>24</v>
      </c>
      <c r="B5" s="37"/>
      <c r="C5" s="37"/>
      <c r="D5" s="37"/>
      <c r="E5" s="37"/>
      <c r="F5" s="37"/>
      <c r="G5" s="37"/>
    </row>
    <row r="6" spans="1:8">
      <c r="A6" s="37" t="s">
        <v>81</v>
      </c>
      <c r="B6" s="37"/>
      <c r="C6" s="37"/>
      <c r="D6" s="37"/>
      <c r="E6" s="37"/>
      <c r="F6" s="38"/>
      <c r="G6" s="38"/>
    </row>
    <row r="7" spans="1:8">
      <c r="A7" s="37" t="s">
        <v>196</v>
      </c>
      <c r="B7" s="37"/>
      <c r="C7" s="37"/>
      <c r="D7" s="37"/>
      <c r="E7" s="37"/>
      <c r="F7" s="39"/>
      <c r="G7" s="37"/>
    </row>
    <row r="8" spans="1:8">
      <c r="A8" s="37"/>
      <c r="B8" s="37"/>
      <c r="C8" s="37"/>
      <c r="D8" s="37"/>
      <c r="E8" s="37"/>
      <c r="F8" s="39"/>
      <c r="G8" s="37"/>
    </row>
    <row r="9" spans="1:8">
      <c r="A9" s="37"/>
      <c r="B9" s="37"/>
      <c r="C9" s="37"/>
      <c r="D9" s="37"/>
      <c r="E9" s="37"/>
      <c r="F9" s="39"/>
      <c r="G9" s="37"/>
    </row>
    <row r="10" spans="1:8">
      <c r="A10" s="40"/>
      <c r="B10" s="35"/>
      <c r="C10" s="41"/>
      <c r="D10" s="41"/>
      <c r="E10" s="41" t="s">
        <v>46</v>
      </c>
      <c r="F10" s="41"/>
      <c r="G10" s="41" t="s">
        <v>15</v>
      </c>
    </row>
    <row r="11" spans="1:8">
      <c r="A11" s="41" t="s">
        <v>25</v>
      </c>
      <c r="B11" s="35"/>
      <c r="C11" s="41" t="s">
        <v>16</v>
      </c>
      <c r="D11" s="41" t="s">
        <v>17</v>
      </c>
      <c r="E11" s="41" t="s">
        <v>47</v>
      </c>
      <c r="F11" s="41" t="s">
        <v>16</v>
      </c>
      <c r="G11" s="41" t="s">
        <v>18</v>
      </c>
    </row>
    <row r="12" spans="1:8">
      <c r="A12" s="42" t="s">
        <v>26</v>
      </c>
      <c r="B12" s="42" t="s">
        <v>19</v>
      </c>
      <c r="C12" s="42" t="s">
        <v>27</v>
      </c>
      <c r="D12" s="42" t="s">
        <v>20</v>
      </c>
      <c r="E12" s="42" t="s">
        <v>48</v>
      </c>
      <c r="F12" s="42" t="s">
        <v>20</v>
      </c>
      <c r="G12" s="42" t="s">
        <v>21</v>
      </c>
    </row>
    <row r="13" spans="1:8">
      <c r="A13" s="43"/>
      <c r="B13" s="43" t="s">
        <v>28</v>
      </c>
      <c r="C13" s="66" t="s">
        <v>145</v>
      </c>
      <c r="D13" s="43" t="s">
        <v>146</v>
      </c>
      <c r="E13" s="43" t="s">
        <v>146</v>
      </c>
      <c r="F13" s="43" t="s">
        <v>146</v>
      </c>
      <c r="G13" s="43"/>
    </row>
    <row r="14" spans="1:8">
      <c r="A14" s="44">
        <v>1</v>
      </c>
      <c r="B14" s="190" t="s">
        <v>206</v>
      </c>
      <c r="C14" s="46">
        <f>'3-YR AVERAGE-GAS'!B13</f>
        <v>4809211.959999999</v>
      </c>
      <c r="D14" s="46">
        <f>'3-YR AVERAGE-GAS'!C13</f>
        <v>1027088768.78</v>
      </c>
      <c r="E14" s="46">
        <f>'3-YR AVERAGE-GAS'!D13</f>
        <v>13300355.07</v>
      </c>
      <c r="F14" s="47">
        <f>D14-E14</f>
        <v>1013788413.7099999</v>
      </c>
      <c r="G14" s="48">
        <f>ROUND(C14/F14,6)</f>
        <v>4.744E-3</v>
      </c>
      <c r="H14" s="233"/>
    </row>
    <row r="15" spans="1:8">
      <c r="A15" s="44">
        <f t="shared" ref="A15:A23" si="0">A14+1</f>
        <v>2</v>
      </c>
      <c r="B15" s="190" t="s">
        <v>207</v>
      </c>
      <c r="C15" s="46">
        <f>'3-YR AVERAGE-GAS'!B15</f>
        <v>4346972.87</v>
      </c>
      <c r="D15" s="46">
        <f>'3-YR AVERAGE-GAS'!C15</f>
        <v>979494165.91999996</v>
      </c>
      <c r="E15" s="46">
        <f>'3-YR AVERAGE-GAS'!D15</f>
        <v>69423909.329999998</v>
      </c>
      <c r="F15" s="47">
        <f>D15-E15</f>
        <v>910070256.58999991</v>
      </c>
      <c r="G15" s="48">
        <f>ROUND(C15/F15,6)</f>
        <v>4.777E-3</v>
      </c>
      <c r="H15" s="233"/>
    </row>
    <row r="16" spans="1:8">
      <c r="A16" s="44">
        <f t="shared" si="0"/>
        <v>3</v>
      </c>
      <c r="B16" s="190" t="s">
        <v>208</v>
      </c>
      <c r="C16" s="46">
        <f>'3-YR AVERAGE-GAS'!B16</f>
        <v>5107471.959999999</v>
      </c>
      <c r="D16" s="46">
        <f>'3-YR AVERAGE-GAS'!C16</f>
        <v>898177819.9799999</v>
      </c>
      <c r="E16" s="46">
        <f>'3-YR AVERAGE-GAS'!D16</f>
        <v>32301964.859999999</v>
      </c>
      <c r="F16" s="47">
        <f>D16-E16</f>
        <v>865875855.11999989</v>
      </c>
      <c r="G16" s="48">
        <f>ROUND(C16/F16,6)</f>
        <v>5.8989999999999997E-3</v>
      </c>
      <c r="H16" s="233"/>
    </row>
    <row r="17" spans="1:8">
      <c r="A17" s="44">
        <f t="shared" si="0"/>
        <v>4</v>
      </c>
      <c r="B17" s="45" t="s">
        <v>45</v>
      </c>
      <c r="C17" s="46"/>
      <c r="D17" s="47"/>
      <c r="E17" s="47"/>
      <c r="F17" s="47"/>
      <c r="G17" s="49"/>
    </row>
    <row r="18" spans="1:8">
      <c r="A18" s="44">
        <f t="shared" si="0"/>
        <v>5</v>
      </c>
      <c r="B18" s="51" t="s">
        <v>44</v>
      </c>
      <c r="C18" s="46"/>
      <c r="D18" s="46"/>
      <c r="E18" s="46"/>
      <c r="F18" s="46"/>
      <c r="G18" s="50">
        <f>ROUND(SUM(G14:G16)/3,6)</f>
        <v>5.1399999999999996E-3</v>
      </c>
      <c r="H18" s="50"/>
    </row>
    <row r="19" spans="1:8">
      <c r="A19" s="44">
        <f t="shared" si="0"/>
        <v>6</v>
      </c>
    </row>
    <row r="20" spans="1:8">
      <c r="A20" s="44">
        <f t="shared" si="0"/>
        <v>7</v>
      </c>
      <c r="B20" s="51" t="s">
        <v>205</v>
      </c>
      <c r="C20" s="52"/>
      <c r="D20" s="47">
        <f>[2]Allocated!$C$13</f>
        <v>895472598.58000004</v>
      </c>
      <c r="E20" s="231">
        <f>[2]Allocated!$C$12</f>
        <v>37980142.479999997</v>
      </c>
      <c r="F20" s="47">
        <f>D20-E20</f>
        <v>857492456.10000002</v>
      </c>
      <c r="G20" s="53"/>
    </row>
    <row r="21" spans="1:8">
      <c r="A21" s="44">
        <f t="shared" si="0"/>
        <v>8</v>
      </c>
      <c r="B21" s="54"/>
      <c r="C21" s="55"/>
      <c r="D21" s="56"/>
      <c r="E21" s="55"/>
      <c r="F21" s="302"/>
      <c r="G21" s="56"/>
    </row>
    <row r="22" spans="1:8">
      <c r="A22" s="44">
        <f t="shared" si="0"/>
        <v>9</v>
      </c>
      <c r="B22" s="51"/>
      <c r="C22" s="20"/>
      <c r="D22" s="20"/>
      <c r="E22" s="20"/>
      <c r="F22" s="52"/>
      <c r="G22" s="20"/>
    </row>
    <row r="23" spans="1:8">
      <c r="A23" s="44">
        <f t="shared" si="0"/>
        <v>10</v>
      </c>
      <c r="B23" s="54"/>
      <c r="C23" s="55"/>
      <c r="D23" s="56"/>
      <c r="E23" s="55"/>
      <c r="F23" s="55"/>
      <c r="G23" s="56"/>
    </row>
    <row r="24" spans="1:8">
      <c r="A24" s="44">
        <f t="shared" ref="A24:A32" si="1">A23+1</f>
        <v>11</v>
      </c>
      <c r="B24" s="54" t="s">
        <v>29</v>
      </c>
      <c r="C24" s="55"/>
      <c r="D24" s="55"/>
      <c r="E24" s="55"/>
      <c r="F24" s="57">
        <f>G18</f>
        <v>5.1399999999999996E-3</v>
      </c>
      <c r="G24" s="55"/>
    </row>
    <row r="25" spans="1:8">
      <c r="A25" s="44">
        <f t="shared" si="1"/>
        <v>12</v>
      </c>
      <c r="B25" s="54" t="s">
        <v>30</v>
      </c>
      <c r="C25" s="55"/>
      <c r="D25" s="55"/>
      <c r="E25" s="55"/>
      <c r="F25" s="52">
        <f>ROUND(F20*F24,0)</f>
        <v>4407511</v>
      </c>
      <c r="G25" s="55"/>
    </row>
    <row r="26" spans="1:8">
      <c r="A26" s="44">
        <f t="shared" si="1"/>
        <v>13</v>
      </c>
      <c r="B26" s="54"/>
      <c r="C26" s="55"/>
      <c r="D26" s="55"/>
      <c r="E26" s="55"/>
      <c r="F26" s="55"/>
      <c r="G26" s="55"/>
    </row>
    <row r="27" spans="1:8">
      <c r="A27" s="44">
        <f t="shared" si="1"/>
        <v>14</v>
      </c>
      <c r="B27" s="58" t="s">
        <v>31</v>
      </c>
      <c r="C27" s="55"/>
      <c r="D27" s="55"/>
      <c r="E27" s="59"/>
      <c r="F27" s="55">
        <f>'NetWriteoffs-Gas'!B11</f>
        <v>4461725.8499999996</v>
      </c>
      <c r="G27" s="55"/>
      <c r="H27" s="159"/>
    </row>
    <row r="28" spans="1:8">
      <c r="A28" s="44">
        <f t="shared" si="1"/>
        <v>15</v>
      </c>
      <c r="B28" s="60" t="s">
        <v>32</v>
      </c>
      <c r="C28" s="55"/>
      <c r="D28" s="55"/>
      <c r="E28" s="55"/>
      <c r="F28" s="61"/>
      <c r="G28" s="52">
        <f>ROUND(F25-F27,0)</f>
        <v>-54215</v>
      </c>
      <c r="H28" s="160"/>
    </row>
    <row r="29" spans="1:8">
      <c r="A29" s="44">
        <f t="shared" si="1"/>
        <v>16</v>
      </c>
      <c r="B29" s="62"/>
      <c r="C29" s="55"/>
      <c r="D29" s="55"/>
      <c r="E29" s="55"/>
      <c r="F29" s="55"/>
      <c r="G29" s="55"/>
      <c r="H29" s="65"/>
    </row>
    <row r="30" spans="1:8">
      <c r="A30" s="44">
        <f t="shared" si="1"/>
        <v>17</v>
      </c>
      <c r="B30" s="63" t="s">
        <v>33</v>
      </c>
      <c r="C30" s="64"/>
      <c r="D30" s="64"/>
      <c r="E30" s="64"/>
      <c r="F30" s="64"/>
      <c r="G30" s="65">
        <f>-G28</f>
        <v>54215</v>
      </c>
      <c r="H30" s="163"/>
    </row>
    <row r="31" spans="1:8" s="303" customFormat="1">
      <c r="A31" s="44">
        <f t="shared" si="1"/>
        <v>18</v>
      </c>
      <c r="B31" s="64" t="s">
        <v>34</v>
      </c>
      <c r="C31" s="64"/>
      <c r="D31" s="64"/>
      <c r="E31" s="64"/>
      <c r="F31" s="304">
        <v>0.21</v>
      </c>
      <c r="G31" s="305">
        <f>ROUND(-G28*F31,0)</f>
        <v>11385</v>
      </c>
      <c r="H31" s="306"/>
    </row>
    <row r="32" spans="1:8" s="303" customFormat="1" ht="14.4" thickBot="1">
      <c r="A32" s="44">
        <f t="shared" si="1"/>
        <v>19</v>
      </c>
      <c r="B32" s="69" t="s">
        <v>35</v>
      </c>
      <c r="C32" s="64"/>
      <c r="D32" s="64"/>
      <c r="E32" s="64"/>
      <c r="F32" s="64"/>
      <c r="G32" s="307">
        <f>G30-G31</f>
        <v>42830</v>
      </c>
    </row>
    <row r="33" ht="14.4" thickTop="1"/>
  </sheetData>
  <phoneticPr fontId="0" type="noConversion"/>
  <pageMargins left="0.56999999999999995" right="0.51" top="1" bottom="1" header="0.5" footer="0.5"/>
  <pageSetup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zoomScaleNormal="100" workbookViewId="0">
      <selection activeCell="E94" sqref="E94"/>
    </sheetView>
  </sheetViews>
  <sheetFormatPr defaultColWidth="8.88671875" defaultRowHeight="13.2" outlineLevelRow="2"/>
  <cols>
    <col min="1" max="1" width="10" style="279" bestFit="1" customWidth="1"/>
    <col min="2" max="2" width="14" style="279" bestFit="1" customWidth="1"/>
    <col min="3" max="3" width="22" style="279" bestFit="1" customWidth="1"/>
    <col min="4" max="4" width="10" style="279" bestFit="1" customWidth="1"/>
    <col min="5" max="5" width="28" style="279" bestFit="1" customWidth="1"/>
    <col min="6" max="6" width="17" style="279" bestFit="1" customWidth="1"/>
    <col min="7" max="7" width="14" style="279" bestFit="1" customWidth="1"/>
    <col min="8" max="16384" width="8.88671875" style="279"/>
  </cols>
  <sheetData>
    <row r="1" spans="1:7">
      <c r="A1" s="297" t="s">
        <v>195</v>
      </c>
      <c r="B1" s="296"/>
      <c r="C1" s="296"/>
      <c r="D1" s="296"/>
      <c r="E1" s="296"/>
    </row>
    <row r="2" spans="1:7">
      <c r="A2" s="297" t="s">
        <v>194</v>
      </c>
      <c r="B2" s="296"/>
      <c r="C2" s="296"/>
      <c r="D2" s="296"/>
      <c r="E2" s="296"/>
    </row>
    <row r="3" spans="1:7">
      <c r="A3" s="297" t="s">
        <v>193</v>
      </c>
      <c r="B3" s="296"/>
      <c r="C3" s="296"/>
      <c r="D3" s="296"/>
      <c r="E3" s="296"/>
    </row>
    <row r="4" spans="1:7">
      <c r="A4" s="296" t="s">
        <v>192</v>
      </c>
      <c r="B4" s="296"/>
      <c r="C4" s="296"/>
      <c r="D4" s="296"/>
      <c r="E4" s="296"/>
    </row>
    <row r="5" spans="1:7" ht="26.4">
      <c r="A5" s="294" t="s">
        <v>191</v>
      </c>
      <c r="B5" s="294" t="s">
        <v>190</v>
      </c>
      <c r="C5" s="294" t="s">
        <v>189</v>
      </c>
      <c r="D5" s="295" t="s">
        <v>188</v>
      </c>
      <c r="E5" s="294" t="s">
        <v>187</v>
      </c>
      <c r="F5" s="294" t="s">
        <v>186</v>
      </c>
      <c r="G5" s="294" t="s">
        <v>185</v>
      </c>
    </row>
    <row r="6" spans="1:7" hidden="1" outlineLevel="2">
      <c r="A6" s="279" t="s">
        <v>184</v>
      </c>
      <c r="B6" s="279" t="s">
        <v>177</v>
      </c>
      <c r="C6" s="279" t="s">
        <v>176</v>
      </c>
      <c r="D6" s="279" t="s">
        <v>177</v>
      </c>
      <c r="E6" s="279" t="s">
        <v>176</v>
      </c>
      <c r="F6" s="293">
        <v>3750</v>
      </c>
      <c r="G6" s="292">
        <v>41534</v>
      </c>
    </row>
    <row r="7" spans="1:7" outlineLevel="1" collapsed="1">
      <c r="A7" s="291" t="s">
        <v>184</v>
      </c>
      <c r="B7" s="291" t="s">
        <v>155</v>
      </c>
      <c r="C7" s="290" t="s">
        <v>37</v>
      </c>
      <c r="D7" s="290" t="s">
        <v>37</v>
      </c>
      <c r="E7" s="290" t="s">
        <v>37</v>
      </c>
      <c r="F7" s="289">
        <v>3750</v>
      </c>
      <c r="G7" s="288"/>
    </row>
    <row r="8" spans="1:7" hidden="1" outlineLevel="2">
      <c r="A8" s="279" t="s">
        <v>173</v>
      </c>
      <c r="B8" s="279" t="s">
        <v>177</v>
      </c>
      <c r="C8" s="279" t="s">
        <v>176</v>
      </c>
      <c r="D8" s="279" t="s">
        <v>179</v>
      </c>
      <c r="E8" s="279" t="s">
        <v>178</v>
      </c>
      <c r="F8" s="293">
        <v>18588914.239999998</v>
      </c>
      <c r="G8" s="292">
        <v>41090</v>
      </c>
    </row>
    <row r="9" spans="1:7" hidden="1" outlineLevel="2">
      <c r="A9" s="279" t="s">
        <v>173</v>
      </c>
      <c r="B9" s="279" t="s">
        <v>177</v>
      </c>
      <c r="C9" s="279" t="s">
        <v>176</v>
      </c>
      <c r="D9" s="279" t="s">
        <v>179</v>
      </c>
      <c r="E9" s="279" t="s">
        <v>178</v>
      </c>
      <c r="F9" s="293">
        <v>-15508183.76</v>
      </c>
      <c r="G9" s="292">
        <v>40833</v>
      </c>
    </row>
    <row r="10" spans="1:7" hidden="1" outlineLevel="2">
      <c r="A10" s="279" t="s">
        <v>173</v>
      </c>
      <c r="B10" s="279" t="s">
        <v>177</v>
      </c>
      <c r="C10" s="279" t="s">
        <v>176</v>
      </c>
      <c r="D10" s="279" t="s">
        <v>179</v>
      </c>
      <c r="E10" s="279" t="s">
        <v>178</v>
      </c>
      <c r="F10" s="293">
        <v>16270401.02</v>
      </c>
      <c r="G10" s="292">
        <v>40847</v>
      </c>
    </row>
    <row r="11" spans="1:7" hidden="1" outlineLevel="2">
      <c r="A11" s="279" t="s">
        <v>173</v>
      </c>
      <c r="B11" s="279" t="s">
        <v>177</v>
      </c>
      <c r="C11" s="279" t="s">
        <v>176</v>
      </c>
      <c r="D11" s="279" t="s">
        <v>183</v>
      </c>
      <c r="E11" s="279" t="s">
        <v>182</v>
      </c>
      <c r="F11" s="293">
        <v>0.1</v>
      </c>
      <c r="G11" s="292">
        <v>40847</v>
      </c>
    </row>
    <row r="12" spans="1:7" hidden="1" outlineLevel="2">
      <c r="A12" s="279" t="s">
        <v>173</v>
      </c>
      <c r="B12" s="279" t="s">
        <v>177</v>
      </c>
      <c r="C12" s="279" t="s">
        <v>176</v>
      </c>
      <c r="D12" s="279" t="s">
        <v>179</v>
      </c>
      <c r="E12" s="279" t="s">
        <v>178</v>
      </c>
      <c r="F12" s="293">
        <v>-16270401.02</v>
      </c>
      <c r="G12" s="292">
        <v>40858</v>
      </c>
    </row>
    <row r="13" spans="1:7" hidden="1" outlineLevel="2">
      <c r="A13" s="279" t="s">
        <v>173</v>
      </c>
      <c r="B13" s="279" t="s">
        <v>177</v>
      </c>
      <c r="C13" s="279" t="s">
        <v>176</v>
      </c>
      <c r="D13" s="279" t="s">
        <v>179</v>
      </c>
      <c r="E13" s="279" t="s">
        <v>178</v>
      </c>
      <c r="F13" s="293">
        <v>16796316.420000002</v>
      </c>
      <c r="G13" s="292">
        <v>40877</v>
      </c>
    </row>
    <row r="14" spans="1:7" hidden="1" outlineLevel="2">
      <c r="A14" s="279" t="s">
        <v>173</v>
      </c>
      <c r="B14" s="279" t="s">
        <v>177</v>
      </c>
      <c r="C14" s="279" t="s">
        <v>176</v>
      </c>
      <c r="D14" s="279" t="s">
        <v>179</v>
      </c>
      <c r="E14" s="279" t="s">
        <v>178</v>
      </c>
      <c r="F14" s="293">
        <v>-16796316.420000002</v>
      </c>
      <c r="G14" s="292">
        <v>40890</v>
      </c>
    </row>
    <row r="15" spans="1:7" hidden="1" outlineLevel="2">
      <c r="A15" s="279" t="s">
        <v>173</v>
      </c>
      <c r="B15" s="279" t="s">
        <v>177</v>
      </c>
      <c r="C15" s="279" t="s">
        <v>176</v>
      </c>
      <c r="D15" s="279" t="s">
        <v>179</v>
      </c>
      <c r="E15" s="279" t="s">
        <v>178</v>
      </c>
      <c r="F15" s="293">
        <v>17481818.170000002</v>
      </c>
      <c r="G15" s="292">
        <v>40908</v>
      </c>
    </row>
    <row r="16" spans="1:7" hidden="1" outlineLevel="2">
      <c r="A16" s="279" t="s">
        <v>173</v>
      </c>
      <c r="B16" s="279" t="s">
        <v>177</v>
      </c>
      <c r="C16" s="279" t="s">
        <v>176</v>
      </c>
      <c r="D16" s="279" t="s">
        <v>179</v>
      </c>
      <c r="E16" s="279" t="s">
        <v>178</v>
      </c>
      <c r="F16" s="293">
        <v>-17481818.170000002</v>
      </c>
      <c r="G16" s="292">
        <v>40927</v>
      </c>
    </row>
    <row r="17" spans="1:7" hidden="1" outlineLevel="2">
      <c r="A17" s="279" t="s">
        <v>173</v>
      </c>
      <c r="B17" s="279" t="s">
        <v>177</v>
      </c>
      <c r="C17" s="279" t="s">
        <v>176</v>
      </c>
      <c r="D17" s="279" t="s">
        <v>179</v>
      </c>
      <c r="E17" s="279" t="s">
        <v>178</v>
      </c>
      <c r="F17" s="293">
        <v>17879707.48</v>
      </c>
      <c r="G17" s="292">
        <v>40939</v>
      </c>
    </row>
    <row r="18" spans="1:7" hidden="1" outlineLevel="2">
      <c r="A18" s="279" t="s">
        <v>173</v>
      </c>
      <c r="B18" s="279" t="s">
        <v>177</v>
      </c>
      <c r="C18" s="279" t="s">
        <v>176</v>
      </c>
      <c r="D18" s="279" t="s">
        <v>179</v>
      </c>
      <c r="E18" s="279" t="s">
        <v>178</v>
      </c>
      <c r="F18" s="293">
        <v>-17879707.48</v>
      </c>
      <c r="G18" s="292">
        <v>40955</v>
      </c>
    </row>
    <row r="19" spans="1:7" hidden="1" outlineLevel="2">
      <c r="A19" s="279" t="s">
        <v>173</v>
      </c>
      <c r="B19" s="279" t="s">
        <v>177</v>
      </c>
      <c r="C19" s="279" t="s">
        <v>176</v>
      </c>
      <c r="D19" s="279" t="s">
        <v>179</v>
      </c>
      <c r="E19" s="279" t="s">
        <v>178</v>
      </c>
      <c r="F19" s="293">
        <v>17940257.829999998</v>
      </c>
      <c r="G19" s="292">
        <v>40968</v>
      </c>
    </row>
    <row r="20" spans="1:7" hidden="1" outlineLevel="2">
      <c r="A20" s="279" t="s">
        <v>173</v>
      </c>
      <c r="B20" s="279" t="s">
        <v>177</v>
      </c>
      <c r="C20" s="279" t="s">
        <v>176</v>
      </c>
      <c r="D20" s="279" t="s">
        <v>179</v>
      </c>
      <c r="E20" s="279" t="s">
        <v>178</v>
      </c>
      <c r="F20" s="293">
        <v>-17940257.829999998</v>
      </c>
      <c r="G20" s="292">
        <v>40981</v>
      </c>
    </row>
    <row r="21" spans="1:7" hidden="1" outlineLevel="2">
      <c r="A21" s="279" t="s">
        <v>173</v>
      </c>
      <c r="B21" s="279" t="s">
        <v>177</v>
      </c>
      <c r="C21" s="279" t="s">
        <v>176</v>
      </c>
      <c r="D21" s="279" t="s">
        <v>179</v>
      </c>
      <c r="E21" s="279" t="s">
        <v>178</v>
      </c>
      <c r="F21" s="293">
        <v>18257974.949999999</v>
      </c>
      <c r="G21" s="292">
        <v>40999</v>
      </c>
    </row>
    <row r="22" spans="1:7" hidden="1" outlineLevel="2">
      <c r="A22" s="279" t="s">
        <v>173</v>
      </c>
      <c r="B22" s="279" t="s">
        <v>177</v>
      </c>
      <c r="C22" s="279" t="s">
        <v>176</v>
      </c>
      <c r="D22" s="279" t="s">
        <v>179</v>
      </c>
      <c r="E22" s="279" t="s">
        <v>178</v>
      </c>
      <c r="F22" s="293">
        <v>-18257974.949999999</v>
      </c>
      <c r="G22" s="292">
        <v>41012</v>
      </c>
    </row>
    <row r="23" spans="1:7" hidden="1" outlineLevel="2">
      <c r="A23" s="279" t="s">
        <v>173</v>
      </c>
      <c r="B23" s="279" t="s">
        <v>177</v>
      </c>
      <c r="C23" s="279" t="s">
        <v>176</v>
      </c>
      <c r="D23" s="279" t="s">
        <v>179</v>
      </c>
      <c r="E23" s="279" t="s">
        <v>178</v>
      </c>
      <c r="F23" s="293">
        <v>18239254.460000001</v>
      </c>
      <c r="G23" s="292">
        <v>41029</v>
      </c>
    </row>
    <row r="24" spans="1:7" hidden="1" outlineLevel="2">
      <c r="A24" s="279" t="s">
        <v>173</v>
      </c>
      <c r="B24" s="279" t="s">
        <v>177</v>
      </c>
      <c r="C24" s="279" t="s">
        <v>176</v>
      </c>
      <c r="D24" s="279" t="s">
        <v>179</v>
      </c>
      <c r="E24" s="279" t="s">
        <v>178</v>
      </c>
      <c r="F24" s="293">
        <v>-18239254.460000001</v>
      </c>
      <c r="G24" s="292">
        <v>41043</v>
      </c>
    </row>
    <row r="25" spans="1:7" hidden="1" outlineLevel="2">
      <c r="A25" s="279" t="s">
        <v>173</v>
      </c>
      <c r="B25" s="279" t="s">
        <v>177</v>
      </c>
      <c r="C25" s="279" t="s">
        <v>176</v>
      </c>
      <c r="D25" s="279" t="s">
        <v>179</v>
      </c>
      <c r="E25" s="279" t="s">
        <v>178</v>
      </c>
      <c r="F25" s="293">
        <v>18312605.449999999</v>
      </c>
      <c r="G25" s="292">
        <v>41060</v>
      </c>
    </row>
    <row r="26" spans="1:7" hidden="1" outlineLevel="2">
      <c r="A26" s="279" t="s">
        <v>173</v>
      </c>
      <c r="B26" s="279" t="s">
        <v>177</v>
      </c>
      <c r="C26" s="279" t="s">
        <v>176</v>
      </c>
      <c r="D26" s="279" t="s">
        <v>179</v>
      </c>
      <c r="E26" s="279" t="s">
        <v>178</v>
      </c>
      <c r="F26" s="293">
        <v>-18588914.239999998</v>
      </c>
      <c r="G26" s="292">
        <v>41090</v>
      </c>
    </row>
    <row r="27" spans="1:7" hidden="1" outlineLevel="2">
      <c r="A27" s="279" t="s">
        <v>173</v>
      </c>
      <c r="B27" s="279" t="s">
        <v>177</v>
      </c>
      <c r="C27" s="279" t="s">
        <v>176</v>
      </c>
      <c r="D27" s="279" t="s">
        <v>179</v>
      </c>
      <c r="E27" s="279" t="s">
        <v>178</v>
      </c>
      <c r="F27" s="293">
        <v>18582387.710000001</v>
      </c>
      <c r="G27" s="292">
        <v>41090</v>
      </c>
    </row>
    <row r="28" spans="1:7" hidden="1" outlineLevel="2">
      <c r="A28" s="279" t="s">
        <v>173</v>
      </c>
      <c r="B28" s="279" t="s">
        <v>177</v>
      </c>
      <c r="C28" s="279" t="s">
        <v>176</v>
      </c>
      <c r="D28" s="279" t="s">
        <v>179</v>
      </c>
      <c r="E28" s="279" t="s">
        <v>178</v>
      </c>
      <c r="F28" s="293">
        <v>-18312605.449999999</v>
      </c>
      <c r="G28" s="292">
        <v>41074</v>
      </c>
    </row>
    <row r="29" spans="1:7" hidden="1" outlineLevel="2">
      <c r="A29" s="279" t="s">
        <v>173</v>
      </c>
      <c r="B29" s="279" t="s">
        <v>177</v>
      </c>
      <c r="C29" s="279" t="s">
        <v>176</v>
      </c>
      <c r="D29" s="279" t="s">
        <v>175</v>
      </c>
      <c r="E29" s="279" t="s">
        <v>174</v>
      </c>
      <c r="F29" s="293">
        <v>484394.69</v>
      </c>
      <c r="G29" s="292">
        <v>42643</v>
      </c>
    </row>
    <row r="30" spans="1:7" hidden="1" outlineLevel="2">
      <c r="A30" s="279" t="s">
        <v>173</v>
      </c>
      <c r="B30" s="279" t="s">
        <v>177</v>
      </c>
      <c r="C30" s="279" t="s">
        <v>176</v>
      </c>
      <c r="D30" s="279" t="s">
        <v>175</v>
      </c>
      <c r="E30" s="279" t="s">
        <v>174</v>
      </c>
      <c r="F30" s="293">
        <v>30563.09</v>
      </c>
      <c r="G30" s="292">
        <v>41364</v>
      </c>
    </row>
    <row r="31" spans="1:7" hidden="1" outlineLevel="2">
      <c r="A31" s="279" t="s">
        <v>173</v>
      </c>
      <c r="B31" s="279" t="s">
        <v>177</v>
      </c>
      <c r="C31" s="279" t="s">
        <v>176</v>
      </c>
      <c r="D31" s="279" t="s">
        <v>179</v>
      </c>
      <c r="E31" s="279" t="s">
        <v>178</v>
      </c>
      <c r="F31" s="293">
        <v>-18582387.710000001</v>
      </c>
      <c r="G31" s="292">
        <v>41106</v>
      </c>
    </row>
    <row r="32" spans="1:7" hidden="1" outlineLevel="2">
      <c r="A32" s="279" t="s">
        <v>173</v>
      </c>
      <c r="B32" s="279" t="s">
        <v>177</v>
      </c>
      <c r="C32" s="279" t="s">
        <v>176</v>
      </c>
      <c r="D32" s="279" t="s">
        <v>179</v>
      </c>
      <c r="E32" s="279" t="s">
        <v>178</v>
      </c>
      <c r="F32" s="293">
        <v>18991601.41</v>
      </c>
      <c r="G32" s="292">
        <v>41121</v>
      </c>
    </row>
    <row r="33" spans="1:7" hidden="1" outlineLevel="2">
      <c r="A33" s="279" t="s">
        <v>173</v>
      </c>
      <c r="B33" s="279" t="s">
        <v>177</v>
      </c>
      <c r="C33" s="279" t="s">
        <v>176</v>
      </c>
      <c r="D33" s="279" t="s">
        <v>179</v>
      </c>
      <c r="E33" s="279" t="s">
        <v>178</v>
      </c>
      <c r="F33" s="293">
        <v>-18991601.41</v>
      </c>
      <c r="G33" s="292">
        <v>41134</v>
      </c>
    </row>
    <row r="34" spans="1:7" hidden="1" outlineLevel="2">
      <c r="A34" s="279" t="s">
        <v>173</v>
      </c>
      <c r="B34" s="279" t="s">
        <v>177</v>
      </c>
      <c r="C34" s="279" t="s">
        <v>176</v>
      </c>
      <c r="D34" s="279" t="s">
        <v>181</v>
      </c>
      <c r="E34" s="279" t="s">
        <v>180</v>
      </c>
      <c r="F34" s="293">
        <v>1</v>
      </c>
      <c r="G34" s="292">
        <v>41091</v>
      </c>
    </row>
    <row r="35" spans="1:7" hidden="1" outlineLevel="2">
      <c r="A35" s="279" t="s">
        <v>173</v>
      </c>
      <c r="B35" s="279" t="s">
        <v>177</v>
      </c>
      <c r="C35" s="279" t="s">
        <v>176</v>
      </c>
      <c r="D35" s="279" t="s">
        <v>179</v>
      </c>
      <c r="E35" s="279" t="s">
        <v>178</v>
      </c>
      <c r="F35" s="293">
        <v>19739376.379999999</v>
      </c>
      <c r="G35" s="292">
        <v>41152</v>
      </c>
    </row>
    <row r="36" spans="1:7" hidden="1" outlineLevel="2">
      <c r="A36" s="279" t="s">
        <v>173</v>
      </c>
      <c r="B36" s="279" t="s">
        <v>177</v>
      </c>
      <c r="C36" s="279" t="s">
        <v>176</v>
      </c>
      <c r="D36" s="279" t="s">
        <v>179</v>
      </c>
      <c r="E36" s="279" t="s">
        <v>178</v>
      </c>
      <c r="F36" s="293">
        <v>-19739376.379999999</v>
      </c>
      <c r="G36" s="292">
        <v>41171</v>
      </c>
    </row>
    <row r="37" spans="1:7" hidden="1" outlineLevel="2">
      <c r="A37" s="279" t="s">
        <v>173</v>
      </c>
      <c r="B37" s="279" t="s">
        <v>177</v>
      </c>
      <c r="C37" s="279" t="s">
        <v>176</v>
      </c>
      <c r="D37" s="279" t="s">
        <v>179</v>
      </c>
      <c r="E37" s="279" t="s">
        <v>178</v>
      </c>
      <c r="F37" s="293">
        <v>20464086.039999999</v>
      </c>
      <c r="G37" s="292">
        <v>41182</v>
      </c>
    </row>
    <row r="38" spans="1:7" hidden="1" outlineLevel="2">
      <c r="A38" s="279" t="s">
        <v>173</v>
      </c>
      <c r="B38" s="279" t="s">
        <v>177</v>
      </c>
      <c r="C38" s="279" t="s">
        <v>176</v>
      </c>
      <c r="D38" s="279" t="s">
        <v>179</v>
      </c>
      <c r="E38" s="279" t="s">
        <v>178</v>
      </c>
      <c r="F38" s="293">
        <v>-20464086.039999999</v>
      </c>
      <c r="G38" s="292">
        <v>41193</v>
      </c>
    </row>
    <row r="39" spans="1:7" hidden="1" outlineLevel="2">
      <c r="A39" s="279" t="s">
        <v>173</v>
      </c>
      <c r="B39" s="279" t="s">
        <v>177</v>
      </c>
      <c r="C39" s="279" t="s">
        <v>176</v>
      </c>
      <c r="D39" s="279" t="s">
        <v>179</v>
      </c>
      <c r="E39" s="279" t="s">
        <v>178</v>
      </c>
      <c r="F39" s="293">
        <v>21285316.640000001</v>
      </c>
      <c r="G39" s="292">
        <v>41213</v>
      </c>
    </row>
    <row r="40" spans="1:7" hidden="1" outlineLevel="2">
      <c r="A40" s="279" t="s">
        <v>173</v>
      </c>
      <c r="B40" s="279" t="s">
        <v>177</v>
      </c>
      <c r="C40" s="279" t="s">
        <v>176</v>
      </c>
      <c r="D40" s="279" t="s">
        <v>179</v>
      </c>
      <c r="E40" s="279" t="s">
        <v>178</v>
      </c>
      <c r="F40" s="293">
        <v>-21285316.640000001</v>
      </c>
      <c r="G40" s="292">
        <v>41222</v>
      </c>
    </row>
    <row r="41" spans="1:7" hidden="1" outlineLevel="2">
      <c r="A41" s="279" t="s">
        <v>173</v>
      </c>
      <c r="B41" s="279" t="s">
        <v>177</v>
      </c>
      <c r="C41" s="279" t="s">
        <v>176</v>
      </c>
      <c r="D41" s="279" t="s">
        <v>179</v>
      </c>
      <c r="E41" s="279" t="s">
        <v>178</v>
      </c>
      <c r="F41" s="293">
        <v>22417478.98</v>
      </c>
      <c r="G41" s="292">
        <v>41243</v>
      </c>
    </row>
    <row r="42" spans="1:7" hidden="1" outlineLevel="2">
      <c r="A42" s="279" t="s">
        <v>173</v>
      </c>
      <c r="B42" s="279" t="s">
        <v>177</v>
      </c>
      <c r="C42" s="279" t="s">
        <v>176</v>
      </c>
      <c r="D42" s="279" t="s">
        <v>179</v>
      </c>
      <c r="E42" s="279" t="s">
        <v>178</v>
      </c>
      <c r="F42" s="293">
        <v>-22417478.98</v>
      </c>
      <c r="G42" s="292">
        <v>41253</v>
      </c>
    </row>
    <row r="43" spans="1:7" hidden="1" outlineLevel="2">
      <c r="A43" s="279" t="s">
        <v>173</v>
      </c>
      <c r="B43" s="279" t="s">
        <v>177</v>
      </c>
      <c r="C43" s="279" t="s">
        <v>176</v>
      </c>
      <c r="D43" s="279" t="s">
        <v>179</v>
      </c>
      <c r="E43" s="279" t="s">
        <v>178</v>
      </c>
      <c r="F43" s="293">
        <v>22742432.579999998</v>
      </c>
      <c r="G43" s="292">
        <v>41274</v>
      </c>
    </row>
    <row r="44" spans="1:7" hidden="1" outlineLevel="2">
      <c r="A44" s="279" t="s">
        <v>173</v>
      </c>
      <c r="B44" s="279" t="s">
        <v>177</v>
      </c>
      <c r="C44" s="279" t="s">
        <v>176</v>
      </c>
      <c r="D44" s="279" t="s">
        <v>179</v>
      </c>
      <c r="E44" s="279" t="s">
        <v>178</v>
      </c>
      <c r="F44" s="293">
        <v>-22742432.579999998</v>
      </c>
      <c r="G44" s="292">
        <v>41288</v>
      </c>
    </row>
    <row r="45" spans="1:7" hidden="1" outlineLevel="2">
      <c r="A45" s="279" t="s">
        <v>173</v>
      </c>
      <c r="B45" s="279" t="s">
        <v>177</v>
      </c>
      <c r="C45" s="279" t="s">
        <v>176</v>
      </c>
      <c r="D45" s="279" t="s">
        <v>179</v>
      </c>
      <c r="E45" s="279" t="s">
        <v>178</v>
      </c>
      <c r="F45" s="293">
        <v>23098994.59</v>
      </c>
      <c r="G45" s="292">
        <v>41305</v>
      </c>
    </row>
    <row r="46" spans="1:7" hidden="1" outlineLevel="2">
      <c r="A46" s="279" t="s">
        <v>173</v>
      </c>
      <c r="B46" s="279" t="s">
        <v>177</v>
      </c>
      <c r="C46" s="279" t="s">
        <v>176</v>
      </c>
      <c r="D46" s="279" t="s">
        <v>179</v>
      </c>
      <c r="E46" s="279" t="s">
        <v>178</v>
      </c>
      <c r="F46" s="293">
        <v>-23098994.59</v>
      </c>
      <c r="G46" s="292">
        <v>41318</v>
      </c>
    </row>
    <row r="47" spans="1:7" hidden="1" outlineLevel="2">
      <c r="A47" s="279" t="s">
        <v>173</v>
      </c>
      <c r="B47" s="279" t="s">
        <v>177</v>
      </c>
      <c r="C47" s="279" t="s">
        <v>176</v>
      </c>
      <c r="D47" s="279" t="s">
        <v>179</v>
      </c>
      <c r="E47" s="279" t="s">
        <v>178</v>
      </c>
      <c r="F47" s="293">
        <v>23295468.350000001</v>
      </c>
      <c r="G47" s="292">
        <v>41333</v>
      </c>
    </row>
    <row r="48" spans="1:7" hidden="1" outlineLevel="2">
      <c r="A48" s="279" t="s">
        <v>173</v>
      </c>
      <c r="B48" s="279" t="s">
        <v>177</v>
      </c>
      <c r="C48" s="279" t="s">
        <v>176</v>
      </c>
      <c r="D48" s="279" t="s">
        <v>175</v>
      </c>
      <c r="E48" s="279" t="s">
        <v>174</v>
      </c>
      <c r="F48" s="293">
        <v>-30563.09</v>
      </c>
      <c r="G48" s="292">
        <v>41364</v>
      </c>
    </row>
    <row r="49" spans="1:7" hidden="1" outlineLevel="2">
      <c r="A49" s="279" t="s">
        <v>173</v>
      </c>
      <c r="B49" s="279" t="s">
        <v>177</v>
      </c>
      <c r="C49" s="279" t="s">
        <v>176</v>
      </c>
      <c r="D49" s="279" t="s">
        <v>175</v>
      </c>
      <c r="E49" s="279" t="s">
        <v>174</v>
      </c>
      <c r="F49" s="293">
        <v>25433.88</v>
      </c>
      <c r="G49" s="292">
        <v>41364</v>
      </c>
    </row>
    <row r="50" spans="1:7" hidden="1" outlineLevel="2">
      <c r="A50" s="279" t="s">
        <v>173</v>
      </c>
      <c r="B50" s="279" t="s">
        <v>177</v>
      </c>
      <c r="C50" s="279" t="s">
        <v>176</v>
      </c>
      <c r="D50" s="279" t="s">
        <v>175</v>
      </c>
      <c r="E50" s="279" t="s">
        <v>174</v>
      </c>
      <c r="F50" s="293">
        <v>339013.48</v>
      </c>
      <c r="G50" s="292">
        <v>42582</v>
      </c>
    </row>
    <row r="51" spans="1:7" hidden="1" outlineLevel="2">
      <c r="A51" s="279" t="s">
        <v>173</v>
      </c>
      <c r="B51" s="279" t="s">
        <v>177</v>
      </c>
      <c r="C51" s="279" t="s">
        <v>176</v>
      </c>
      <c r="D51" s="279" t="s">
        <v>175</v>
      </c>
      <c r="E51" s="279" t="s">
        <v>174</v>
      </c>
      <c r="F51" s="293">
        <v>507426.1</v>
      </c>
      <c r="G51" s="292">
        <v>42613</v>
      </c>
    </row>
    <row r="52" spans="1:7" hidden="1" outlineLevel="2">
      <c r="A52" s="279" t="s">
        <v>173</v>
      </c>
      <c r="B52" s="279" t="s">
        <v>177</v>
      </c>
      <c r="C52" s="279" t="s">
        <v>176</v>
      </c>
      <c r="D52" s="279" t="s">
        <v>175</v>
      </c>
      <c r="E52" s="279" t="s">
        <v>174</v>
      </c>
      <c r="F52" s="293">
        <v>-142970.47</v>
      </c>
      <c r="G52" s="292">
        <v>41394</v>
      </c>
    </row>
    <row r="53" spans="1:7" hidden="1" outlineLevel="2">
      <c r="A53" s="279" t="s">
        <v>173</v>
      </c>
      <c r="B53" s="279" t="s">
        <v>177</v>
      </c>
      <c r="C53" s="279" t="s">
        <v>176</v>
      </c>
      <c r="D53" s="279" t="s">
        <v>175</v>
      </c>
      <c r="E53" s="279" t="s">
        <v>174</v>
      </c>
      <c r="F53" s="293">
        <v>87802.240000000005</v>
      </c>
      <c r="G53" s="292">
        <v>41425</v>
      </c>
    </row>
    <row r="54" spans="1:7" hidden="1" outlineLevel="2">
      <c r="A54" s="279" t="s">
        <v>173</v>
      </c>
      <c r="B54" s="279" t="s">
        <v>177</v>
      </c>
      <c r="C54" s="279" t="s">
        <v>176</v>
      </c>
      <c r="D54" s="279" t="s">
        <v>175</v>
      </c>
      <c r="E54" s="279" t="s">
        <v>174</v>
      </c>
      <c r="F54" s="293">
        <v>74455.360000000001</v>
      </c>
      <c r="G54" s="292">
        <v>41425</v>
      </c>
    </row>
    <row r="55" spans="1:7" hidden="1" outlineLevel="2">
      <c r="A55" s="279" t="s">
        <v>173</v>
      </c>
      <c r="B55" s="279" t="s">
        <v>177</v>
      </c>
      <c r="C55" s="279" t="s">
        <v>176</v>
      </c>
      <c r="D55" s="279" t="s">
        <v>175</v>
      </c>
      <c r="E55" s="279" t="s">
        <v>174</v>
      </c>
      <c r="F55" s="293">
        <v>369149.71</v>
      </c>
      <c r="G55" s="292">
        <v>41455</v>
      </c>
    </row>
    <row r="56" spans="1:7" hidden="1" outlineLevel="2">
      <c r="A56" s="279" t="s">
        <v>173</v>
      </c>
      <c r="B56" s="279" t="s">
        <v>177</v>
      </c>
      <c r="C56" s="279" t="s">
        <v>176</v>
      </c>
      <c r="D56" s="279" t="s">
        <v>175</v>
      </c>
      <c r="E56" s="279" t="s">
        <v>174</v>
      </c>
      <c r="F56" s="293">
        <v>340090.01</v>
      </c>
      <c r="G56" s="292">
        <v>41486</v>
      </c>
    </row>
    <row r="57" spans="1:7" hidden="1" outlineLevel="2">
      <c r="A57" s="279" t="s">
        <v>173</v>
      </c>
      <c r="B57" s="279" t="s">
        <v>177</v>
      </c>
      <c r="C57" s="279" t="s">
        <v>176</v>
      </c>
      <c r="D57" s="279" t="s">
        <v>175</v>
      </c>
      <c r="E57" s="279" t="s">
        <v>174</v>
      </c>
      <c r="F57" s="293">
        <v>281503.46999999997</v>
      </c>
      <c r="G57" s="292">
        <v>41517</v>
      </c>
    </row>
    <row r="58" spans="1:7" hidden="1" outlineLevel="2">
      <c r="A58" s="279" t="s">
        <v>173</v>
      </c>
      <c r="B58" s="279" t="s">
        <v>177</v>
      </c>
      <c r="C58" s="279" t="s">
        <v>176</v>
      </c>
      <c r="D58" s="279" t="s">
        <v>175</v>
      </c>
      <c r="E58" s="279" t="s">
        <v>174</v>
      </c>
      <c r="F58" s="293">
        <v>231555.14</v>
      </c>
      <c r="G58" s="292">
        <v>41547</v>
      </c>
    </row>
    <row r="59" spans="1:7" hidden="1" outlineLevel="2">
      <c r="A59" s="279" t="s">
        <v>173</v>
      </c>
      <c r="B59" s="279" t="s">
        <v>177</v>
      </c>
      <c r="C59" s="279" t="s">
        <v>176</v>
      </c>
      <c r="D59" s="279" t="s">
        <v>175</v>
      </c>
      <c r="E59" s="279" t="s">
        <v>174</v>
      </c>
      <c r="F59" s="293">
        <v>724592.53</v>
      </c>
      <c r="G59" s="292">
        <v>41578</v>
      </c>
    </row>
    <row r="60" spans="1:7" hidden="1" outlineLevel="2">
      <c r="A60" s="279" t="s">
        <v>173</v>
      </c>
      <c r="B60" s="279" t="s">
        <v>177</v>
      </c>
      <c r="C60" s="279" t="s">
        <v>176</v>
      </c>
      <c r="D60" s="279" t="s">
        <v>175</v>
      </c>
      <c r="E60" s="279" t="s">
        <v>174</v>
      </c>
      <c r="F60" s="293">
        <v>719786.87</v>
      </c>
      <c r="G60" s="292">
        <v>41608</v>
      </c>
    </row>
    <row r="61" spans="1:7" hidden="1" outlineLevel="2">
      <c r="A61" s="279" t="s">
        <v>173</v>
      </c>
      <c r="B61" s="279" t="s">
        <v>177</v>
      </c>
      <c r="C61" s="279" t="s">
        <v>176</v>
      </c>
      <c r="D61" s="279" t="s">
        <v>175</v>
      </c>
      <c r="E61" s="279" t="s">
        <v>174</v>
      </c>
      <c r="F61" s="293">
        <v>789841.47</v>
      </c>
      <c r="G61" s="292">
        <v>41639</v>
      </c>
    </row>
    <row r="62" spans="1:7" hidden="1" outlineLevel="2">
      <c r="A62" s="279" t="s">
        <v>173</v>
      </c>
      <c r="B62" s="279" t="s">
        <v>177</v>
      </c>
      <c r="C62" s="279" t="s">
        <v>176</v>
      </c>
      <c r="D62" s="279" t="s">
        <v>175</v>
      </c>
      <c r="E62" s="279" t="s">
        <v>174</v>
      </c>
      <c r="F62" s="293">
        <v>712450.99</v>
      </c>
      <c r="G62" s="292">
        <v>41670</v>
      </c>
    </row>
    <row r="63" spans="1:7" hidden="1" outlineLevel="2">
      <c r="A63" s="279" t="s">
        <v>173</v>
      </c>
      <c r="B63" s="279" t="s">
        <v>177</v>
      </c>
      <c r="C63" s="279" t="s">
        <v>176</v>
      </c>
      <c r="D63" s="279" t="s">
        <v>175</v>
      </c>
      <c r="E63" s="279" t="s">
        <v>174</v>
      </c>
      <c r="F63" s="293">
        <v>462447.58</v>
      </c>
      <c r="G63" s="292">
        <v>41698</v>
      </c>
    </row>
    <row r="64" spans="1:7" hidden="1" outlineLevel="2">
      <c r="A64" s="279" t="s">
        <v>173</v>
      </c>
      <c r="B64" s="279" t="s">
        <v>177</v>
      </c>
      <c r="C64" s="279" t="s">
        <v>176</v>
      </c>
      <c r="D64" s="279" t="s">
        <v>175</v>
      </c>
      <c r="E64" s="279" t="s">
        <v>174</v>
      </c>
      <c r="F64" s="293">
        <v>496109.18</v>
      </c>
      <c r="G64" s="292">
        <v>41729</v>
      </c>
    </row>
    <row r="65" spans="1:7" hidden="1" outlineLevel="2">
      <c r="A65" s="279" t="s">
        <v>173</v>
      </c>
      <c r="B65" s="279" t="s">
        <v>177</v>
      </c>
      <c r="C65" s="279" t="s">
        <v>176</v>
      </c>
      <c r="D65" s="279" t="s">
        <v>175</v>
      </c>
      <c r="E65" s="279" t="s">
        <v>174</v>
      </c>
      <c r="F65" s="293">
        <v>536887.31999999995</v>
      </c>
      <c r="G65" s="292">
        <v>41759</v>
      </c>
    </row>
    <row r="66" spans="1:7" hidden="1" outlineLevel="2">
      <c r="A66" s="279" t="s">
        <v>173</v>
      </c>
      <c r="B66" s="279" t="s">
        <v>177</v>
      </c>
      <c r="C66" s="279" t="s">
        <v>176</v>
      </c>
      <c r="D66" s="279" t="s">
        <v>175</v>
      </c>
      <c r="E66" s="279" t="s">
        <v>174</v>
      </c>
      <c r="F66" s="293">
        <v>509300.44</v>
      </c>
      <c r="G66" s="292">
        <v>41789</v>
      </c>
    </row>
    <row r="67" spans="1:7" hidden="1" outlineLevel="2">
      <c r="A67" s="279" t="s">
        <v>173</v>
      </c>
      <c r="B67" s="279" t="s">
        <v>177</v>
      </c>
      <c r="C67" s="279" t="s">
        <v>176</v>
      </c>
      <c r="D67" s="279" t="s">
        <v>175</v>
      </c>
      <c r="E67" s="279" t="s">
        <v>174</v>
      </c>
      <c r="F67" s="293">
        <v>802816.87</v>
      </c>
      <c r="G67" s="292">
        <v>41820</v>
      </c>
    </row>
    <row r="68" spans="1:7" hidden="1" outlineLevel="2">
      <c r="A68" s="279" t="s">
        <v>173</v>
      </c>
      <c r="B68" s="279" t="s">
        <v>177</v>
      </c>
      <c r="C68" s="279" t="s">
        <v>176</v>
      </c>
      <c r="D68" s="279" t="s">
        <v>175</v>
      </c>
      <c r="E68" s="279" t="s">
        <v>174</v>
      </c>
      <c r="F68" s="293">
        <v>663670.41</v>
      </c>
      <c r="G68" s="292">
        <v>41851</v>
      </c>
    </row>
    <row r="69" spans="1:7" hidden="1" outlineLevel="2">
      <c r="A69" s="279" t="s">
        <v>173</v>
      </c>
      <c r="B69" s="279" t="s">
        <v>177</v>
      </c>
      <c r="C69" s="279" t="s">
        <v>176</v>
      </c>
      <c r="D69" s="279" t="s">
        <v>175</v>
      </c>
      <c r="E69" s="279" t="s">
        <v>174</v>
      </c>
      <c r="F69" s="293">
        <v>573712.52</v>
      </c>
      <c r="G69" s="292">
        <v>41882</v>
      </c>
    </row>
    <row r="70" spans="1:7" hidden="1" outlineLevel="2">
      <c r="A70" s="279" t="s">
        <v>173</v>
      </c>
      <c r="B70" s="279" t="s">
        <v>177</v>
      </c>
      <c r="C70" s="279" t="s">
        <v>176</v>
      </c>
      <c r="D70" s="279" t="s">
        <v>175</v>
      </c>
      <c r="E70" s="279" t="s">
        <v>174</v>
      </c>
      <c r="F70" s="293">
        <v>420641.5</v>
      </c>
      <c r="G70" s="292">
        <v>41912</v>
      </c>
    </row>
    <row r="71" spans="1:7" hidden="1" outlineLevel="2">
      <c r="A71" s="279" t="s">
        <v>173</v>
      </c>
      <c r="B71" s="279" t="s">
        <v>177</v>
      </c>
      <c r="C71" s="279" t="s">
        <v>176</v>
      </c>
      <c r="D71" s="279" t="s">
        <v>175</v>
      </c>
      <c r="E71" s="279" t="s">
        <v>174</v>
      </c>
      <c r="F71" s="293">
        <v>399953.07</v>
      </c>
      <c r="G71" s="292">
        <v>41943</v>
      </c>
    </row>
    <row r="72" spans="1:7" hidden="1" outlineLevel="2">
      <c r="A72" s="279" t="s">
        <v>173</v>
      </c>
      <c r="B72" s="279" t="s">
        <v>177</v>
      </c>
      <c r="C72" s="279" t="s">
        <v>176</v>
      </c>
      <c r="D72" s="279" t="s">
        <v>175</v>
      </c>
      <c r="E72" s="279" t="s">
        <v>174</v>
      </c>
      <c r="F72" s="293">
        <v>421203.65</v>
      </c>
      <c r="G72" s="292">
        <v>41973</v>
      </c>
    </row>
    <row r="73" spans="1:7" hidden="1" outlineLevel="2">
      <c r="A73" s="279" t="s">
        <v>173</v>
      </c>
      <c r="B73" s="279" t="s">
        <v>177</v>
      </c>
      <c r="C73" s="279" t="s">
        <v>176</v>
      </c>
      <c r="D73" s="279" t="s">
        <v>175</v>
      </c>
      <c r="E73" s="279" t="s">
        <v>174</v>
      </c>
      <c r="F73" s="293">
        <v>427543.98</v>
      </c>
      <c r="G73" s="292">
        <v>42004</v>
      </c>
    </row>
    <row r="74" spans="1:7" hidden="1" outlineLevel="2">
      <c r="A74" s="279" t="s">
        <v>173</v>
      </c>
      <c r="B74" s="279" t="s">
        <v>177</v>
      </c>
      <c r="C74" s="279" t="s">
        <v>176</v>
      </c>
      <c r="D74" s="279" t="s">
        <v>175</v>
      </c>
      <c r="E74" s="279" t="s">
        <v>174</v>
      </c>
      <c r="F74" s="293">
        <v>326245.78999999998</v>
      </c>
      <c r="G74" s="292">
        <v>42035</v>
      </c>
    </row>
    <row r="75" spans="1:7" hidden="1" outlineLevel="2">
      <c r="A75" s="279" t="s">
        <v>173</v>
      </c>
      <c r="B75" s="279" t="s">
        <v>177</v>
      </c>
      <c r="C75" s="279" t="s">
        <v>176</v>
      </c>
      <c r="D75" s="279" t="s">
        <v>175</v>
      </c>
      <c r="E75" s="279" t="s">
        <v>174</v>
      </c>
      <c r="F75" s="293">
        <v>370541.84</v>
      </c>
      <c r="G75" s="292">
        <v>42063</v>
      </c>
    </row>
    <row r="76" spans="1:7" hidden="1" outlineLevel="2">
      <c r="A76" s="279" t="s">
        <v>173</v>
      </c>
      <c r="B76" s="279" t="s">
        <v>177</v>
      </c>
      <c r="C76" s="279" t="s">
        <v>176</v>
      </c>
      <c r="D76" s="279" t="s">
        <v>175</v>
      </c>
      <c r="E76" s="279" t="s">
        <v>174</v>
      </c>
      <c r="F76" s="293">
        <v>545904.12</v>
      </c>
      <c r="G76" s="292">
        <v>42094</v>
      </c>
    </row>
    <row r="77" spans="1:7" hidden="1" outlineLevel="2">
      <c r="A77" s="279" t="s">
        <v>173</v>
      </c>
      <c r="B77" s="279" t="s">
        <v>177</v>
      </c>
      <c r="C77" s="279" t="s">
        <v>176</v>
      </c>
      <c r="D77" s="279" t="s">
        <v>175</v>
      </c>
      <c r="E77" s="279" t="s">
        <v>174</v>
      </c>
      <c r="F77" s="293">
        <v>527605.4</v>
      </c>
      <c r="G77" s="292">
        <v>42124</v>
      </c>
    </row>
    <row r="78" spans="1:7" hidden="1" outlineLevel="2">
      <c r="A78" s="279" t="s">
        <v>173</v>
      </c>
      <c r="B78" s="279" t="s">
        <v>177</v>
      </c>
      <c r="C78" s="279" t="s">
        <v>176</v>
      </c>
      <c r="D78" s="279" t="s">
        <v>175</v>
      </c>
      <c r="E78" s="279" t="s">
        <v>174</v>
      </c>
      <c r="F78" s="293">
        <v>387275.91</v>
      </c>
      <c r="G78" s="292">
        <v>42155</v>
      </c>
    </row>
    <row r="79" spans="1:7" hidden="1" outlineLevel="2">
      <c r="A79" s="279" t="s">
        <v>173</v>
      </c>
      <c r="B79" s="279" t="s">
        <v>177</v>
      </c>
      <c r="C79" s="279" t="s">
        <v>176</v>
      </c>
      <c r="D79" s="279" t="s">
        <v>175</v>
      </c>
      <c r="E79" s="279" t="s">
        <v>174</v>
      </c>
      <c r="F79" s="293">
        <v>471675.78</v>
      </c>
      <c r="G79" s="292">
        <v>42185</v>
      </c>
    </row>
    <row r="80" spans="1:7" hidden="1" outlineLevel="2">
      <c r="A80" s="279" t="s">
        <v>173</v>
      </c>
      <c r="B80" s="279" t="s">
        <v>177</v>
      </c>
      <c r="C80" s="279" t="s">
        <v>176</v>
      </c>
      <c r="D80" s="279" t="s">
        <v>175</v>
      </c>
      <c r="E80" s="279" t="s">
        <v>174</v>
      </c>
      <c r="F80" s="293">
        <v>327928.40999999997</v>
      </c>
      <c r="G80" s="292">
        <v>42216</v>
      </c>
    </row>
    <row r="81" spans="1:7" hidden="1" outlineLevel="2">
      <c r="A81" s="279" t="s">
        <v>173</v>
      </c>
      <c r="B81" s="279" t="s">
        <v>177</v>
      </c>
      <c r="C81" s="279" t="s">
        <v>176</v>
      </c>
      <c r="D81" s="279" t="s">
        <v>175</v>
      </c>
      <c r="E81" s="279" t="s">
        <v>174</v>
      </c>
      <c r="F81" s="293">
        <v>159526.62</v>
      </c>
      <c r="G81" s="292">
        <v>42247</v>
      </c>
    </row>
    <row r="82" spans="1:7" hidden="1" outlineLevel="2">
      <c r="A82" s="279" t="s">
        <v>173</v>
      </c>
      <c r="B82" s="279" t="s">
        <v>177</v>
      </c>
      <c r="C82" s="279" t="s">
        <v>176</v>
      </c>
      <c r="D82" s="279" t="s">
        <v>175</v>
      </c>
      <c r="E82" s="279" t="s">
        <v>174</v>
      </c>
      <c r="F82" s="293">
        <v>379423.46</v>
      </c>
      <c r="G82" s="292">
        <v>42277</v>
      </c>
    </row>
    <row r="83" spans="1:7" hidden="1" outlineLevel="2">
      <c r="A83" s="279" t="s">
        <v>173</v>
      </c>
      <c r="B83" s="279" t="s">
        <v>177</v>
      </c>
      <c r="C83" s="279" t="s">
        <v>176</v>
      </c>
      <c r="D83" s="279" t="s">
        <v>175</v>
      </c>
      <c r="E83" s="279" t="s">
        <v>174</v>
      </c>
      <c r="F83" s="293">
        <v>375058.48</v>
      </c>
      <c r="G83" s="292">
        <v>42308</v>
      </c>
    </row>
    <row r="84" spans="1:7" hidden="1" outlineLevel="2">
      <c r="A84" s="279" t="s">
        <v>173</v>
      </c>
      <c r="B84" s="279" t="s">
        <v>177</v>
      </c>
      <c r="C84" s="279" t="s">
        <v>176</v>
      </c>
      <c r="D84" s="279" t="s">
        <v>175</v>
      </c>
      <c r="E84" s="279" t="s">
        <v>174</v>
      </c>
      <c r="F84" s="293">
        <v>148269.15</v>
      </c>
      <c r="G84" s="292">
        <v>42338</v>
      </c>
    </row>
    <row r="85" spans="1:7" hidden="1" outlineLevel="2">
      <c r="A85" s="279" t="s">
        <v>173</v>
      </c>
      <c r="B85" s="279" t="s">
        <v>177</v>
      </c>
      <c r="C85" s="279" t="s">
        <v>176</v>
      </c>
      <c r="D85" s="279" t="s">
        <v>175</v>
      </c>
      <c r="E85" s="279" t="s">
        <v>174</v>
      </c>
      <c r="F85" s="293">
        <v>347983.43</v>
      </c>
      <c r="G85" s="292">
        <v>42369</v>
      </c>
    </row>
    <row r="86" spans="1:7" hidden="1" outlineLevel="2">
      <c r="A86" s="279" t="s">
        <v>173</v>
      </c>
      <c r="B86" s="279" t="s">
        <v>177</v>
      </c>
      <c r="C86" s="279" t="s">
        <v>176</v>
      </c>
      <c r="D86" s="279" t="s">
        <v>175</v>
      </c>
      <c r="E86" s="279" t="s">
        <v>174</v>
      </c>
      <c r="F86" s="293">
        <v>398678.4</v>
      </c>
      <c r="G86" s="292">
        <v>42400</v>
      </c>
    </row>
    <row r="87" spans="1:7" hidden="1" outlineLevel="2">
      <c r="A87" s="279" t="s">
        <v>173</v>
      </c>
      <c r="B87" s="279" t="s">
        <v>177</v>
      </c>
      <c r="C87" s="279" t="s">
        <v>176</v>
      </c>
      <c r="D87" s="279" t="s">
        <v>175</v>
      </c>
      <c r="E87" s="279" t="s">
        <v>174</v>
      </c>
      <c r="F87" s="293">
        <v>417270.08</v>
      </c>
      <c r="G87" s="292">
        <v>42429</v>
      </c>
    </row>
    <row r="88" spans="1:7" hidden="1" outlineLevel="2">
      <c r="A88" s="279" t="s">
        <v>173</v>
      </c>
      <c r="B88" s="279" t="s">
        <v>177</v>
      </c>
      <c r="C88" s="279" t="s">
        <v>176</v>
      </c>
      <c r="D88" s="279" t="s">
        <v>175</v>
      </c>
      <c r="E88" s="279" t="s">
        <v>174</v>
      </c>
      <c r="F88" s="293">
        <v>267304.82</v>
      </c>
      <c r="G88" s="292">
        <v>42460</v>
      </c>
    </row>
    <row r="89" spans="1:7" hidden="1" outlineLevel="2">
      <c r="A89" s="279" t="s">
        <v>173</v>
      </c>
      <c r="B89" s="279" t="s">
        <v>177</v>
      </c>
      <c r="C89" s="279" t="s">
        <v>176</v>
      </c>
      <c r="D89" s="279" t="s">
        <v>175</v>
      </c>
      <c r="E89" s="279" t="s">
        <v>174</v>
      </c>
      <c r="F89" s="293">
        <v>293211.15999999997</v>
      </c>
      <c r="G89" s="292">
        <v>42490</v>
      </c>
    </row>
    <row r="90" spans="1:7" hidden="1" outlineLevel="2">
      <c r="A90" s="279" t="s">
        <v>173</v>
      </c>
      <c r="B90" s="279" t="s">
        <v>177</v>
      </c>
      <c r="C90" s="279" t="s">
        <v>176</v>
      </c>
      <c r="D90" s="279" t="s">
        <v>175</v>
      </c>
      <c r="E90" s="279" t="s">
        <v>174</v>
      </c>
      <c r="F90" s="293">
        <v>411418.88</v>
      </c>
      <c r="G90" s="292">
        <v>42521</v>
      </c>
    </row>
    <row r="91" spans="1:7" hidden="1" outlineLevel="2">
      <c r="A91" s="279" t="s">
        <v>173</v>
      </c>
      <c r="B91" s="279" t="s">
        <v>177</v>
      </c>
      <c r="C91" s="279" t="s">
        <v>176</v>
      </c>
      <c r="D91" s="279" t="s">
        <v>175</v>
      </c>
      <c r="E91" s="279" t="s">
        <v>174</v>
      </c>
      <c r="F91" s="293">
        <v>471697.18</v>
      </c>
      <c r="G91" s="292">
        <v>42551</v>
      </c>
    </row>
    <row r="92" spans="1:7" outlineLevel="1" collapsed="1">
      <c r="A92" s="291" t="s">
        <v>173</v>
      </c>
      <c r="B92" s="291" t="s">
        <v>155</v>
      </c>
      <c r="C92" s="290" t="s">
        <v>37</v>
      </c>
      <c r="D92" s="290" t="s">
        <v>37</v>
      </c>
      <c r="E92" s="290" t="s">
        <v>37</v>
      </c>
      <c r="F92" s="289">
        <v>25673116.59</v>
      </c>
      <c r="G92" s="288"/>
    </row>
    <row r="93" spans="1:7" ht="25.2" customHeight="1" thickBot="1">
      <c r="A93" s="287" t="s">
        <v>37</v>
      </c>
      <c r="B93" s="287" t="s">
        <v>37</v>
      </c>
      <c r="C93" s="287" t="s">
        <v>37</v>
      </c>
      <c r="D93" s="287" t="s">
        <v>37</v>
      </c>
      <c r="E93" s="283" t="s">
        <v>200</v>
      </c>
      <c r="F93" s="286">
        <f>F7+F92</f>
        <v>25676866.59</v>
      </c>
      <c r="G93" s="285"/>
    </row>
    <row r="94" spans="1:7" ht="25.2" customHeight="1" thickTop="1">
      <c r="A94" s="284"/>
      <c r="B94" s="284"/>
      <c r="C94" s="284"/>
      <c r="D94" s="284"/>
      <c r="E94" s="283"/>
      <c r="F94" s="282"/>
      <c r="G94" s="281"/>
    </row>
    <row r="95" spans="1:7" ht="14.4">
      <c r="A95" s="280" t="s">
        <v>172</v>
      </c>
    </row>
    <row r="96" spans="1:7">
      <c r="A96" s="279" t="s">
        <v>171</v>
      </c>
    </row>
  </sheetData>
  <pageMargins left="0.75" right="0.75" top="1" bottom="1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29"/>
  <sheetViews>
    <sheetView zoomScaleNormal="100" workbookViewId="0">
      <selection activeCell="F25" sqref="F25"/>
    </sheetView>
  </sheetViews>
  <sheetFormatPr defaultColWidth="9.109375" defaultRowHeight="13.2"/>
  <cols>
    <col min="1" max="1" width="27.109375" style="20" customWidth="1"/>
    <col min="2" max="2" width="13.33203125" style="20" customWidth="1"/>
    <col min="3" max="3" width="15" style="20" customWidth="1"/>
    <col min="4" max="4" width="14.33203125" style="20" customWidth="1"/>
    <col min="5" max="5" width="16.6640625" style="20" customWidth="1"/>
    <col min="6" max="6" width="11.5546875" style="20" customWidth="1"/>
    <col min="7" max="7" width="1.6640625" style="20" bestFit="1" customWidth="1"/>
    <col min="8" max="16384" width="9.109375" style="20"/>
  </cols>
  <sheetData>
    <row r="1" spans="1:6" s="21" customFormat="1">
      <c r="A1" s="23" t="s">
        <v>78</v>
      </c>
      <c r="B1" s="23"/>
      <c r="C1" s="23"/>
      <c r="D1" s="23"/>
      <c r="E1" s="23"/>
      <c r="F1" s="23"/>
    </row>
    <row r="2" spans="1:6" s="21" customFormat="1">
      <c r="A2" s="23" t="s">
        <v>13</v>
      </c>
      <c r="B2" s="23"/>
      <c r="C2" s="23"/>
      <c r="D2" s="23"/>
      <c r="E2" s="23"/>
      <c r="F2" s="23"/>
    </row>
    <row r="3" spans="1:6" s="21" customFormat="1">
      <c r="A3" s="23" t="s">
        <v>14</v>
      </c>
      <c r="B3" s="23"/>
      <c r="C3" s="23"/>
      <c r="D3" s="23"/>
      <c r="E3" s="23"/>
      <c r="F3" s="23"/>
    </row>
    <row r="4" spans="1:6" s="21" customFormat="1">
      <c r="A4" s="24" t="str">
        <f>'Lead G'!A7</f>
        <v>FOR THE TWELVE MONTHS ENDED SEPTEMBER 30, 2016</v>
      </c>
      <c r="B4" s="23"/>
      <c r="C4" s="23"/>
      <c r="D4" s="23"/>
      <c r="E4" s="23"/>
      <c r="F4" s="23"/>
    </row>
    <row r="5" spans="1:6">
      <c r="A5" s="308"/>
      <c r="B5" s="308"/>
      <c r="C5" s="308"/>
      <c r="D5" s="308"/>
      <c r="E5" s="308"/>
      <c r="F5" s="308"/>
    </row>
    <row r="6" spans="1:6">
      <c r="A6" s="24"/>
      <c r="B6" s="25"/>
      <c r="C6" s="25"/>
      <c r="D6" s="25"/>
      <c r="E6" s="25"/>
      <c r="F6" s="25"/>
    </row>
    <row r="7" spans="1:6">
      <c r="A7" s="24"/>
      <c r="B7" s="164"/>
      <c r="C7" s="164"/>
      <c r="D7" s="164" t="s">
        <v>46</v>
      </c>
      <c r="E7" s="164"/>
      <c r="F7" s="164" t="s">
        <v>15</v>
      </c>
    </row>
    <row r="8" spans="1:6">
      <c r="A8" s="26"/>
      <c r="B8" s="164" t="s">
        <v>16</v>
      </c>
      <c r="C8" s="164" t="s">
        <v>17</v>
      </c>
      <c r="D8" s="164" t="s">
        <v>47</v>
      </c>
      <c r="E8" s="164" t="s">
        <v>16</v>
      </c>
      <c r="F8" s="164" t="s">
        <v>18</v>
      </c>
    </row>
    <row r="9" spans="1:6">
      <c r="A9" s="27" t="s">
        <v>19</v>
      </c>
      <c r="B9" s="27" t="s">
        <v>18</v>
      </c>
      <c r="C9" s="27" t="s">
        <v>20</v>
      </c>
      <c r="D9" s="164" t="s">
        <v>48</v>
      </c>
      <c r="E9" s="27" t="s">
        <v>20</v>
      </c>
      <c r="F9" s="27" t="s">
        <v>21</v>
      </c>
    </row>
    <row r="10" spans="1:6">
      <c r="A10" s="28"/>
      <c r="B10" s="28" t="s">
        <v>11</v>
      </c>
      <c r="C10" s="28" t="s">
        <v>12</v>
      </c>
      <c r="D10" s="28" t="s">
        <v>49</v>
      </c>
      <c r="E10" s="28" t="s">
        <v>79</v>
      </c>
      <c r="F10" s="28" t="s">
        <v>80</v>
      </c>
    </row>
    <row r="11" spans="1:6" ht="13.8">
      <c r="B11" s="66" t="s">
        <v>145</v>
      </c>
      <c r="C11" s="43" t="s">
        <v>146</v>
      </c>
      <c r="D11" s="43" t="s">
        <v>146</v>
      </c>
      <c r="E11" s="43" t="s">
        <v>146</v>
      </c>
    </row>
    <row r="12" spans="1:6">
      <c r="A12" s="190" t="s">
        <v>147</v>
      </c>
      <c r="B12" s="31" t="str">
        <f t="shared" ref="B12:E12" si="0">IF(OR($H23="min",$H23="max"),$H23,B23)</f>
        <v>min</v>
      </c>
      <c r="C12" s="31" t="str">
        <f t="shared" si="0"/>
        <v>min</v>
      </c>
      <c r="D12" s="31" t="str">
        <f t="shared" si="0"/>
        <v>min</v>
      </c>
      <c r="E12" s="31" t="str">
        <f t="shared" si="0"/>
        <v>min</v>
      </c>
      <c r="F12" s="30" t="str">
        <f>IF(OR(B12="min",B12="max"),H23,ROUND(B12/E12,9))</f>
        <v>min</v>
      </c>
    </row>
    <row r="13" spans="1:6">
      <c r="A13" s="190" t="s">
        <v>148</v>
      </c>
      <c r="B13" s="31">
        <f t="shared" ref="B13:E13" si="1">IF(OR($H24="min",$H24="max"),$H24,B24)</f>
        <v>4809211.959999999</v>
      </c>
      <c r="C13" s="31">
        <f t="shared" si="1"/>
        <v>1027088768.78</v>
      </c>
      <c r="D13" s="31">
        <f t="shared" si="1"/>
        <v>13300355.07</v>
      </c>
      <c r="E13" s="31">
        <f t="shared" si="1"/>
        <v>1013788413.7099999</v>
      </c>
      <c r="F13" s="30">
        <f>IF(OR(B13="min",B13="max"),H24,ROUND(B13/E13,9))</f>
        <v>4.7438020000000001E-3</v>
      </c>
    </row>
    <row r="14" spans="1:6">
      <c r="A14" s="190" t="s">
        <v>149</v>
      </c>
      <c r="B14" s="31" t="str">
        <f t="shared" ref="B14:E14" si="2">IF(OR($H25="min",$H25="max"),$H25,B25)</f>
        <v>max</v>
      </c>
      <c r="C14" s="31" t="str">
        <f t="shared" si="2"/>
        <v>max</v>
      </c>
      <c r="D14" s="31" t="str">
        <f t="shared" si="2"/>
        <v>max</v>
      </c>
      <c r="E14" s="31" t="str">
        <f t="shared" si="2"/>
        <v>max</v>
      </c>
      <c r="F14" s="30" t="str">
        <f>IF(OR(B14="min",B14="max"),H25,ROUND(B14/E14,9))</f>
        <v>max</v>
      </c>
    </row>
    <row r="15" spans="1:6">
      <c r="A15" s="190" t="s">
        <v>150</v>
      </c>
      <c r="B15" s="31">
        <f t="shared" ref="B15:E16" si="3">IF(OR($H26="min",$H26="max"),$H26,B26)</f>
        <v>4346972.87</v>
      </c>
      <c r="C15" s="31">
        <f t="shared" si="3"/>
        <v>979494165.91999996</v>
      </c>
      <c r="D15" s="31">
        <f t="shared" si="3"/>
        <v>69423909.329999998</v>
      </c>
      <c r="E15" s="31">
        <f t="shared" si="3"/>
        <v>910070256.58999991</v>
      </c>
      <c r="F15" s="30">
        <f>IF(OR(B15="min",B15="max"),H26,ROUND(B15/E15,9))</f>
        <v>4.7765239999999999E-3</v>
      </c>
    </row>
    <row r="16" spans="1:6">
      <c r="A16" s="190" t="s">
        <v>197</v>
      </c>
      <c r="B16" s="31">
        <f t="shared" si="3"/>
        <v>5107471.959999999</v>
      </c>
      <c r="C16" s="31">
        <f t="shared" si="3"/>
        <v>898177819.9799999</v>
      </c>
      <c r="D16" s="31">
        <f t="shared" si="3"/>
        <v>32301964.859999999</v>
      </c>
      <c r="E16" s="31">
        <f t="shared" si="3"/>
        <v>865875855.11999989</v>
      </c>
      <c r="F16" s="30">
        <f>IF(OR(B16="min",B16="max"),H27,ROUND(B16/E16,9))</f>
        <v>5.8986189999999999E-3</v>
      </c>
    </row>
    <row r="18" spans="1:8" ht="13.8" thickBot="1">
      <c r="A18" s="21" t="s">
        <v>22</v>
      </c>
      <c r="B18" s="301"/>
      <c r="C18" s="301"/>
      <c r="D18" s="301"/>
      <c r="E18" s="301"/>
      <c r="F18" s="32">
        <f>SUM(F12:F16)/3</f>
        <v>5.1396483333333333E-3</v>
      </c>
    </row>
    <row r="19" spans="1:8" ht="13.8" thickTop="1"/>
    <row r="23" spans="1:8">
      <c r="A23" s="190" t="s">
        <v>147</v>
      </c>
      <c r="B23" s="33">
        <f>'NetWriteoffs-Gas'!$B$79</f>
        <v>5003428.9600000093</v>
      </c>
      <c r="C23" s="29">
        <f>'SOG 12ME 5-2012'!E36</f>
        <v>1142670529.8699999</v>
      </c>
      <c r="D23" s="29">
        <f>'SOG 12ME 5-2012'!E34</f>
        <v>13999396.77</v>
      </c>
      <c r="E23" s="29">
        <f>C23-D23</f>
        <v>1128671133.0999999</v>
      </c>
      <c r="F23" s="30">
        <f>ROUND(B23/E23,9)</f>
        <v>4.4330259999999996E-3</v>
      </c>
      <c r="H23" s="20" t="str">
        <f>IF(F23=MIN($F$23:$F$27),"min",IF(F23=MAX($F$23:$F$27),"max","include"))</f>
        <v>min</v>
      </c>
    </row>
    <row r="24" spans="1:8">
      <c r="A24" s="190" t="s">
        <v>148</v>
      </c>
      <c r="B24" s="33">
        <f>'NetWriteoffs-Gas'!$B$64</f>
        <v>4809211.959999999</v>
      </c>
      <c r="C24" s="29">
        <f>'SOG 12ME 5-2013'!E34</f>
        <v>1027088768.78</v>
      </c>
      <c r="D24" s="29">
        <f>'SOG 12ME 5-2013'!E32</f>
        <v>13300355.07</v>
      </c>
      <c r="E24" s="29">
        <f>C24-D24</f>
        <v>1013788413.7099999</v>
      </c>
      <c r="F24" s="30">
        <f>ROUND(B24/E24,9)</f>
        <v>4.7438020000000001E-3</v>
      </c>
      <c r="H24" s="20" t="str">
        <f t="shared" ref="H24:H27" si="4">IF(F24=MIN($F$23:$F$27),"min",IF(F24=MAX($F$23:$F$27),"max","include"))</f>
        <v>include</v>
      </c>
    </row>
    <row r="25" spans="1:8">
      <c r="A25" s="190" t="s">
        <v>149</v>
      </c>
      <c r="B25" s="33">
        <f>'NetWriteoffs-Gas'!$B$49</f>
        <v>6518028.9699999997</v>
      </c>
      <c r="C25" s="29">
        <f>'SOG 12ME 5-2014'!E35</f>
        <v>1029074783.46</v>
      </c>
      <c r="D25" s="29">
        <f>'SOG 12ME 5-2014'!E33+'SOG 12ME 5-2014'!E32</f>
        <v>14231478.720000001</v>
      </c>
      <c r="E25" s="29">
        <f>C25-D25</f>
        <v>1014843304.74</v>
      </c>
      <c r="F25" s="30">
        <f>ROUND(B25/E25,9)</f>
        <v>6.422695E-3</v>
      </c>
      <c r="H25" s="20" t="str">
        <f t="shared" si="4"/>
        <v>max</v>
      </c>
    </row>
    <row r="26" spans="1:8">
      <c r="A26" s="190" t="s">
        <v>150</v>
      </c>
      <c r="B26" s="33">
        <f>'NetWriteoffs-Gas'!B33</f>
        <v>4346972.87</v>
      </c>
      <c r="C26" s="29">
        <f>'SOG 12ME 5-2015'!E35</f>
        <v>979494165.91999996</v>
      </c>
      <c r="D26" s="29">
        <f>'SOG 12ME 5-2015'!E32+'SOG 12ME 5-2015'!E33</f>
        <v>69423909.329999998</v>
      </c>
      <c r="E26" s="29">
        <f>C26-D26</f>
        <v>910070256.58999991</v>
      </c>
      <c r="F26" s="30">
        <f>ROUND(B26/E26,9)</f>
        <v>4.7765239999999999E-3</v>
      </c>
      <c r="H26" s="20" t="str">
        <f t="shared" si="4"/>
        <v>include</v>
      </c>
    </row>
    <row r="27" spans="1:8">
      <c r="A27" s="190" t="s">
        <v>197</v>
      </c>
      <c r="B27" s="33">
        <f>'NetWriteoffs-Gas'!B17</f>
        <v>5107471.959999999</v>
      </c>
      <c r="C27" s="29">
        <f>'SOG 12ME 5-2016'!E35</f>
        <v>898177819.9799999</v>
      </c>
      <c r="D27" s="29">
        <f>'SOG 12ME 5-2016'!E32+'SOG 12ME 5-2016'!E33</f>
        <v>32301964.859999999</v>
      </c>
      <c r="E27" s="29">
        <f>C27-D27</f>
        <v>865875855.11999989</v>
      </c>
      <c r="F27" s="30">
        <f>ROUND(B27/E27,9)</f>
        <v>5.8986189999999999E-3</v>
      </c>
      <c r="H27" s="20" t="str">
        <f t="shared" si="4"/>
        <v>include</v>
      </c>
    </row>
    <row r="29" spans="1:8">
      <c r="A29" s="21" t="s">
        <v>23</v>
      </c>
    </row>
  </sheetData>
  <mergeCells count="1">
    <mergeCell ref="A5:F5"/>
  </mergeCells>
  <phoneticPr fontId="0" type="noConversion"/>
  <pageMargins left="0.75" right="0.46" top="0.75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44"/>
  <sheetViews>
    <sheetView topLeftCell="A4" zoomScaleNormal="100" workbookViewId="0">
      <selection activeCell="B11" sqref="B11"/>
    </sheetView>
  </sheetViews>
  <sheetFormatPr defaultRowHeight="14.4" outlineLevelRow="1"/>
  <cols>
    <col min="1" max="1" width="41.88671875" customWidth="1"/>
    <col min="2" max="2" width="20.33203125" customWidth="1"/>
    <col min="3" max="3" width="6.109375" customWidth="1"/>
    <col min="4" max="4" width="11.5546875" bestFit="1" customWidth="1"/>
    <col min="5" max="5" width="14.33203125" customWidth="1"/>
    <col min="6" max="6" width="14.33203125" bestFit="1" customWidth="1"/>
  </cols>
  <sheetData>
    <row r="1" spans="1:6">
      <c r="A1" s="182" t="s">
        <v>2</v>
      </c>
    </row>
    <row r="2" spans="1:6">
      <c r="A2" t="s">
        <v>3</v>
      </c>
    </row>
    <row r="3" spans="1:6">
      <c r="F3" s="234"/>
    </row>
    <row r="4" spans="1:6">
      <c r="A4" s="3" t="s">
        <v>162</v>
      </c>
      <c r="B4" s="4"/>
      <c r="F4" s="234"/>
    </row>
    <row r="5" spans="1:6">
      <c r="A5" s="5" t="s">
        <v>0</v>
      </c>
      <c r="B5" s="6" t="s">
        <v>1</v>
      </c>
      <c r="F5" s="234"/>
    </row>
    <row r="6" spans="1:6">
      <c r="A6" s="7" t="s">
        <v>88</v>
      </c>
      <c r="B6" s="162">
        <v>0</v>
      </c>
      <c r="F6" s="234"/>
    </row>
    <row r="7" spans="1:6">
      <c r="A7" s="7" t="s">
        <v>4</v>
      </c>
      <c r="B7" s="162">
        <v>16407059.630000001</v>
      </c>
      <c r="F7" s="234"/>
    </row>
    <row r="8" spans="1:6">
      <c r="A8" s="7" t="s">
        <v>5</v>
      </c>
      <c r="B8" s="9">
        <f>SUM(B6:B7)</f>
        <v>16407059.630000001</v>
      </c>
      <c r="F8" s="234"/>
    </row>
    <row r="9" spans="1:6">
      <c r="A9" s="7" t="s">
        <v>89</v>
      </c>
      <c r="B9" s="8">
        <v>0</v>
      </c>
      <c r="F9" s="234"/>
    </row>
    <row r="10" spans="1:6">
      <c r="A10" s="7" t="s">
        <v>6</v>
      </c>
      <c r="B10" s="162">
        <v>4461725.8499999996</v>
      </c>
      <c r="F10" s="234"/>
    </row>
    <row r="11" spans="1:6">
      <c r="A11" s="7" t="s">
        <v>7</v>
      </c>
      <c r="B11" s="10">
        <f>SUM(B9:B10)</f>
        <v>4461725.8499999996</v>
      </c>
      <c r="F11" s="234"/>
    </row>
    <row r="12" spans="1:6">
      <c r="A12" s="7" t="s">
        <v>8</v>
      </c>
      <c r="B12" s="8">
        <f>B8+B11</f>
        <v>20868785.48</v>
      </c>
      <c r="F12" s="234"/>
    </row>
    <row r="13" spans="1:6">
      <c r="A13" s="11" t="s">
        <v>9</v>
      </c>
      <c r="B13" s="12">
        <f>B12</f>
        <v>20868785.48</v>
      </c>
      <c r="F13" s="234"/>
    </row>
    <row r="14" spans="1:6">
      <c r="A14" s="13" t="s">
        <v>163</v>
      </c>
      <c r="B14" s="183"/>
      <c r="F14" s="234"/>
    </row>
    <row r="15" spans="1:6">
      <c r="A15" s="7" t="s">
        <v>7</v>
      </c>
      <c r="B15" s="277">
        <f>B11</f>
        <v>4461725.8499999996</v>
      </c>
      <c r="D15" s="196">
        <f>B15</f>
        <v>4461725.8499999996</v>
      </c>
      <c r="F15" s="234"/>
    </row>
    <row r="16" spans="1:6">
      <c r="A16" s="15" t="s">
        <v>120</v>
      </c>
      <c r="B16" s="232">
        <f>'BS Accts Gas'!D25</f>
        <v>645746.10999999987</v>
      </c>
      <c r="F16" s="234"/>
    </row>
    <row r="17" spans="1:6">
      <c r="A17" s="16"/>
      <c r="B17" s="17">
        <f>SUM(B15:B16)</f>
        <v>5107471.959999999</v>
      </c>
      <c r="F17" s="234"/>
    </row>
    <row r="18" spans="1:6">
      <c r="F18" s="234"/>
    </row>
    <row r="19" spans="1:6">
      <c r="A19" s="18"/>
      <c r="B19" s="19"/>
      <c r="F19" s="185"/>
    </row>
    <row r="20" spans="1:6">
      <c r="A20" s="3" t="s">
        <v>135</v>
      </c>
      <c r="B20" s="4"/>
      <c r="F20" s="185"/>
    </row>
    <row r="21" spans="1:6">
      <c r="A21" s="5" t="s">
        <v>0</v>
      </c>
      <c r="B21" s="6" t="s">
        <v>1</v>
      </c>
    </row>
    <row r="22" spans="1:6">
      <c r="A22" s="7" t="s">
        <v>88</v>
      </c>
      <c r="B22" s="162">
        <v>0</v>
      </c>
      <c r="F22" s="1"/>
    </row>
    <row r="23" spans="1:6">
      <c r="A23" s="7" t="s">
        <v>4</v>
      </c>
      <c r="B23" s="162">
        <v>14886049.460000001</v>
      </c>
      <c r="F23" s="234"/>
    </row>
    <row r="24" spans="1:6">
      <c r="A24" s="7" t="s">
        <v>5</v>
      </c>
      <c r="B24" s="9">
        <f>SUM(B22:B23)</f>
        <v>14886049.460000001</v>
      </c>
      <c r="F24" s="234"/>
    </row>
    <row r="25" spans="1:6">
      <c r="A25" s="7" t="s">
        <v>89</v>
      </c>
      <c r="B25" s="8">
        <v>0</v>
      </c>
    </row>
    <row r="26" spans="1:6">
      <c r="A26" s="7" t="s">
        <v>6</v>
      </c>
      <c r="B26" s="162">
        <v>4744828.03</v>
      </c>
    </row>
    <row r="27" spans="1:6">
      <c r="A27" s="7" t="s">
        <v>7</v>
      </c>
      <c r="B27" s="10">
        <f>SUM(B25:B26)</f>
        <v>4744828.03</v>
      </c>
    </row>
    <row r="28" spans="1:6">
      <c r="A28" s="7" t="s">
        <v>8</v>
      </c>
      <c r="B28" s="8">
        <f>B24+B27</f>
        <v>19630877.490000002</v>
      </c>
    </row>
    <row r="29" spans="1:6">
      <c r="A29" s="11" t="s">
        <v>9</v>
      </c>
      <c r="B29" s="12">
        <f>B28</f>
        <v>19630877.490000002</v>
      </c>
    </row>
    <row r="30" spans="1:6">
      <c r="A30" s="13" t="s">
        <v>136</v>
      </c>
      <c r="B30" s="183"/>
    </row>
    <row r="31" spans="1:6">
      <c r="A31" s="7" t="s">
        <v>7</v>
      </c>
      <c r="B31" s="277">
        <f>B27</f>
        <v>4744828.03</v>
      </c>
      <c r="D31" s="196">
        <f>B31</f>
        <v>4744828.03</v>
      </c>
    </row>
    <row r="32" spans="1:6">
      <c r="A32" s="15" t="s">
        <v>120</v>
      </c>
      <c r="B32" s="232">
        <f>'BS Accts Gas'!D47</f>
        <v>-397855.16000000027</v>
      </c>
    </row>
    <row r="33" spans="1:4">
      <c r="A33" s="16"/>
      <c r="B33" s="17">
        <f>SUM(B31:B32)</f>
        <v>4346972.87</v>
      </c>
    </row>
    <row r="34" spans="1:4" ht="16.5" customHeight="1"/>
    <row r="35" spans="1:4" ht="17.25" customHeight="1">
      <c r="A35" s="18"/>
      <c r="B35" s="19"/>
    </row>
    <row r="36" spans="1:4">
      <c r="A36" s="3" t="s">
        <v>137</v>
      </c>
      <c r="B36" s="4"/>
    </row>
    <row r="37" spans="1:4">
      <c r="A37" s="5" t="s">
        <v>0</v>
      </c>
      <c r="B37" s="6" t="s">
        <v>1</v>
      </c>
    </row>
    <row r="38" spans="1:4">
      <c r="A38" s="7" t="s">
        <v>88</v>
      </c>
      <c r="B38" s="162">
        <v>0</v>
      </c>
    </row>
    <row r="39" spans="1:4">
      <c r="A39" s="7" t="s">
        <v>4</v>
      </c>
      <c r="B39" s="162">
        <v>21897488.260000002</v>
      </c>
    </row>
    <row r="40" spans="1:4">
      <c r="A40" s="7" t="s">
        <v>5</v>
      </c>
      <c r="B40" s="9">
        <f>SUM(B38:B39)</f>
        <v>21897488.260000002</v>
      </c>
    </row>
    <row r="41" spans="1:4">
      <c r="A41" s="7" t="s">
        <v>89</v>
      </c>
      <c r="B41" s="8">
        <v>0</v>
      </c>
    </row>
    <row r="42" spans="1:4">
      <c r="A42" s="7" t="s">
        <v>6</v>
      </c>
      <c r="B42" s="162">
        <v>7412257.6799999997</v>
      </c>
    </row>
    <row r="43" spans="1:4">
      <c r="A43" s="7" t="s">
        <v>7</v>
      </c>
      <c r="B43" s="10">
        <f>SUM(B41:B42)</f>
        <v>7412257.6799999997</v>
      </c>
    </row>
    <row r="44" spans="1:4">
      <c r="A44" s="7" t="s">
        <v>8</v>
      </c>
      <c r="B44" s="8">
        <f>B40+B43</f>
        <v>29309745.940000001</v>
      </c>
    </row>
    <row r="45" spans="1:4">
      <c r="A45" s="11" t="s">
        <v>9</v>
      </c>
      <c r="B45" s="12">
        <f>B44</f>
        <v>29309745.940000001</v>
      </c>
      <c r="C45" s="196"/>
    </row>
    <row r="46" spans="1:4">
      <c r="A46" s="13" t="s">
        <v>138</v>
      </c>
      <c r="B46" s="183"/>
    </row>
    <row r="47" spans="1:4">
      <c r="A47" s="7" t="s">
        <v>7</v>
      </c>
      <c r="B47" s="277">
        <f>B43</f>
        <v>7412257.6799999997</v>
      </c>
      <c r="D47" s="196">
        <f>B47</f>
        <v>7412257.6799999997</v>
      </c>
    </row>
    <row r="48" spans="1:4">
      <c r="A48" s="15" t="s">
        <v>121</v>
      </c>
      <c r="B48" s="184">
        <f>'BS Accts Gas'!D65</f>
        <v>-894228.71000000031</v>
      </c>
    </row>
    <row r="49" spans="1:6">
      <c r="A49" s="16"/>
      <c r="B49" s="17">
        <f>SUM(B47:B48)</f>
        <v>6518028.9699999997</v>
      </c>
    </row>
    <row r="50" spans="1:6" ht="8.1" customHeight="1">
      <c r="A50" s="18"/>
      <c r="B50" s="19"/>
    </row>
    <row r="51" spans="1:6">
      <c r="A51" s="3" t="s">
        <v>139</v>
      </c>
      <c r="B51" s="4"/>
    </row>
    <row r="52" spans="1:6">
      <c r="A52" s="5" t="s">
        <v>0</v>
      </c>
      <c r="B52" s="6" t="s">
        <v>1</v>
      </c>
    </row>
    <row r="53" spans="1:6">
      <c r="A53" s="7" t="s">
        <v>88</v>
      </c>
      <c r="B53" s="162">
        <v>3750</v>
      </c>
    </row>
    <row r="54" spans="1:6">
      <c r="A54" s="7" t="s">
        <v>4</v>
      </c>
      <c r="B54" s="162">
        <v>12060329.210000001</v>
      </c>
    </row>
    <row r="55" spans="1:6">
      <c r="A55" s="7" t="s">
        <v>5</v>
      </c>
      <c r="B55" s="9">
        <f>SUM(B53:B54)</f>
        <v>12064079.210000001</v>
      </c>
    </row>
    <row r="56" spans="1:6">
      <c r="A56" s="7" t="s">
        <v>89</v>
      </c>
      <c r="B56" s="8">
        <v>3750</v>
      </c>
      <c r="F56" s="185"/>
    </row>
    <row r="57" spans="1:6">
      <c r="A57" s="7" t="s">
        <v>6</v>
      </c>
      <c r="B57" s="162">
        <v>4098401.65</v>
      </c>
    </row>
    <row r="58" spans="1:6">
      <c r="A58" s="7" t="s">
        <v>7</v>
      </c>
      <c r="B58" s="10">
        <f>SUM(B56:B57)</f>
        <v>4102151.65</v>
      </c>
    </row>
    <row r="59" spans="1:6">
      <c r="A59" s="7" t="s">
        <v>8</v>
      </c>
      <c r="B59" s="8">
        <f>B55+B58</f>
        <v>16166230.860000001</v>
      </c>
      <c r="E59" s="22"/>
    </row>
    <row r="60" spans="1:6">
      <c r="A60" s="11" t="s">
        <v>9</v>
      </c>
      <c r="B60" s="12">
        <f>B59</f>
        <v>16166230.860000001</v>
      </c>
      <c r="C60" s="196"/>
    </row>
    <row r="61" spans="1:6">
      <c r="A61" s="13" t="s">
        <v>140</v>
      </c>
      <c r="B61" s="183"/>
    </row>
    <row r="62" spans="1:6">
      <c r="A62" s="7" t="s">
        <v>7</v>
      </c>
      <c r="B62" s="277">
        <f>B58</f>
        <v>4102151.65</v>
      </c>
      <c r="D62" s="196">
        <f>B62</f>
        <v>4102151.65</v>
      </c>
    </row>
    <row r="63" spans="1:6">
      <c r="A63" s="15" t="s">
        <v>122</v>
      </c>
      <c r="B63" s="184">
        <f>'BS Accts Gas'!D83</f>
        <v>707060.30999999878</v>
      </c>
    </row>
    <row r="64" spans="1:6">
      <c r="A64" s="16"/>
      <c r="B64" s="17">
        <f>SUM(B62:B63)</f>
        <v>4809211.959999999</v>
      </c>
    </row>
    <row r="65" spans="1:5" ht="8.1" customHeight="1">
      <c r="A65" s="18"/>
      <c r="B65" s="19"/>
    </row>
    <row r="66" spans="1:5">
      <c r="A66" s="3" t="s">
        <v>141</v>
      </c>
      <c r="B66" s="4"/>
    </row>
    <row r="67" spans="1:5">
      <c r="A67" s="5" t="s">
        <v>0</v>
      </c>
      <c r="B67" s="6" t="s">
        <v>1</v>
      </c>
    </row>
    <row r="68" spans="1:5">
      <c r="A68" s="7" t="s">
        <v>88</v>
      </c>
      <c r="B68" s="162">
        <v>37500</v>
      </c>
    </row>
    <row r="69" spans="1:5">
      <c r="A69" s="7" t="s">
        <v>4</v>
      </c>
      <c r="B69" s="162">
        <v>12619551.859999999</v>
      </c>
    </row>
    <row r="70" spans="1:5">
      <c r="A70" s="7" t="s">
        <v>5</v>
      </c>
      <c r="B70" s="9">
        <f>SUM(B68:B69)</f>
        <v>12657051.859999999</v>
      </c>
    </row>
    <row r="71" spans="1:5">
      <c r="A71" s="7" t="s">
        <v>89</v>
      </c>
      <c r="B71" s="9"/>
    </row>
    <row r="72" spans="1:5">
      <c r="A72" s="7" t="s">
        <v>6</v>
      </c>
      <c r="B72" s="162">
        <v>4955903.38</v>
      </c>
    </row>
    <row r="73" spans="1:5">
      <c r="A73" s="7" t="s">
        <v>7</v>
      </c>
      <c r="B73" s="10">
        <f>SUM(B71:B72)</f>
        <v>4955903.38</v>
      </c>
      <c r="D73" s="278">
        <f>B73</f>
        <v>4955903.38</v>
      </c>
      <c r="E73" s="193" t="s">
        <v>202</v>
      </c>
    </row>
    <row r="74" spans="1:5">
      <c r="A74" s="7" t="s">
        <v>8</v>
      </c>
      <c r="B74" s="8">
        <f>B70+B73</f>
        <v>17612955.239999998</v>
      </c>
      <c r="D74" s="196">
        <f>SUM(D15:D73)</f>
        <v>25676866.589999996</v>
      </c>
      <c r="E74" t="s">
        <v>201</v>
      </c>
    </row>
    <row r="75" spans="1:5">
      <c r="A75" s="11" t="s">
        <v>9</v>
      </c>
      <c r="B75" s="12">
        <f>B74</f>
        <v>17612955.239999998</v>
      </c>
      <c r="D75" s="300">
        <f>'904G Uncollectible 5YE 9-2016'!F93</f>
        <v>25676866.59</v>
      </c>
      <c r="E75" t="s">
        <v>203</v>
      </c>
    </row>
    <row r="76" spans="1:5">
      <c r="A76" s="13" t="s">
        <v>142</v>
      </c>
      <c r="B76" s="14"/>
      <c r="C76" s="237" t="s">
        <v>156</v>
      </c>
      <c r="D76" s="298">
        <f>D74-D75</f>
        <v>0</v>
      </c>
    </row>
    <row r="77" spans="1:5">
      <c r="A77" s="7" t="s">
        <v>7</v>
      </c>
      <c r="B77" s="14">
        <f>B73</f>
        <v>4955903.38</v>
      </c>
    </row>
    <row r="78" spans="1:5">
      <c r="A78" s="15" t="s">
        <v>122</v>
      </c>
      <c r="B78" s="184">
        <f>'BS Accts Gas'!D101</f>
        <v>47525.580000009388</v>
      </c>
    </row>
    <row r="79" spans="1:5">
      <c r="A79" s="16"/>
      <c r="B79" s="17">
        <f>SUM(B77:B78)</f>
        <v>5003428.9600000093</v>
      </c>
    </row>
    <row r="80" spans="1:5" ht="8.1" customHeight="1">
      <c r="A80" s="18" t="s">
        <v>10</v>
      </c>
      <c r="B80" s="19"/>
    </row>
    <row r="81" spans="1:3" hidden="1" outlineLevel="1">
      <c r="A81" s="3" t="s">
        <v>143</v>
      </c>
      <c r="B81" s="4"/>
    </row>
    <row r="82" spans="1:3" hidden="1" outlineLevel="1">
      <c r="A82" s="5" t="s">
        <v>0</v>
      </c>
      <c r="B82" s="6" t="s">
        <v>1</v>
      </c>
    </row>
    <row r="83" spans="1:3" hidden="1" outlineLevel="1">
      <c r="A83" s="7"/>
      <c r="B83" s="161"/>
    </row>
    <row r="84" spans="1:3" hidden="1" outlineLevel="1">
      <c r="A84" s="7" t="s">
        <v>4</v>
      </c>
      <c r="B84" s="162">
        <v>11260413.59</v>
      </c>
    </row>
    <row r="85" spans="1:3" hidden="1" outlineLevel="1">
      <c r="A85" s="7" t="s">
        <v>5</v>
      </c>
      <c r="B85" s="9">
        <f>SUM(B84)</f>
        <v>11260413.59</v>
      </c>
    </row>
    <row r="86" spans="1:3" hidden="1" outlineLevel="1">
      <c r="A86" s="7"/>
      <c r="B86" s="9"/>
    </row>
    <row r="87" spans="1:3" hidden="1" outlineLevel="1">
      <c r="A87" s="7" t="s">
        <v>6</v>
      </c>
      <c r="B87" s="162">
        <v>4284252.76</v>
      </c>
    </row>
    <row r="88" spans="1:3" hidden="1" outlineLevel="1">
      <c r="A88" s="7" t="s">
        <v>7</v>
      </c>
      <c r="B88" s="10">
        <f>SUM(B87)</f>
        <v>4284252.76</v>
      </c>
    </row>
    <row r="89" spans="1:3" hidden="1" outlineLevel="1">
      <c r="A89" s="7" t="s">
        <v>8</v>
      </c>
      <c r="B89" s="8">
        <f>B85+B88</f>
        <v>15544666.35</v>
      </c>
    </row>
    <row r="90" spans="1:3" hidden="1" outlineLevel="1">
      <c r="A90" s="11" t="s">
        <v>9</v>
      </c>
      <c r="B90" s="12">
        <f>B89</f>
        <v>15544666.35</v>
      </c>
      <c r="C90" s="196"/>
    </row>
    <row r="91" spans="1:3" hidden="1" outlineLevel="1">
      <c r="A91" s="13" t="s">
        <v>144</v>
      </c>
      <c r="B91" s="14"/>
    </row>
    <row r="92" spans="1:3" hidden="1" outlineLevel="1">
      <c r="A92" s="7" t="s">
        <v>7</v>
      </c>
      <c r="B92" s="14">
        <f>B88</f>
        <v>4284252.76</v>
      </c>
    </row>
    <row r="93" spans="1:3" hidden="1" outlineLevel="1">
      <c r="A93" s="15" t="s">
        <v>122</v>
      </c>
      <c r="B93" s="184">
        <f>'BS Accts Gas'!D118</f>
        <v>-34340.589999999851</v>
      </c>
    </row>
    <row r="94" spans="1:3" ht="15" hidden="1" customHeight="1" outlineLevel="1">
      <c r="A94" s="16"/>
      <c r="B94" s="17">
        <f>SUM(B92:B93)</f>
        <v>4249912.17</v>
      </c>
    </row>
    <row r="95" spans="1:3" collapsed="1">
      <c r="A95" t="s">
        <v>82</v>
      </c>
      <c r="B95" s="1"/>
    </row>
    <row r="96" spans="1:3">
      <c r="B96" s="22"/>
    </row>
    <row r="97" spans="2:2">
      <c r="B97" s="22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</sheetData>
  <phoneticPr fontId="0" type="noConversion"/>
  <pageMargins left="0.7" right="0.7" top="0.75" bottom="0.7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21"/>
  <sheetViews>
    <sheetView topLeftCell="A85" zoomScaleNormal="100" workbookViewId="0">
      <selection activeCell="E23" sqref="E23"/>
    </sheetView>
  </sheetViews>
  <sheetFormatPr defaultRowHeight="14.4" outlineLevelRow="1"/>
  <cols>
    <col min="1" max="1" width="12.5546875" customWidth="1"/>
    <col min="2" max="3" width="18.88671875" customWidth="1"/>
    <col min="4" max="4" width="14" customWidth="1"/>
    <col min="5" max="5" width="17.5546875" customWidth="1"/>
    <col min="6" max="6" width="11.33203125" customWidth="1"/>
    <col min="7" max="7" width="14.88671875" customWidth="1"/>
    <col min="8" max="8" width="7.5546875" customWidth="1"/>
    <col min="9" max="9" width="16.5546875" customWidth="1"/>
    <col min="10" max="10" width="17.44140625" customWidth="1"/>
  </cols>
  <sheetData>
    <row r="1" spans="1:5">
      <c r="A1" s="165" t="s">
        <v>92</v>
      </c>
    </row>
    <row r="2" spans="1:5">
      <c r="A2" s="165" t="s">
        <v>91</v>
      </c>
    </row>
    <row r="4" spans="1:5">
      <c r="A4" s="2" t="s">
        <v>84</v>
      </c>
    </row>
    <row r="5" spans="1:5">
      <c r="A5" s="2" t="s">
        <v>86</v>
      </c>
    </row>
    <row r="6" spans="1:5">
      <c r="A6" s="2" t="s">
        <v>87</v>
      </c>
    </row>
    <row r="7" spans="1:5">
      <c r="A7" s="166"/>
      <c r="B7" s="167"/>
      <c r="C7" s="167"/>
      <c r="D7" s="167"/>
      <c r="E7" s="168" t="s">
        <v>93</v>
      </c>
    </row>
    <row r="8" spans="1:5">
      <c r="A8" s="168" t="s">
        <v>94</v>
      </c>
      <c r="B8" s="168" t="s">
        <v>95</v>
      </c>
      <c r="C8" s="168" t="s">
        <v>96</v>
      </c>
      <c r="D8" s="168" t="s">
        <v>97</v>
      </c>
      <c r="E8" s="168" t="s">
        <v>98</v>
      </c>
    </row>
    <row r="9" spans="1:5">
      <c r="A9" s="169" t="s">
        <v>99</v>
      </c>
      <c r="B9" s="170" t="s">
        <v>100</v>
      </c>
      <c r="C9" s="170" t="s">
        <v>101</v>
      </c>
      <c r="D9" s="170" t="s">
        <v>102</v>
      </c>
      <c r="E9" s="170" t="s">
        <v>103</v>
      </c>
    </row>
    <row r="10" spans="1:5">
      <c r="A10" s="274"/>
      <c r="B10" s="275"/>
      <c r="C10" s="275"/>
      <c r="D10" s="275"/>
      <c r="E10" s="275"/>
    </row>
    <row r="11" spans="1:5">
      <c r="A11" s="171" t="s">
        <v>104</v>
      </c>
      <c r="B11" s="172">
        <v>0</v>
      </c>
      <c r="C11" s="172">
        <v>0</v>
      </c>
      <c r="D11" s="172">
        <v>0</v>
      </c>
      <c r="E11" s="172">
        <f>E45</f>
        <v>-2186114.9699999914</v>
      </c>
    </row>
    <row r="12" spans="1:5">
      <c r="A12" s="181">
        <v>42308</v>
      </c>
      <c r="B12" s="172">
        <v>773851.44</v>
      </c>
      <c r="C12" s="172">
        <v>462884.78</v>
      </c>
      <c r="D12" s="172">
        <f>B12-C12</f>
        <v>310966.65999999992</v>
      </c>
      <c r="E12" s="172">
        <f>E11+D12</f>
        <v>-1875148.3099999914</v>
      </c>
    </row>
    <row r="13" spans="1:5">
      <c r="A13" s="181">
        <v>42338</v>
      </c>
      <c r="B13" s="172">
        <v>202827.54</v>
      </c>
      <c r="C13" s="172">
        <v>262241.28999999998</v>
      </c>
      <c r="D13" s="172">
        <f t="shared" ref="D13:D23" si="0">B13-C13</f>
        <v>-59413.749999999971</v>
      </c>
      <c r="E13" s="172">
        <f t="shared" ref="E13:E23" si="1">E12+D13</f>
        <v>-1934562.0599999914</v>
      </c>
    </row>
    <row r="14" spans="1:5">
      <c r="A14" s="181">
        <v>42369</v>
      </c>
      <c r="B14" s="172">
        <v>786631.25</v>
      </c>
      <c r="C14" s="172">
        <v>460406.11</v>
      </c>
      <c r="D14" s="172">
        <f t="shared" si="0"/>
        <v>326225.14</v>
      </c>
      <c r="E14" s="172">
        <f t="shared" si="1"/>
        <v>-1608336.9199999915</v>
      </c>
    </row>
    <row r="15" spans="1:5">
      <c r="A15" s="171" t="s">
        <v>164</v>
      </c>
      <c r="B15" s="172">
        <v>787325.6</v>
      </c>
      <c r="C15" s="172">
        <v>1003174.92</v>
      </c>
      <c r="D15" s="172">
        <f t="shared" si="0"/>
        <v>-215849.32000000007</v>
      </c>
      <c r="E15" s="172">
        <f t="shared" si="1"/>
        <v>-1824186.2399999916</v>
      </c>
    </row>
    <row r="16" spans="1:5">
      <c r="A16" s="171" t="s">
        <v>165</v>
      </c>
      <c r="B16" s="172">
        <v>882901.6</v>
      </c>
      <c r="C16" s="172">
        <v>662282.9</v>
      </c>
      <c r="D16" s="172">
        <f t="shared" si="0"/>
        <v>220618.69999999995</v>
      </c>
      <c r="E16" s="172">
        <f t="shared" si="1"/>
        <v>-1603567.5399999917</v>
      </c>
    </row>
    <row r="17" spans="1:14">
      <c r="A17" s="171" t="s">
        <v>166</v>
      </c>
      <c r="B17" s="172">
        <v>738583.35</v>
      </c>
      <c r="C17" s="172">
        <v>385052.97</v>
      </c>
      <c r="D17" s="172">
        <f t="shared" si="0"/>
        <v>353530.38</v>
      </c>
      <c r="E17" s="172">
        <f t="shared" si="1"/>
        <v>-1250037.1599999918</v>
      </c>
    </row>
    <row r="18" spans="1:14">
      <c r="A18" s="171" t="s">
        <v>167</v>
      </c>
      <c r="B18" s="172">
        <v>315339.48</v>
      </c>
      <c r="C18" s="172">
        <v>444178.1</v>
      </c>
      <c r="D18" s="172">
        <f t="shared" si="0"/>
        <v>-128838.62</v>
      </c>
      <c r="E18" s="172">
        <f t="shared" si="1"/>
        <v>-1378875.7799999919</v>
      </c>
    </row>
    <row r="19" spans="1:14">
      <c r="A19" s="171" t="s">
        <v>168</v>
      </c>
      <c r="B19" s="172">
        <v>285826.65000000002</v>
      </c>
      <c r="C19" s="172">
        <v>491621.95</v>
      </c>
      <c r="D19" s="172">
        <f t="shared" si="0"/>
        <v>-205795.3</v>
      </c>
      <c r="E19" s="172">
        <f t="shared" si="1"/>
        <v>-1584671.0799999919</v>
      </c>
    </row>
    <row r="20" spans="1:14">
      <c r="A20" s="171" t="s">
        <v>169</v>
      </c>
      <c r="B20" s="172">
        <v>659568.13</v>
      </c>
      <c r="C20" s="172">
        <v>581226.93999999994</v>
      </c>
      <c r="D20" s="172">
        <f t="shared" si="0"/>
        <v>78341.190000000061</v>
      </c>
      <c r="E20" s="172">
        <f t="shared" si="1"/>
        <v>-1506329.8899999917</v>
      </c>
      <c r="N20" s="165"/>
    </row>
    <row r="21" spans="1:14">
      <c r="A21" s="181">
        <v>42582</v>
      </c>
      <c r="B21" s="172">
        <v>585666.36</v>
      </c>
      <c r="C21" s="172">
        <v>480162.61</v>
      </c>
      <c r="D21" s="172">
        <f t="shared" si="0"/>
        <v>105503.75</v>
      </c>
      <c r="E21" s="172">
        <f t="shared" si="1"/>
        <v>-1400826.1399999917</v>
      </c>
      <c r="N21" s="165"/>
    </row>
    <row r="22" spans="1:14">
      <c r="A22" s="181">
        <v>42613</v>
      </c>
      <c r="B22" s="172">
        <v>443614.79</v>
      </c>
      <c r="C22" s="172">
        <v>635794.48</v>
      </c>
      <c r="D22" s="172">
        <f t="shared" si="0"/>
        <v>-192179.69</v>
      </c>
      <c r="E22" s="172">
        <f t="shared" si="1"/>
        <v>-1593005.8299999917</v>
      </c>
    </row>
    <row r="23" spans="1:14">
      <c r="A23" s="181">
        <v>42643</v>
      </c>
      <c r="B23" s="172">
        <v>678320.72</v>
      </c>
      <c r="C23" s="172">
        <v>625683.75</v>
      </c>
      <c r="D23" s="172">
        <f t="shared" si="0"/>
        <v>52636.969999999972</v>
      </c>
      <c r="E23" s="172">
        <f t="shared" si="1"/>
        <v>-1540368.8599999917</v>
      </c>
      <c r="G23" s="185">
        <f>E23</f>
        <v>-1540368.8599999917</v>
      </c>
      <c r="H23" t="s">
        <v>199</v>
      </c>
    </row>
    <row r="24" spans="1:14">
      <c r="A24" s="165"/>
      <c r="B24" s="172"/>
      <c r="C24" s="172"/>
      <c r="D24" s="172"/>
      <c r="E24" s="172"/>
      <c r="F24" s="185">
        <f>E23-E87</f>
        <v>108248.13000000804</v>
      </c>
      <c r="G24" s="276">
        <f>E87</f>
        <v>-1648616.9899999998</v>
      </c>
      <c r="H24" t="s">
        <v>198</v>
      </c>
    </row>
    <row r="25" spans="1:14">
      <c r="A25" s="165"/>
      <c r="B25" s="173"/>
      <c r="C25" s="174" t="s">
        <v>117</v>
      </c>
      <c r="D25" s="175">
        <f>SUM(D12:D24)</f>
        <v>645746.10999999987</v>
      </c>
      <c r="E25" s="165"/>
      <c r="G25" s="185">
        <f>G23-G24</f>
        <v>108248.13000000804</v>
      </c>
      <c r="H25" t="s">
        <v>170</v>
      </c>
    </row>
    <row r="26" spans="1:14">
      <c r="A26" s="165"/>
      <c r="B26" s="165"/>
      <c r="C26" s="165"/>
      <c r="D26" s="165"/>
      <c r="E26" s="165"/>
    </row>
    <row r="27" spans="1:14">
      <c r="A27" s="165"/>
      <c r="B27" s="176" t="s">
        <v>118</v>
      </c>
      <c r="C27" s="177"/>
      <c r="D27" s="178"/>
      <c r="E27" s="175">
        <f>E23-E11</f>
        <v>645746.10999999964</v>
      </c>
      <c r="G27" s="185">
        <f>E27+E49+E67+E85+E103</f>
        <v>108248.13000000804</v>
      </c>
      <c r="H27" s="240">
        <f>G25-G27</f>
        <v>0</v>
      </c>
      <c r="I27" s="237" t="s">
        <v>156</v>
      </c>
    </row>
    <row r="28" spans="1:14">
      <c r="A28" s="168"/>
      <c r="B28" s="168"/>
      <c r="C28" s="168"/>
      <c r="D28" s="168"/>
      <c r="E28" s="168"/>
    </row>
    <row r="29" spans="1:14">
      <c r="A29" s="168"/>
      <c r="B29" s="168"/>
      <c r="C29" s="168"/>
      <c r="D29" s="168"/>
      <c r="E29" s="168"/>
    </row>
    <row r="30" spans="1:14">
      <c r="A30" s="168"/>
      <c r="B30" s="168"/>
      <c r="C30" s="168"/>
      <c r="D30" s="168"/>
      <c r="E30" s="168"/>
    </row>
    <row r="32" spans="1:14">
      <c r="A32" s="191"/>
      <c r="B32" s="192"/>
      <c r="C32" s="192"/>
      <c r="D32" s="192"/>
      <c r="E32" s="192"/>
      <c r="F32" s="193" t="s">
        <v>134</v>
      </c>
    </row>
    <row r="33" spans="1:10">
      <c r="A33" s="171" t="s">
        <v>104</v>
      </c>
      <c r="B33" s="172">
        <v>0</v>
      </c>
      <c r="C33" s="172">
        <v>0</v>
      </c>
      <c r="D33" s="172">
        <v>0</v>
      </c>
      <c r="E33" s="172">
        <f>E63</f>
        <v>-1788259.8099999912</v>
      </c>
      <c r="F33" s="185"/>
    </row>
    <row r="34" spans="1:10">
      <c r="A34" s="181">
        <v>41943</v>
      </c>
      <c r="B34" s="172">
        <v>868764.58</v>
      </c>
      <c r="C34" s="172">
        <v>603444.38</v>
      </c>
      <c r="D34" s="172">
        <f>B34-C34</f>
        <v>265320.19999999995</v>
      </c>
      <c r="E34" s="172">
        <f>E33+D34</f>
        <v>-1522939.6099999913</v>
      </c>
      <c r="F34" s="185">
        <f>(E33+B34-C34)-E34</f>
        <v>0</v>
      </c>
    </row>
    <row r="35" spans="1:10">
      <c r="A35" s="181">
        <v>41973</v>
      </c>
      <c r="B35" s="172">
        <v>649912.31999999995</v>
      </c>
      <c r="C35" s="172">
        <v>609563.06000000006</v>
      </c>
      <c r="D35" s="172">
        <f t="shared" ref="D35:D45" si="2">B35-C35</f>
        <v>40349.259999999893</v>
      </c>
      <c r="E35" s="172">
        <f t="shared" ref="E35:E45" si="3">E34+D35</f>
        <v>-1482590.3499999912</v>
      </c>
      <c r="F35" s="185">
        <f t="shared" ref="F35:F44" si="4">(E34+B35-C35)-E35</f>
        <v>0</v>
      </c>
      <c r="G35" s="175"/>
    </row>
    <row r="36" spans="1:10">
      <c r="A36" s="181">
        <v>42004</v>
      </c>
      <c r="B36" s="172">
        <v>775400.82</v>
      </c>
      <c r="C36" s="172">
        <v>599729.65</v>
      </c>
      <c r="D36" s="172">
        <f t="shared" si="2"/>
        <v>175671.16999999993</v>
      </c>
      <c r="E36" s="172">
        <f t="shared" si="3"/>
        <v>-1306919.1799999913</v>
      </c>
      <c r="F36" s="185">
        <f t="shared" si="4"/>
        <v>0</v>
      </c>
      <c r="G36" s="234"/>
    </row>
    <row r="37" spans="1:10">
      <c r="A37" s="171" t="s">
        <v>123</v>
      </c>
      <c r="B37" s="172">
        <v>508806.85</v>
      </c>
      <c r="C37" s="172">
        <v>511200.79</v>
      </c>
      <c r="D37" s="172">
        <f t="shared" si="2"/>
        <v>-2393.9400000000023</v>
      </c>
      <c r="E37" s="172">
        <f t="shared" si="3"/>
        <v>-1309313.1199999913</v>
      </c>
      <c r="F37" s="185">
        <f t="shared" si="4"/>
        <v>0</v>
      </c>
      <c r="G37" s="185"/>
    </row>
    <row r="38" spans="1:10">
      <c r="A38" s="171" t="s">
        <v>124</v>
      </c>
      <c r="B38" s="172">
        <v>466862.49</v>
      </c>
      <c r="C38" s="172">
        <v>525093.24</v>
      </c>
      <c r="D38" s="172">
        <f t="shared" si="2"/>
        <v>-58230.75</v>
      </c>
      <c r="E38" s="172">
        <f t="shared" si="3"/>
        <v>-1367543.8699999913</v>
      </c>
      <c r="F38" s="185">
        <f t="shared" si="4"/>
        <v>0</v>
      </c>
    </row>
    <row r="39" spans="1:10">
      <c r="A39" s="171" t="s">
        <v>125</v>
      </c>
      <c r="B39" s="172">
        <v>506647.66</v>
      </c>
      <c r="C39" s="172">
        <v>716502.61</v>
      </c>
      <c r="D39" s="172">
        <f t="shared" si="2"/>
        <v>-209854.95</v>
      </c>
      <c r="E39" s="172">
        <f t="shared" si="3"/>
        <v>-1577398.8199999912</v>
      </c>
      <c r="F39" s="185">
        <f t="shared" si="4"/>
        <v>0</v>
      </c>
      <c r="G39" s="236"/>
    </row>
    <row r="40" spans="1:10">
      <c r="A40" s="171" t="s">
        <v>126</v>
      </c>
      <c r="B40" s="172">
        <v>384777.15</v>
      </c>
      <c r="C40" s="172">
        <v>668338.66</v>
      </c>
      <c r="D40" s="172">
        <f t="shared" si="2"/>
        <v>-283561.51</v>
      </c>
      <c r="E40" s="172">
        <f t="shared" si="3"/>
        <v>-1860960.3299999912</v>
      </c>
      <c r="F40" s="185">
        <f t="shared" si="4"/>
        <v>0</v>
      </c>
      <c r="G40" s="238"/>
      <c r="H40" s="237"/>
    </row>
    <row r="41" spans="1:10">
      <c r="A41" s="171" t="s">
        <v>127</v>
      </c>
      <c r="B41" s="172">
        <v>435786.96</v>
      </c>
      <c r="C41" s="172">
        <v>530847.14</v>
      </c>
      <c r="D41" s="172">
        <f t="shared" si="2"/>
        <v>-95060.18</v>
      </c>
      <c r="E41" s="172">
        <f t="shared" si="3"/>
        <v>-1956020.5099999912</v>
      </c>
      <c r="F41" s="185">
        <f t="shared" si="4"/>
        <v>0</v>
      </c>
    </row>
    <row r="42" spans="1:10">
      <c r="A42" s="171" t="s">
        <v>128</v>
      </c>
      <c r="B42" s="172">
        <v>682632.01</v>
      </c>
      <c r="C42" s="172">
        <v>593987.31000000006</v>
      </c>
      <c r="D42" s="172">
        <f t="shared" si="2"/>
        <v>88644.699999999953</v>
      </c>
      <c r="E42" s="172">
        <f t="shared" si="3"/>
        <v>-1867375.8099999912</v>
      </c>
      <c r="F42" s="185">
        <f t="shared" si="4"/>
        <v>0</v>
      </c>
    </row>
    <row r="43" spans="1:10">
      <c r="A43" s="181">
        <v>42216</v>
      </c>
      <c r="B43" s="172">
        <v>601156.36</v>
      </c>
      <c r="C43" s="172">
        <v>476045.48</v>
      </c>
      <c r="D43" s="172">
        <f t="shared" si="2"/>
        <v>125110.88</v>
      </c>
      <c r="E43" s="172">
        <f t="shared" si="3"/>
        <v>-1742264.9299999913</v>
      </c>
      <c r="F43" s="185">
        <f t="shared" si="4"/>
        <v>0</v>
      </c>
    </row>
    <row r="44" spans="1:10">
      <c r="A44" s="181">
        <v>42247</v>
      </c>
      <c r="B44" s="172">
        <v>216438.58</v>
      </c>
      <c r="C44" s="172">
        <v>300450.15000000002</v>
      </c>
      <c r="D44" s="172">
        <f t="shared" si="2"/>
        <v>-84011.570000000036</v>
      </c>
      <c r="E44" s="172">
        <f t="shared" si="3"/>
        <v>-1826276.4999999914</v>
      </c>
      <c r="F44" s="185">
        <f t="shared" si="4"/>
        <v>0</v>
      </c>
    </row>
    <row r="45" spans="1:10">
      <c r="A45" s="181">
        <v>42277</v>
      </c>
      <c r="B45" s="172">
        <v>141361.28</v>
      </c>
      <c r="C45" s="172">
        <v>501199.75</v>
      </c>
      <c r="D45" s="172">
        <f t="shared" si="2"/>
        <v>-359838.47</v>
      </c>
      <c r="E45" s="172">
        <f t="shared" si="3"/>
        <v>-2186114.9699999914</v>
      </c>
      <c r="F45" s="185">
        <f>(E44+B45-C45)-E45</f>
        <v>0</v>
      </c>
    </row>
    <row r="46" spans="1:10">
      <c r="A46" s="165"/>
      <c r="B46" s="172"/>
      <c r="C46" s="172"/>
      <c r="D46" s="172"/>
      <c r="E46" s="172"/>
    </row>
    <row r="47" spans="1:10">
      <c r="A47" s="165"/>
      <c r="B47" s="173"/>
      <c r="C47" s="174" t="s">
        <v>117</v>
      </c>
      <c r="D47" s="175">
        <f>SUM(D34:D46)</f>
        <v>-397855.16000000027</v>
      </c>
      <c r="E47" s="165"/>
      <c r="F47" s="185"/>
      <c r="G47" s="185"/>
    </row>
    <row r="48" spans="1:10">
      <c r="A48" s="165"/>
      <c r="B48" s="165"/>
      <c r="C48" s="165"/>
      <c r="D48" s="165"/>
      <c r="E48" s="165"/>
      <c r="I48" s="185"/>
      <c r="J48" s="235"/>
    </row>
    <row r="49" spans="1:10">
      <c r="A49" s="165"/>
      <c r="B49" s="176" t="s">
        <v>118</v>
      </c>
      <c r="C49" s="177"/>
      <c r="D49" s="178"/>
      <c r="E49" s="175">
        <f>E45-E33</f>
        <v>-397855.16000000015</v>
      </c>
      <c r="G49" s="185"/>
      <c r="I49" s="240"/>
      <c r="J49" s="237"/>
    </row>
    <row r="50" spans="1:10">
      <c r="A50" s="165"/>
      <c r="B50" s="165"/>
      <c r="C50" s="165"/>
      <c r="D50" s="165"/>
      <c r="E50" s="165"/>
    </row>
    <row r="51" spans="1:10">
      <c r="A51" s="171" t="s">
        <v>104</v>
      </c>
      <c r="B51" s="172">
        <v>0</v>
      </c>
      <c r="C51" s="172">
        <v>0</v>
      </c>
      <c r="D51" s="172">
        <v>0</v>
      </c>
      <c r="E51" s="172">
        <f>E81</f>
        <v>-894031.09999999136</v>
      </c>
      <c r="F51" s="185"/>
    </row>
    <row r="52" spans="1:10">
      <c r="A52" s="171" t="s">
        <v>114</v>
      </c>
      <c r="B52" s="172">
        <v>705078.72</v>
      </c>
      <c r="C52" s="172">
        <v>876303.11</v>
      </c>
      <c r="D52" s="172">
        <f>B52-C52</f>
        <v>-171224.39</v>
      </c>
      <c r="E52" s="172">
        <f>E51+D52</f>
        <v>-1065255.4899999914</v>
      </c>
      <c r="F52" s="185">
        <f>(E51+B52-C52)-E52</f>
        <v>0</v>
      </c>
    </row>
    <row r="53" spans="1:10">
      <c r="A53" s="171" t="s">
        <v>115</v>
      </c>
      <c r="B53" s="172">
        <v>492031.53</v>
      </c>
      <c r="C53" s="172">
        <v>842534.8</v>
      </c>
      <c r="D53" s="172">
        <f t="shared" ref="D53:D63" si="5">B53-C53</f>
        <v>-350503.27</v>
      </c>
      <c r="E53" s="172">
        <f t="shared" ref="E53:E63" si="6">E52+D53</f>
        <v>-1415758.7599999914</v>
      </c>
      <c r="F53" s="185">
        <f t="shared" ref="F53:F63" si="7">(E52+B53-C53)-E53</f>
        <v>0</v>
      </c>
      <c r="I53" s="185"/>
    </row>
    <row r="54" spans="1:10">
      <c r="A54" s="171" t="s">
        <v>116</v>
      </c>
      <c r="B54" s="172">
        <v>699606.16</v>
      </c>
      <c r="C54" s="172">
        <v>890978.36</v>
      </c>
      <c r="D54" s="172">
        <f t="shared" si="5"/>
        <v>-191372.19999999995</v>
      </c>
      <c r="E54" s="172">
        <f t="shared" si="6"/>
        <v>-1607130.9599999913</v>
      </c>
      <c r="F54" s="185">
        <f t="shared" si="7"/>
        <v>0</v>
      </c>
      <c r="I54" s="185"/>
    </row>
    <row r="55" spans="1:10">
      <c r="A55" s="181">
        <v>41670</v>
      </c>
      <c r="B55" s="172">
        <v>604159.06000000006</v>
      </c>
      <c r="C55" s="172">
        <v>859023.16</v>
      </c>
      <c r="D55" s="172">
        <f t="shared" si="5"/>
        <v>-254864.09999999998</v>
      </c>
      <c r="E55" s="172">
        <f t="shared" si="6"/>
        <v>-1861995.0599999912</v>
      </c>
      <c r="F55" s="185">
        <f t="shared" si="7"/>
        <v>0</v>
      </c>
      <c r="I55" s="185"/>
    </row>
    <row r="56" spans="1:10">
      <c r="A56" s="181">
        <v>41698</v>
      </c>
      <c r="B56" s="172">
        <v>610753.27</v>
      </c>
      <c r="C56" s="172">
        <v>582433.81999999995</v>
      </c>
      <c r="D56" s="172">
        <f t="shared" si="5"/>
        <v>28319.45000000007</v>
      </c>
      <c r="E56" s="172">
        <f t="shared" si="6"/>
        <v>-1833675.609999991</v>
      </c>
      <c r="F56" s="185">
        <f t="shared" si="7"/>
        <v>0</v>
      </c>
    </row>
    <row r="57" spans="1:10">
      <c r="A57" s="181">
        <v>41729</v>
      </c>
      <c r="B57" s="172">
        <v>648449.48</v>
      </c>
      <c r="C57" s="172">
        <v>608211.38</v>
      </c>
      <c r="D57" s="172">
        <f t="shared" si="5"/>
        <v>40238.099999999977</v>
      </c>
      <c r="E57" s="172">
        <f t="shared" si="6"/>
        <v>-1793437.5099999909</v>
      </c>
      <c r="F57" s="185">
        <f t="shared" si="7"/>
        <v>0</v>
      </c>
      <c r="I57" s="234"/>
    </row>
    <row r="58" spans="1:10">
      <c r="A58" s="181">
        <v>41759</v>
      </c>
      <c r="B58" s="172">
        <v>381098.35</v>
      </c>
      <c r="C58" s="172">
        <v>656592.65</v>
      </c>
      <c r="D58" s="172">
        <f t="shared" si="5"/>
        <v>-275494.30000000005</v>
      </c>
      <c r="E58" s="172">
        <f t="shared" si="6"/>
        <v>-2068931.809999991</v>
      </c>
      <c r="F58" s="185">
        <f t="shared" si="7"/>
        <v>0</v>
      </c>
      <c r="I58" s="185"/>
    </row>
    <row r="59" spans="1:10">
      <c r="A59" s="181">
        <v>41790</v>
      </c>
      <c r="B59" s="172">
        <v>518685.16</v>
      </c>
      <c r="C59" s="172">
        <v>606542.29</v>
      </c>
      <c r="D59" s="172">
        <f t="shared" si="5"/>
        <v>-87857.130000000063</v>
      </c>
      <c r="E59" s="172">
        <f t="shared" si="6"/>
        <v>-2156788.9399999911</v>
      </c>
      <c r="F59" s="185">
        <f t="shared" si="7"/>
        <v>0</v>
      </c>
      <c r="I59" s="185"/>
    </row>
    <row r="60" spans="1:10">
      <c r="A60" s="181">
        <v>41820</v>
      </c>
      <c r="B60" s="172">
        <v>823996.31</v>
      </c>
      <c r="C60" s="172">
        <v>904536.24</v>
      </c>
      <c r="D60" s="172">
        <f t="shared" si="5"/>
        <v>-80539.929999999935</v>
      </c>
      <c r="E60" s="172">
        <f t="shared" si="6"/>
        <v>-2237328.8699999908</v>
      </c>
      <c r="F60" s="185">
        <f t="shared" si="7"/>
        <v>0</v>
      </c>
    </row>
    <row r="61" spans="1:10">
      <c r="A61" s="181">
        <v>41851</v>
      </c>
      <c r="B61" s="172">
        <v>884134.32</v>
      </c>
      <c r="C61" s="172">
        <v>810019</v>
      </c>
      <c r="D61" s="172">
        <f t="shared" si="5"/>
        <v>74115.319999999949</v>
      </c>
      <c r="E61" s="172">
        <f t="shared" si="6"/>
        <v>-2163213.549999991</v>
      </c>
      <c r="F61" s="185">
        <f t="shared" si="7"/>
        <v>0</v>
      </c>
    </row>
    <row r="62" spans="1:10">
      <c r="A62" s="181">
        <v>41882</v>
      </c>
      <c r="B62" s="172">
        <v>865154.84</v>
      </c>
      <c r="C62" s="172">
        <v>660608.98</v>
      </c>
      <c r="D62" s="172">
        <f t="shared" si="5"/>
        <v>204545.86</v>
      </c>
      <c r="E62" s="172">
        <f t="shared" si="6"/>
        <v>-1958667.6899999911</v>
      </c>
      <c r="F62" s="185">
        <f t="shared" si="7"/>
        <v>0</v>
      </c>
    </row>
    <row r="63" spans="1:10">
      <c r="A63" s="181">
        <v>41912</v>
      </c>
      <c r="B63" s="172">
        <v>802408.73</v>
      </c>
      <c r="C63" s="172">
        <v>632000.85</v>
      </c>
      <c r="D63" s="172">
        <f t="shared" si="5"/>
        <v>170407.88</v>
      </c>
      <c r="E63" s="172">
        <f t="shared" si="6"/>
        <v>-1788259.8099999912</v>
      </c>
      <c r="F63" s="185">
        <f t="shared" si="7"/>
        <v>0</v>
      </c>
    </row>
    <row r="64" spans="1:10">
      <c r="A64" s="165"/>
      <c r="B64" s="172"/>
      <c r="C64" s="172"/>
      <c r="D64" s="172"/>
      <c r="E64" s="172"/>
    </row>
    <row r="65" spans="1:7">
      <c r="A65" s="165"/>
      <c r="B65" s="173"/>
      <c r="C65" s="174" t="s">
        <v>117</v>
      </c>
      <c r="D65" s="175">
        <f>SUM(D52:D64)</f>
        <v>-894228.71000000031</v>
      </c>
      <c r="E65" s="165"/>
    </row>
    <row r="66" spans="1:7">
      <c r="A66" s="165"/>
      <c r="B66" s="165"/>
      <c r="C66" s="165"/>
      <c r="D66" s="165"/>
      <c r="E66" s="165"/>
    </row>
    <row r="67" spans="1:7">
      <c r="A67" s="165"/>
      <c r="B67" s="176" t="s">
        <v>118</v>
      </c>
      <c r="C67" s="177"/>
      <c r="D67" s="178"/>
      <c r="E67" s="175">
        <f>E63-E51</f>
        <v>-894228.70999999985</v>
      </c>
      <c r="G67" s="185">
        <f>+E67</f>
        <v>-894228.70999999985</v>
      </c>
    </row>
    <row r="68" spans="1:7">
      <c r="A68" s="165"/>
      <c r="B68" s="165"/>
      <c r="C68" s="165"/>
      <c r="D68" s="165"/>
      <c r="E68" s="165"/>
    </row>
    <row r="69" spans="1:7">
      <c r="A69" s="171" t="s">
        <v>104</v>
      </c>
      <c r="B69" s="180">
        <v>0</v>
      </c>
      <c r="C69" s="180">
        <v>0</v>
      </c>
      <c r="D69" s="180">
        <v>0</v>
      </c>
      <c r="E69" s="172">
        <f>E99</f>
        <v>-1601091.4099999904</v>
      </c>
      <c r="F69" s="185"/>
    </row>
    <row r="70" spans="1:7">
      <c r="A70" s="179">
        <v>41213</v>
      </c>
      <c r="B70" s="172">
        <v>21192615.41</v>
      </c>
      <c r="C70" s="172">
        <v>21318807.800000001</v>
      </c>
      <c r="D70" s="172">
        <f>B70-C70</f>
        <v>-126192.3900000006</v>
      </c>
      <c r="E70" s="172">
        <f>E69+D70</f>
        <v>-1727283.799999991</v>
      </c>
      <c r="F70" s="185">
        <f>(E69+B70-C70)-E70</f>
        <v>0</v>
      </c>
    </row>
    <row r="71" spans="1:7">
      <c r="A71" s="179">
        <v>41243</v>
      </c>
      <c r="B71" s="172">
        <v>21706881.57</v>
      </c>
      <c r="C71" s="172">
        <v>22460487.949999999</v>
      </c>
      <c r="D71" s="172">
        <f t="shared" ref="D71:D81" si="8">B71-C71</f>
        <v>-753606.37999999896</v>
      </c>
      <c r="E71" s="172">
        <f t="shared" ref="E71:E80" si="9">E70+D71</f>
        <v>-2480890.1799999899</v>
      </c>
      <c r="F71" s="185">
        <f t="shared" ref="F71:F80" si="10">(E70+B71-C71)-E71</f>
        <v>0</v>
      </c>
    </row>
    <row r="72" spans="1:7">
      <c r="A72" s="179">
        <v>41274</v>
      </c>
      <c r="B72" s="172">
        <v>22806364.73</v>
      </c>
      <c r="C72" s="172">
        <v>22766979.390000001</v>
      </c>
      <c r="D72" s="172">
        <f t="shared" si="8"/>
        <v>39385.339999999851</v>
      </c>
      <c r="E72" s="172">
        <f t="shared" si="9"/>
        <v>-2441504.8399999901</v>
      </c>
      <c r="F72" s="185">
        <f t="shared" si="10"/>
        <v>0</v>
      </c>
    </row>
    <row r="73" spans="1:7">
      <c r="A73" s="195" t="s">
        <v>105</v>
      </c>
      <c r="B73" s="172">
        <v>23076229.07</v>
      </c>
      <c r="C73" s="172">
        <v>23144020.260000002</v>
      </c>
      <c r="D73" s="172">
        <f t="shared" si="8"/>
        <v>-67791.190000001341</v>
      </c>
      <c r="E73" s="172">
        <f t="shared" si="9"/>
        <v>-2509296.0299999914</v>
      </c>
      <c r="F73" s="185">
        <f t="shared" si="10"/>
        <v>0</v>
      </c>
    </row>
    <row r="74" spans="1:7">
      <c r="A74" s="195" t="s">
        <v>106</v>
      </c>
      <c r="B74" s="172">
        <v>23334433.960000001</v>
      </c>
      <c r="C74" s="172">
        <v>23325537.670000002</v>
      </c>
      <c r="D74" s="172">
        <f t="shared" si="8"/>
        <v>8896.2899999991059</v>
      </c>
      <c r="E74" s="172">
        <f t="shared" si="9"/>
        <v>-2500399.7399999923</v>
      </c>
      <c r="F74" s="185">
        <f t="shared" si="10"/>
        <v>0</v>
      </c>
    </row>
    <row r="75" spans="1:7">
      <c r="A75" s="195" t="s">
        <v>107</v>
      </c>
      <c r="B75" s="172">
        <v>30072255.539999999</v>
      </c>
      <c r="C75" s="172">
        <v>29968819.149999999</v>
      </c>
      <c r="D75" s="172">
        <f t="shared" si="8"/>
        <v>103436.3900000006</v>
      </c>
      <c r="E75" s="172">
        <f t="shared" si="9"/>
        <v>-2396963.3499999917</v>
      </c>
      <c r="F75" s="185">
        <f t="shared" si="10"/>
        <v>0</v>
      </c>
    </row>
    <row r="76" spans="1:7">
      <c r="A76" s="195" t="s">
        <v>108</v>
      </c>
      <c r="B76" s="172">
        <v>1613314</v>
      </c>
      <c r="C76" s="172">
        <v>231721.55</v>
      </c>
      <c r="D76" s="172">
        <f t="shared" si="8"/>
        <v>1381592.45</v>
      </c>
      <c r="E76" s="172">
        <f t="shared" si="9"/>
        <v>-1015370.8999999918</v>
      </c>
      <c r="F76" s="185">
        <f t="shared" si="10"/>
        <v>0</v>
      </c>
    </row>
    <row r="77" spans="1:7">
      <c r="A77" s="195" t="s">
        <v>109</v>
      </c>
      <c r="B77" s="172">
        <v>430714.46</v>
      </c>
      <c r="C77" s="172">
        <v>245968.07</v>
      </c>
      <c r="D77" s="172">
        <f t="shared" si="8"/>
        <v>184746.39</v>
      </c>
      <c r="E77" s="172">
        <f t="shared" si="9"/>
        <v>-830624.50999999174</v>
      </c>
      <c r="F77" s="185">
        <f t="shared" si="10"/>
        <v>0</v>
      </c>
    </row>
    <row r="78" spans="1:7">
      <c r="A78" s="195" t="s">
        <v>110</v>
      </c>
      <c r="B78" s="172">
        <v>50311.4</v>
      </c>
      <c r="C78" s="172">
        <v>441301.6</v>
      </c>
      <c r="D78" s="172">
        <f t="shared" si="8"/>
        <v>-390990.19999999995</v>
      </c>
      <c r="E78" s="172">
        <f t="shared" si="9"/>
        <v>-1221614.7099999916</v>
      </c>
      <c r="F78" s="185">
        <f t="shared" si="10"/>
        <v>0</v>
      </c>
    </row>
    <row r="79" spans="1:7">
      <c r="A79" s="195" t="s">
        <v>111</v>
      </c>
      <c r="B79" s="172">
        <v>234122.73</v>
      </c>
      <c r="C79" s="172">
        <v>522640.36</v>
      </c>
      <c r="D79" s="172">
        <f t="shared" si="8"/>
        <v>-288517.63</v>
      </c>
      <c r="E79" s="172">
        <f t="shared" si="9"/>
        <v>-1510132.3399999915</v>
      </c>
      <c r="F79" s="185">
        <f t="shared" si="10"/>
        <v>0</v>
      </c>
    </row>
    <row r="80" spans="1:7">
      <c r="A80" s="195" t="s">
        <v>112</v>
      </c>
      <c r="B80" s="172">
        <v>1022773.64</v>
      </c>
      <c r="C80" s="172">
        <v>364084.81</v>
      </c>
      <c r="D80" s="172">
        <f t="shared" si="8"/>
        <v>658688.83000000007</v>
      </c>
      <c r="E80" s="172">
        <f t="shared" si="9"/>
        <v>-851443.50999999139</v>
      </c>
      <c r="F80" s="185">
        <f t="shared" si="10"/>
        <v>0</v>
      </c>
    </row>
    <row r="81" spans="1:7">
      <c r="A81" s="195" t="s">
        <v>113</v>
      </c>
      <c r="B81" s="172">
        <v>341631.07</v>
      </c>
      <c r="C81" s="172">
        <v>384218.66</v>
      </c>
      <c r="D81" s="172">
        <f t="shared" si="8"/>
        <v>-42587.589999999967</v>
      </c>
      <c r="E81" s="172">
        <f>E80+D81</f>
        <v>-894031.09999999136</v>
      </c>
      <c r="F81" s="185">
        <f>(E80+B81-C81)-E81</f>
        <v>0</v>
      </c>
    </row>
    <row r="82" spans="1:7">
      <c r="A82" s="165"/>
      <c r="B82" s="172"/>
      <c r="C82" s="172"/>
      <c r="D82" s="172"/>
      <c r="E82" s="172"/>
    </row>
    <row r="83" spans="1:7">
      <c r="A83" s="165"/>
      <c r="B83" s="173"/>
      <c r="C83" s="174" t="s">
        <v>117</v>
      </c>
      <c r="D83" s="175">
        <f>SUM(D70:D82)</f>
        <v>707060.30999999878</v>
      </c>
      <c r="E83" s="165"/>
    </row>
    <row r="84" spans="1:7">
      <c r="A84" s="165"/>
      <c r="B84" s="165"/>
      <c r="C84" s="165"/>
      <c r="D84" s="165"/>
      <c r="E84" s="165"/>
    </row>
    <row r="85" spans="1:7">
      <c r="A85" s="165"/>
      <c r="B85" s="176" t="s">
        <v>118</v>
      </c>
      <c r="C85" s="177"/>
      <c r="D85" s="178"/>
      <c r="E85" s="175">
        <f>E81-E69</f>
        <v>707060.30999999901</v>
      </c>
      <c r="G85" s="185">
        <f>+E85</f>
        <v>707060.30999999901</v>
      </c>
    </row>
    <row r="86" spans="1:7">
      <c r="A86" s="165"/>
      <c r="B86" s="165"/>
      <c r="C86" s="165"/>
      <c r="D86" s="165"/>
      <c r="E86" s="165"/>
    </row>
    <row r="87" spans="1:7">
      <c r="A87" s="171" t="s">
        <v>104</v>
      </c>
      <c r="B87" s="172">
        <v>0</v>
      </c>
      <c r="C87" s="172">
        <v>0</v>
      </c>
      <c r="D87" s="172">
        <v>0</v>
      </c>
      <c r="E87" s="172">
        <f>E117</f>
        <v>-1648616.9899999998</v>
      </c>
      <c r="F87" s="185"/>
    </row>
    <row r="88" spans="1:7">
      <c r="A88" s="179">
        <v>40847</v>
      </c>
      <c r="B88" s="180">
        <v>16104517.029999999</v>
      </c>
      <c r="C88" s="180">
        <v>16289400.949999999</v>
      </c>
      <c r="D88" s="180">
        <f>B88-C88</f>
        <v>-184883.91999999993</v>
      </c>
      <c r="E88" s="180">
        <f>E87+D88</f>
        <v>-1833500.9099999997</v>
      </c>
      <c r="F88" s="185">
        <f>(E87+B88-C88)-E88</f>
        <v>0</v>
      </c>
    </row>
    <row r="89" spans="1:7">
      <c r="A89" s="179">
        <v>40877</v>
      </c>
      <c r="B89" s="180">
        <v>16643636.369999999</v>
      </c>
      <c r="C89" s="180">
        <v>16812041.739999998</v>
      </c>
      <c r="D89" s="180">
        <f t="shared" ref="D89:D99" si="11">B89-C89</f>
        <v>-168405.36999999918</v>
      </c>
      <c r="E89" s="180">
        <f t="shared" ref="E89:E99" si="12">E88+D89</f>
        <v>-2001906.2799999989</v>
      </c>
      <c r="F89" s="185">
        <f t="shared" ref="F89:F99" si="13">(E88+B89-C89)-E89</f>
        <v>0</v>
      </c>
    </row>
    <row r="90" spans="1:7">
      <c r="A90" s="179">
        <v>40908</v>
      </c>
      <c r="B90" s="180">
        <v>17360222.850000001</v>
      </c>
      <c r="C90" s="180">
        <v>17496068.02</v>
      </c>
      <c r="D90" s="180">
        <f t="shared" si="11"/>
        <v>-135845.16999999806</v>
      </c>
      <c r="E90" s="180">
        <f t="shared" si="12"/>
        <v>-2137751.4499999969</v>
      </c>
      <c r="F90" s="185">
        <f t="shared" si="13"/>
        <v>0</v>
      </c>
    </row>
    <row r="91" spans="1:7">
      <c r="A91" s="179">
        <v>40939</v>
      </c>
      <c r="B91" s="172">
        <v>17765481.920000002</v>
      </c>
      <c r="C91" s="172">
        <v>17894265.27</v>
      </c>
      <c r="D91" s="180">
        <f t="shared" si="11"/>
        <v>-128783.34999999776</v>
      </c>
      <c r="E91" s="180">
        <f t="shared" si="12"/>
        <v>-2266534.7999999947</v>
      </c>
      <c r="F91" s="185">
        <f t="shared" si="13"/>
        <v>0</v>
      </c>
    </row>
    <row r="92" spans="1:7">
      <c r="A92" s="179">
        <v>40968</v>
      </c>
      <c r="B92" s="172">
        <v>18052189.699999999</v>
      </c>
      <c r="C92" s="172">
        <v>17956774.75</v>
      </c>
      <c r="D92" s="180">
        <f t="shared" si="11"/>
        <v>95414.949999999255</v>
      </c>
      <c r="E92" s="180">
        <f t="shared" si="12"/>
        <v>-2171119.8499999954</v>
      </c>
      <c r="F92" s="185">
        <f t="shared" si="13"/>
        <v>0</v>
      </c>
    </row>
    <row r="93" spans="1:7">
      <c r="A93" s="179">
        <v>40999</v>
      </c>
      <c r="B93" s="172">
        <v>18215264.469999999</v>
      </c>
      <c r="C93" s="172">
        <v>18270886.539999999</v>
      </c>
      <c r="D93" s="180">
        <f t="shared" si="11"/>
        <v>-55622.070000000298</v>
      </c>
      <c r="E93" s="180">
        <f t="shared" si="12"/>
        <v>-2226741.9199999957</v>
      </c>
      <c r="F93" s="185">
        <f t="shared" si="13"/>
        <v>0</v>
      </c>
    </row>
    <row r="94" spans="1:7">
      <c r="A94" s="179">
        <v>41029</v>
      </c>
      <c r="B94" s="172">
        <v>18497425.02</v>
      </c>
      <c r="C94" s="172">
        <v>18276475.280000001</v>
      </c>
      <c r="D94" s="180">
        <f t="shared" si="11"/>
        <v>220949.73999999836</v>
      </c>
      <c r="E94" s="180">
        <f t="shared" si="12"/>
        <v>-2005792.1799999974</v>
      </c>
      <c r="F94" s="185">
        <f t="shared" si="13"/>
        <v>0</v>
      </c>
    </row>
    <row r="95" spans="1:7">
      <c r="A95" s="179">
        <v>41060</v>
      </c>
      <c r="B95" s="172">
        <v>18493908.129999999</v>
      </c>
      <c r="C95" s="172">
        <v>18320807.66</v>
      </c>
      <c r="D95" s="180">
        <f t="shared" si="11"/>
        <v>173100.46999999881</v>
      </c>
      <c r="E95" s="180">
        <f t="shared" si="12"/>
        <v>-1832691.7099999986</v>
      </c>
      <c r="F95" s="185">
        <f t="shared" si="13"/>
        <v>0</v>
      </c>
    </row>
    <row r="96" spans="1:7">
      <c r="A96" s="179">
        <v>41090</v>
      </c>
      <c r="B96" s="172">
        <v>37276151.420000002</v>
      </c>
      <c r="C96" s="172">
        <v>37201515.009999998</v>
      </c>
      <c r="D96" s="180">
        <f t="shared" si="11"/>
        <v>74636.410000003874</v>
      </c>
      <c r="E96" s="180">
        <f t="shared" si="12"/>
        <v>-1758055.2999999947</v>
      </c>
      <c r="F96" s="185">
        <f t="shared" si="13"/>
        <v>-2.3283064365386963E-9</v>
      </c>
    </row>
    <row r="97" spans="1:13">
      <c r="A97" s="179">
        <v>41121</v>
      </c>
      <c r="B97" s="172">
        <v>19097432.370000001</v>
      </c>
      <c r="C97" s="172">
        <v>19003196.079999998</v>
      </c>
      <c r="D97" s="180">
        <f t="shared" si="11"/>
        <v>94236.290000002831</v>
      </c>
      <c r="E97" s="180">
        <f t="shared" si="12"/>
        <v>-1663819.0099999919</v>
      </c>
      <c r="F97" s="185">
        <f t="shared" si="13"/>
        <v>0</v>
      </c>
      <c r="M97" s="299"/>
    </row>
    <row r="98" spans="1:13">
      <c r="A98" s="179">
        <v>41152</v>
      </c>
      <c r="B98" s="172">
        <v>19819504.59</v>
      </c>
      <c r="C98" s="172">
        <v>19753396.399999999</v>
      </c>
      <c r="D98" s="180">
        <f t="shared" si="11"/>
        <v>66108.190000001341</v>
      </c>
      <c r="E98" s="180">
        <f t="shared" si="12"/>
        <v>-1597710.8199999905</v>
      </c>
      <c r="F98" s="185">
        <f t="shared" si="13"/>
        <v>0</v>
      </c>
    </row>
    <row r="99" spans="1:13">
      <c r="A99" s="179">
        <v>41182</v>
      </c>
      <c r="B99" s="172">
        <v>20476699.210000001</v>
      </c>
      <c r="C99" s="172">
        <v>20480079.800000001</v>
      </c>
      <c r="D99" s="180">
        <f t="shared" si="11"/>
        <v>-3380.589999999851</v>
      </c>
      <c r="E99" s="180">
        <f t="shared" si="12"/>
        <v>-1601091.4099999904</v>
      </c>
      <c r="F99" s="185">
        <f t="shared" si="13"/>
        <v>0</v>
      </c>
    </row>
    <row r="100" spans="1:13">
      <c r="A100" s="165"/>
      <c r="B100" s="172"/>
      <c r="C100" s="172"/>
      <c r="D100" s="172"/>
      <c r="E100" s="172"/>
    </row>
    <row r="101" spans="1:13">
      <c r="A101" s="165"/>
      <c r="B101" s="173"/>
      <c r="C101" s="174" t="s">
        <v>117</v>
      </c>
      <c r="D101" s="175">
        <f>SUM(D88:D100)</f>
        <v>47525.580000009388</v>
      </c>
      <c r="E101" s="165"/>
    </row>
    <row r="102" spans="1:13">
      <c r="A102" s="165"/>
      <c r="B102" s="165"/>
      <c r="C102" s="165"/>
      <c r="D102" s="165"/>
      <c r="E102" s="165"/>
    </row>
    <row r="103" spans="1:13">
      <c r="A103" s="165"/>
      <c r="B103" s="176" t="s">
        <v>118</v>
      </c>
      <c r="C103" s="177"/>
      <c r="D103" s="178"/>
      <c r="E103" s="175">
        <f>E99-E87</f>
        <v>47525.580000009388</v>
      </c>
      <c r="G103" s="185">
        <f>+E103</f>
        <v>47525.580000009388</v>
      </c>
    </row>
    <row r="104" spans="1:13">
      <c r="A104" s="165"/>
      <c r="B104" s="165"/>
      <c r="C104" s="165"/>
      <c r="D104" s="165"/>
      <c r="E104" s="165"/>
    </row>
    <row r="105" spans="1:13" hidden="1" outlineLevel="1">
      <c r="A105" s="171" t="s">
        <v>104</v>
      </c>
      <c r="B105" s="172">
        <v>0</v>
      </c>
      <c r="C105" s="172">
        <v>0</v>
      </c>
      <c r="D105" s="172">
        <v>0</v>
      </c>
      <c r="E105" s="239">
        <v>-1614276.4</v>
      </c>
    </row>
    <row r="106" spans="1:13" hidden="1" outlineLevel="1">
      <c r="A106" s="179">
        <v>40482</v>
      </c>
      <c r="B106" s="172">
        <v>11796714.73</v>
      </c>
      <c r="C106" s="172">
        <v>11970434.539999999</v>
      </c>
      <c r="D106" s="172">
        <f>B106-C106</f>
        <v>-173719.80999999866</v>
      </c>
      <c r="E106" s="172">
        <f>E105+D106</f>
        <v>-1787996.2099999986</v>
      </c>
      <c r="F106" s="185">
        <f t="shared" ref="F106:F116" si="14">(E105+B106-C106)-E106</f>
        <v>0</v>
      </c>
    </row>
    <row r="107" spans="1:13" hidden="1" outlineLevel="1">
      <c r="A107" s="179">
        <v>40512</v>
      </c>
      <c r="B107" s="172">
        <v>12282313.300000001</v>
      </c>
      <c r="C107" s="172">
        <v>12729803.49</v>
      </c>
      <c r="D107" s="172">
        <f t="shared" ref="D107:D117" si="15">B107-C107</f>
        <v>-447490.18999999948</v>
      </c>
      <c r="E107" s="172">
        <f t="shared" ref="E107:E117" si="16">E106+D107</f>
        <v>-2235486.399999998</v>
      </c>
      <c r="F107" s="185">
        <f t="shared" si="14"/>
        <v>0</v>
      </c>
    </row>
    <row r="108" spans="1:13" hidden="1" outlineLevel="1">
      <c r="A108" s="179">
        <v>40543</v>
      </c>
      <c r="B108" s="172">
        <v>13047028.880000001</v>
      </c>
      <c r="C108" s="172">
        <v>13290686.630000001</v>
      </c>
      <c r="D108" s="172">
        <f t="shared" si="15"/>
        <v>-243657.75</v>
      </c>
      <c r="E108" s="172">
        <f t="shared" si="16"/>
        <v>-2479144.149999998</v>
      </c>
      <c r="F108" s="185">
        <f t="shared" si="14"/>
        <v>0</v>
      </c>
    </row>
    <row r="109" spans="1:13" hidden="1" outlineLevel="1">
      <c r="A109" s="179">
        <v>40574</v>
      </c>
      <c r="B109" s="180">
        <v>13490431.609999999</v>
      </c>
      <c r="C109" s="180">
        <v>13617945.76</v>
      </c>
      <c r="D109" s="172">
        <f t="shared" si="15"/>
        <v>-127514.15000000037</v>
      </c>
      <c r="E109" s="172">
        <f t="shared" si="16"/>
        <v>-2606658.2999999984</v>
      </c>
      <c r="F109" s="185">
        <f t="shared" si="14"/>
        <v>0</v>
      </c>
    </row>
    <row r="110" spans="1:13" hidden="1" outlineLevel="1">
      <c r="A110" s="179">
        <v>40602</v>
      </c>
      <c r="B110" s="180">
        <v>13702936.84</v>
      </c>
      <c r="C110" s="180">
        <v>13757812.380000001</v>
      </c>
      <c r="D110" s="172">
        <f t="shared" si="15"/>
        <v>-54875.540000000969</v>
      </c>
      <c r="E110" s="172">
        <f t="shared" si="16"/>
        <v>-2661533.8399999994</v>
      </c>
      <c r="F110" s="185">
        <f t="shared" si="14"/>
        <v>0</v>
      </c>
    </row>
    <row r="111" spans="1:13" hidden="1" outlineLevel="1">
      <c r="A111" s="179">
        <v>40633</v>
      </c>
      <c r="B111" s="180">
        <v>13892569.189999999</v>
      </c>
      <c r="C111" s="180">
        <v>13724799.58</v>
      </c>
      <c r="D111" s="172">
        <f t="shared" si="15"/>
        <v>167769.6099999994</v>
      </c>
      <c r="E111" s="172">
        <f t="shared" si="16"/>
        <v>-2493764.23</v>
      </c>
      <c r="F111" s="185">
        <f t="shared" si="14"/>
        <v>0</v>
      </c>
    </row>
    <row r="112" spans="1:13" hidden="1" outlineLevel="1">
      <c r="A112" s="179">
        <v>40663</v>
      </c>
      <c r="B112" s="180">
        <v>13881203.630000001</v>
      </c>
      <c r="C112" s="180">
        <v>13740520.77</v>
      </c>
      <c r="D112" s="172">
        <f t="shared" si="15"/>
        <v>140682.86000000127</v>
      </c>
      <c r="E112" s="172">
        <f t="shared" si="16"/>
        <v>-2353081.3699999987</v>
      </c>
      <c r="F112" s="185">
        <f t="shared" si="14"/>
        <v>0</v>
      </c>
    </row>
    <row r="113" spans="1:7" hidden="1" outlineLevel="1">
      <c r="A113" s="179">
        <v>40694</v>
      </c>
      <c r="B113" s="180">
        <v>14053527.93</v>
      </c>
      <c r="C113" s="180">
        <v>13767250.630000001</v>
      </c>
      <c r="D113" s="172">
        <f t="shared" si="15"/>
        <v>286277.29999999888</v>
      </c>
      <c r="E113" s="172">
        <f t="shared" si="16"/>
        <v>-2066804.0699999998</v>
      </c>
      <c r="F113" s="185">
        <f t="shared" si="14"/>
        <v>0</v>
      </c>
    </row>
    <row r="114" spans="1:7" hidden="1" outlineLevel="1">
      <c r="A114" s="179">
        <v>40724</v>
      </c>
      <c r="B114" s="180">
        <v>14234900.619999999</v>
      </c>
      <c r="C114" s="180">
        <v>13982085.07</v>
      </c>
      <c r="D114" s="172">
        <f t="shared" si="15"/>
        <v>252815.54999999888</v>
      </c>
      <c r="E114" s="172">
        <f t="shared" si="16"/>
        <v>-1813988.5200000009</v>
      </c>
      <c r="F114" s="185">
        <f t="shared" si="14"/>
        <v>0</v>
      </c>
    </row>
    <row r="115" spans="1:7" hidden="1" outlineLevel="1">
      <c r="A115" s="179">
        <v>40755</v>
      </c>
      <c r="B115" s="180">
        <v>14411851.91</v>
      </c>
      <c r="C115" s="180">
        <v>14285374.85</v>
      </c>
      <c r="D115" s="172">
        <f t="shared" si="15"/>
        <v>126477.06000000052</v>
      </c>
      <c r="E115" s="172">
        <f t="shared" si="16"/>
        <v>-1687511.4600000004</v>
      </c>
      <c r="F115" s="185">
        <f t="shared" si="14"/>
        <v>0</v>
      </c>
    </row>
    <row r="116" spans="1:7" hidden="1" outlineLevel="1">
      <c r="A116" s="179">
        <v>40786</v>
      </c>
      <c r="B116" s="180">
        <v>14791413.380000001</v>
      </c>
      <c r="C116" s="180">
        <v>14783490.9</v>
      </c>
      <c r="D116" s="172">
        <f t="shared" si="15"/>
        <v>7922.480000000447</v>
      </c>
      <c r="E116" s="172">
        <f t="shared" si="16"/>
        <v>-1679588.98</v>
      </c>
      <c r="F116" s="185">
        <f t="shared" si="14"/>
        <v>0</v>
      </c>
    </row>
    <row r="117" spans="1:7" hidden="1" outlineLevel="1">
      <c r="A117" s="179">
        <v>40816</v>
      </c>
      <c r="B117" s="180">
        <v>15546853.210000001</v>
      </c>
      <c r="C117" s="180">
        <v>15515881.220000001</v>
      </c>
      <c r="D117" s="172">
        <f t="shared" si="15"/>
        <v>30971.990000000224</v>
      </c>
      <c r="E117" s="172">
        <f t="shared" si="16"/>
        <v>-1648616.9899999998</v>
      </c>
      <c r="F117" s="185">
        <f>(E116+B117-C117)-E117</f>
        <v>0</v>
      </c>
    </row>
    <row r="118" spans="1:7" hidden="1" outlineLevel="1">
      <c r="A118" s="165"/>
      <c r="B118" s="173"/>
      <c r="C118" s="174" t="s">
        <v>117</v>
      </c>
      <c r="D118" s="175">
        <f>SUM(D106:D117)</f>
        <v>-34340.589999999851</v>
      </c>
      <c r="E118" s="165"/>
    </row>
    <row r="119" spans="1:7" hidden="1" outlineLevel="1">
      <c r="A119" s="165"/>
      <c r="B119" s="165"/>
      <c r="C119" s="165"/>
      <c r="D119" s="165"/>
      <c r="E119" s="165"/>
    </row>
    <row r="120" spans="1:7" hidden="1" outlineLevel="1">
      <c r="A120" s="165"/>
      <c r="B120" s="176" t="s">
        <v>118</v>
      </c>
      <c r="C120" s="177"/>
      <c r="D120" s="178"/>
      <c r="E120" s="175">
        <f>E117-E105</f>
        <v>-34340.589999999851</v>
      </c>
      <c r="G120" s="185">
        <f>+E120</f>
        <v>-34340.589999999851</v>
      </c>
    </row>
    <row r="121" spans="1:7" collapsed="1"/>
  </sheetData>
  <pageMargins left="0.7" right="0.7" top="0.75" bottom="0.75" header="0.3" footer="0.3"/>
  <pageSetup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O48" sqref="O48"/>
    </sheetView>
  </sheetViews>
  <sheetFormatPr defaultColWidth="9.109375" defaultRowHeight="11.4"/>
  <cols>
    <col min="1" max="2" width="1.6640625" style="245" customWidth="1"/>
    <col min="3" max="3" width="9.109375" style="245"/>
    <col min="4" max="4" width="23.88671875" style="245" customWidth="1"/>
    <col min="5" max="5" width="16.6640625" style="245" customWidth="1"/>
    <col min="6" max="6" width="0.88671875" style="245" customWidth="1"/>
    <col min="7" max="7" width="16.6640625" style="245" hidden="1" customWidth="1"/>
    <col min="8" max="8" width="0.88671875" style="245" hidden="1" customWidth="1"/>
    <col min="9" max="9" width="16.6640625" style="245" hidden="1" customWidth="1"/>
    <col min="10" max="10" width="0.88671875" style="245" hidden="1" customWidth="1"/>
    <col min="11" max="11" width="7.6640625" style="246" hidden="1" customWidth="1"/>
    <col min="12" max="12" width="0.88671875" style="245" hidden="1" customWidth="1"/>
    <col min="13" max="13" width="16.6640625" style="245" customWidth="1"/>
    <col min="14" max="14" width="0.88671875" style="245" customWidth="1"/>
    <col min="15" max="15" width="16.6640625" style="245" customWidth="1"/>
    <col min="16" max="16" width="0.88671875" style="245" customWidth="1"/>
    <col min="17" max="17" width="7.6640625" style="246" customWidth="1"/>
    <col min="18" max="18" width="0.88671875" style="245" customWidth="1"/>
    <col min="19" max="19" width="10.6640625" style="246" customWidth="1"/>
    <col min="20" max="20" width="0.88671875" style="246" customWidth="1"/>
    <col min="21" max="21" width="7.6640625" style="246" hidden="1" customWidth="1"/>
    <col min="22" max="22" width="0.88671875" style="246" hidden="1" customWidth="1"/>
    <col min="23" max="23" width="10.6640625" style="246" customWidth="1"/>
    <col min="24" max="16384" width="9.109375" style="245"/>
  </cols>
  <sheetData>
    <row r="1" spans="1:23" s="241" customFormat="1" ht="13.8">
      <c r="E1" s="312" t="s">
        <v>24</v>
      </c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S1" s="242"/>
      <c r="T1" s="242"/>
      <c r="U1" s="242"/>
      <c r="V1" s="242"/>
      <c r="W1" s="242"/>
    </row>
    <row r="2" spans="1:23" s="241" customFormat="1" ht="13.8">
      <c r="E2" s="312" t="s">
        <v>77</v>
      </c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S2" s="242"/>
      <c r="T2" s="242"/>
      <c r="U2" s="242"/>
      <c r="V2" s="242"/>
      <c r="W2" s="242"/>
    </row>
    <row r="3" spans="1:23" s="241" customFormat="1" ht="13.8">
      <c r="E3" s="312" t="s">
        <v>157</v>
      </c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S3" s="242"/>
      <c r="T3" s="242"/>
      <c r="U3" s="242"/>
      <c r="V3" s="242"/>
      <c r="W3" s="242"/>
    </row>
    <row r="4" spans="1:23" s="243" customFormat="1" ht="13.2">
      <c r="E4" s="313" t="s">
        <v>36</v>
      </c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S4" s="244"/>
      <c r="T4" s="244"/>
      <c r="U4" s="244"/>
      <c r="V4" s="244"/>
      <c r="W4" s="244"/>
    </row>
    <row r="5" spans="1:23">
      <c r="A5" s="245" t="s">
        <v>37</v>
      </c>
    </row>
    <row r="6" spans="1:23" s="247" customFormat="1" ht="13.2">
      <c r="A6" s="247" t="s">
        <v>37</v>
      </c>
      <c r="I6" s="314" t="s">
        <v>38</v>
      </c>
      <c r="J6" s="314"/>
      <c r="K6" s="314"/>
      <c r="O6" s="314" t="s">
        <v>158</v>
      </c>
      <c r="P6" s="314"/>
      <c r="Q6" s="314"/>
      <c r="S6" s="309" t="s">
        <v>76</v>
      </c>
      <c r="T6" s="309"/>
      <c r="U6" s="309"/>
      <c r="V6" s="309"/>
      <c r="W6" s="309"/>
    </row>
    <row r="7" spans="1:23" s="247" customFormat="1" ht="13.2">
      <c r="E7" s="248" t="s">
        <v>39</v>
      </c>
      <c r="G7" s="248"/>
      <c r="I7" s="248"/>
      <c r="K7" s="249"/>
      <c r="M7" s="248" t="s">
        <v>39</v>
      </c>
      <c r="O7" s="248"/>
      <c r="Q7" s="249"/>
      <c r="S7" s="249"/>
      <c r="T7" s="250"/>
      <c r="U7" s="249"/>
      <c r="V7" s="250"/>
      <c r="W7" s="249"/>
    </row>
    <row r="8" spans="1:23" s="247" customFormat="1" ht="13.2">
      <c r="A8" s="243" t="s">
        <v>75</v>
      </c>
      <c r="E8" s="251">
        <v>2016</v>
      </c>
      <c r="G8" s="251" t="s">
        <v>40</v>
      </c>
      <c r="I8" s="251" t="s">
        <v>41</v>
      </c>
      <c r="K8" s="252" t="s">
        <v>42</v>
      </c>
      <c r="M8" s="251">
        <v>2015</v>
      </c>
      <c r="O8" s="251" t="s">
        <v>41</v>
      </c>
      <c r="Q8" s="252" t="s">
        <v>42</v>
      </c>
      <c r="S8" s="251">
        <v>2016</v>
      </c>
      <c r="T8" s="250"/>
      <c r="U8" s="252" t="s">
        <v>40</v>
      </c>
      <c r="V8" s="250"/>
      <c r="W8" s="251">
        <v>2015</v>
      </c>
    </row>
    <row r="9" spans="1:23" ht="12">
      <c r="B9" s="253" t="s">
        <v>74</v>
      </c>
    </row>
    <row r="10" spans="1:23">
      <c r="C10" s="245" t="s">
        <v>63</v>
      </c>
      <c r="E10" s="149">
        <v>578505138.05999994</v>
      </c>
      <c r="F10" s="254"/>
      <c r="G10" s="149">
        <v>676903000</v>
      </c>
      <c r="H10" s="254"/>
      <c r="I10" s="149">
        <f>E10-G10</f>
        <v>-98397861.940000057</v>
      </c>
      <c r="J10" s="254"/>
      <c r="K10" s="255">
        <f>IF(G10=0,"n/a",IF(AND(I10/G10&lt;1,I10/G10&gt;-1),I10/G10,"n/a"))</f>
        <v>-0.14536478925340862</v>
      </c>
      <c r="L10" s="254"/>
      <c r="M10" s="149">
        <v>599723476.54999995</v>
      </c>
      <c r="N10" s="254"/>
      <c r="O10" s="149">
        <f>E10-M10</f>
        <v>-21218338.49000001</v>
      </c>
      <c r="Q10" s="145">
        <f>IF(M10=0,"n/a",IF(AND(O10/M10&lt;1,O10/M10&gt;-1),O10/M10,"n/a"))</f>
        <v>-3.5380203243104161E-2</v>
      </c>
      <c r="S10" s="156">
        <f>IF(E48=0,"n/a",E10/E48)</f>
        <v>1.1243282114739614</v>
      </c>
      <c r="T10" s="256"/>
      <c r="U10" s="156" t="str">
        <f>IF(G48=0,"n/a",G10/G48)</f>
        <v>n/a</v>
      </c>
      <c r="V10" s="256"/>
      <c r="W10" s="156">
        <f>IF(M48=0,"n/a",M10/M48)</f>
        <v>1.2533693412158435</v>
      </c>
    </row>
    <row r="11" spans="1:23">
      <c r="C11" s="245" t="s">
        <v>62</v>
      </c>
      <c r="E11" s="148">
        <v>222638526.72</v>
      </c>
      <c r="F11" s="257"/>
      <c r="G11" s="148">
        <v>252727000</v>
      </c>
      <c r="H11" s="257"/>
      <c r="I11" s="148">
        <f>E11-G11</f>
        <v>-30088473.280000001</v>
      </c>
      <c r="J11" s="257"/>
      <c r="K11" s="258">
        <f>IF(G11=0,"n/a",IF(AND(I11/G11&lt;1,I11/G11&gt;-1),I11/G11,"n/a"))</f>
        <v>-0.11905523857759559</v>
      </c>
      <c r="L11" s="257"/>
      <c r="M11" s="148">
        <v>239678308.90000001</v>
      </c>
      <c r="N11" s="257"/>
      <c r="O11" s="148">
        <f>E11-M11</f>
        <v>-17039782.180000007</v>
      </c>
      <c r="Q11" s="145">
        <f>IF(M11=0,"n/a",IF(AND(O11/M11&lt;1,O11/M11&gt;-1),O11/M11,"n/a"))</f>
        <v>-7.1094385879989855E-2</v>
      </c>
      <c r="S11" s="158">
        <f>IF(E49=0,"n/a",E11/E49)</f>
        <v>0.94624074569024308</v>
      </c>
      <c r="T11" s="256"/>
      <c r="U11" s="158" t="str">
        <f>IF(G49=0,"n/a",G11/G49)</f>
        <v>n/a</v>
      </c>
      <c r="V11" s="256"/>
      <c r="W11" s="158">
        <f>IF(M49=0,"n/a",M11/M49)</f>
        <v>1.0874443595059069</v>
      </c>
    </row>
    <row r="12" spans="1:23">
      <c r="C12" s="245" t="s">
        <v>61</v>
      </c>
      <c r="E12" s="152">
        <v>19622391.140000001</v>
      </c>
      <c r="F12" s="257"/>
      <c r="G12" s="152">
        <v>23350000</v>
      </c>
      <c r="H12" s="257"/>
      <c r="I12" s="152">
        <f>E12-G12</f>
        <v>-3727608.8599999994</v>
      </c>
      <c r="J12" s="257"/>
      <c r="K12" s="259">
        <f>IF(G12=0,"n/a",IF(AND(I12/G12&lt;1,I12/G12&gt;-1),I12/G12,"n/a"))</f>
        <v>-0.15964063640256956</v>
      </c>
      <c r="L12" s="257"/>
      <c r="M12" s="152">
        <v>22631319.550000001</v>
      </c>
      <c r="N12" s="257"/>
      <c r="O12" s="152">
        <f>E12-M12</f>
        <v>-3008928.41</v>
      </c>
      <c r="Q12" s="143">
        <f>IF(M12=0,"n/a",IF(AND(O12/M12&lt;1,O12/M12&gt;-1),O12/M12,"n/a"))</f>
        <v>-0.13295417456115588</v>
      </c>
      <c r="S12" s="157">
        <f>IF(E50=0,"n/a",E12/E50)</f>
        <v>0.82112073339157199</v>
      </c>
      <c r="T12" s="256"/>
      <c r="U12" s="157" t="str">
        <f>IF(G50=0,"n/a",G12/G50)</f>
        <v>n/a</v>
      </c>
      <c r="V12" s="256"/>
      <c r="W12" s="157">
        <f>IF(M50=0,"n/a",M12/M50)</f>
        <v>0.93213023534318906</v>
      </c>
    </row>
    <row r="13" spans="1:23" ht="6.9" customHeight="1">
      <c r="E13" s="148"/>
      <c r="F13" s="257"/>
      <c r="G13" s="148"/>
      <c r="H13" s="257"/>
      <c r="I13" s="148"/>
      <c r="J13" s="257"/>
      <c r="K13" s="260"/>
      <c r="L13" s="257"/>
      <c r="M13" s="148"/>
      <c r="N13" s="257"/>
      <c r="O13" s="148"/>
      <c r="Q13" s="141"/>
      <c r="S13" s="256"/>
      <c r="T13" s="256"/>
      <c r="U13" s="256"/>
      <c r="V13" s="256"/>
      <c r="W13" s="256"/>
    </row>
    <row r="14" spans="1:23">
      <c r="C14" s="245" t="s">
        <v>60</v>
      </c>
      <c r="E14" s="148">
        <f>SUM(E10:E12)</f>
        <v>820766055.91999996</v>
      </c>
      <c r="F14" s="257"/>
      <c r="G14" s="148">
        <f>SUM(G10:G12)</f>
        <v>952980000</v>
      </c>
      <c r="H14" s="257"/>
      <c r="I14" s="148">
        <f>E14-G14</f>
        <v>-132213944.08000004</v>
      </c>
      <c r="J14" s="257"/>
      <c r="K14" s="258">
        <f>IF(G14=0,"n/a",IF(AND(I14/G14&lt;1,I14/G14&gt;-1),I14/G14,"n/a"))</f>
        <v>-0.13873737547482637</v>
      </c>
      <c r="L14" s="257"/>
      <c r="M14" s="148">
        <f>SUM(M10:M12)</f>
        <v>862033104.99999988</v>
      </c>
      <c r="N14" s="257"/>
      <c r="O14" s="148">
        <f>E14-M14</f>
        <v>-41267049.079999924</v>
      </c>
      <c r="Q14" s="145">
        <f>IF(M14=0,"n/a",IF(AND(O14/M14&lt;1,O14/M14&gt;-1),O14/M14,"n/a"))</f>
        <v>-4.7871768312192524E-2</v>
      </c>
      <c r="S14" s="158">
        <f>IF(E52=0,"n/a",E14/E52)</f>
        <v>1.0608070341838924</v>
      </c>
      <c r="T14" s="256"/>
      <c r="U14" s="158" t="str">
        <f>IF(G52=0,"n/a",G14/G52)</f>
        <v>n/a</v>
      </c>
      <c r="V14" s="256"/>
      <c r="W14" s="158">
        <f>IF(M52=0,"n/a",M14/M52)</f>
        <v>1.1920145792442083</v>
      </c>
    </row>
    <row r="15" spans="1:23" ht="6.9" customHeight="1">
      <c r="E15" s="148"/>
      <c r="F15" s="257"/>
      <c r="G15" s="148"/>
      <c r="H15" s="257"/>
      <c r="I15" s="148"/>
      <c r="J15" s="257"/>
      <c r="K15" s="260"/>
      <c r="L15" s="257"/>
      <c r="M15" s="148"/>
      <c r="N15" s="257"/>
      <c r="O15" s="148"/>
      <c r="Q15" s="141"/>
      <c r="S15" s="256"/>
      <c r="T15" s="256"/>
      <c r="U15" s="256"/>
      <c r="V15" s="256"/>
      <c r="W15" s="256"/>
    </row>
    <row r="16" spans="1:23" ht="12">
      <c r="B16" s="253" t="s">
        <v>73</v>
      </c>
      <c r="E16" s="148"/>
      <c r="F16" s="257"/>
      <c r="G16" s="148"/>
      <c r="H16" s="257"/>
      <c r="I16" s="148"/>
      <c r="J16" s="257"/>
      <c r="K16" s="260"/>
      <c r="L16" s="257"/>
      <c r="M16" s="148"/>
      <c r="N16" s="257"/>
      <c r="O16" s="148"/>
      <c r="Q16" s="141"/>
      <c r="S16" s="256"/>
      <c r="T16" s="256"/>
      <c r="U16" s="256"/>
      <c r="V16" s="256"/>
      <c r="W16" s="256"/>
    </row>
    <row r="17" spans="2:23">
      <c r="C17" s="245" t="s">
        <v>58</v>
      </c>
      <c r="E17" s="148">
        <v>24238627.620000001</v>
      </c>
      <c r="F17" s="257"/>
      <c r="G17" s="148">
        <v>26510000</v>
      </c>
      <c r="H17" s="257"/>
      <c r="I17" s="148">
        <f>E17-G17</f>
        <v>-2271372.379999999</v>
      </c>
      <c r="J17" s="257"/>
      <c r="K17" s="258">
        <f>IF(G17=0,"n/a",IF(AND(I17/G17&lt;1,I17/G17&gt;-1),I17/G17,"n/a"))</f>
        <v>-8.567983327046394E-2</v>
      </c>
      <c r="L17" s="257"/>
      <c r="M17" s="148">
        <v>28931443.300000001</v>
      </c>
      <c r="N17" s="257"/>
      <c r="O17" s="148">
        <f>E17-M17</f>
        <v>-4692815.68</v>
      </c>
      <c r="Q17" s="145">
        <f>IF(M17=0,"n/a",IF(AND(O17/M17&lt;1,O17/M17&gt;-1),O17/M17,"n/a"))</f>
        <v>-0.16220468613814368</v>
      </c>
      <c r="S17" s="158">
        <f>IF(E55=0,"n/a",E17/E55)</f>
        <v>0.56669033823836579</v>
      </c>
      <c r="T17" s="256"/>
      <c r="U17" s="158">
        <f>IF(G55=0,"n/a",G17/G55)</f>
        <v>3.1635637647244141E-2</v>
      </c>
      <c r="V17" s="256"/>
      <c r="W17" s="158">
        <f>IF(M55=0,"n/a",M17/M55)</f>
        <v>0.68759367907390101</v>
      </c>
    </row>
    <row r="18" spans="2:23">
      <c r="C18" s="245" t="s">
        <v>57</v>
      </c>
      <c r="E18" s="152">
        <v>1422979.91</v>
      </c>
      <c r="F18" s="261"/>
      <c r="G18" s="152">
        <v>1654000</v>
      </c>
      <c r="H18" s="262"/>
      <c r="I18" s="152">
        <f>E18-G18</f>
        <v>-231020.09000000008</v>
      </c>
      <c r="J18" s="261"/>
      <c r="K18" s="259">
        <f>IF(G18=0,"n/a",IF(AND(I18/G18&lt;1,I18/G18&gt;-1),I18/G18,"n/a"))</f>
        <v>-0.13967357315598555</v>
      </c>
      <c r="L18" s="263"/>
      <c r="M18" s="152">
        <v>1249098.23</v>
      </c>
      <c r="N18" s="263"/>
      <c r="O18" s="152">
        <f>E18-M18</f>
        <v>173881.67999999993</v>
      </c>
      <c r="Q18" s="143">
        <f>IF(M18=0,"n/a",IF(AND(O18/M18&lt;1,O18/M18&gt;-1),O18/M18,"n/a"))</f>
        <v>0.13920576926924308</v>
      </c>
      <c r="S18" s="157">
        <f>IF(E56=0,"n/a",E18/E56)</f>
        <v>0.56849385354784321</v>
      </c>
      <c r="T18" s="256"/>
      <c r="U18" s="157" t="str">
        <f>IF(G56=0,"n/a",G18/G56)</f>
        <v>n/a</v>
      </c>
      <c r="V18" s="256"/>
      <c r="W18" s="157">
        <f>IF(M56=0,"n/a",M18/M56)</f>
        <v>0.71197258465623092</v>
      </c>
    </row>
    <row r="19" spans="2:23" ht="6.9" customHeight="1">
      <c r="E19" s="148"/>
      <c r="F19" s="264"/>
      <c r="G19" s="148"/>
      <c r="H19" s="264"/>
      <c r="I19" s="148"/>
      <c r="J19" s="264"/>
      <c r="K19" s="260"/>
      <c r="L19" s="264"/>
      <c r="M19" s="148"/>
      <c r="N19" s="264"/>
      <c r="O19" s="148"/>
      <c r="Q19" s="141"/>
      <c r="S19" s="256"/>
      <c r="T19" s="256"/>
      <c r="U19" s="256"/>
      <c r="V19" s="256"/>
      <c r="W19" s="256"/>
    </row>
    <row r="20" spans="2:23">
      <c r="C20" s="245" t="s">
        <v>56</v>
      </c>
      <c r="E20" s="152">
        <f>SUM(E17:E18)</f>
        <v>25661607.530000001</v>
      </c>
      <c r="F20" s="261"/>
      <c r="G20" s="152">
        <f>SUM(G17:G18)</f>
        <v>28164000</v>
      </c>
      <c r="H20" s="262"/>
      <c r="I20" s="152">
        <f>E20-G20</f>
        <v>-2502392.4699999988</v>
      </c>
      <c r="J20" s="261"/>
      <c r="K20" s="259">
        <f>IF(G20=0,"n/a",IF(AND(I20/G20&lt;1,I20/G20&gt;-1),I20/G20,"n/a"))</f>
        <v>-8.8850748118164985E-2</v>
      </c>
      <c r="L20" s="263"/>
      <c r="M20" s="152">
        <f>SUM(M17:M18)</f>
        <v>30180541.530000001</v>
      </c>
      <c r="N20" s="263"/>
      <c r="O20" s="152">
        <f>E20-M20</f>
        <v>-4518934</v>
      </c>
      <c r="Q20" s="143">
        <f>IF(M20=0,"n/a",IF(AND(O20/M20&lt;1,O20/M20&gt;-1),O20/M20,"n/a"))</f>
        <v>-0.14973005025466818</v>
      </c>
      <c r="S20" s="157">
        <f>IF(E58=0,"n/a",E20/E58)</f>
        <v>0.56679004650921172</v>
      </c>
      <c r="T20" s="256"/>
      <c r="U20" s="157">
        <f>IF(G58=0,"n/a",G20/G58)</f>
        <v>3.3609434126630859E-2</v>
      </c>
      <c r="V20" s="256"/>
      <c r="W20" s="157">
        <f>IF(M58=0,"n/a",M20/M58)</f>
        <v>0.68856949584635552</v>
      </c>
    </row>
    <row r="21" spans="2:23" ht="6.9" customHeight="1">
      <c r="E21" s="148"/>
      <c r="F21" s="264"/>
      <c r="G21" s="148"/>
      <c r="H21" s="264"/>
      <c r="I21" s="148"/>
      <c r="J21" s="264"/>
      <c r="K21" s="260"/>
      <c r="L21" s="264"/>
      <c r="M21" s="148"/>
      <c r="N21" s="264"/>
      <c r="O21" s="148"/>
      <c r="Q21" s="141"/>
      <c r="S21" s="256"/>
      <c r="T21" s="256"/>
      <c r="U21" s="256"/>
      <c r="V21" s="256"/>
      <c r="W21" s="256"/>
    </row>
    <row r="22" spans="2:23">
      <c r="C22" s="245" t="s">
        <v>72</v>
      </c>
      <c r="E22" s="148">
        <f>E14+E20</f>
        <v>846427663.44999993</v>
      </c>
      <c r="F22" s="264"/>
      <c r="G22" s="148">
        <f>G14+G20</f>
        <v>981144000</v>
      </c>
      <c r="H22" s="264"/>
      <c r="I22" s="148">
        <f>E22-G22</f>
        <v>-134716336.55000007</v>
      </c>
      <c r="J22" s="264"/>
      <c r="K22" s="258">
        <f>IF(G22=0,"n/a",IF(AND(I22/G22&lt;1,I22/G22&gt;-1),I22/G22,"n/a"))</f>
        <v>-0.13730536654150671</v>
      </c>
      <c r="L22" s="264"/>
      <c r="M22" s="148">
        <f>M14+M20</f>
        <v>892213646.52999985</v>
      </c>
      <c r="N22" s="264"/>
      <c r="O22" s="148">
        <f>E22-M22</f>
        <v>-45785983.079999924</v>
      </c>
      <c r="Q22" s="145">
        <f>IF(M22=0,"n/a",IF(AND(O22/M22&lt;1,O22/M22&gt;-1),O22/M22,"n/a"))</f>
        <v>-5.1317286233035005E-2</v>
      </c>
      <c r="S22" s="158">
        <f>IF(E60=0,"n/a",E22/E60)</f>
        <v>1.0334969598960082</v>
      </c>
      <c r="T22" s="256"/>
      <c r="U22" s="158">
        <f>IF(G60=0,"n/a",G22/G60)</f>
        <v>1.170845570115719</v>
      </c>
      <c r="V22" s="256"/>
      <c r="W22" s="158">
        <f>IF(M60=0,"n/a",M22/M60)</f>
        <v>1.1632449886658032</v>
      </c>
    </row>
    <row r="23" spans="2:23" ht="6.9" customHeight="1">
      <c r="E23" s="148"/>
      <c r="F23" s="264"/>
      <c r="G23" s="148"/>
      <c r="H23" s="264"/>
      <c r="I23" s="148"/>
      <c r="J23" s="264"/>
      <c r="K23" s="260"/>
      <c r="L23" s="264"/>
      <c r="M23" s="148"/>
      <c r="N23" s="264"/>
      <c r="O23" s="148"/>
      <c r="Q23" s="141"/>
      <c r="S23" s="256"/>
      <c r="T23" s="256"/>
      <c r="U23" s="256"/>
      <c r="V23" s="256"/>
      <c r="W23" s="256"/>
    </row>
    <row r="24" spans="2:23" ht="12">
      <c r="B24" s="253" t="s">
        <v>71</v>
      </c>
      <c r="E24" s="148"/>
      <c r="F24" s="264"/>
      <c r="G24" s="148"/>
      <c r="H24" s="264"/>
      <c r="I24" s="148"/>
      <c r="J24" s="264"/>
      <c r="K24" s="260"/>
      <c r="L24" s="264"/>
      <c r="M24" s="148"/>
      <c r="N24" s="264"/>
      <c r="O24" s="148"/>
      <c r="Q24" s="141"/>
      <c r="S24" s="256"/>
      <c r="T24" s="256"/>
      <c r="U24" s="256"/>
      <c r="V24" s="256"/>
      <c r="W24" s="256"/>
    </row>
    <row r="25" spans="2:23">
      <c r="C25" s="245" t="s">
        <v>53</v>
      </c>
      <c r="E25" s="148">
        <v>6277429.2400000002</v>
      </c>
      <c r="F25" s="264"/>
      <c r="G25" s="148">
        <v>5251000</v>
      </c>
      <c r="H25" s="264"/>
      <c r="I25" s="148">
        <f>E25-G25</f>
        <v>1026429.2400000002</v>
      </c>
      <c r="J25" s="264"/>
      <c r="K25" s="258">
        <f>IF(G25=0,"n/a",IF(AND(I25/G25&lt;1,I25/G25&gt;-1),I25/G25,"n/a"))</f>
        <v>0.19547309845743671</v>
      </c>
      <c r="L25" s="264"/>
      <c r="M25" s="148">
        <v>5746195.8499999996</v>
      </c>
      <c r="N25" s="264"/>
      <c r="O25" s="148">
        <f>E25-M25</f>
        <v>531233.3900000006</v>
      </c>
      <c r="Q25" s="145">
        <f>IF(M25=0,"n/a",IF(AND(O25/M25&lt;1,O25/M25&gt;-1),O25/M25,"n/a"))</f>
        <v>9.244957949005525E-2</v>
      </c>
      <c r="S25" s="158">
        <f>IF(E63=0,"n/a",E25/E63)</f>
        <v>0.12106579913083902</v>
      </c>
      <c r="T25" s="256"/>
      <c r="U25" s="158">
        <f>IF(G63=0,"n/a",G25/G63)</f>
        <v>5.9308068766186607E-3</v>
      </c>
      <c r="V25" s="256"/>
      <c r="W25" s="158">
        <f>IF(M63=0,"n/a",M25/M63)</f>
        <v>0.11706887875164088</v>
      </c>
    </row>
    <row r="26" spans="2:23">
      <c r="C26" s="245" t="s">
        <v>52</v>
      </c>
      <c r="E26" s="152">
        <v>13170762.43</v>
      </c>
      <c r="F26" s="261"/>
      <c r="G26" s="152">
        <v>11111000</v>
      </c>
      <c r="H26" s="262"/>
      <c r="I26" s="152">
        <f>E26-G26</f>
        <v>2059762.4299999997</v>
      </c>
      <c r="J26" s="261"/>
      <c r="K26" s="259">
        <f>IF(G26=0,"n/a",IF(AND(I26/G26&lt;1,I26/G26&gt;-1),I26/G26,"n/a"))</f>
        <v>0.18538047250472503</v>
      </c>
      <c r="L26" s="263"/>
      <c r="M26" s="152">
        <v>12110414.210000001</v>
      </c>
      <c r="N26" s="263"/>
      <c r="O26" s="152">
        <f>E26-M26</f>
        <v>1060348.2199999988</v>
      </c>
      <c r="Q26" s="143">
        <f>IF(M26=0,"n/a",IF(AND(O26/M26&lt;1,O26/M26&gt;-1),O26/M26,"n/a"))</f>
        <v>8.7556726104746394E-2</v>
      </c>
      <c r="S26" s="157">
        <f>IF(E64=0,"n/a",E26/E64)</f>
        <v>7.5270323002320394E-2</v>
      </c>
      <c r="T26" s="256"/>
      <c r="U26" s="157" t="str">
        <f>IF(G64=0,"n/a",G26/G64)</f>
        <v>n/a</v>
      </c>
      <c r="V26" s="256"/>
      <c r="W26" s="157">
        <f>IF(M64=0,"n/a",M26/M64)</f>
        <v>7.2924834686378961E-2</v>
      </c>
    </row>
    <row r="27" spans="2:23" ht="6.9" customHeight="1">
      <c r="E27" s="148"/>
      <c r="F27" s="264"/>
      <c r="G27" s="148"/>
      <c r="H27" s="264"/>
      <c r="I27" s="148"/>
      <c r="J27" s="264"/>
      <c r="K27" s="260"/>
      <c r="L27" s="264"/>
      <c r="M27" s="148"/>
      <c r="N27" s="264"/>
      <c r="O27" s="148"/>
      <c r="Q27" s="141"/>
      <c r="S27" s="256"/>
      <c r="T27" s="256"/>
      <c r="U27" s="256"/>
      <c r="V27" s="256"/>
      <c r="W27" s="256"/>
    </row>
    <row r="28" spans="2:23">
      <c r="C28" s="245" t="s">
        <v>51</v>
      </c>
      <c r="E28" s="152">
        <f>SUM(E25:E26)</f>
        <v>19448191.670000002</v>
      </c>
      <c r="F28" s="261"/>
      <c r="G28" s="152">
        <f>SUM(G25:G26)</f>
        <v>16362000</v>
      </c>
      <c r="H28" s="262"/>
      <c r="I28" s="152">
        <f>E28-G28</f>
        <v>3086191.6700000018</v>
      </c>
      <c r="J28" s="261"/>
      <c r="K28" s="259">
        <f>IF(G28=0,"n/a",IF(AND(I28/G28&lt;1,I28/G28&gt;-1),I28/G28,"n/a"))</f>
        <v>0.18861946400195587</v>
      </c>
      <c r="L28" s="263"/>
      <c r="M28" s="152">
        <f>SUM(M25:M26)</f>
        <v>17856610.060000002</v>
      </c>
      <c r="N28" s="263"/>
      <c r="O28" s="152">
        <f>E28-M28</f>
        <v>1591581.6099999994</v>
      </c>
      <c r="Q28" s="143">
        <f>IF(M28=0,"n/a",IF(AND(O28/M28&lt;1,O28/M28&gt;-1),O28/M28,"n/a"))</f>
        <v>8.9131229536408396E-2</v>
      </c>
      <c r="S28" s="157">
        <f>IF(E66=0,"n/a",E28/E66)</f>
        <v>8.5738734194336072E-2</v>
      </c>
      <c r="T28" s="256"/>
      <c r="U28" s="157">
        <f>IF(G66=0,"n/a",G28/G66)</f>
        <v>1.8480263209909451E-2</v>
      </c>
      <c r="V28" s="256"/>
      <c r="W28" s="157">
        <f>IF(M66=0,"n/a",M28/M66)</f>
        <v>8.2995722998539911E-2</v>
      </c>
    </row>
    <row r="29" spans="2:23" ht="6.9" customHeight="1">
      <c r="E29" s="148"/>
      <c r="F29" s="264"/>
      <c r="G29" s="148"/>
      <c r="H29" s="264"/>
      <c r="I29" s="148"/>
      <c r="J29" s="264"/>
      <c r="K29" s="260"/>
      <c r="L29" s="264"/>
      <c r="M29" s="148"/>
      <c r="N29" s="264"/>
      <c r="O29" s="148"/>
      <c r="Q29" s="141"/>
      <c r="S29" s="256"/>
      <c r="T29" s="256"/>
      <c r="U29" s="256"/>
      <c r="V29" s="256"/>
      <c r="W29" s="256"/>
    </row>
    <row r="30" spans="2:23">
      <c r="C30" s="245" t="s">
        <v>70</v>
      </c>
      <c r="E30" s="148">
        <f>E22+E28</f>
        <v>865875855.11999989</v>
      </c>
      <c r="F30" s="264"/>
      <c r="G30" s="148">
        <f>G22+G28</f>
        <v>997506000</v>
      </c>
      <c r="H30" s="264"/>
      <c r="I30" s="148">
        <f>E30-G30</f>
        <v>-131630144.88000011</v>
      </c>
      <c r="J30" s="264"/>
      <c r="K30" s="258">
        <f>IF(G30=0,"n/a",IF(AND(I30/G30&lt;1,I30/G30&gt;-1),I30/G30,"n/a"))</f>
        <v>-0.13195925125262417</v>
      </c>
      <c r="L30" s="264"/>
      <c r="M30" s="148">
        <f>M22+M28</f>
        <v>910070256.58999991</v>
      </c>
      <c r="N30" s="264"/>
      <c r="O30" s="148">
        <f>E30-M30</f>
        <v>-44194401.470000029</v>
      </c>
      <c r="Q30" s="145">
        <f>IF(M30=0,"n/a",IF(AND(O30/M30&lt;1,O30/M30&gt;-1),O30/M30,"n/a"))</f>
        <v>-4.8561527145821508E-2</v>
      </c>
      <c r="S30" s="156">
        <f>IF(E68=0,"n/a",E30/E68)</f>
        <v>0.82793591613380169</v>
      </c>
      <c r="T30" s="256"/>
      <c r="U30" s="156">
        <f>IF(G68=0,"n/a",G30/G68)</f>
        <v>0.57881598462534734</v>
      </c>
      <c r="V30" s="256"/>
      <c r="W30" s="156">
        <f>IF(M68=0,"n/a",M30/M68)</f>
        <v>0.92660549268961545</v>
      </c>
    </row>
    <row r="31" spans="2:23" ht="6.9" customHeight="1">
      <c r="E31" s="148"/>
      <c r="F31" s="264"/>
      <c r="G31" s="148"/>
      <c r="H31" s="264"/>
      <c r="I31" s="148"/>
      <c r="J31" s="264"/>
      <c r="K31" s="260"/>
      <c r="L31" s="264"/>
      <c r="M31" s="148"/>
      <c r="N31" s="264"/>
      <c r="O31" s="148"/>
      <c r="Q31" s="141"/>
      <c r="S31" s="265"/>
      <c r="T31" s="265"/>
      <c r="U31" s="265"/>
      <c r="V31" s="265"/>
      <c r="W31" s="265"/>
    </row>
    <row r="32" spans="2:23">
      <c r="B32" s="245" t="s">
        <v>90</v>
      </c>
      <c r="E32" s="148">
        <v>18019112.100000001</v>
      </c>
      <c r="F32" s="264"/>
      <c r="G32" s="148">
        <v>-6673000</v>
      </c>
      <c r="H32" s="264"/>
      <c r="I32" s="148">
        <f>E32-G32</f>
        <v>24692112.100000001</v>
      </c>
      <c r="J32" s="264"/>
      <c r="K32" s="258" t="str">
        <f>IF(G32=0,"n/a",IF(AND(I32/G32&lt;1,I32/G32&gt;-1),I32/G32,"n/a"))</f>
        <v>n/a</v>
      </c>
      <c r="L32" s="264"/>
      <c r="M32" s="148">
        <v>55997620.890000001</v>
      </c>
      <c r="N32" s="264"/>
      <c r="O32" s="148">
        <f>E32-M32</f>
        <v>-37978508.789999999</v>
      </c>
      <c r="Q32" s="145">
        <f>IF(M32=0,"n/a",IF(AND(O32/M32&lt;1,O32/M32&gt;-1),O32/M32,"n/a"))</f>
        <v>-0.67821647038547961</v>
      </c>
      <c r="S32" s="265"/>
      <c r="T32" s="265"/>
      <c r="U32" s="265"/>
      <c r="V32" s="265"/>
      <c r="W32" s="265"/>
    </row>
    <row r="33" spans="1:23">
      <c r="B33" s="245" t="s">
        <v>69</v>
      </c>
      <c r="E33" s="152">
        <v>14282852.76</v>
      </c>
      <c r="F33" s="261"/>
      <c r="G33" s="152">
        <v>13701000</v>
      </c>
      <c r="H33" s="262"/>
      <c r="I33" s="152">
        <f>E33-G33</f>
        <v>581852.75999999978</v>
      </c>
      <c r="J33" s="261"/>
      <c r="K33" s="259">
        <f>IF(G33=0,"n/a",IF(AND(I33/G33&lt;1,I33/G33&gt;-1),I33/G33,"n/a"))</f>
        <v>4.2467904532515859E-2</v>
      </c>
      <c r="L33" s="263"/>
      <c r="M33" s="152">
        <v>13426288.439999999</v>
      </c>
      <c r="N33" s="263"/>
      <c r="O33" s="152">
        <f>E33-M33</f>
        <v>856564.3200000003</v>
      </c>
      <c r="Q33" s="143">
        <f>IF(M33=0,"n/a",IF(AND(O33/M33&lt;1,O33/M33&gt;-1),O33/M33,"n/a"))</f>
        <v>6.3797550888903765E-2</v>
      </c>
    </row>
    <row r="34" spans="1:23" ht="6.9" customHeight="1">
      <c r="E34" s="148"/>
      <c r="F34" s="266"/>
      <c r="G34" s="148"/>
      <c r="H34" s="266"/>
      <c r="I34" s="148"/>
      <c r="J34" s="266"/>
      <c r="K34" s="151"/>
      <c r="L34" s="266"/>
      <c r="M34" s="148"/>
      <c r="N34" s="266"/>
      <c r="O34" s="148"/>
      <c r="Q34" s="151"/>
      <c r="S34" s="265"/>
      <c r="T34" s="265"/>
      <c r="U34" s="265"/>
      <c r="V34" s="265"/>
      <c r="W34" s="265"/>
    </row>
    <row r="35" spans="1:23" ht="12" thickBot="1">
      <c r="C35" s="245" t="s">
        <v>68</v>
      </c>
      <c r="E35" s="150">
        <f>SUM(E30:E33)</f>
        <v>898177819.9799999</v>
      </c>
      <c r="F35" s="267"/>
      <c r="G35" s="150">
        <f>SUM(G30:G33)</f>
        <v>1004534000</v>
      </c>
      <c r="H35" s="267"/>
      <c r="I35" s="150">
        <f>E35-G35</f>
        <v>-106356180.0200001</v>
      </c>
      <c r="J35" s="267"/>
      <c r="K35" s="268">
        <f>IF(G35=0,"n/a",IF(AND(I35/G35&lt;1,I35/G35&gt;-1),I35/G35,"n/a"))</f>
        <v>-0.10587613761206699</v>
      </c>
      <c r="L35" s="267"/>
      <c r="M35" s="150">
        <f>SUM(M30:M33)</f>
        <v>979494165.91999996</v>
      </c>
      <c r="N35" s="267"/>
      <c r="O35" s="150">
        <f>E35-M35</f>
        <v>-81316345.940000057</v>
      </c>
      <c r="Q35" s="138">
        <f>IF(M35=0,"n/a",IF(AND(O35/M35&lt;1,O35/M35&gt;-1),O35/M35,"n/a"))</f>
        <v>-8.3018713913035766E-2</v>
      </c>
    </row>
    <row r="36" spans="1:23" ht="12" thickTop="1">
      <c r="E36" s="214"/>
      <c r="F36" s="269"/>
      <c r="G36" s="214"/>
      <c r="H36" s="270"/>
      <c r="I36" s="214"/>
      <c r="J36" s="270"/>
      <c r="K36" s="271"/>
      <c r="L36" s="270"/>
      <c r="M36" s="214"/>
      <c r="N36" s="270"/>
      <c r="O36" s="214"/>
    </row>
    <row r="37" spans="1:23">
      <c r="C37" s="245" t="s">
        <v>129</v>
      </c>
      <c r="E37" s="149">
        <v>40171551.799999997</v>
      </c>
      <c r="F37" s="214"/>
      <c r="G37" s="214">
        <v>40633601.618000001</v>
      </c>
      <c r="H37" s="270"/>
      <c r="I37" s="214"/>
      <c r="J37" s="270"/>
      <c r="K37" s="271"/>
      <c r="L37" s="270"/>
      <c r="M37" s="214">
        <v>23082807.149999999</v>
      </c>
      <c r="N37" s="270"/>
      <c r="O37" s="214"/>
    </row>
    <row r="38" spans="1:23">
      <c r="C38" s="245" t="s">
        <v>67</v>
      </c>
      <c r="E38" s="148">
        <v>12233772.15</v>
      </c>
      <c r="F38" s="257"/>
      <c r="G38" s="148">
        <v>4927785.5829999996</v>
      </c>
      <c r="H38" s="257"/>
      <c r="I38" s="148"/>
      <c r="J38" s="257"/>
      <c r="K38" s="272"/>
      <c r="L38" s="257"/>
      <c r="M38" s="148">
        <v>9690945.2799999993</v>
      </c>
      <c r="O38" s="147"/>
    </row>
    <row r="39" spans="1:23">
      <c r="C39" s="245" t="s">
        <v>43</v>
      </c>
      <c r="E39" s="148">
        <v>5751762.5700000003</v>
      </c>
      <c r="F39" s="257"/>
      <c r="G39" s="148">
        <v>4881579.5140000004</v>
      </c>
      <c r="H39" s="257"/>
      <c r="I39" s="148"/>
      <c r="J39" s="257"/>
      <c r="K39" s="272"/>
      <c r="L39" s="257"/>
      <c r="M39" s="148">
        <v>4576212.18</v>
      </c>
      <c r="O39" s="147"/>
    </row>
    <row r="40" spans="1:23">
      <c r="C40" s="245" t="s">
        <v>66</v>
      </c>
      <c r="E40" s="148">
        <v>-2689592.43</v>
      </c>
      <c r="F40" s="257"/>
      <c r="G40" s="148">
        <v>-2731332.57</v>
      </c>
      <c r="H40" s="257"/>
      <c r="I40" s="148"/>
      <c r="J40" s="257"/>
      <c r="K40" s="272"/>
      <c r="L40" s="257"/>
      <c r="M40" s="148">
        <v>-2484269.73</v>
      </c>
      <c r="O40" s="147"/>
    </row>
    <row r="41" spans="1:23">
      <c r="C41" s="245" t="s">
        <v>119</v>
      </c>
      <c r="E41" s="148">
        <v>19745121.800000001</v>
      </c>
      <c r="F41" s="257"/>
      <c r="G41" s="148"/>
      <c r="H41" s="257"/>
      <c r="I41" s="148"/>
      <c r="J41" s="257"/>
      <c r="K41" s="272"/>
      <c r="L41" s="257"/>
      <c r="M41" s="148">
        <v>20129490.969999999</v>
      </c>
      <c r="O41" s="147"/>
    </row>
    <row r="42" spans="1:23">
      <c r="C42" s="245" t="s">
        <v>159</v>
      </c>
      <c r="E42" s="148">
        <v>-1185179.1499999999</v>
      </c>
      <c r="F42" s="257"/>
      <c r="G42" s="148"/>
      <c r="H42" s="257"/>
      <c r="I42" s="148"/>
      <c r="J42" s="257"/>
      <c r="K42" s="272"/>
      <c r="L42" s="257"/>
      <c r="M42" s="148">
        <v>0</v>
      </c>
      <c r="O42" s="147"/>
    </row>
    <row r="43" spans="1:23">
      <c r="C43" s="245" t="s">
        <v>160</v>
      </c>
      <c r="E43" s="148">
        <v>28465748.190000001</v>
      </c>
      <c r="F43" s="257"/>
      <c r="G43" s="148"/>
      <c r="H43" s="257"/>
      <c r="I43" s="148"/>
      <c r="J43" s="257"/>
      <c r="K43" s="272"/>
      <c r="L43" s="257"/>
      <c r="M43" s="148">
        <v>0</v>
      </c>
      <c r="O43" s="147"/>
    </row>
    <row r="44" spans="1:23">
      <c r="C44" s="245" t="s">
        <v>130</v>
      </c>
      <c r="E44" s="148">
        <v>5498222.8099999996</v>
      </c>
      <c r="F44" s="257"/>
      <c r="G44" s="148"/>
      <c r="H44" s="257"/>
      <c r="I44" s="148"/>
      <c r="J44" s="257"/>
      <c r="K44" s="272"/>
      <c r="L44" s="257"/>
      <c r="M44" s="148">
        <v>1649131</v>
      </c>
      <c r="O44" s="147"/>
    </row>
    <row r="45" spans="1:23">
      <c r="E45" s="146"/>
    </row>
    <row r="46" spans="1:23" ht="13.2">
      <c r="A46" s="243" t="s">
        <v>65</v>
      </c>
      <c r="E46" s="146"/>
    </row>
    <row r="47" spans="1:23" ht="12">
      <c r="B47" s="253" t="s">
        <v>64</v>
      </c>
      <c r="E47" s="146"/>
    </row>
    <row r="48" spans="1:23">
      <c r="C48" s="245" t="s">
        <v>63</v>
      </c>
      <c r="E48" s="273">
        <v>514534041</v>
      </c>
      <c r="G48" s="142">
        <v>0</v>
      </c>
      <c r="H48" s="140"/>
      <c r="I48" s="142">
        <f>E48-G48</f>
        <v>514534041</v>
      </c>
      <c r="K48" s="145" t="str">
        <f>IF(G48=0,"n/a",IF(AND(I48/G48&lt;1,I48/G48&gt;-1),I48/G48,"n/a"))</f>
        <v>n/a</v>
      </c>
      <c r="M48" s="273">
        <v>478489027</v>
      </c>
      <c r="N48" s="140"/>
      <c r="O48" s="142">
        <f>E48-M48</f>
        <v>36045014</v>
      </c>
      <c r="Q48" s="145">
        <f>IF(M48=0,"n/a",IF(AND(O48/M48&lt;1,O48/M48&gt;-1),O48/M48,"n/a"))</f>
        <v>7.5330910357532602E-2</v>
      </c>
    </row>
    <row r="49" spans="2:23">
      <c r="C49" s="245" t="s">
        <v>62</v>
      </c>
      <c r="E49" s="273">
        <v>235287402</v>
      </c>
      <c r="G49" s="142">
        <v>0</v>
      </c>
      <c r="H49" s="140"/>
      <c r="I49" s="142">
        <f>E49-G49</f>
        <v>235287402</v>
      </c>
      <c r="K49" s="145" t="str">
        <f>IF(G49=0,"n/a",IF(AND(I49/G49&lt;1,I49/G49&gt;-1),I49/G49,"n/a"))</f>
        <v>n/a</v>
      </c>
      <c r="M49" s="273">
        <v>220405124</v>
      </c>
      <c r="N49" s="140"/>
      <c r="O49" s="142">
        <f>E49-M49</f>
        <v>14882278</v>
      </c>
      <c r="Q49" s="145">
        <f>IF(M49=0,"n/a",IF(AND(O49/M49&lt;1,O49/M49&gt;-1),O49/M49,"n/a"))</f>
        <v>6.7522377565051528E-2</v>
      </c>
    </row>
    <row r="50" spans="2:23">
      <c r="C50" s="245" t="s">
        <v>61</v>
      </c>
      <c r="E50" s="144">
        <v>23897084</v>
      </c>
      <c r="G50" s="144">
        <v>0</v>
      </c>
      <c r="H50" s="140"/>
      <c r="I50" s="144">
        <f>E50-G50</f>
        <v>23897084</v>
      </c>
      <c r="K50" s="143" t="str">
        <f>IF(G50=0,"n/a",IF(AND(I50/G50&lt;1,I50/G50&gt;-1),I50/G50,"n/a"))</f>
        <v>n/a</v>
      </c>
      <c r="M50" s="144">
        <v>24279139</v>
      </c>
      <c r="N50" s="140"/>
      <c r="O50" s="144">
        <f>E50-M50</f>
        <v>-382055</v>
      </c>
      <c r="Q50" s="143">
        <f>IF(M50=0,"n/a",IF(AND(O50/M50&lt;1,O50/M50&gt;-1),O50/M50,"n/a"))</f>
        <v>-1.5735936929229657E-2</v>
      </c>
    </row>
    <row r="51" spans="2:23" ht="6.9" customHeight="1">
      <c r="E51" s="142"/>
      <c r="G51" s="142"/>
      <c r="I51" s="142"/>
      <c r="K51" s="141"/>
      <c r="M51" s="142"/>
      <c r="O51" s="142"/>
      <c r="Q51" s="141"/>
      <c r="S51" s="265"/>
      <c r="T51" s="265"/>
      <c r="U51" s="265"/>
      <c r="V51" s="265"/>
      <c r="W51" s="265"/>
    </row>
    <row r="52" spans="2:23">
      <c r="C52" s="245" t="s">
        <v>60</v>
      </c>
      <c r="E52" s="142">
        <f>SUM(E48:E50)</f>
        <v>773718527</v>
      </c>
      <c r="G52" s="142">
        <f>SUM(G48:G50)</f>
        <v>0</v>
      </c>
      <c r="H52" s="140"/>
      <c r="I52" s="142">
        <f>E52-G52</f>
        <v>773718527</v>
      </c>
      <c r="K52" s="145" t="str">
        <f>IF(G52=0,"n/a",IF(AND(I52/G52&lt;1,I52/G52&gt;-1),I52/G52,"n/a"))</f>
        <v>n/a</v>
      </c>
      <c r="M52" s="142">
        <f>SUM(M48:M50)</f>
        <v>723173290</v>
      </c>
      <c r="N52" s="140"/>
      <c r="O52" s="142">
        <f>E52-M52</f>
        <v>50545237</v>
      </c>
      <c r="Q52" s="145">
        <f>IF(M52=0,"n/a",IF(AND(O52/M52&lt;1,O52/M52&gt;-1),O52/M52,"n/a"))</f>
        <v>6.9893672372772511E-2</v>
      </c>
    </row>
    <row r="53" spans="2:23" ht="6.9" customHeight="1">
      <c r="E53" s="142"/>
      <c r="G53" s="142"/>
      <c r="I53" s="142"/>
      <c r="K53" s="141"/>
      <c r="M53" s="142"/>
      <c r="O53" s="142"/>
      <c r="Q53" s="141"/>
      <c r="S53" s="265"/>
      <c r="T53" s="265"/>
      <c r="U53" s="265"/>
      <c r="V53" s="265"/>
      <c r="W53" s="265"/>
    </row>
    <row r="54" spans="2:23" ht="12">
      <c r="B54" s="253" t="s">
        <v>59</v>
      </c>
      <c r="E54" s="142"/>
      <c r="G54" s="142"/>
      <c r="H54" s="140"/>
      <c r="I54" s="142"/>
      <c r="K54" s="141"/>
      <c r="M54" s="142"/>
      <c r="N54" s="140"/>
      <c r="O54" s="142"/>
      <c r="Q54" s="141"/>
    </row>
    <row r="55" spans="2:23">
      <c r="C55" s="245" t="s">
        <v>58</v>
      </c>
      <c r="E55" s="273">
        <v>42772262</v>
      </c>
      <c r="G55" s="142">
        <v>837979000</v>
      </c>
      <c r="H55" s="140"/>
      <c r="I55" s="142">
        <f>E55-G55</f>
        <v>-795206738</v>
      </c>
      <c r="K55" s="145">
        <f>IF(G55=0,"n/a",IF(AND(I55/G55&lt;1,I55/G55&gt;-1),I55/G55,"n/a"))</f>
        <v>-0.94895783545888379</v>
      </c>
      <c r="M55" s="273">
        <v>42076366</v>
      </c>
      <c r="N55" s="140"/>
      <c r="O55" s="142">
        <f>E55-M55</f>
        <v>695896</v>
      </c>
      <c r="Q55" s="145">
        <f>IF(M55=0,"n/a",IF(AND(O55/M55&lt;1,O55/M55&gt;-1),O55/M55,"n/a"))</f>
        <v>1.6538880757905758E-2</v>
      </c>
    </row>
    <row r="56" spans="2:23">
      <c r="C56" s="245" t="s">
        <v>57</v>
      </c>
      <c r="E56" s="144">
        <v>2503070</v>
      </c>
      <c r="G56" s="144">
        <v>0</v>
      </c>
      <c r="H56" s="140"/>
      <c r="I56" s="144">
        <f>E56-G56</f>
        <v>2503070</v>
      </c>
      <c r="K56" s="143" t="str">
        <f>IF(G56=0,"n/a",IF(AND(I56/G56&lt;1,I56/G56&gt;-1),I56/G56,"n/a"))</f>
        <v>n/a</v>
      </c>
      <c r="M56" s="144">
        <v>1754419</v>
      </c>
      <c r="N56" s="140"/>
      <c r="O56" s="144">
        <f>E56-M56</f>
        <v>748651</v>
      </c>
      <c r="Q56" s="143">
        <f>IF(M56=0,"n/a",IF(AND(O56/M56&lt;1,O56/M56&gt;-1),O56/M56,"n/a"))</f>
        <v>0.42672303480525464</v>
      </c>
    </row>
    <row r="57" spans="2:23" ht="6.9" customHeight="1">
      <c r="E57" s="142"/>
      <c r="G57" s="142"/>
      <c r="I57" s="142"/>
      <c r="K57" s="141"/>
      <c r="M57" s="142"/>
      <c r="O57" s="142"/>
      <c r="Q57" s="141"/>
      <c r="S57" s="265"/>
      <c r="T57" s="265"/>
      <c r="U57" s="265"/>
      <c r="V57" s="265"/>
      <c r="W57" s="265"/>
    </row>
    <row r="58" spans="2:23">
      <c r="C58" s="245" t="s">
        <v>56</v>
      </c>
      <c r="E58" s="144">
        <f>SUM(E55:E56)</f>
        <v>45275332</v>
      </c>
      <c r="G58" s="144">
        <f>SUM(G55:G56)</f>
        <v>837979000</v>
      </c>
      <c r="H58" s="140"/>
      <c r="I58" s="144">
        <f>E58-G58</f>
        <v>-792703668</v>
      </c>
      <c r="K58" s="143">
        <f>IF(G58=0,"n/a",IF(AND(I58/G58&lt;1,I58/G58&gt;-1),I58/G58,"n/a"))</f>
        <v>-0.94597080356428975</v>
      </c>
      <c r="M58" s="144">
        <f>SUM(M55:M56)</f>
        <v>43830785</v>
      </c>
      <c r="N58" s="140"/>
      <c r="O58" s="144">
        <f>E58-M58</f>
        <v>1444547</v>
      </c>
      <c r="Q58" s="143">
        <f>IF(M58=0,"n/a",IF(AND(O58/M58&lt;1,O58/M58&gt;-1),O58/M58,"n/a"))</f>
        <v>3.2957360905126389E-2</v>
      </c>
    </row>
    <row r="59" spans="2:23" ht="6.9" customHeight="1">
      <c r="E59" s="142"/>
      <c r="G59" s="142"/>
      <c r="I59" s="142"/>
      <c r="K59" s="141"/>
      <c r="M59" s="142"/>
      <c r="O59" s="142"/>
      <c r="Q59" s="141"/>
      <c r="S59" s="265"/>
      <c r="T59" s="265"/>
      <c r="U59" s="265"/>
      <c r="V59" s="265"/>
      <c r="W59" s="265"/>
    </row>
    <row r="60" spans="2:23">
      <c r="C60" s="245" t="s">
        <v>55</v>
      </c>
      <c r="E60" s="142">
        <f>E52+E58</f>
        <v>818993859</v>
      </c>
      <c r="G60" s="142">
        <f>G52+G58</f>
        <v>837979000</v>
      </c>
      <c r="H60" s="140"/>
      <c r="I60" s="142">
        <f>E60-G60</f>
        <v>-18985141</v>
      </c>
      <c r="K60" s="145">
        <f>IF(G60=0,"n/a",IF(AND(I60/G60&lt;1,I60/G60&gt;-1),I60/G60,"n/a"))</f>
        <v>-2.2655867271136866E-2</v>
      </c>
      <c r="M60" s="142">
        <f>M52+M58</f>
        <v>767004075</v>
      </c>
      <c r="N60" s="140"/>
      <c r="O60" s="142">
        <f>E60-M60</f>
        <v>51989784</v>
      </c>
      <c r="Q60" s="145">
        <f>IF(M60=0,"n/a",IF(AND(O60/M60&lt;1,O60/M60&gt;-1),O60/M60,"n/a"))</f>
        <v>6.7782930618719331E-2</v>
      </c>
    </row>
    <row r="61" spans="2:23" ht="6.9" customHeight="1">
      <c r="E61" s="142"/>
      <c r="G61" s="142"/>
      <c r="I61" s="142"/>
      <c r="K61" s="141"/>
      <c r="M61" s="142"/>
      <c r="O61" s="142"/>
      <c r="Q61" s="141"/>
      <c r="S61" s="265"/>
      <c r="T61" s="265"/>
      <c r="U61" s="265"/>
      <c r="V61" s="265"/>
      <c r="W61" s="265"/>
    </row>
    <row r="62" spans="2:23" ht="12">
      <c r="B62" s="253" t="s">
        <v>54</v>
      </c>
      <c r="E62" s="142"/>
      <c r="G62" s="142"/>
      <c r="H62" s="140"/>
      <c r="I62" s="142"/>
      <c r="K62" s="141"/>
      <c r="M62" s="142"/>
      <c r="N62" s="140"/>
      <c r="O62" s="142"/>
      <c r="Q62" s="141"/>
    </row>
    <row r="63" spans="2:23">
      <c r="C63" s="245" t="s">
        <v>53</v>
      </c>
      <c r="E63" s="273">
        <v>51851384</v>
      </c>
      <c r="G63" s="142">
        <v>885377000</v>
      </c>
      <c r="H63" s="140"/>
      <c r="I63" s="142">
        <f>E63-G63</f>
        <v>-833525616</v>
      </c>
      <c r="K63" s="145">
        <f>IF(G63=0,"n/a",IF(AND(I63/G63&lt;1,I63/G63&gt;-1),I63/G63,"n/a"))</f>
        <v>-0.94143581321854986</v>
      </c>
      <c r="M63" s="273">
        <v>49083889</v>
      </c>
      <c r="N63" s="140"/>
      <c r="O63" s="142">
        <f>E63-M63</f>
        <v>2767495</v>
      </c>
      <c r="Q63" s="145">
        <f>IF(M63=0,"n/a",IF(AND(O63/M63&lt;1,O63/M63&gt;-1),O63/M63,"n/a"))</f>
        <v>5.6382961015986326E-2</v>
      </c>
    </row>
    <row r="64" spans="2:23">
      <c r="C64" s="245" t="s">
        <v>52</v>
      </c>
      <c r="E64" s="144">
        <v>174979486</v>
      </c>
      <c r="G64" s="144">
        <v>0</v>
      </c>
      <c r="H64" s="140"/>
      <c r="I64" s="144">
        <f>E64-G64</f>
        <v>174979486</v>
      </c>
      <c r="K64" s="143" t="str">
        <f>IF(G64=0,"n/a",IF(AND(I64/G64&lt;1,I64/G64&gt;-1),I64/G64,"n/a"))</f>
        <v>n/a</v>
      </c>
      <c r="M64" s="144">
        <v>166067078</v>
      </c>
      <c r="N64" s="140"/>
      <c r="O64" s="144">
        <f>E64-M64</f>
        <v>8912408</v>
      </c>
      <c r="Q64" s="143">
        <f>IF(M64=0,"n/a",IF(AND(O64/M64&lt;1,O64/M64&gt;-1),O64/M64,"n/a"))</f>
        <v>5.3667518615580147E-2</v>
      </c>
    </row>
    <row r="65" spans="1:23" ht="6.9" customHeight="1">
      <c r="E65" s="142"/>
      <c r="G65" s="142"/>
      <c r="I65" s="142"/>
      <c r="K65" s="141"/>
      <c r="M65" s="142"/>
      <c r="O65" s="142"/>
      <c r="Q65" s="141"/>
      <c r="S65" s="265"/>
      <c r="T65" s="265"/>
      <c r="U65" s="265"/>
      <c r="V65" s="265"/>
      <c r="W65" s="265"/>
    </row>
    <row r="66" spans="1:23">
      <c r="C66" s="245" t="s">
        <v>51</v>
      </c>
      <c r="E66" s="144">
        <f>SUM(E63:E64)</f>
        <v>226830870</v>
      </c>
      <c r="G66" s="144">
        <f>SUM(G63:G64)</f>
        <v>885377000</v>
      </c>
      <c r="H66" s="140"/>
      <c r="I66" s="144">
        <f>E66-G66</f>
        <v>-658546130</v>
      </c>
      <c r="K66" s="143">
        <f>IF(G66=0,"n/a",IF(AND(I66/G66&lt;1,I66/G66&gt;-1),I66/G66,"n/a"))</f>
        <v>-0.74380306920102957</v>
      </c>
      <c r="M66" s="144">
        <f>SUM(M63:M64)</f>
        <v>215150967</v>
      </c>
      <c r="N66" s="140"/>
      <c r="O66" s="144">
        <f>E66-M66</f>
        <v>11679903</v>
      </c>
      <c r="Q66" s="143">
        <f>IF(M66=0,"n/a",IF(AND(O66/M66&lt;1,O66/M66&gt;-1),O66/M66,"n/a"))</f>
        <v>5.428701140813371E-2</v>
      </c>
    </row>
    <row r="67" spans="1:23" ht="6.9" customHeight="1">
      <c r="E67" s="142"/>
      <c r="G67" s="142"/>
      <c r="I67" s="142"/>
      <c r="K67" s="141"/>
      <c r="M67" s="142"/>
      <c r="O67" s="142"/>
      <c r="Q67" s="141"/>
      <c r="S67" s="265"/>
      <c r="T67" s="265"/>
      <c r="U67" s="265"/>
      <c r="V67" s="265"/>
      <c r="W67" s="265"/>
    </row>
    <row r="68" spans="1:23" ht="12" thickBot="1">
      <c r="C68" s="245" t="s">
        <v>50</v>
      </c>
      <c r="E68" s="139">
        <f>E60+E66</f>
        <v>1045824729</v>
      </c>
      <c r="G68" s="139">
        <f>G60+G66</f>
        <v>1723356000</v>
      </c>
      <c r="H68" s="140"/>
      <c r="I68" s="139">
        <f>E68-G68</f>
        <v>-677531271</v>
      </c>
      <c r="K68" s="138">
        <f>IF(G68=0,"n/a",IF(AND(I68/G68&lt;1,I68/G68&gt;-1),I68/G68,"n/a"))</f>
        <v>-0.39314643695208651</v>
      </c>
      <c r="M68" s="139">
        <f>M60+M66</f>
        <v>982155042</v>
      </c>
      <c r="N68" s="140"/>
      <c r="O68" s="139">
        <f>E68-M68</f>
        <v>63669687</v>
      </c>
      <c r="Q68" s="138">
        <f>IF(M68=0,"n/a",IF(AND(O68/M68&lt;1,O68/M68&gt;-1),O68/M68,"n/a"))</f>
        <v>6.4826513409071321E-2</v>
      </c>
    </row>
    <row r="69" spans="1:23" ht="12" thickTop="1"/>
    <row r="70" spans="1:23" ht="13.2">
      <c r="A70" s="245" t="s">
        <v>37</v>
      </c>
      <c r="C70" s="310" t="s">
        <v>161</v>
      </c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  <c r="Q70" s="311"/>
      <c r="R70" s="311"/>
      <c r="S70" s="311"/>
      <c r="T70" s="311"/>
    </row>
    <row r="71" spans="1:23">
      <c r="A71" s="245" t="s">
        <v>37</v>
      </c>
    </row>
    <row r="72" spans="1:23">
      <c r="A72" s="245" t="s">
        <v>37</v>
      </c>
    </row>
    <row r="73" spans="1:23">
      <c r="A73" s="245" t="s">
        <v>37</v>
      </c>
    </row>
    <row r="74" spans="1:23">
      <c r="A74" s="245" t="s">
        <v>37</v>
      </c>
    </row>
    <row r="75" spans="1:23">
      <c r="A75" s="245" t="s">
        <v>37</v>
      </c>
    </row>
    <row r="76" spans="1:23">
      <c r="A76" s="245" t="s">
        <v>37</v>
      </c>
    </row>
    <row r="77" spans="1:23">
      <c r="A77" s="245" t="s">
        <v>37</v>
      </c>
    </row>
    <row r="78" spans="1:23">
      <c r="A78" s="245" t="s">
        <v>37</v>
      </c>
    </row>
    <row r="79" spans="1:23">
      <c r="A79" s="245" t="s">
        <v>37</v>
      </c>
    </row>
    <row r="80" spans="1:23">
      <c r="A80" s="245" t="s">
        <v>37</v>
      </c>
    </row>
    <row r="81" spans="1:1">
      <c r="A81" s="245" t="s">
        <v>37</v>
      </c>
    </row>
    <row r="82" spans="1:1">
      <c r="A82" s="245" t="s">
        <v>37</v>
      </c>
    </row>
    <row r="83" spans="1:1">
      <c r="A83" s="245" t="s">
        <v>37</v>
      </c>
    </row>
    <row r="84" spans="1:1">
      <c r="A84" s="245" t="s">
        <v>37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61" orientation="landscape" r:id="rId1"/>
  <headerFooter alignWithMargins="0">
    <oddFooter>&amp;C6c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zoomScaleNormal="100" workbookViewId="0">
      <pane xSplit="4" ySplit="8" topLeftCell="E9" activePane="bottomRight" state="frozen"/>
      <selection activeCell="M26" sqref="M26"/>
      <selection pane="topRight" activeCell="M26" sqref="M26"/>
      <selection pane="bottomLeft" activeCell="M26" sqref="M26"/>
      <selection pane="bottomRight" activeCell="E32" sqref="E32"/>
    </sheetView>
  </sheetViews>
  <sheetFormatPr defaultColWidth="9.109375" defaultRowHeight="11.4"/>
  <cols>
    <col min="1" max="2" width="1.6640625" style="197" customWidth="1"/>
    <col min="3" max="3" width="9.109375" style="197"/>
    <col min="4" max="4" width="23.88671875" style="197" customWidth="1"/>
    <col min="5" max="5" width="16.6640625" style="197" customWidth="1"/>
    <col min="6" max="6" width="0.88671875" style="197" customWidth="1"/>
    <col min="7" max="7" width="16.6640625" style="197" hidden="1" customWidth="1"/>
    <col min="8" max="8" width="0.88671875" style="197" hidden="1" customWidth="1"/>
    <col min="9" max="9" width="16.6640625" style="197" hidden="1" customWidth="1"/>
    <col min="10" max="10" width="0.88671875" style="197" hidden="1" customWidth="1"/>
    <col min="11" max="11" width="7.6640625" style="198" hidden="1" customWidth="1"/>
    <col min="12" max="12" width="0.88671875" style="197" hidden="1" customWidth="1"/>
    <col min="13" max="13" width="16.6640625" style="197" customWidth="1"/>
    <col min="14" max="14" width="0.88671875" style="197" customWidth="1"/>
    <col min="15" max="15" width="16.6640625" style="197" customWidth="1"/>
    <col min="16" max="16" width="0.88671875" style="197" customWidth="1"/>
    <col min="17" max="17" width="7.6640625" style="198" customWidth="1"/>
    <col min="18" max="18" width="0.88671875" style="197" customWidth="1"/>
    <col min="19" max="19" width="10.6640625" style="198" customWidth="1"/>
    <col min="20" max="20" width="0.88671875" style="198" customWidth="1"/>
    <col min="21" max="21" width="7.6640625" style="198" hidden="1" customWidth="1"/>
    <col min="22" max="22" width="0.88671875" style="198" hidden="1" customWidth="1"/>
    <col min="23" max="23" width="10.6640625" style="198" customWidth="1"/>
    <col min="24" max="16384" width="9.109375" style="197"/>
  </cols>
  <sheetData>
    <row r="1" spans="1:23" s="212" customFormat="1" ht="13.8">
      <c r="E1" s="317" t="s">
        <v>24</v>
      </c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S1" s="213"/>
      <c r="T1" s="213"/>
      <c r="U1" s="213"/>
      <c r="V1" s="213"/>
      <c r="W1" s="213"/>
    </row>
    <row r="2" spans="1:23" s="212" customFormat="1" ht="13.8">
      <c r="E2" s="317" t="s">
        <v>77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S2" s="213"/>
      <c r="T2" s="213"/>
      <c r="U2" s="213"/>
      <c r="V2" s="213"/>
      <c r="W2" s="213"/>
    </row>
    <row r="3" spans="1:23" s="212" customFormat="1" ht="13.8">
      <c r="E3" s="317" t="s">
        <v>154</v>
      </c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S3" s="213"/>
      <c r="T3" s="213"/>
      <c r="U3" s="213"/>
      <c r="V3" s="213"/>
      <c r="W3" s="213"/>
    </row>
    <row r="4" spans="1:23" s="201" customFormat="1" ht="13.2">
      <c r="E4" s="318" t="s">
        <v>36</v>
      </c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S4" s="211"/>
      <c r="T4" s="211"/>
      <c r="U4" s="211"/>
      <c r="V4" s="211"/>
      <c r="W4" s="211"/>
    </row>
    <row r="5" spans="1:23">
      <c r="A5" s="197" t="s">
        <v>37</v>
      </c>
    </row>
    <row r="6" spans="1:23" s="205" customFormat="1" ht="13.2">
      <c r="A6" s="205" t="s">
        <v>37</v>
      </c>
      <c r="I6" s="319" t="s">
        <v>38</v>
      </c>
      <c r="J6" s="319"/>
      <c r="K6" s="319"/>
      <c r="O6" s="319" t="s">
        <v>133</v>
      </c>
      <c r="P6" s="319"/>
      <c r="Q6" s="319"/>
      <c r="S6" s="315" t="s">
        <v>76</v>
      </c>
      <c r="T6" s="315"/>
      <c r="U6" s="315"/>
      <c r="V6" s="315"/>
      <c r="W6" s="315"/>
    </row>
    <row r="7" spans="1:23" s="205" customFormat="1" ht="13.2">
      <c r="E7" s="210" t="s">
        <v>39</v>
      </c>
      <c r="G7" s="210"/>
      <c r="I7" s="210"/>
      <c r="K7" s="209"/>
      <c r="M7" s="210" t="s">
        <v>39</v>
      </c>
      <c r="O7" s="210"/>
      <c r="Q7" s="209"/>
      <c r="S7" s="209"/>
      <c r="T7" s="207"/>
      <c r="U7" s="209"/>
      <c r="V7" s="207"/>
      <c r="W7" s="209"/>
    </row>
    <row r="8" spans="1:23" s="205" customFormat="1" ht="13.2">
      <c r="A8" s="201" t="s">
        <v>75</v>
      </c>
      <c r="E8" s="206">
        <v>2015</v>
      </c>
      <c r="G8" s="206" t="s">
        <v>40</v>
      </c>
      <c r="I8" s="206" t="s">
        <v>41</v>
      </c>
      <c r="K8" s="208" t="s">
        <v>42</v>
      </c>
      <c r="M8" s="206">
        <v>2014</v>
      </c>
      <c r="O8" s="206" t="s">
        <v>41</v>
      </c>
      <c r="Q8" s="208" t="s">
        <v>42</v>
      </c>
      <c r="S8" s="206">
        <v>2015</v>
      </c>
      <c r="T8" s="207"/>
      <c r="U8" s="208" t="s">
        <v>40</v>
      </c>
      <c r="V8" s="207"/>
      <c r="W8" s="206">
        <v>2014</v>
      </c>
    </row>
    <row r="9" spans="1:23" ht="12">
      <c r="B9" s="200" t="s">
        <v>74</v>
      </c>
    </row>
    <row r="10" spans="1:23">
      <c r="C10" s="197" t="s">
        <v>63</v>
      </c>
      <c r="E10" s="214">
        <v>599723476.54999995</v>
      </c>
      <c r="F10" s="215"/>
      <c r="G10" s="214">
        <v>732813000</v>
      </c>
      <c r="H10" s="215"/>
      <c r="I10" s="214">
        <f>E10-G10</f>
        <v>-133089523.45000005</v>
      </c>
      <c r="J10" s="215"/>
      <c r="K10" s="230">
        <f>IF(G10=0,"n/a",IF(AND(I10/G10&lt;1,I10/G10&gt;-1),I10/G10,"n/a"))</f>
        <v>-0.18161457759346525</v>
      </c>
      <c r="L10" s="215"/>
      <c r="M10" s="214">
        <v>680844423.61000001</v>
      </c>
      <c r="N10" s="215"/>
      <c r="O10" s="214">
        <f>E10-M10</f>
        <v>-81120947.060000062</v>
      </c>
      <c r="Q10" s="145">
        <f>IF(M10=0,"n/a",IF(AND(O10/M10&lt;1,O10/M10&gt;-1),O10/M10,"n/a"))</f>
        <v>-0.11914755301934823</v>
      </c>
      <c r="S10" s="156">
        <f>IF(E46=0,"n/a",E10/E46)</f>
        <v>1.2533693412158435</v>
      </c>
      <c r="T10" s="204"/>
      <c r="U10" s="156" t="str">
        <f>IF(G46=0,"n/a",G10/G46)</f>
        <v>n/a</v>
      </c>
      <c r="V10" s="204"/>
      <c r="W10" s="156">
        <f>IF(M46=0,"n/a",M10/M46)</f>
        <v>1.201039751742512</v>
      </c>
    </row>
    <row r="11" spans="1:23">
      <c r="C11" s="197" t="s">
        <v>62</v>
      </c>
      <c r="E11" s="225">
        <v>239678308.90000001</v>
      </c>
      <c r="F11" s="229"/>
      <c r="G11" s="225">
        <v>275025000</v>
      </c>
      <c r="H11" s="229"/>
      <c r="I11" s="225">
        <f>E11-G11</f>
        <v>-35346691.099999994</v>
      </c>
      <c r="J11" s="229"/>
      <c r="K11" s="227">
        <f>IF(G11=0,"n/a",IF(AND(I11/G11&lt;1,I11/G11&gt;-1),I11/G11,"n/a"))</f>
        <v>-0.12852173838741932</v>
      </c>
      <c r="L11" s="229"/>
      <c r="M11" s="225">
        <v>259780912.59999999</v>
      </c>
      <c r="N11" s="229"/>
      <c r="O11" s="225">
        <f>E11-M11</f>
        <v>-20102603.699999988</v>
      </c>
      <c r="Q11" s="145">
        <f>IF(M11=0,"n/a",IF(AND(O11/M11&lt;1,O11/M11&gt;-1),O11/M11,"n/a"))</f>
        <v>-7.7382912773707721E-2</v>
      </c>
      <c r="S11" s="158">
        <f>IF(E47=0,"n/a",E11/E47)</f>
        <v>1.0874443595059069</v>
      </c>
      <c r="T11" s="204"/>
      <c r="U11" s="158">
        <f>IF(G47=0,"n/a",G11/G47)</f>
        <v>0.46083277479892759</v>
      </c>
      <c r="V11" s="204"/>
      <c r="W11" s="158">
        <f>IF(M47=0,"n/a",M11/M47)</f>
        <v>1.010336610283421</v>
      </c>
    </row>
    <row r="12" spans="1:23">
      <c r="C12" s="197" t="s">
        <v>61</v>
      </c>
      <c r="E12" s="220">
        <v>22631319.550000001</v>
      </c>
      <c r="F12" s="229"/>
      <c r="G12" s="220">
        <v>26734000</v>
      </c>
      <c r="H12" s="229"/>
      <c r="I12" s="220">
        <f>E12-G12</f>
        <v>-4102680.4499999993</v>
      </c>
      <c r="J12" s="229"/>
      <c r="K12" s="222">
        <f>IF(G12=0,"n/a",IF(AND(I12/G12&lt;1,I12/G12&gt;-1),I12/G12,"n/a"))</f>
        <v>-0.15346302274257498</v>
      </c>
      <c r="L12" s="229"/>
      <c r="M12" s="220">
        <v>24556422.010000002</v>
      </c>
      <c r="N12" s="229"/>
      <c r="O12" s="220">
        <f>E12-M12</f>
        <v>-1925102.4600000009</v>
      </c>
      <c r="Q12" s="143">
        <f>IF(M12=0,"n/a",IF(AND(O12/M12&lt;1,O12/M12&gt;-1),O12/M12,"n/a"))</f>
        <v>-7.8395071530211122E-2</v>
      </c>
      <c r="S12" s="157">
        <f>IF(E48=0,"n/a",E12/E48)</f>
        <v>0.93213023534318906</v>
      </c>
      <c r="T12" s="204"/>
      <c r="U12" s="157">
        <f>IF(G48=0,"n/a",G12/G48)</f>
        <v>0.10269352509142313</v>
      </c>
      <c r="V12" s="204"/>
      <c r="W12" s="157">
        <f>IF(M48=0,"n/a",M12/M48)</f>
        <v>0.8805616280887304</v>
      </c>
    </row>
    <row r="13" spans="1:23" ht="6.9" customHeight="1">
      <c r="E13" s="225"/>
      <c r="F13" s="229"/>
      <c r="G13" s="225"/>
      <c r="H13" s="229"/>
      <c r="I13" s="225"/>
      <c r="J13" s="229"/>
      <c r="K13" s="228"/>
      <c r="L13" s="229"/>
      <c r="M13" s="225"/>
      <c r="N13" s="229"/>
      <c r="O13" s="225"/>
      <c r="Q13" s="141"/>
      <c r="S13" s="204"/>
      <c r="T13" s="204"/>
      <c r="U13" s="204"/>
      <c r="V13" s="204"/>
      <c r="W13" s="204"/>
    </row>
    <row r="14" spans="1:23">
      <c r="C14" s="197" t="s">
        <v>60</v>
      </c>
      <c r="E14" s="225">
        <f>SUM(E10:E12)</f>
        <v>862033104.99999988</v>
      </c>
      <c r="F14" s="229"/>
      <c r="G14" s="225">
        <f>SUM(G10:G12)</f>
        <v>1034572000</v>
      </c>
      <c r="H14" s="229"/>
      <c r="I14" s="225">
        <f>E14-G14</f>
        <v>-172538895.00000012</v>
      </c>
      <c r="J14" s="229"/>
      <c r="K14" s="227">
        <f>IF(G14=0,"n/a",IF(AND(I14/G14&lt;1,I14/G14&gt;-1),I14/G14,"n/a"))</f>
        <v>-0.16677321153095204</v>
      </c>
      <c r="L14" s="229"/>
      <c r="M14" s="225">
        <f>SUM(M10:M12)</f>
        <v>965181758.22000003</v>
      </c>
      <c r="N14" s="229"/>
      <c r="O14" s="225">
        <f>E14-M14</f>
        <v>-103148653.22000015</v>
      </c>
      <c r="Q14" s="145">
        <f>IF(M14=0,"n/a",IF(AND(O14/M14&lt;1,O14/M14&gt;-1),O14/M14,"n/a"))</f>
        <v>-0.10686966712904744</v>
      </c>
      <c r="S14" s="158">
        <f>IF(E50=0,"n/a",E14/E50)</f>
        <v>1.1920145792442083</v>
      </c>
      <c r="T14" s="204"/>
      <c r="U14" s="158">
        <f>IF(G50=0,"n/a",G14/G50)</f>
        <v>1.2070215883741986</v>
      </c>
      <c r="V14" s="204"/>
      <c r="W14" s="158">
        <f>IF(M50=0,"n/a",M14/M50)</f>
        <v>1.1329893382080092</v>
      </c>
    </row>
    <row r="15" spans="1:23" ht="6.9" customHeight="1">
      <c r="E15" s="225"/>
      <c r="F15" s="229"/>
      <c r="G15" s="225"/>
      <c r="H15" s="229"/>
      <c r="I15" s="225"/>
      <c r="J15" s="229"/>
      <c r="K15" s="228"/>
      <c r="L15" s="229"/>
      <c r="M15" s="225"/>
      <c r="N15" s="229"/>
      <c r="O15" s="225"/>
      <c r="Q15" s="141"/>
      <c r="S15" s="204"/>
      <c r="T15" s="204"/>
      <c r="U15" s="204"/>
      <c r="V15" s="204"/>
      <c r="W15" s="204"/>
    </row>
    <row r="16" spans="1:23" ht="12">
      <c r="B16" s="200" t="s">
        <v>73</v>
      </c>
      <c r="E16" s="225"/>
      <c r="F16" s="229"/>
      <c r="G16" s="225"/>
      <c r="H16" s="229"/>
      <c r="I16" s="225"/>
      <c r="J16" s="229"/>
      <c r="K16" s="228"/>
      <c r="L16" s="229"/>
      <c r="M16" s="225"/>
      <c r="N16" s="229"/>
      <c r="O16" s="225"/>
      <c r="Q16" s="141"/>
      <c r="S16" s="204"/>
      <c r="T16" s="204"/>
      <c r="U16" s="204"/>
      <c r="V16" s="204"/>
      <c r="W16" s="204"/>
    </row>
    <row r="17" spans="2:23">
      <c r="C17" s="197" t="s">
        <v>58</v>
      </c>
      <c r="E17" s="225">
        <v>28931443.300000001</v>
      </c>
      <c r="F17" s="229"/>
      <c r="G17" s="225">
        <v>32076000</v>
      </c>
      <c r="H17" s="229"/>
      <c r="I17" s="225">
        <f>E17-G17</f>
        <v>-3144556.6999999993</v>
      </c>
      <c r="J17" s="229"/>
      <c r="K17" s="227">
        <f>IF(G17=0,"n/a",IF(AND(I17/G17&lt;1,I17/G17&gt;-1),I17/G17,"n/a"))</f>
        <v>-9.8034564783638839E-2</v>
      </c>
      <c r="L17" s="229"/>
      <c r="M17" s="225">
        <v>31511337.73</v>
      </c>
      <c r="N17" s="229"/>
      <c r="O17" s="225">
        <f>E17-M17</f>
        <v>-2579894.4299999997</v>
      </c>
      <c r="Q17" s="145">
        <f>IF(M17=0,"n/a",IF(AND(O17/M17&lt;1,O17/M17&gt;-1),O17/M17,"n/a"))</f>
        <v>-8.1871942476876861E-2</v>
      </c>
      <c r="S17" s="158">
        <f>IF(E53=0,"n/a",E17/E53)</f>
        <v>0.68759367907390101</v>
      </c>
      <c r="T17" s="204"/>
      <c r="U17" s="158" t="str">
        <f>IF(G53=0,"n/a",G17/G53)</f>
        <v>n/a</v>
      </c>
      <c r="V17" s="204"/>
      <c r="W17" s="158">
        <f>IF(M53=0,"n/a",M17/M53)</f>
        <v>0.65037345103760602</v>
      </c>
    </row>
    <row r="18" spans="2:23">
      <c r="C18" s="197" t="s">
        <v>57</v>
      </c>
      <c r="E18" s="220">
        <v>1249098.23</v>
      </c>
      <c r="F18" s="223"/>
      <c r="G18" s="220">
        <v>1793000</v>
      </c>
      <c r="H18" s="224"/>
      <c r="I18" s="220">
        <f>E18-G18</f>
        <v>-543901.77</v>
      </c>
      <c r="J18" s="223"/>
      <c r="K18" s="222">
        <f>IF(G18=0,"n/a",IF(AND(I18/G18&lt;1,I18/G18&gt;-1),I18/G18,"n/a"))</f>
        <v>-0.30334733407696601</v>
      </c>
      <c r="L18" s="221"/>
      <c r="M18" s="220">
        <v>1391884.03</v>
      </c>
      <c r="N18" s="221"/>
      <c r="O18" s="220">
        <f>E18-M18</f>
        <v>-142785.80000000005</v>
      </c>
      <c r="Q18" s="143">
        <f>IF(M18=0,"n/a",IF(AND(O18/M18&lt;1,O18/M18&gt;-1),O18/M18,"n/a"))</f>
        <v>-0.10258455224893991</v>
      </c>
      <c r="S18" s="157">
        <f>IF(E54=0,"n/a",E18/E54)</f>
        <v>0.71197258465623092</v>
      </c>
      <c r="T18" s="204"/>
      <c r="U18" s="157">
        <f>IF(G54=0,"n/a",G18/G54)</f>
        <v>3.6747074375422704E-2</v>
      </c>
      <c r="V18" s="204"/>
      <c r="W18" s="157">
        <f>IF(M54=0,"n/a",M18/M54)</f>
        <v>0.68612663048756017</v>
      </c>
    </row>
    <row r="19" spans="2:23" ht="6.9" customHeight="1">
      <c r="E19" s="225"/>
      <c r="F19" s="226"/>
      <c r="G19" s="225"/>
      <c r="H19" s="226"/>
      <c r="I19" s="225"/>
      <c r="J19" s="226"/>
      <c r="K19" s="228"/>
      <c r="L19" s="226"/>
      <c r="M19" s="225"/>
      <c r="N19" s="226"/>
      <c r="O19" s="225"/>
      <c r="Q19" s="141"/>
      <c r="S19" s="204"/>
      <c r="T19" s="204"/>
      <c r="U19" s="204"/>
      <c r="V19" s="204"/>
      <c r="W19" s="204"/>
    </row>
    <row r="20" spans="2:23">
      <c r="C20" s="197" t="s">
        <v>56</v>
      </c>
      <c r="E20" s="220">
        <f>SUM(E17:E18)</f>
        <v>30180541.530000001</v>
      </c>
      <c r="F20" s="223"/>
      <c r="G20" s="220">
        <f>SUM(G17:G18)</f>
        <v>33869000</v>
      </c>
      <c r="H20" s="224"/>
      <c r="I20" s="220">
        <f>E20-G20</f>
        <v>-3688458.4699999988</v>
      </c>
      <c r="J20" s="223"/>
      <c r="K20" s="222">
        <f>IF(G20=0,"n/a",IF(AND(I20/G20&lt;1,I20/G20&gt;-1),I20/G20,"n/a"))</f>
        <v>-0.10890367208952136</v>
      </c>
      <c r="L20" s="221"/>
      <c r="M20" s="220">
        <f>SUM(M17:M18)</f>
        <v>32903221.760000002</v>
      </c>
      <c r="N20" s="221"/>
      <c r="O20" s="220">
        <f>E20-M20</f>
        <v>-2722680.2300000004</v>
      </c>
      <c r="Q20" s="143">
        <f>IF(M20=0,"n/a",IF(AND(O20/M20&lt;1,O20/M20&gt;-1),O20/M20,"n/a"))</f>
        <v>-8.2748134813652979E-2</v>
      </c>
      <c r="S20" s="157">
        <f>IF(E56=0,"n/a",E20/E56)</f>
        <v>0.68856949584635552</v>
      </c>
      <c r="T20" s="204"/>
      <c r="U20" s="157">
        <f>IF(G56=0,"n/a",G20/G56)</f>
        <v>0.69413645399954915</v>
      </c>
      <c r="V20" s="204"/>
      <c r="W20" s="157">
        <f>IF(M56=0,"n/a",M20/M56)</f>
        <v>0.65181025066385523</v>
      </c>
    </row>
    <row r="21" spans="2:23" ht="6.9" customHeight="1">
      <c r="E21" s="225"/>
      <c r="F21" s="226"/>
      <c r="G21" s="225"/>
      <c r="H21" s="226"/>
      <c r="I21" s="225"/>
      <c r="J21" s="226"/>
      <c r="K21" s="228"/>
      <c r="L21" s="226"/>
      <c r="M21" s="225"/>
      <c r="N21" s="226"/>
      <c r="O21" s="225"/>
      <c r="Q21" s="141"/>
      <c r="S21" s="204"/>
      <c r="T21" s="204"/>
      <c r="U21" s="204"/>
      <c r="V21" s="204"/>
      <c r="W21" s="204"/>
    </row>
    <row r="22" spans="2:23">
      <c r="C22" s="197" t="s">
        <v>72</v>
      </c>
      <c r="E22" s="225">
        <f>E14+E20</f>
        <v>892213646.52999985</v>
      </c>
      <c r="F22" s="226"/>
      <c r="G22" s="225">
        <f>G14+G20</f>
        <v>1068441000</v>
      </c>
      <c r="H22" s="226"/>
      <c r="I22" s="225">
        <f>E22-G22</f>
        <v>-176227353.47000015</v>
      </c>
      <c r="J22" s="226"/>
      <c r="K22" s="227">
        <f>IF(G22=0,"n/a",IF(AND(I22/G22&lt;1,I22/G22&gt;-1),I22/G22,"n/a"))</f>
        <v>-0.16493877852871627</v>
      </c>
      <c r="L22" s="226"/>
      <c r="M22" s="225">
        <f>M14+M20</f>
        <v>998084979.98000002</v>
      </c>
      <c r="N22" s="226"/>
      <c r="O22" s="225">
        <f>E22-M22</f>
        <v>-105871333.45000017</v>
      </c>
      <c r="Q22" s="145">
        <f>IF(M22=0,"n/a",IF(AND(O22/M22&lt;1,O22/M22&gt;-1),O22/M22,"n/a"))</f>
        <v>-0.10607446818017606</v>
      </c>
      <c r="S22" s="158">
        <f>IF(E58=0,"n/a",E22/E58)</f>
        <v>1.1632449886658032</v>
      </c>
      <c r="T22" s="204"/>
      <c r="U22" s="158">
        <f>IF(G58=0,"n/a",G22/G58)</f>
        <v>1.1793975412867126</v>
      </c>
      <c r="V22" s="204"/>
      <c r="W22" s="158">
        <f>IF(M58=0,"n/a",M22/M58)</f>
        <v>1.1060715310825162</v>
      </c>
    </row>
    <row r="23" spans="2:23" ht="6.9" customHeight="1">
      <c r="E23" s="225"/>
      <c r="F23" s="226"/>
      <c r="G23" s="225"/>
      <c r="H23" s="226"/>
      <c r="I23" s="225"/>
      <c r="J23" s="226"/>
      <c r="K23" s="228"/>
      <c r="L23" s="226"/>
      <c r="M23" s="225"/>
      <c r="N23" s="226"/>
      <c r="O23" s="225"/>
      <c r="Q23" s="141"/>
      <c r="S23" s="204"/>
      <c r="T23" s="204"/>
      <c r="U23" s="204"/>
      <c r="V23" s="204"/>
      <c r="W23" s="204"/>
    </row>
    <row r="24" spans="2:23" ht="12">
      <c r="B24" s="200" t="s">
        <v>71</v>
      </c>
      <c r="E24" s="225"/>
      <c r="F24" s="226"/>
      <c r="G24" s="225"/>
      <c r="H24" s="226"/>
      <c r="I24" s="225"/>
      <c r="J24" s="226"/>
      <c r="K24" s="228"/>
      <c r="L24" s="226"/>
      <c r="M24" s="225"/>
      <c r="N24" s="226"/>
      <c r="O24" s="225"/>
      <c r="Q24" s="141"/>
      <c r="S24" s="204"/>
      <c r="T24" s="204"/>
      <c r="U24" s="204"/>
      <c r="V24" s="204"/>
      <c r="W24" s="204"/>
    </row>
    <row r="25" spans="2:23">
      <c r="C25" s="197" t="s">
        <v>53</v>
      </c>
      <c r="E25" s="225">
        <v>5746195.8499999996</v>
      </c>
      <c r="F25" s="226"/>
      <c r="G25" s="225">
        <v>5122000</v>
      </c>
      <c r="H25" s="226"/>
      <c r="I25" s="225">
        <f>E25-G25</f>
        <v>624195.84999999963</v>
      </c>
      <c r="J25" s="226"/>
      <c r="K25" s="227">
        <f>IF(G25=0,"n/a",IF(AND(I25/G25&lt;1,I25/G25&gt;-1),I25/G25,"n/a"))</f>
        <v>0.12186564818430293</v>
      </c>
      <c r="L25" s="226"/>
      <c r="M25" s="225">
        <v>5506202.5</v>
      </c>
      <c r="N25" s="226"/>
      <c r="O25" s="225">
        <f>E25-M25</f>
        <v>239993.34999999963</v>
      </c>
      <c r="Q25" s="145">
        <f>IF(M25=0,"n/a",IF(AND(O25/M25&lt;1,O25/M25&gt;-1),O25/M25,"n/a"))</f>
        <v>4.3586001422940696E-2</v>
      </c>
      <c r="S25" s="158">
        <f>IF(E61=0,"n/a",E25/E61)</f>
        <v>0.11706887875164088</v>
      </c>
      <c r="T25" s="204"/>
      <c r="U25" s="158" t="str">
        <f>IF(G61=0,"n/a",G25/G61)</f>
        <v>n/a</v>
      </c>
      <c r="V25" s="204"/>
      <c r="W25" s="158">
        <f>IF(M61=0,"n/a",M25/M61)</f>
        <v>0.1059092291266905</v>
      </c>
    </row>
    <row r="26" spans="2:23">
      <c r="C26" s="197" t="s">
        <v>52</v>
      </c>
      <c r="E26" s="220">
        <v>12110414.210000001</v>
      </c>
      <c r="F26" s="223"/>
      <c r="G26" s="220">
        <v>11136000</v>
      </c>
      <c r="H26" s="224"/>
      <c r="I26" s="220">
        <f>E26-G26</f>
        <v>974414.21000000089</v>
      </c>
      <c r="J26" s="223"/>
      <c r="K26" s="222">
        <f>IF(G26=0,"n/a",IF(AND(I26/G26&lt;1,I26/G26&gt;-1),I26/G26,"n/a"))</f>
        <v>8.7501276041666742E-2</v>
      </c>
      <c r="L26" s="221"/>
      <c r="M26" s="220">
        <v>11252122.26</v>
      </c>
      <c r="N26" s="221"/>
      <c r="O26" s="220">
        <f>E26-M26</f>
        <v>858291.95000000112</v>
      </c>
      <c r="Q26" s="143">
        <f>IF(M26=0,"n/a",IF(AND(O26/M26&lt;1,O26/M26&gt;-1),O26/M26,"n/a"))</f>
        <v>7.6278228245984334E-2</v>
      </c>
      <c r="S26" s="157">
        <f>IF(E62=0,"n/a",E26/E62)</f>
        <v>7.2924834686378961E-2</v>
      </c>
      <c r="T26" s="204"/>
      <c r="U26" s="157">
        <f>IF(G62=0,"n/a",G26/G62)</f>
        <v>0.17614400278388509</v>
      </c>
      <c r="V26" s="204"/>
      <c r="W26" s="157">
        <f>IF(M62=0,"n/a",M26/M62)</f>
        <v>6.9277035374063295E-2</v>
      </c>
    </row>
    <row r="27" spans="2:23" ht="6.9" customHeight="1">
      <c r="E27" s="225"/>
      <c r="F27" s="226"/>
      <c r="G27" s="225"/>
      <c r="H27" s="226"/>
      <c r="I27" s="225"/>
      <c r="J27" s="226"/>
      <c r="K27" s="228"/>
      <c r="L27" s="226"/>
      <c r="M27" s="225"/>
      <c r="N27" s="226"/>
      <c r="O27" s="225"/>
      <c r="Q27" s="141"/>
      <c r="S27" s="204"/>
      <c r="T27" s="204"/>
      <c r="U27" s="204"/>
      <c r="V27" s="204"/>
      <c r="W27" s="204"/>
    </row>
    <row r="28" spans="2:23">
      <c r="C28" s="197" t="s">
        <v>51</v>
      </c>
      <c r="E28" s="220">
        <f>SUM(E25:E26)</f>
        <v>17856610.060000002</v>
      </c>
      <c r="F28" s="223"/>
      <c r="G28" s="220">
        <f>SUM(G25:G26)</f>
        <v>16258000</v>
      </c>
      <c r="H28" s="224"/>
      <c r="I28" s="220">
        <f>E28-G28</f>
        <v>1598610.0600000024</v>
      </c>
      <c r="J28" s="223"/>
      <c r="K28" s="222">
        <f>IF(G28=0,"n/a",IF(AND(I28/G28&lt;1,I28/G28&gt;-1),I28/G28,"n/a"))</f>
        <v>9.8327596260302769E-2</v>
      </c>
      <c r="L28" s="221"/>
      <c r="M28" s="220">
        <f>SUM(M25:M26)</f>
        <v>16758324.76</v>
      </c>
      <c r="N28" s="221"/>
      <c r="O28" s="220">
        <f>E28-M28</f>
        <v>1098285.3000000026</v>
      </c>
      <c r="Q28" s="143">
        <f>IF(M28=0,"n/a",IF(AND(O28/M28&lt;1,O28/M28&gt;-1),O28/M28,"n/a"))</f>
        <v>6.5536699862832989E-2</v>
      </c>
      <c r="S28" s="157">
        <f>IF(E64=0,"n/a",E28/E64)</f>
        <v>8.2995722998539911E-2</v>
      </c>
      <c r="T28" s="204"/>
      <c r="U28" s="157">
        <f>IF(G64=0,"n/a",G28/G64)</f>
        <v>0.25716138624824031</v>
      </c>
      <c r="V28" s="204"/>
      <c r="W28" s="157">
        <f>IF(M64=0,"n/a",M28/M64)</f>
        <v>7.8159476540711439E-2</v>
      </c>
    </row>
    <row r="29" spans="2:23" ht="6.9" customHeight="1">
      <c r="E29" s="225"/>
      <c r="F29" s="226"/>
      <c r="G29" s="225"/>
      <c r="H29" s="226"/>
      <c r="I29" s="225"/>
      <c r="J29" s="226"/>
      <c r="K29" s="228"/>
      <c r="L29" s="226"/>
      <c r="M29" s="225"/>
      <c r="N29" s="226"/>
      <c r="O29" s="225"/>
      <c r="Q29" s="141"/>
      <c r="S29" s="204"/>
      <c r="T29" s="204"/>
      <c r="U29" s="204"/>
      <c r="V29" s="204"/>
      <c r="W29" s="204"/>
    </row>
    <row r="30" spans="2:23">
      <c r="C30" s="197" t="s">
        <v>70</v>
      </c>
      <c r="E30" s="225">
        <f>E22+E28</f>
        <v>910070256.58999991</v>
      </c>
      <c r="F30" s="226"/>
      <c r="G30" s="225">
        <f>G22+G28</f>
        <v>1084699000</v>
      </c>
      <c r="H30" s="226"/>
      <c r="I30" s="225">
        <f>E30-G30</f>
        <v>-174628743.41000009</v>
      </c>
      <c r="J30" s="226"/>
      <c r="K30" s="227">
        <f>IF(G30=0,"n/a",IF(AND(I30/G30&lt;1,I30/G30&gt;-1),I30/G30,"n/a"))</f>
        <v>-0.16099281313064739</v>
      </c>
      <c r="L30" s="226"/>
      <c r="M30" s="225">
        <f>M22+M28</f>
        <v>1014843304.74</v>
      </c>
      <c r="N30" s="226"/>
      <c r="O30" s="225">
        <f>E30-M30</f>
        <v>-104773048.1500001</v>
      </c>
      <c r="Q30" s="145">
        <f>IF(M30=0,"n/a",IF(AND(O30/M30&lt;1,O30/M30&gt;-1),O30/M30,"n/a"))</f>
        <v>-0.10324061622187344</v>
      </c>
      <c r="S30" s="156">
        <f>IF(E66=0,"n/a",E30/E66)</f>
        <v>0.92660549268961545</v>
      </c>
      <c r="T30" s="204"/>
      <c r="U30" s="156">
        <f>IF(G66=0,"n/a",G30/G66)</f>
        <v>1.1192363967303036</v>
      </c>
      <c r="V30" s="204"/>
      <c r="W30" s="156">
        <f>IF(M66=0,"n/a",M30/M66)</f>
        <v>0.90872167441747598</v>
      </c>
    </row>
    <row r="31" spans="2:23" ht="6.9" customHeight="1">
      <c r="E31" s="225"/>
      <c r="F31" s="226"/>
      <c r="G31" s="225"/>
      <c r="H31" s="226"/>
      <c r="I31" s="225"/>
      <c r="J31" s="226"/>
      <c r="K31" s="228"/>
      <c r="L31" s="226"/>
      <c r="M31" s="225"/>
      <c r="N31" s="226"/>
      <c r="O31" s="225"/>
      <c r="Q31" s="141"/>
      <c r="S31" s="199"/>
      <c r="T31" s="199"/>
      <c r="U31" s="199"/>
      <c r="V31" s="199"/>
      <c r="W31" s="199"/>
    </row>
    <row r="32" spans="2:23">
      <c r="B32" s="197" t="s">
        <v>90</v>
      </c>
      <c r="E32" s="225">
        <v>55997620.890000001</v>
      </c>
      <c r="F32" s="226"/>
      <c r="G32" s="225">
        <v>19409000</v>
      </c>
      <c r="H32" s="226"/>
      <c r="I32" s="225">
        <f>E32-G32</f>
        <v>36588620.890000001</v>
      </c>
      <c r="J32" s="226"/>
      <c r="K32" s="227" t="str">
        <f>IF(G32=0,"n/a",IF(AND(I32/G32&lt;1,I32/G32&gt;-1),I32/G32,"n/a"))</f>
        <v>n/a</v>
      </c>
      <c r="L32" s="226"/>
      <c r="M32" s="225">
        <v>692519.38</v>
      </c>
      <c r="N32" s="226"/>
      <c r="O32" s="225">
        <f>E32-M32</f>
        <v>55305101.509999998</v>
      </c>
      <c r="Q32" s="145" t="str">
        <f>IF(M32=0,"n/a",IF(AND(O32/M32&lt;1,O32/M32&gt;-1),O32/M32,"n/a"))</f>
        <v>n/a</v>
      </c>
      <c r="S32" s="199"/>
      <c r="T32" s="199"/>
      <c r="U32" s="199"/>
      <c r="V32" s="199"/>
      <c r="W32" s="199"/>
    </row>
    <row r="33" spans="1:23">
      <c r="B33" s="197" t="s">
        <v>69</v>
      </c>
      <c r="E33" s="220">
        <v>13426288.439999999</v>
      </c>
      <c r="F33" s="223"/>
      <c r="G33" s="220">
        <v>14273000</v>
      </c>
      <c r="H33" s="224"/>
      <c r="I33" s="220">
        <f>E33-G33</f>
        <v>-846711.56000000052</v>
      </c>
      <c r="J33" s="223"/>
      <c r="K33" s="222">
        <f>IF(G33=0,"n/a",IF(AND(I33/G33&lt;1,I33/G33&gt;-1),I33/G33,"n/a"))</f>
        <v>-5.93226063196245E-2</v>
      </c>
      <c r="L33" s="221"/>
      <c r="M33" s="220">
        <v>13538959.34</v>
      </c>
      <c r="N33" s="221"/>
      <c r="O33" s="220">
        <f>E33-M33</f>
        <v>-112670.90000000037</v>
      </c>
      <c r="Q33" s="143">
        <f>IF(M33=0,"n/a",IF(AND(O33/M33&lt;1,O33/M33&gt;-1),O33/M33,"n/a"))</f>
        <v>-8.3219763920201247E-3</v>
      </c>
    </row>
    <row r="34" spans="1:23" ht="6.9" customHeight="1">
      <c r="E34" s="148"/>
      <c r="F34" s="203"/>
      <c r="G34" s="148"/>
      <c r="H34" s="203"/>
      <c r="I34" s="148"/>
      <c r="J34" s="203"/>
      <c r="K34" s="151"/>
      <c r="L34" s="203"/>
      <c r="M34" s="148"/>
      <c r="N34" s="203"/>
      <c r="O34" s="148"/>
      <c r="Q34" s="151"/>
      <c r="S34" s="199"/>
      <c r="T34" s="199"/>
      <c r="U34" s="199"/>
      <c r="V34" s="199"/>
      <c r="W34" s="199"/>
    </row>
    <row r="35" spans="1:23" ht="12" thickBot="1">
      <c r="C35" s="197" t="s">
        <v>68</v>
      </c>
      <c r="E35" s="218">
        <f>SUM(E30:E33)</f>
        <v>979494165.91999996</v>
      </c>
      <c r="F35" s="217"/>
      <c r="G35" s="218">
        <f>SUM(G30:G33)</f>
        <v>1118381000</v>
      </c>
      <c r="H35" s="217"/>
      <c r="I35" s="218">
        <f>E35-G35</f>
        <v>-138886834.08000004</v>
      </c>
      <c r="J35" s="217"/>
      <c r="K35" s="219">
        <f>IF(G35=0,"n/a",IF(AND(I35/G35&lt;1,I35/G35&gt;-1),I35/G35,"n/a"))</f>
        <v>-0.12418561660114044</v>
      </c>
      <c r="L35" s="217"/>
      <c r="M35" s="218">
        <f>SUM(M30:M33)</f>
        <v>1029074783.46</v>
      </c>
      <c r="N35" s="217"/>
      <c r="O35" s="218">
        <f>E35-M35</f>
        <v>-49580617.540000081</v>
      </c>
      <c r="Q35" s="138">
        <f>IF(M35=0,"n/a",IF(AND(O35/M35&lt;1,O35/M35&gt;-1),O35/M35,"n/a"))</f>
        <v>-4.8179800279721137E-2</v>
      </c>
    </row>
    <row r="36" spans="1:23" ht="12" thickTop="1">
      <c r="E36" s="214"/>
      <c r="F36" s="217"/>
      <c r="G36" s="214"/>
      <c r="H36" s="215"/>
      <c r="I36" s="214"/>
      <c r="J36" s="215"/>
      <c r="K36" s="216"/>
      <c r="L36" s="215"/>
      <c r="M36" s="214"/>
      <c r="N36" s="215"/>
      <c r="O36" s="214"/>
    </row>
    <row r="37" spans="1:23">
      <c r="C37" s="197" t="s">
        <v>129</v>
      </c>
      <c r="E37" s="214">
        <v>23082807.149999999</v>
      </c>
      <c r="F37" s="214"/>
      <c r="G37" s="214">
        <v>24024902.943</v>
      </c>
      <c r="H37" s="215"/>
      <c r="I37" s="214"/>
      <c r="J37" s="215"/>
      <c r="K37" s="216"/>
      <c r="L37" s="215"/>
      <c r="M37" s="214">
        <v>0</v>
      </c>
      <c r="N37" s="215"/>
      <c r="O37" s="214"/>
    </row>
    <row r="38" spans="1:23">
      <c r="C38" s="197" t="s">
        <v>67</v>
      </c>
      <c r="E38" s="148">
        <v>9690945.2799999993</v>
      </c>
      <c r="F38" s="202"/>
      <c r="G38" s="148">
        <v>13575901.880999999</v>
      </c>
      <c r="I38" s="147"/>
      <c r="M38" s="148">
        <v>11071368.18</v>
      </c>
      <c r="O38" s="147"/>
    </row>
    <row r="39" spans="1:23">
      <c r="C39" s="197" t="s">
        <v>43</v>
      </c>
      <c r="E39" s="148">
        <v>4576212.18</v>
      </c>
      <c r="F39" s="202"/>
      <c r="G39" s="148">
        <v>5345367.1160000004</v>
      </c>
      <c r="I39" s="147"/>
      <c r="M39" s="148">
        <v>5530688</v>
      </c>
      <c r="O39" s="147"/>
    </row>
    <row r="40" spans="1:23">
      <c r="C40" s="197" t="s">
        <v>66</v>
      </c>
      <c r="E40" s="148">
        <v>-2484269.73</v>
      </c>
      <c r="F40" s="202"/>
      <c r="G40" s="148">
        <v>-2899989.6710000001</v>
      </c>
      <c r="I40" s="147"/>
      <c r="M40" s="148">
        <v>-2847899.26</v>
      </c>
      <c r="O40" s="147"/>
    </row>
    <row r="41" spans="1:23">
      <c r="C41" s="197" t="s">
        <v>119</v>
      </c>
      <c r="E41" s="148">
        <v>19657742.239999998</v>
      </c>
      <c r="F41" s="202"/>
      <c r="G41" s="148"/>
      <c r="I41" s="147"/>
      <c r="M41" s="148">
        <v>1083966.7</v>
      </c>
      <c r="O41" s="147"/>
    </row>
    <row r="42" spans="1:23">
      <c r="C42" s="197" t="s">
        <v>130</v>
      </c>
      <c r="E42" s="148">
        <v>1649131</v>
      </c>
      <c r="F42" s="202"/>
      <c r="G42" s="148"/>
      <c r="I42" s="147"/>
      <c r="M42" s="148">
        <v>0</v>
      </c>
      <c r="O42" s="147"/>
    </row>
    <row r="43" spans="1:23">
      <c r="E43" s="146"/>
    </row>
    <row r="44" spans="1:23" ht="13.2">
      <c r="A44" s="201" t="s">
        <v>65</v>
      </c>
      <c r="E44" s="146"/>
    </row>
    <row r="45" spans="1:23" ht="12">
      <c r="B45" s="200" t="s">
        <v>64</v>
      </c>
      <c r="E45" s="146"/>
    </row>
    <row r="46" spans="1:23">
      <c r="C46" s="197" t="s">
        <v>63</v>
      </c>
      <c r="E46" s="142">
        <v>478489027</v>
      </c>
      <c r="G46" s="142">
        <v>0</v>
      </c>
      <c r="H46" s="140"/>
      <c r="I46" s="142">
        <f>E46-G46</f>
        <v>478489027</v>
      </c>
      <c r="K46" s="145" t="str">
        <f>IF(G46=0,"n/a",IF(AND(I46/G46&lt;1,I46/G46&gt;-1),I46/G46,"n/a"))</f>
        <v>n/a</v>
      </c>
      <c r="M46" s="142">
        <v>566879175</v>
      </c>
      <c r="N46" s="140"/>
      <c r="O46" s="142">
        <f>E46-M46</f>
        <v>-88390148</v>
      </c>
      <c r="Q46" s="145">
        <f>IF(M46=0,"n/a",IF(AND(O46/M46&lt;1,O46/M46&gt;-1),O46/M46,"n/a"))</f>
        <v>-0.15592414027204299</v>
      </c>
    </row>
    <row r="47" spans="1:23">
      <c r="C47" s="197" t="s">
        <v>62</v>
      </c>
      <c r="E47" s="142">
        <v>220405124</v>
      </c>
      <c r="G47" s="142">
        <v>596800000</v>
      </c>
      <c r="H47" s="140"/>
      <c r="I47" s="142">
        <f>E47-G47</f>
        <v>-376394876</v>
      </c>
      <c r="K47" s="145">
        <f>IF(G47=0,"n/a",IF(AND(I47/G47&lt;1,I47/G47&gt;-1),I47/G47,"n/a"))</f>
        <v>-0.63068846514745314</v>
      </c>
      <c r="M47" s="142">
        <v>257123131</v>
      </c>
      <c r="N47" s="140"/>
      <c r="O47" s="142">
        <f>E47-M47</f>
        <v>-36718007</v>
      </c>
      <c r="Q47" s="145">
        <f>IF(M47=0,"n/a",IF(AND(O47/M47&lt;1,O47/M47&gt;-1),O47/M47,"n/a"))</f>
        <v>-0.14280320427491994</v>
      </c>
    </row>
    <row r="48" spans="1:23">
      <c r="C48" s="197" t="s">
        <v>61</v>
      </c>
      <c r="E48" s="144">
        <v>24279139</v>
      </c>
      <c r="G48" s="144">
        <v>260328000</v>
      </c>
      <c r="H48" s="140"/>
      <c r="I48" s="144">
        <f>E48-G48</f>
        <v>-236048861</v>
      </c>
      <c r="K48" s="143">
        <f>IF(G48=0,"n/a",IF(AND(I48/G48&lt;1,I48/G48&gt;-1),I48/G48,"n/a"))</f>
        <v>-0.90673635183307211</v>
      </c>
      <c r="M48" s="144">
        <v>27887227</v>
      </c>
      <c r="N48" s="140"/>
      <c r="O48" s="144">
        <f>E48-M48</f>
        <v>-3608088</v>
      </c>
      <c r="Q48" s="143">
        <f>IF(M48=0,"n/a",IF(AND(O48/M48&lt;1,O48/M48&gt;-1),O48/M48,"n/a"))</f>
        <v>-0.12938138309699992</v>
      </c>
    </row>
    <row r="49" spans="2:23" ht="6.9" customHeight="1">
      <c r="E49" s="142"/>
      <c r="G49" s="142"/>
      <c r="I49" s="142"/>
      <c r="K49" s="141"/>
      <c r="M49" s="142"/>
      <c r="O49" s="142"/>
      <c r="Q49" s="141"/>
      <c r="S49" s="199"/>
      <c r="T49" s="199"/>
      <c r="U49" s="199"/>
      <c r="V49" s="199"/>
      <c r="W49" s="199"/>
    </row>
    <row r="50" spans="2:23">
      <c r="C50" s="197" t="s">
        <v>60</v>
      </c>
      <c r="E50" s="142">
        <f>SUM(E46:E48)</f>
        <v>723173290</v>
      </c>
      <c r="G50" s="142">
        <f>SUM(G46:G48)</f>
        <v>857128000</v>
      </c>
      <c r="H50" s="140"/>
      <c r="I50" s="142">
        <f>E50-G50</f>
        <v>-133954710</v>
      </c>
      <c r="K50" s="145">
        <f>IF(G50=0,"n/a",IF(AND(I50/G50&lt;1,I50/G50&gt;-1),I50/G50,"n/a"))</f>
        <v>-0.15628320390886774</v>
      </c>
      <c r="M50" s="142">
        <f>SUM(M46:M48)</f>
        <v>851889533</v>
      </c>
      <c r="N50" s="140"/>
      <c r="O50" s="142">
        <f>E50-M50</f>
        <v>-128716243</v>
      </c>
      <c r="Q50" s="145">
        <f>IF(M50=0,"n/a",IF(AND(O50/M50&lt;1,O50/M50&gt;-1),O50/M50,"n/a"))</f>
        <v>-0.15109499297017423</v>
      </c>
    </row>
    <row r="51" spans="2:23" ht="6.9" customHeight="1">
      <c r="E51" s="142"/>
      <c r="G51" s="142"/>
      <c r="I51" s="142"/>
      <c r="K51" s="141"/>
      <c r="M51" s="142"/>
      <c r="O51" s="142"/>
      <c r="Q51" s="141"/>
      <c r="S51" s="199"/>
      <c r="T51" s="199"/>
      <c r="U51" s="199"/>
      <c r="V51" s="199"/>
      <c r="W51" s="199"/>
    </row>
    <row r="52" spans="2:23" ht="12">
      <c r="B52" s="200" t="s">
        <v>59</v>
      </c>
      <c r="E52" s="142"/>
      <c r="G52" s="142"/>
      <c r="H52" s="140"/>
      <c r="I52" s="142"/>
      <c r="K52" s="141"/>
      <c r="M52" s="142"/>
      <c r="N52" s="140"/>
      <c r="O52" s="142"/>
      <c r="Q52" s="141"/>
    </row>
    <row r="53" spans="2:23">
      <c r="C53" s="197" t="s">
        <v>58</v>
      </c>
      <c r="E53" s="142">
        <v>42076366</v>
      </c>
      <c r="G53" s="142">
        <v>0</v>
      </c>
      <c r="H53" s="140"/>
      <c r="I53" s="142">
        <f>E53-G53</f>
        <v>42076366</v>
      </c>
      <c r="K53" s="145" t="str">
        <f>IF(G53=0,"n/a",IF(AND(I53/G53&lt;1,I53/G53&gt;-1),I53/G53,"n/a"))</f>
        <v>n/a</v>
      </c>
      <c r="M53" s="142">
        <v>48451144</v>
      </c>
      <c r="N53" s="140"/>
      <c r="O53" s="142">
        <f>E53-M53</f>
        <v>-6374778</v>
      </c>
      <c r="Q53" s="145">
        <f>IF(M53=0,"n/a",IF(AND(O53/M53&lt;1,O53/M53&gt;-1),O53/M53,"n/a"))</f>
        <v>-0.13157125866831956</v>
      </c>
    </row>
    <row r="54" spans="2:23">
      <c r="C54" s="197" t="s">
        <v>57</v>
      </c>
      <c r="E54" s="144">
        <v>1754419</v>
      </c>
      <c r="G54" s="144">
        <v>48793000</v>
      </c>
      <c r="H54" s="140"/>
      <c r="I54" s="144">
        <f>E54-G54</f>
        <v>-47038581</v>
      </c>
      <c r="K54" s="143">
        <f>IF(G54=0,"n/a",IF(AND(I54/G54&lt;1,I54/G54&gt;-1),I54/G54,"n/a"))</f>
        <v>-0.96404363330805654</v>
      </c>
      <c r="M54" s="144">
        <v>2028611</v>
      </c>
      <c r="N54" s="140"/>
      <c r="O54" s="144">
        <f>E54-M54</f>
        <v>-274192</v>
      </c>
      <c r="Q54" s="143">
        <f>IF(M54=0,"n/a",IF(AND(O54/M54&lt;1,O54/M54&gt;-1),O54/M54,"n/a"))</f>
        <v>-0.13516243380322793</v>
      </c>
    </row>
    <row r="55" spans="2:23" ht="6.9" customHeight="1">
      <c r="E55" s="142"/>
      <c r="G55" s="142"/>
      <c r="I55" s="142"/>
      <c r="K55" s="141"/>
      <c r="M55" s="142"/>
      <c r="O55" s="142"/>
      <c r="Q55" s="141"/>
      <c r="S55" s="199"/>
      <c r="T55" s="199"/>
      <c r="U55" s="199"/>
      <c r="V55" s="199"/>
      <c r="W55" s="199"/>
    </row>
    <row r="56" spans="2:23">
      <c r="C56" s="197" t="s">
        <v>56</v>
      </c>
      <c r="E56" s="144">
        <f>SUM(E53:E54)</f>
        <v>43830785</v>
      </c>
      <c r="G56" s="144">
        <f>SUM(G53:G54)</f>
        <v>48793000</v>
      </c>
      <c r="H56" s="140"/>
      <c r="I56" s="144">
        <f>E56-G56</f>
        <v>-4962215</v>
      </c>
      <c r="K56" s="143">
        <f>IF(G56=0,"n/a",IF(AND(I56/G56&lt;1,I56/G56&gt;-1),I56/G56,"n/a"))</f>
        <v>-0.10169932162400344</v>
      </c>
      <c r="M56" s="144">
        <f>SUM(M53:M54)</f>
        <v>50479755</v>
      </c>
      <c r="N56" s="140"/>
      <c r="O56" s="144">
        <f>E56-M56</f>
        <v>-6648970</v>
      </c>
      <c r="Q56" s="143">
        <f>IF(M56=0,"n/a",IF(AND(O56/M56&lt;1,O56/M56&gt;-1),O56/M56,"n/a"))</f>
        <v>-0.13171557587789401</v>
      </c>
    </row>
    <row r="57" spans="2:23" ht="6.9" customHeight="1">
      <c r="E57" s="142"/>
      <c r="G57" s="142"/>
      <c r="I57" s="142"/>
      <c r="K57" s="141"/>
      <c r="M57" s="142"/>
      <c r="O57" s="142"/>
      <c r="Q57" s="141"/>
      <c r="S57" s="199"/>
      <c r="T57" s="199"/>
      <c r="U57" s="199"/>
      <c r="V57" s="199"/>
      <c r="W57" s="199"/>
    </row>
    <row r="58" spans="2:23">
      <c r="C58" s="197" t="s">
        <v>55</v>
      </c>
      <c r="E58" s="142">
        <f>E50+E56</f>
        <v>767004075</v>
      </c>
      <c r="G58" s="142">
        <f>G50+G56</f>
        <v>905921000</v>
      </c>
      <c r="H58" s="140"/>
      <c r="I58" s="142">
        <f>E58-G58</f>
        <v>-138916925</v>
      </c>
      <c r="K58" s="145">
        <f>IF(G58=0,"n/a",IF(AND(I58/G58&lt;1,I58/G58&gt;-1),I58/G58,"n/a"))</f>
        <v>-0.15334331028864548</v>
      </c>
      <c r="M58" s="142">
        <f>M50+M56</f>
        <v>902369288</v>
      </c>
      <c r="N58" s="140"/>
      <c r="O58" s="142">
        <f>E58-M58</f>
        <v>-135365213</v>
      </c>
      <c r="Q58" s="145">
        <f>IF(M58=0,"n/a",IF(AND(O58/M58&lt;1,O58/M58&gt;-1),O58/M58,"n/a"))</f>
        <v>-0.15001088224093018</v>
      </c>
    </row>
    <row r="59" spans="2:23" ht="6.9" customHeight="1">
      <c r="E59" s="142"/>
      <c r="G59" s="142"/>
      <c r="I59" s="142"/>
      <c r="K59" s="141"/>
      <c r="M59" s="142"/>
      <c r="O59" s="142"/>
      <c r="Q59" s="141"/>
      <c r="S59" s="199"/>
      <c r="T59" s="199"/>
      <c r="U59" s="199"/>
      <c r="V59" s="199"/>
      <c r="W59" s="199"/>
    </row>
    <row r="60" spans="2:23" ht="12">
      <c r="B60" s="200" t="s">
        <v>54</v>
      </c>
      <c r="E60" s="142"/>
      <c r="G60" s="142"/>
      <c r="H60" s="140"/>
      <c r="I60" s="142"/>
      <c r="K60" s="141"/>
      <c r="M60" s="142"/>
      <c r="N60" s="140"/>
      <c r="O60" s="142"/>
      <c r="Q60" s="141"/>
    </row>
    <row r="61" spans="2:23">
      <c r="C61" s="197" t="s">
        <v>53</v>
      </c>
      <c r="E61" s="142">
        <v>49083889</v>
      </c>
      <c r="G61" s="142">
        <v>0</v>
      </c>
      <c r="H61" s="140"/>
      <c r="I61" s="142">
        <f>E61-G61</f>
        <v>49083889</v>
      </c>
      <c r="K61" s="145" t="str">
        <f>IF(G61=0,"n/a",IF(AND(I61/G61&lt;1,I61/G61&gt;-1),I61/G61,"n/a"))</f>
        <v>n/a</v>
      </c>
      <c r="M61" s="142">
        <v>51989827</v>
      </c>
      <c r="N61" s="140"/>
      <c r="O61" s="142">
        <f>E61-M61</f>
        <v>-2905938</v>
      </c>
      <c r="Q61" s="145">
        <f>IF(M61=0,"n/a",IF(AND(O61/M61&lt;1,O61/M61&gt;-1),O61/M61,"n/a"))</f>
        <v>-5.5894357948142431E-2</v>
      </c>
    </row>
    <row r="62" spans="2:23">
      <c r="C62" s="197" t="s">
        <v>52</v>
      </c>
      <c r="E62" s="144">
        <v>166067078</v>
      </c>
      <c r="G62" s="144">
        <v>63221000</v>
      </c>
      <c r="H62" s="140"/>
      <c r="I62" s="144">
        <f>E62-G62</f>
        <v>102846078</v>
      </c>
      <c r="K62" s="143" t="str">
        <f>IF(G62=0,"n/a",IF(AND(I62/G62&lt;1,I62/G62&gt;-1),I62/G62,"n/a"))</f>
        <v>n/a</v>
      </c>
      <c r="M62" s="144">
        <v>162422110</v>
      </c>
      <c r="N62" s="140"/>
      <c r="O62" s="144">
        <f>E62-M62</f>
        <v>3644968</v>
      </c>
      <c r="Q62" s="143">
        <f>IF(M62=0,"n/a",IF(AND(O62/M62&lt;1,O62/M62&gt;-1),O62/M62,"n/a"))</f>
        <v>2.244132895453704E-2</v>
      </c>
    </row>
    <row r="63" spans="2:23" ht="6.9" customHeight="1">
      <c r="E63" s="142"/>
      <c r="G63" s="142"/>
      <c r="I63" s="142"/>
      <c r="K63" s="141"/>
      <c r="M63" s="142"/>
      <c r="O63" s="142"/>
      <c r="Q63" s="141"/>
      <c r="S63" s="199"/>
      <c r="T63" s="199"/>
      <c r="U63" s="199"/>
      <c r="V63" s="199"/>
      <c r="W63" s="199"/>
    </row>
    <row r="64" spans="2:23">
      <c r="C64" s="197" t="s">
        <v>51</v>
      </c>
      <c r="E64" s="144">
        <f>SUM(E61:E62)</f>
        <v>215150967</v>
      </c>
      <c r="G64" s="144">
        <f>SUM(G61:G62)</f>
        <v>63221000</v>
      </c>
      <c r="H64" s="140"/>
      <c r="I64" s="144">
        <f>E64-G64</f>
        <v>151929967</v>
      </c>
      <c r="K64" s="143" t="str">
        <f>IF(G64=0,"n/a",IF(AND(I64/G64&lt;1,I64/G64&gt;-1),I64/G64,"n/a"))</f>
        <v>n/a</v>
      </c>
      <c r="M64" s="144">
        <f>SUM(M61:M62)</f>
        <v>214411937</v>
      </c>
      <c r="N64" s="140"/>
      <c r="O64" s="144">
        <f>E64-M64</f>
        <v>739030</v>
      </c>
      <c r="Q64" s="143">
        <f>IF(M64=0,"n/a",IF(AND(O64/M64&lt;1,O64/M64&gt;-1),O64/M64,"n/a"))</f>
        <v>3.4467763798057566E-3</v>
      </c>
    </row>
    <row r="65" spans="1:23" ht="6.9" customHeight="1">
      <c r="E65" s="142"/>
      <c r="G65" s="142"/>
      <c r="I65" s="142"/>
      <c r="K65" s="141"/>
      <c r="M65" s="142"/>
      <c r="O65" s="142"/>
      <c r="Q65" s="141"/>
      <c r="S65" s="199"/>
      <c r="T65" s="199"/>
      <c r="U65" s="199"/>
      <c r="V65" s="199"/>
      <c r="W65" s="199"/>
    </row>
    <row r="66" spans="1:23" ht="12" thickBot="1">
      <c r="C66" s="197" t="s">
        <v>50</v>
      </c>
      <c r="E66" s="139">
        <f>E58+E64</f>
        <v>982155042</v>
      </c>
      <c r="G66" s="139">
        <f>G58+G64</f>
        <v>969142000</v>
      </c>
      <c r="H66" s="140"/>
      <c r="I66" s="139">
        <f>E66-G66</f>
        <v>13013042</v>
      </c>
      <c r="K66" s="138">
        <f>IF(G66=0,"n/a",IF(AND(I66/G66&lt;1,I66/G66&gt;-1),I66/G66,"n/a"))</f>
        <v>1.3427384222332743E-2</v>
      </c>
      <c r="M66" s="139">
        <f>M58+M64</f>
        <v>1116781225</v>
      </c>
      <c r="N66" s="140"/>
      <c r="O66" s="139">
        <f>E66-M66</f>
        <v>-134626183</v>
      </c>
      <c r="Q66" s="138">
        <f>IF(M66=0,"n/a",IF(AND(O66/M66&lt;1,O66/M66&gt;-1),O66/M66,"n/a"))</f>
        <v>-0.12054839388977014</v>
      </c>
    </row>
    <row r="67" spans="1:23" ht="12" thickTop="1"/>
    <row r="68" spans="1:23" ht="13.2">
      <c r="C68" s="310" t="s">
        <v>131</v>
      </c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</row>
    <row r="69" spans="1:23">
      <c r="A69" s="197" t="s">
        <v>37</v>
      </c>
    </row>
    <row r="70" spans="1:23">
      <c r="A70" s="197" t="s">
        <v>37</v>
      </c>
    </row>
    <row r="71" spans="1:23">
      <c r="A71" s="197" t="s">
        <v>37</v>
      </c>
    </row>
    <row r="72" spans="1:23">
      <c r="A72" s="197" t="s">
        <v>37</v>
      </c>
    </row>
    <row r="73" spans="1:23">
      <c r="A73" s="197" t="s">
        <v>37</v>
      </c>
    </row>
    <row r="74" spans="1:23">
      <c r="A74" s="197" t="s">
        <v>37</v>
      </c>
    </row>
    <row r="75" spans="1:23">
      <c r="A75" s="197" t="s">
        <v>37</v>
      </c>
    </row>
    <row r="76" spans="1:23">
      <c r="A76" s="197" t="s">
        <v>37</v>
      </c>
    </row>
    <row r="77" spans="1:23">
      <c r="A77" s="197" t="s">
        <v>37</v>
      </c>
    </row>
    <row r="78" spans="1:23">
      <c r="A78" s="197" t="s">
        <v>37</v>
      </c>
    </row>
    <row r="79" spans="1:23">
      <c r="A79" s="197" t="s">
        <v>37</v>
      </c>
    </row>
    <row r="80" spans="1:23">
      <c r="A80" s="197" t="s">
        <v>37</v>
      </c>
    </row>
    <row r="81" spans="1:1">
      <c r="A81" s="197" t="s">
        <v>37</v>
      </c>
    </row>
    <row r="82" spans="1:1">
      <c r="A82" s="197" t="s">
        <v>37</v>
      </c>
    </row>
    <row r="83" spans="1:1">
      <c r="A83" s="197" t="s">
        <v>37</v>
      </c>
    </row>
  </sheetData>
  <mergeCells count="8">
    <mergeCell ref="S6:W6"/>
    <mergeCell ref="C68:T68"/>
    <mergeCell ref="E1:Q1"/>
    <mergeCell ref="E2:Q2"/>
    <mergeCell ref="E3:Q3"/>
    <mergeCell ref="E4:Q4"/>
    <mergeCell ref="I6:K6"/>
    <mergeCell ref="O6:Q6"/>
  </mergeCells>
  <pageMargins left="0.25" right="0.25" top="0.25" bottom="0.39" header="0" footer="0"/>
  <pageSetup scale="62" orientation="landscape" r:id="rId1"/>
  <headerFooter alignWithMargins="0">
    <oddFooter>&amp;C6a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zoomScaleNormal="100" workbookViewId="0">
      <pane xSplit="4" ySplit="8" topLeftCell="E39" activePane="bottomRight" state="frozen"/>
      <selection activeCell="E60" sqref="E60:M60"/>
      <selection pane="topRight" activeCell="E60" sqref="E60:M60"/>
      <selection pane="bottomLeft" activeCell="E60" sqref="E60:M60"/>
      <selection pane="bottomRight" activeCell="M70" sqref="M70"/>
    </sheetView>
  </sheetViews>
  <sheetFormatPr defaultColWidth="9.109375" defaultRowHeight="11.4"/>
  <cols>
    <col min="1" max="2" width="1.6640625" style="197" customWidth="1"/>
    <col min="3" max="3" width="9.109375" style="197"/>
    <col min="4" max="4" width="27.5546875" style="197" customWidth="1"/>
    <col min="5" max="5" width="19.33203125" style="197" customWidth="1"/>
    <col min="6" max="6" width="0.88671875" style="197" customWidth="1"/>
    <col min="7" max="7" width="16.6640625" style="197" hidden="1" customWidth="1"/>
    <col min="8" max="8" width="0.88671875" style="197" hidden="1" customWidth="1"/>
    <col min="9" max="9" width="16.6640625" style="197" hidden="1" customWidth="1"/>
    <col min="10" max="10" width="0.88671875" style="197" hidden="1" customWidth="1"/>
    <col min="11" max="11" width="7.6640625" style="198" hidden="1" customWidth="1"/>
    <col min="12" max="12" width="0.88671875" style="197" hidden="1" customWidth="1"/>
    <col min="13" max="13" width="16.6640625" style="197" customWidth="1"/>
    <col min="14" max="14" width="0.88671875" style="197" customWidth="1"/>
    <col min="15" max="15" width="16.6640625" style="197" customWidth="1"/>
    <col min="16" max="16" width="0.88671875" style="197" customWidth="1"/>
    <col min="17" max="17" width="7.6640625" style="198" customWidth="1"/>
    <col min="18" max="18" width="0.88671875" style="197" customWidth="1"/>
    <col min="19" max="19" width="10.6640625" style="198" customWidth="1"/>
    <col min="20" max="20" width="0.88671875" style="198" customWidth="1"/>
    <col min="21" max="21" width="7.6640625" style="198" hidden="1" customWidth="1"/>
    <col min="22" max="22" width="0.88671875" style="198" hidden="1" customWidth="1"/>
    <col min="23" max="23" width="10.6640625" style="198" customWidth="1"/>
    <col min="24" max="16384" width="9.109375" style="197"/>
  </cols>
  <sheetData>
    <row r="1" spans="1:23" s="212" customFormat="1" ht="13.8">
      <c r="E1" s="317" t="s">
        <v>24</v>
      </c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S1" s="213"/>
      <c r="T1" s="213"/>
      <c r="U1" s="213"/>
      <c r="V1" s="213"/>
      <c r="W1" s="213"/>
    </row>
    <row r="2" spans="1:23" s="212" customFormat="1" ht="13.8">
      <c r="E2" s="317" t="s">
        <v>77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S2" s="213"/>
      <c r="T2" s="213"/>
      <c r="U2" s="213"/>
      <c r="V2" s="213"/>
      <c r="W2" s="213"/>
    </row>
    <row r="3" spans="1:23" s="212" customFormat="1" ht="13.8">
      <c r="E3" s="317" t="s">
        <v>152</v>
      </c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S3" s="213"/>
      <c r="T3" s="213"/>
      <c r="U3" s="213"/>
      <c r="V3" s="213"/>
      <c r="W3" s="213"/>
    </row>
    <row r="4" spans="1:23" s="201" customFormat="1" ht="13.2">
      <c r="E4" s="318" t="s">
        <v>36</v>
      </c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S4" s="211"/>
      <c r="T4" s="211"/>
      <c r="U4" s="211"/>
      <c r="V4" s="211"/>
      <c r="W4" s="211"/>
    </row>
    <row r="5" spans="1:23">
      <c r="A5" s="197" t="s">
        <v>37</v>
      </c>
    </row>
    <row r="6" spans="1:23" s="205" customFormat="1" ht="13.2">
      <c r="A6" s="205" t="s">
        <v>37</v>
      </c>
      <c r="I6" s="319" t="s">
        <v>38</v>
      </c>
      <c r="J6" s="319"/>
      <c r="K6" s="319"/>
      <c r="O6" s="319" t="s">
        <v>132</v>
      </c>
      <c r="P6" s="319"/>
      <c r="Q6" s="319"/>
      <c r="S6" s="315" t="s">
        <v>76</v>
      </c>
      <c r="T6" s="315"/>
      <c r="U6" s="315"/>
      <c r="V6" s="315"/>
      <c r="W6" s="315"/>
    </row>
    <row r="7" spans="1:23" s="205" customFormat="1" ht="13.2">
      <c r="E7" s="210" t="s">
        <v>39</v>
      </c>
      <c r="G7" s="210"/>
      <c r="I7" s="210"/>
      <c r="K7" s="209"/>
      <c r="M7" s="210" t="s">
        <v>39</v>
      </c>
      <c r="O7" s="210"/>
      <c r="Q7" s="209"/>
      <c r="S7" s="209"/>
      <c r="T7" s="207"/>
      <c r="U7" s="209"/>
      <c r="V7" s="207"/>
      <c r="W7" s="209"/>
    </row>
    <row r="8" spans="1:23" s="205" customFormat="1" ht="13.2">
      <c r="A8" s="201" t="s">
        <v>75</v>
      </c>
      <c r="E8" s="206">
        <v>2014</v>
      </c>
      <c r="G8" s="206" t="s">
        <v>40</v>
      </c>
      <c r="I8" s="206" t="s">
        <v>41</v>
      </c>
      <c r="K8" s="208" t="s">
        <v>42</v>
      </c>
      <c r="M8" s="206">
        <v>2013</v>
      </c>
      <c r="O8" s="206" t="s">
        <v>41</v>
      </c>
      <c r="Q8" s="208" t="s">
        <v>42</v>
      </c>
      <c r="S8" s="206">
        <v>2014</v>
      </c>
      <c r="T8" s="207"/>
      <c r="U8" s="208" t="s">
        <v>40</v>
      </c>
      <c r="V8" s="207"/>
      <c r="W8" s="206">
        <v>2013</v>
      </c>
    </row>
    <row r="9" spans="1:23" ht="12">
      <c r="B9" s="200" t="s">
        <v>74</v>
      </c>
    </row>
    <row r="10" spans="1:23">
      <c r="C10" s="197" t="s">
        <v>63</v>
      </c>
      <c r="E10" s="149">
        <v>680844423.61000001</v>
      </c>
      <c r="G10" s="149">
        <v>674425000</v>
      </c>
      <c r="I10" s="149">
        <f>E10-G10</f>
        <v>6419423.6100000143</v>
      </c>
      <c r="K10" s="145">
        <f>IF(G10=0,"n/a",IF(AND(I10/G10&lt;1,I10/G10&gt;-1),I10/G10,"n/a"))</f>
        <v>9.5183654372243236E-3</v>
      </c>
      <c r="M10" s="149">
        <v>674005011.77999997</v>
      </c>
      <c r="O10" s="149">
        <f>E10-M10</f>
        <v>6839411.8300000429</v>
      </c>
      <c r="Q10" s="145">
        <f>IF(M10=0,"n/a",IF(AND(O10/M10&lt;1,O10/M10&gt;-1),O10/M10,"n/a"))</f>
        <v>1.0147419841786689E-2</v>
      </c>
      <c r="S10" s="156">
        <f>IF(E44=0,"n/a",E10/E44)</f>
        <v>1.201039751742512</v>
      </c>
      <c r="T10" s="204"/>
      <c r="U10" s="156">
        <f>IF(G44=0,"n/a",G10/G44)</f>
        <v>1.176926875832186</v>
      </c>
      <c r="V10" s="204"/>
      <c r="W10" s="156">
        <f>IF(M44=0,"n/a",M10/M44)</f>
        <v>1.2169501533015374</v>
      </c>
    </row>
    <row r="11" spans="1:23">
      <c r="C11" s="197" t="s">
        <v>62</v>
      </c>
      <c r="E11" s="148">
        <v>259780912.59999999</v>
      </c>
      <c r="G11" s="148">
        <v>256641000</v>
      </c>
      <c r="I11" s="148">
        <f>E11-G11</f>
        <v>3139912.599999994</v>
      </c>
      <c r="K11" s="145">
        <f>IF(G11=0,"n/a",IF(AND(I11/G11&lt;1,I11/G11&gt;-1),I11/G11,"n/a"))</f>
        <v>1.2234649179203612E-2</v>
      </c>
      <c r="M11" s="148">
        <v>261261737.38</v>
      </c>
      <c r="O11" s="148">
        <f>E11-M11</f>
        <v>-1480824.7800000012</v>
      </c>
      <c r="Q11" s="145">
        <f>IF(M11=0,"n/a",IF(AND(O11/M11&lt;1,O11/M11&gt;-1),O11/M11,"n/a"))</f>
        <v>-5.6679741735245794E-3</v>
      </c>
      <c r="S11" s="158">
        <f>IF(E45=0,"n/a",E11/E45)</f>
        <v>1.010336610283421</v>
      </c>
      <c r="T11" s="204"/>
      <c r="U11" s="158">
        <f>IF(G45=0,"n/a",G11/G45)</f>
        <v>0.99873912789679531</v>
      </c>
      <c r="V11" s="204"/>
      <c r="W11" s="158">
        <f>IF(M45=0,"n/a",M11/M45)</f>
        <v>1.0543419394938549</v>
      </c>
    </row>
    <row r="12" spans="1:23">
      <c r="C12" s="197" t="s">
        <v>61</v>
      </c>
      <c r="E12" s="152">
        <v>24556422.010000002</v>
      </c>
      <c r="G12" s="152">
        <v>25317000</v>
      </c>
      <c r="I12" s="152">
        <f>E12-G12</f>
        <v>-760577.98999999836</v>
      </c>
      <c r="K12" s="143">
        <f>IF(G12=0,"n/a",IF(AND(I12/G12&lt;1,I12/G12&gt;-1),I12/G12,"n/a"))</f>
        <v>-3.0042184698028929E-2</v>
      </c>
      <c r="M12" s="152">
        <v>27743030.260000002</v>
      </c>
      <c r="O12" s="152">
        <f>E12-M12</f>
        <v>-3186608.25</v>
      </c>
      <c r="Q12" s="143">
        <f>IF(M12=0,"n/a",IF(AND(O12/M12&lt;1,O12/M12&gt;-1),O12/M12,"n/a"))</f>
        <v>-0.11486157857076136</v>
      </c>
      <c r="S12" s="157">
        <f>IF(E46=0,"n/a",E12/E46)</f>
        <v>0.8805616280887304</v>
      </c>
      <c r="T12" s="204"/>
      <c r="U12" s="157">
        <f>IF(G46=0,"n/a",G12/G46)</f>
        <v>0.86725815291860786</v>
      </c>
      <c r="V12" s="204"/>
      <c r="W12" s="157">
        <f>IF(M46=0,"n/a",M12/M46)</f>
        <v>0.97583929844044226</v>
      </c>
    </row>
    <row r="13" spans="1:23" ht="6.9" customHeight="1">
      <c r="E13" s="148"/>
      <c r="G13" s="148"/>
      <c r="I13" s="148"/>
      <c r="K13" s="141"/>
      <c r="M13" s="148"/>
      <c r="O13" s="148"/>
      <c r="Q13" s="141"/>
      <c r="S13" s="204"/>
      <c r="T13" s="204"/>
      <c r="U13" s="204"/>
      <c r="V13" s="204"/>
      <c r="W13" s="204"/>
    </row>
    <row r="14" spans="1:23">
      <c r="C14" s="197" t="s">
        <v>60</v>
      </c>
      <c r="E14" s="148">
        <f>SUM(E10:E12)</f>
        <v>965181758.22000003</v>
      </c>
      <c r="G14" s="148">
        <f>SUM(G10:G12)</f>
        <v>956383000</v>
      </c>
      <c r="I14" s="148">
        <f>E14-G14</f>
        <v>8798758.2200000286</v>
      </c>
      <c r="K14" s="145">
        <f>IF(G14=0,"n/a",IF(AND(I14/G14&lt;1,I14/G14&gt;-1),I14/G14,"n/a"))</f>
        <v>9.2000361988868774E-3</v>
      </c>
      <c r="M14" s="148">
        <f>SUM(M10:M12)</f>
        <v>963009779.41999996</v>
      </c>
      <c r="O14" s="148">
        <f>E14-M14</f>
        <v>2171978.8000000715</v>
      </c>
      <c r="Q14" s="145">
        <f>IF(M14=0,"n/a",IF(AND(O14/M14&lt;1,O14/M14&gt;-1),O14/M14,"n/a"))</f>
        <v>2.2554067948387891E-3</v>
      </c>
      <c r="S14" s="158">
        <f>IF(E48=0,"n/a",E14/E48)</f>
        <v>1.1329893382080092</v>
      </c>
      <c r="T14" s="204"/>
      <c r="U14" s="158">
        <f>IF(G48=0,"n/a",G14/G48)</f>
        <v>1.113113887867262</v>
      </c>
      <c r="V14" s="204"/>
      <c r="W14" s="158">
        <f>IF(M48=0,"n/a",M14/M48)</f>
        <v>1.1601498535770824</v>
      </c>
    </row>
    <row r="15" spans="1:23" ht="6.9" customHeight="1">
      <c r="E15" s="148"/>
      <c r="G15" s="148"/>
      <c r="I15" s="148"/>
      <c r="K15" s="141"/>
      <c r="M15" s="148"/>
      <c r="O15" s="148"/>
      <c r="Q15" s="141"/>
      <c r="S15" s="204"/>
      <c r="T15" s="204"/>
      <c r="U15" s="204"/>
      <c r="V15" s="204"/>
      <c r="W15" s="204"/>
    </row>
    <row r="16" spans="1:23" ht="12">
      <c r="B16" s="200" t="s">
        <v>73</v>
      </c>
      <c r="E16" s="148"/>
      <c r="G16" s="148"/>
      <c r="I16" s="148"/>
      <c r="K16" s="141"/>
      <c r="M16" s="148"/>
      <c r="O16" s="148"/>
      <c r="Q16" s="141"/>
      <c r="S16" s="204"/>
      <c r="T16" s="204"/>
      <c r="U16" s="204"/>
      <c r="V16" s="204"/>
      <c r="W16" s="204"/>
    </row>
    <row r="17" spans="2:23">
      <c r="C17" s="197" t="s">
        <v>58</v>
      </c>
      <c r="E17" s="148">
        <v>31511337.73</v>
      </c>
      <c r="G17" s="148">
        <v>32806000</v>
      </c>
      <c r="I17" s="148">
        <f>E17-G17</f>
        <v>-1294662.2699999996</v>
      </c>
      <c r="K17" s="145">
        <f>IF(G17=0,"n/a",IF(AND(I17/G17&lt;1,I17/G17&gt;-1),I17/G17,"n/a"))</f>
        <v>-3.9464191611290604E-2</v>
      </c>
      <c r="M17" s="148">
        <v>33214984.260000002</v>
      </c>
      <c r="O17" s="148">
        <f>E17-M17</f>
        <v>-1703646.5300000012</v>
      </c>
      <c r="Q17" s="145">
        <f>IF(M17=0,"n/a",IF(AND(O17/M17&lt;1,O17/M17&gt;-1),O17/M17,"n/a"))</f>
        <v>-5.1291504962465428E-2</v>
      </c>
      <c r="S17" s="158">
        <f>IF(E51=0,"n/a",E17/E51)</f>
        <v>0.65037345103760602</v>
      </c>
      <c r="T17" s="204"/>
      <c r="U17" s="158">
        <f>IF(G51=0,"n/a",G17/G51)</f>
        <v>0.6298671377006374</v>
      </c>
      <c r="V17" s="204"/>
      <c r="W17" s="158">
        <f>IF(M51=0,"n/a",M17/M51)</f>
        <v>0.69211130597016557</v>
      </c>
    </row>
    <row r="18" spans="2:23">
      <c r="C18" s="197" t="s">
        <v>57</v>
      </c>
      <c r="E18" s="152">
        <v>1391884.03</v>
      </c>
      <c r="F18" s="154"/>
      <c r="G18" s="152">
        <v>2006000</v>
      </c>
      <c r="H18" s="155"/>
      <c r="I18" s="152">
        <f>E18-G18</f>
        <v>-614115.97</v>
      </c>
      <c r="J18" s="154"/>
      <c r="K18" s="143">
        <f>IF(G18=0,"n/a",IF(AND(I18/G18&lt;1,I18/G18&gt;-1),I18/G18,"n/a"))</f>
        <v>-0.30613956630109668</v>
      </c>
      <c r="L18" s="153"/>
      <c r="M18" s="152">
        <v>1951366.75</v>
      </c>
      <c r="N18" s="153"/>
      <c r="O18" s="152">
        <f>E18-M18</f>
        <v>-559482.72</v>
      </c>
      <c r="Q18" s="143">
        <f>IF(M18=0,"n/a",IF(AND(O18/M18&lt;1,O18/M18&gt;-1),O18/M18,"n/a"))</f>
        <v>-0.28671325879668697</v>
      </c>
      <c r="S18" s="157">
        <f>IF(E52=0,"n/a",E18/E52)</f>
        <v>0.68612663048756017</v>
      </c>
      <c r="T18" s="204"/>
      <c r="U18" s="157">
        <f>IF(G52=0,"n/a",G18/G52)</f>
        <v>0.68745716244002741</v>
      </c>
      <c r="V18" s="204"/>
      <c r="W18" s="157">
        <f>IF(M52=0,"n/a",M18/M52)</f>
        <v>0.71528259898992197</v>
      </c>
    </row>
    <row r="19" spans="2:23" ht="6.9" customHeight="1">
      <c r="E19" s="148"/>
      <c r="F19" s="203"/>
      <c r="G19" s="148"/>
      <c r="H19" s="203"/>
      <c r="I19" s="148"/>
      <c r="J19" s="203"/>
      <c r="K19" s="141"/>
      <c r="L19" s="203"/>
      <c r="M19" s="148"/>
      <c r="N19" s="203"/>
      <c r="O19" s="148"/>
      <c r="Q19" s="141"/>
      <c r="S19" s="204"/>
      <c r="T19" s="204"/>
      <c r="U19" s="204"/>
      <c r="V19" s="204"/>
      <c r="W19" s="204"/>
    </row>
    <row r="20" spans="2:23">
      <c r="C20" s="197" t="s">
        <v>56</v>
      </c>
      <c r="E20" s="152">
        <f>SUM(E17:E18)</f>
        <v>32903221.760000002</v>
      </c>
      <c r="F20" s="154"/>
      <c r="G20" s="152">
        <f>SUM(G17:G18)</f>
        <v>34812000</v>
      </c>
      <c r="H20" s="155"/>
      <c r="I20" s="152">
        <f>E20-G20</f>
        <v>-1908778.2399999984</v>
      </c>
      <c r="J20" s="154"/>
      <c r="K20" s="143">
        <f>IF(G20=0,"n/a",IF(AND(I20/G20&lt;1,I20/G20&gt;-1),I20/G20,"n/a"))</f>
        <v>-5.4831042169366837E-2</v>
      </c>
      <c r="L20" s="153"/>
      <c r="M20" s="152">
        <f>SUM(M17:M18)</f>
        <v>35166351.010000005</v>
      </c>
      <c r="N20" s="153"/>
      <c r="O20" s="152">
        <f>E20-M20</f>
        <v>-2263129.2500000037</v>
      </c>
      <c r="Q20" s="143">
        <f>IF(M20=0,"n/a",IF(AND(O20/M20&lt;1,O20/M20&gt;-1),O20/M20,"n/a"))</f>
        <v>-6.4354963907300292E-2</v>
      </c>
      <c r="S20" s="157">
        <f>IF(E54=0,"n/a",E20/E54)</f>
        <v>0.65181025066385523</v>
      </c>
      <c r="T20" s="204"/>
      <c r="U20" s="157">
        <f>IF(G54=0,"n/a",G20/G54)</f>
        <v>0.63292243918402968</v>
      </c>
      <c r="V20" s="204"/>
      <c r="W20" s="157">
        <f>IF(M54=0,"n/a",M20/M54)</f>
        <v>0.6933576602845184</v>
      </c>
    </row>
    <row r="21" spans="2:23" ht="6.9" customHeight="1">
      <c r="E21" s="148"/>
      <c r="F21" s="203"/>
      <c r="G21" s="148"/>
      <c r="H21" s="203"/>
      <c r="I21" s="148"/>
      <c r="J21" s="203"/>
      <c r="K21" s="141"/>
      <c r="L21" s="203"/>
      <c r="M21" s="148"/>
      <c r="N21" s="203"/>
      <c r="O21" s="148"/>
      <c r="Q21" s="141"/>
      <c r="S21" s="204"/>
      <c r="T21" s="204"/>
      <c r="U21" s="204"/>
      <c r="V21" s="204"/>
      <c r="W21" s="204"/>
    </row>
    <row r="22" spans="2:23">
      <c r="C22" s="197" t="s">
        <v>72</v>
      </c>
      <c r="E22" s="148">
        <f>E14+E20</f>
        <v>998084979.98000002</v>
      </c>
      <c r="F22" s="203"/>
      <c r="G22" s="148">
        <f>G14+G20</f>
        <v>991195000</v>
      </c>
      <c r="H22" s="203"/>
      <c r="I22" s="148">
        <f>E22-G22</f>
        <v>6889979.9800000191</v>
      </c>
      <c r="J22" s="203"/>
      <c r="K22" s="145">
        <f>IF(G22=0,"n/a",IF(AND(I22/G22&lt;1,I22/G22&gt;-1),I22/G22,"n/a"))</f>
        <v>6.9511851653812004E-3</v>
      </c>
      <c r="L22" s="203"/>
      <c r="M22" s="148">
        <f>M14+M20</f>
        <v>998176130.42999995</v>
      </c>
      <c r="N22" s="203"/>
      <c r="O22" s="148">
        <f>E22-M22</f>
        <v>-91150.449999928474</v>
      </c>
      <c r="Q22" s="145">
        <f>IF(M22=0,"n/a",IF(AND(O22/M22&lt;1,O22/M22&gt;-1),O22/M22,"n/a"))</f>
        <v>-9.1317000297995671E-5</v>
      </c>
      <c r="S22" s="158">
        <f>IF(E56=0,"n/a",E22/E56)</f>
        <v>1.1060715310825162</v>
      </c>
      <c r="T22" s="204"/>
      <c r="U22" s="158">
        <f>IF(G56=0,"n/a",G22/G56)</f>
        <v>1.0842235489467271</v>
      </c>
      <c r="V22" s="204"/>
      <c r="W22" s="158">
        <f>IF(M56=0,"n/a",M22/M56)</f>
        <v>1.1332704300940535</v>
      </c>
    </row>
    <row r="23" spans="2:23" ht="6.9" customHeight="1">
      <c r="E23" s="148"/>
      <c r="F23" s="203"/>
      <c r="G23" s="148"/>
      <c r="H23" s="203"/>
      <c r="I23" s="148"/>
      <c r="J23" s="203"/>
      <c r="K23" s="141"/>
      <c r="L23" s="203"/>
      <c r="M23" s="148"/>
      <c r="N23" s="203"/>
      <c r="O23" s="148"/>
      <c r="Q23" s="141"/>
      <c r="S23" s="204"/>
      <c r="T23" s="204"/>
      <c r="U23" s="204"/>
      <c r="V23" s="204"/>
      <c r="W23" s="204"/>
    </row>
    <row r="24" spans="2:23" ht="12">
      <c r="B24" s="200" t="s">
        <v>71</v>
      </c>
      <c r="E24" s="148"/>
      <c r="F24" s="203"/>
      <c r="G24" s="148"/>
      <c r="H24" s="203"/>
      <c r="I24" s="148"/>
      <c r="J24" s="203"/>
      <c r="K24" s="141"/>
      <c r="L24" s="203"/>
      <c r="M24" s="148"/>
      <c r="N24" s="203"/>
      <c r="O24" s="148"/>
      <c r="Q24" s="141"/>
      <c r="S24" s="204"/>
      <c r="T24" s="204"/>
      <c r="U24" s="204"/>
      <c r="V24" s="204"/>
      <c r="W24" s="204"/>
    </row>
    <row r="25" spans="2:23">
      <c r="C25" s="197" t="s">
        <v>53</v>
      </c>
      <c r="E25" s="148">
        <v>5506202.5</v>
      </c>
      <c r="F25" s="203"/>
      <c r="G25" s="148">
        <v>4731000</v>
      </c>
      <c r="H25" s="203"/>
      <c r="I25" s="148">
        <f>E25-G25</f>
        <v>775202.5</v>
      </c>
      <c r="J25" s="203"/>
      <c r="K25" s="145">
        <f>IF(G25=0,"n/a",IF(AND(I25/G25&lt;1,I25/G25&gt;-1),I25/G25,"n/a"))</f>
        <v>0.16385595011625448</v>
      </c>
      <c r="L25" s="203"/>
      <c r="M25" s="148">
        <v>4713982.92</v>
      </c>
      <c r="N25" s="203"/>
      <c r="O25" s="148">
        <f>E25-M25</f>
        <v>792219.58000000007</v>
      </c>
      <c r="Q25" s="145">
        <f>IF(M25=0,"n/a",IF(AND(O25/M25&lt;1,O25/M25&gt;-1),O25/M25,"n/a"))</f>
        <v>0.16805737174796553</v>
      </c>
      <c r="S25" s="158">
        <f>IF(E59=0,"n/a",E25/E59)</f>
        <v>0.1059092291266905</v>
      </c>
      <c r="T25" s="204"/>
      <c r="U25" s="158">
        <f>IF(G59=0,"n/a",G25/G59)</f>
        <v>8.1202155779066976E-2</v>
      </c>
      <c r="V25" s="204"/>
      <c r="W25" s="158">
        <f>IF(M59=0,"n/a",M25/M59)</f>
        <v>9.8599856467037214E-2</v>
      </c>
    </row>
    <row r="26" spans="2:23">
      <c r="C26" s="197" t="s">
        <v>52</v>
      </c>
      <c r="E26" s="152">
        <v>11252122.26</v>
      </c>
      <c r="F26" s="154"/>
      <c r="G26" s="152">
        <v>11342000</v>
      </c>
      <c r="H26" s="155"/>
      <c r="I26" s="152">
        <f>E26-G26</f>
        <v>-89877.740000000224</v>
      </c>
      <c r="J26" s="154"/>
      <c r="K26" s="143">
        <f>IF(G26=0,"n/a",IF(AND(I26/G26&lt;1,I26/G26&gt;-1),I26/G26,"n/a"))</f>
        <v>-7.9243290424969338E-3</v>
      </c>
      <c r="L26" s="153"/>
      <c r="M26" s="152">
        <v>10898300.359999999</v>
      </c>
      <c r="N26" s="153"/>
      <c r="O26" s="152">
        <f>E26-M26</f>
        <v>353821.90000000037</v>
      </c>
      <c r="Q26" s="143">
        <f>IF(M26=0,"n/a",IF(AND(O26/M26&lt;1,O26/M26&gt;-1),O26/M26,"n/a"))</f>
        <v>3.2465787169771158E-2</v>
      </c>
      <c r="S26" s="157">
        <f>IF(E60=0,"n/a",E26/E60)</f>
        <v>6.9277035374063295E-2</v>
      </c>
      <c r="T26" s="204"/>
      <c r="U26" s="157">
        <f>IF(G60=0,"n/a",G26/G60)</f>
        <v>6.2904871772118204E-2</v>
      </c>
      <c r="V26" s="204"/>
      <c r="W26" s="157">
        <f>IF(M60=0,"n/a",M26/M60)</f>
        <v>6.3274885064292574E-2</v>
      </c>
    </row>
    <row r="27" spans="2:23" ht="6.9" customHeight="1">
      <c r="E27" s="148"/>
      <c r="F27" s="203"/>
      <c r="G27" s="148"/>
      <c r="H27" s="203"/>
      <c r="I27" s="148"/>
      <c r="J27" s="203"/>
      <c r="K27" s="141"/>
      <c r="L27" s="203"/>
      <c r="M27" s="148"/>
      <c r="N27" s="203"/>
      <c r="O27" s="148"/>
      <c r="Q27" s="141"/>
      <c r="S27" s="204"/>
      <c r="T27" s="204"/>
      <c r="U27" s="204"/>
      <c r="V27" s="204"/>
      <c r="W27" s="204"/>
    </row>
    <row r="28" spans="2:23">
      <c r="C28" s="197" t="s">
        <v>51</v>
      </c>
      <c r="E28" s="152">
        <f>SUM(E25:E26)</f>
        <v>16758324.76</v>
      </c>
      <c r="F28" s="154"/>
      <c r="G28" s="152">
        <f>SUM(G25:G26)</f>
        <v>16073000</v>
      </c>
      <c r="H28" s="155"/>
      <c r="I28" s="152">
        <f>E28-G28</f>
        <v>685324.75999999978</v>
      </c>
      <c r="J28" s="154"/>
      <c r="K28" s="143">
        <f>IF(G28=0,"n/a",IF(AND(I28/G28&lt;1,I28/G28&gt;-1),I28/G28,"n/a"))</f>
        <v>4.263826043675728E-2</v>
      </c>
      <c r="L28" s="153"/>
      <c r="M28" s="152">
        <f>SUM(M25:M26)</f>
        <v>15612283.279999999</v>
      </c>
      <c r="N28" s="153"/>
      <c r="O28" s="152">
        <f>E28-M28</f>
        <v>1146041.4800000004</v>
      </c>
      <c r="Q28" s="143">
        <f>IF(M28=0,"n/a",IF(AND(O28/M28&lt;1,O28/M28&gt;-1),O28/M28,"n/a"))</f>
        <v>7.3406397991005484E-2</v>
      </c>
      <c r="S28" s="157">
        <f>IF(E62=0,"n/a",E28/E62)</f>
        <v>7.8159476540711439E-2</v>
      </c>
      <c r="T28" s="204"/>
      <c r="U28" s="157">
        <f>IF(G62=0,"n/a",G28/G62)</f>
        <v>6.7373389334607611E-2</v>
      </c>
      <c r="V28" s="204"/>
      <c r="W28" s="157">
        <f>IF(M62=0,"n/a",M28/M62)</f>
        <v>7.0949893587542986E-2</v>
      </c>
    </row>
    <row r="29" spans="2:23" ht="6.9" customHeight="1">
      <c r="E29" s="148"/>
      <c r="F29" s="203"/>
      <c r="G29" s="148"/>
      <c r="H29" s="203"/>
      <c r="I29" s="148"/>
      <c r="J29" s="203"/>
      <c r="K29" s="141"/>
      <c r="L29" s="203"/>
      <c r="M29" s="148"/>
      <c r="N29" s="203"/>
      <c r="O29" s="148"/>
      <c r="Q29" s="141"/>
      <c r="S29" s="204"/>
      <c r="T29" s="204"/>
      <c r="U29" s="204"/>
      <c r="V29" s="204"/>
      <c r="W29" s="204"/>
    </row>
    <row r="30" spans="2:23">
      <c r="C30" s="197" t="s">
        <v>70</v>
      </c>
      <c r="E30" s="148">
        <f>E22+E28</f>
        <v>1014843304.74</v>
      </c>
      <c r="F30" s="203"/>
      <c r="G30" s="148">
        <f>G22+G28</f>
        <v>1007268000</v>
      </c>
      <c r="H30" s="203"/>
      <c r="I30" s="148">
        <f>E30-G30</f>
        <v>7575304.7400000095</v>
      </c>
      <c r="J30" s="203"/>
      <c r="K30" s="145">
        <f>IF(G30=0,"n/a",IF(AND(I30/G30&lt;1,I30/G30&gt;-1),I30/G30,"n/a"))</f>
        <v>7.5206446943613912E-3</v>
      </c>
      <c r="L30" s="203"/>
      <c r="M30" s="148">
        <f>M22+M28</f>
        <v>1013788413.7099999</v>
      </c>
      <c r="N30" s="203"/>
      <c r="O30" s="148">
        <f>E30-M30</f>
        <v>1054891.0300000906</v>
      </c>
      <c r="Q30" s="145">
        <f>IF(M30=0,"n/a",IF(AND(O30/M30&lt;1,O30/M30&gt;-1),O30/M30,"n/a"))</f>
        <v>1.0405435845727156E-3</v>
      </c>
      <c r="S30" s="156">
        <f>IF(E64=0,"n/a",E30/E64)</f>
        <v>0.90872167441747598</v>
      </c>
      <c r="T30" s="204"/>
      <c r="U30" s="156">
        <f>IF(G64=0,"n/a",G30/G64)</f>
        <v>0.87378509391341164</v>
      </c>
      <c r="V30" s="204"/>
      <c r="W30" s="156">
        <f>IF(M64=0,"n/a",M30/M64)</f>
        <v>0.9209233026296374</v>
      </c>
    </row>
    <row r="31" spans="2:23" ht="6.9" customHeight="1">
      <c r="E31" s="148"/>
      <c r="F31" s="203"/>
      <c r="G31" s="148"/>
      <c r="H31" s="203"/>
      <c r="I31" s="148"/>
      <c r="J31" s="203"/>
      <c r="K31" s="141"/>
      <c r="L31" s="203"/>
      <c r="M31" s="148"/>
      <c r="N31" s="203"/>
      <c r="O31" s="148"/>
      <c r="Q31" s="141"/>
      <c r="S31" s="199"/>
      <c r="T31" s="199"/>
      <c r="U31" s="199"/>
      <c r="V31" s="199"/>
      <c r="W31" s="199"/>
    </row>
    <row r="32" spans="2:23">
      <c r="B32" s="197" t="s">
        <v>90</v>
      </c>
      <c r="E32" s="148">
        <v>476548</v>
      </c>
      <c r="F32" s="203"/>
      <c r="G32" s="148">
        <v>-10039000</v>
      </c>
      <c r="H32" s="203"/>
      <c r="I32" s="148">
        <f>E32-G32</f>
        <v>10515548</v>
      </c>
      <c r="J32" s="203"/>
      <c r="K32" s="145" t="str">
        <f>IF(G32=0,"n/a",IF(AND(I32/G32&lt;1,I32/G32&gt;-1),I32/G32,"n/a"))</f>
        <v>n/a</v>
      </c>
      <c r="L32" s="203"/>
      <c r="M32" s="148">
        <v>0</v>
      </c>
      <c r="N32" s="203"/>
      <c r="O32" s="148">
        <f>E32-M32</f>
        <v>476548</v>
      </c>
      <c r="Q32" s="145" t="str">
        <f>IF(M32=0,"n/a",IF(AND(O32/M32&lt;1,O32/M32&gt;-1),O32/M32,"n/a"))</f>
        <v>n/a</v>
      </c>
      <c r="S32" s="199"/>
      <c r="T32" s="199"/>
      <c r="U32" s="199"/>
      <c r="V32" s="199"/>
      <c r="W32" s="199"/>
    </row>
    <row r="33" spans="1:23">
      <c r="B33" s="197" t="s">
        <v>69</v>
      </c>
      <c r="E33" s="152">
        <v>13754930.720000001</v>
      </c>
      <c r="F33" s="154"/>
      <c r="G33" s="152">
        <v>14270000</v>
      </c>
      <c r="H33" s="155"/>
      <c r="I33" s="152">
        <f>E33-G33</f>
        <v>-515069.27999999933</v>
      </c>
      <c r="J33" s="154"/>
      <c r="K33" s="143">
        <f>IF(G33=0,"n/a",IF(AND(I33/G33&lt;1,I33/G33&gt;-1),I33/G33,"n/a"))</f>
        <v>-3.609455360896982E-2</v>
      </c>
      <c r="L33" s="153"/>
      <c r="M33" s="152">
        <v>13300355.07</v>
      </c>
      <c r="N33" s="153"/>
      <c r="O33" s="152">
        <f>E33-M33</f>
        <v>454575.65000000037</v>
      </c>
      <c r="Q33" s="143">
        <f>IF(M33=0,"n/a",IF(AND(O33/M33&lt;1,O33/M33&gt;-1),O33/M33,"n/a"))</f>
        <v>3.4177707858742176E-2</v>
      </c>
    </row>
    <row r="34" spans="1:23" ht="6.9" customHeight="1">
      <c r="E34" s="148"/>
      <c r="F34" s="203"/>
      <c r="G34" s="148"/>
      <c r="H34" s="203"/>
      <c r="I34" s="148"/>
      <c r="J34" s="203"/>
      <c r="K34" s="151"/>
      <c r="L34" s="203"/>
      <c r="M34" s="148"/>
      <c r="N34" s="203"/>
      <c r="O34" s="148"/>
      <c r="Q34" s="151"/>
      <c r="S34" s="199"/>
      <c r="T34" s="199"/>
      <c r="U34" s="199"/>
      <c r="V34" s="199"/>
      <c r="W34" s="199"/>
    </row>
    <row r="35" spans="1:23" ht="12" thickBot="1">
      <c r="C35" s="197" t="s">
        <v>68</v>
      </c>
      <c r="E35" s="150">
        <f>SUM(E30:E33)</f>
        <v>1029074783.46</v>
      </c>
      <c r="F35" s="203"/>
      <c r="G35" s="150">
        <f>SUM(G30:G33)</f>
        <v>1011499000</v>
      </c>
      <c r="H35" s="203"/>
      <c r="I35" s="150">
        <f>E35-G35</f>
        <v>17575783.460000038</v>
      </c>
      <c r="J35" s="203"/>
      <c r="K35" s="138">
        <f>IF(G35=0,"n/a",IF(AND(I35/G35&lt;1,I35/G35&gt;-1),I35/G35,"n/a"))</f>
        <v>1.7375977099334788E-2</v>
      </c>
      <c r="L35" s="203"/>
      <c r="M35" s="150">
        <f>SUM(M30:M33)</f>
        <v>1027088768.78</v>
      </c>
      <c r="N35" s="203"/>
      <c r="O35" s="150">
        <f>E35-M35</f>
        <v>1986014.6800000668</v>
      </c>
      <c r="Q35" s="138">
        <f>IF(M35=0,"n/a",IF(AND(O35/M35&lt;1,O35/M35&gt;-1),O35/M35,"n/a"))</f>
        <v>1.9336348915187744E-3</v>
      </c>
    </row>
    <row r="36" spans="1:23" ht="12" thickTop="1">
      <c r="E36" s="147"/>
      <c r="F36" s="203"/>
      <c r="G36" s="147"/>
      <c r="I36" s="147"/>
      <c r="M36" s="147"/>
      <c r="O36" s="147"/>
    </row>
    <row r="37" spans="1:23">
      <c r="C37" s="197" t="s">
        <v>67</v>
      </c>
      <c r="E37" s="149">
        <v>11071368.18</v>
      </c>
      <c r="F37" s="149"/>
      <c r="G37" s="149">
        <v>11883801</v>
      </c>
      <c r="I37" s="147"/>
      <c r="M37" s="149">
        <v>30825158.190000001</v>
      </c>
      <c r="O37" s="147"/>
    </row>
    <row r="38" spans="1:23">
      <c r="C38" s="197" t="s">
        <v>43</v>
      </c>
      <c r="E38" s="148">
        <v>5530688</v>
      </c>
      <c r="F38" s="202"/>
      <c r="G38" s="148">
        <v>5332299</v>
      </c>
      <c r="I38" s="147"/>
      <c r="M38" s="148">
        <v>4542342.33</v>
      </c>
      <c r="O38" s="147"/>
    </row>
    <row r="39" spans="1:23">
      <c r="C39" s="197" t="s">
        <v>66</v>
      </c>
      <c r="E39" s="148">
        <v>-2847899.26</v>
      </c>
      <c r="F39" s="202"/>
      <c r="G39" s="148">
        <v>-3159584</v>
      </c>
      <c r="I39" s="147"/>
      <c r="M39" s="148">
        <v>-3069260.44</v>
      </c>
      <c r="O39" s="147"/>
    </row>
    <row r="40" spans="1:23">
      <c r="C40" s="197" t="s">
        <v>119</v>
      </c>
      <c r="E40" s="148">
        <v>1083966.7</v>
      </c>
      <c r="F40" s="202"/>
      <c r="G40" s="148">
        <v>571339</v>
      </c>
      <c r="I40" s="147"/>
      <c r="M40" s="148">
        <v>0</v>
      </c>
      <c r="O40" s="147"/>
    </row>
    <row r="41" spans="1:23">
      <c r="E41" s="146"/>
    </row>
    <row r="42" spans="1:23" ht="13.2">
      <c r="A42" s="201" t="s">
        <v>65</v>
      </c>
      <c r="E42" s="146"/>
    </row>
    <row r="43" spans="1:23" ht="12">
      <c r="B43" s="200" t="s">
        <v>64</v>
      </c>
      <c r="E43" s="146"/>
    </row>
    <row r="44" spans="1:23">
      <c r="C44" s="197" t="s">
        <v>63</v>
      </c>
      <c r="E44" s="142">
        <v>566879175</v>
      </c>
      <c r="G44" s="142">
        <v>573039000</v>
      </c>
      <c r="H44" s="140"/>
      <c r="I44" s="142">
        <f>E44-G44</f>
        <v>-6159825</v>
      </c>
      <c r="K44" s="145">
        <f>IF(G44=0,"n/a",IF(AND(I44/G44&lt;1,I44/G44&gt;-1),I44/G44,"n/a"))</f>
        <v>-1.0749399255548051E-2</v>
      </c>
      <c r="M44" s="142">
        <v>553847674</v>
      </c>
      <c r="N44" s="140"/>
      <c r="O44" s="142">
        <f>E44-M44</f>
        <v>13031501</v>
      </c>
      <c r="Q44" s="145">
        <f>IF(M44=0,"n/a",IF(AND(O44/M44&lt;1,O44/M44&gt;-1),O44/M44,"n/a"))</f>
        <v>2.3529034447114062E-2</v>
      </c>
    </row>
    <row r="45" spans="1:23">
      <c r="C45" s="197" t="s">
        <v>62</v>
      </c>
      <c r="E45" s="142">
        <v>257123131</v>
      </c>
      <c r="G45" s="142">
        <v>256965000</v>
      </c>
      <c r="H45" s="140"/>
      <c r="I45" s="142">
        <f>E45-G45</f>
        <v>158131</v>
      </c>
      <c r="K45" s="145">
        <f>IF(G45=0,"n/a",IF(AND(I45/G45&lt;1,I45/G45&gt;-1),I45/G45,"n/a"))</f>
        <v>6.153795263946452E-4</v>
      </c>
      <c r="M45" s="142">
        <v>247796021</v>
      </c>
      <c r="N45" s="140"/>
      <c r="O45" s="142">
        <f>E45-M45</f>
        <v>9327110</v>
      </c>
      <c r="Q45" s="145">
        <f>IF(M45=0,"n/a",IF(AND(O45/M45&lt;1,O45/M45&gt;-1),O45/M45,"n/a"))</f>
        <v>3.7640273489298687E-2</v>
      </c>
    </row>
    <row r="46" spans="1:23">
      <c r="C46" s="197" t="s">
        <v>61</v>
      </c>
      <c r="E46" s="144">
        <v>27887227</v>
      </c>
      <c r="G46" s="144">
        <v>29192000</v>
      </c>
      <c r="H46" s="140"/>
      <c r="I46" s="144">
        <f>E46-G46</f>
        <v>-1304773</v>
      </c>
      <c r="K46" s="143">
        <f>IF(G46=0,"n/a",IF(AND(I46/G46&lt;1,I46/G46&gt;-1),I46/G46,"n/a"))</f>
        <v>-4.469625239791724E-2</v>
      </c>
      <c r="M46" s="144">
        <v>28429917</v>
      </c>
      <c r="N46" s="140"/>
      <c r="O46" s="144">
        <f>E46-M46</f>
        <v>-542690</v>
      </c>
      <c r="Q46" s="143">
        <f>IF(M46=0,"n/a",IF(AND(O46/M46&lt;1,O46/M46&gt;-1),O46/M46,"n/a"))</f>
        <v>-1.9088694490384899E-2</v>
      </c>
    </row>
    <row r="47" spans="1:23" ht="6.9" customHeight="1">
      <c r="E47" s="142"/>
      <c r="G47" s="142"/>
      <c r="I47" s="142"/>
      <c r="K47" s="141"/>
      <c r="M47" s="142"/>
      <c r="O47" s="142"/>
      <c r="Q47" s="141"/>
      <c r="S47" s="199"/>
      <c r="T47" s="199"/>
      <c r="U47" s="199"/>
      <c r="V47" s="199"/>
      <c r="W47" s="199"/>
    </row>
    <row r="48" spans="1:23">
      <c r="C48" s="197" t="s">
        <v>60</v>
      </c>
      <c r="E48" s="142">
        <f>SUM(E44:E46)</f>
        <v>851889533</v>
      </c>
      <c r="G48" s="142">
        <f>SUM(G44:G46)</f>
        <v>859196000</v>
      </c>
      <c r="H48" s="140"/>
      <c r="I48" s="142">
        <f>E48-G48</f>
        <v>-7306467</v>
      </c>
      <c r="K48" s="145">
        <f>IF(G48=0,"n/a",IF(AND(I48/G48&lt;1,I48/G48&gt;-1),I48/G48,"n/a"))</f>
        <v>-8.5038419638825136E-3</v>
      </c>
      <c r="M48" s="142">
        <f>SUM(M44:M46)</f>
        <v>830073612</v>
      </c>
      <c r="N48" s="140"/>
      <c r="O48" s="142">
        <f>E48-M48</f>
        <v>21815921</v>
      </c>
      <c r="Q48" s="145">
        <f>IF(M48=0,"n/a",IF(AND(O48/M48&lt;1,O48/M48&gt;-1),O48/M48,"n/a"))</f>
        <v>2.6281911248131569E-2</v>
      </c>
    </row>
    <row r="49" spans="2:23" ht="6.9" customHeight="1">
      <c r="E49" s="142"/>
      <c r="G49" s="142"/>
      <c r="I49" s="142"/>
      <c r="K49" s="141"/>
      <c r="M49" s="142"/>
      <c r="O49" s="142"/>
      <c r="Q49" s="141"/>
      <c r="S49" s="199"/>
      <c r="T49" s="199"/>
      <c r="U49" s="199"/>
      <c r="V49" s="199"/>
      <c r="W49" s="199"/>
    </row>
    <row r="50" spans="2:23" ht="12">
      <c r="B50" s="200" t="s">
        <v>59</v>
      </c>
      <c r="E50" s="142"/>
      <c r="G50" s="142"/>
      <c r="H50" s="140"/>
      <c r="I50" s="142"/>
      <c r="K50" s="141"/>
      <c r="M50" s="142"/>
      <c r="N50" s="140"/>
      <c r="O50" s="142"/>
      <c r="Q50" s="141"/>
    </row>
    <row r="51" spans="2:23">
      <c r="C51" s="197" t="s">
        <v>58</v>
      </c>
      <c r="E51" s="142">
        <v>48451144</v>
      </c>
      <c r="G51" s="142">
        <v>52084000</v>
      </c>
      <c r="H51" s="140"/>
      <c r="I51" s="142">
        <f>E51-G51</f>
        <v>-3632856</v>
      </c>
      <c r="K51" s="145">
        <f>IF(G51=0,"n/a",IF(AND(I51/G51&lt;1,I51/G51&gt;-1),I51/G51,"n/a"))</f>
        <v>-6.9749942400737272E-2</v>
      </c>
      <c r="M51" s="142">
        <v>47990813</v>
      </c>
      <c r="N51" s="140"/>
      <c r="O51" s="142">
        <f>E51-M51</f>
        <v>460331</v>
      </c>
      <c r="Q51" s="145">
        <f>IF(M51=0,"n/a",IF(AND(O51/M51&lt;1,O51/M51&gt;-1),O51/M51,"n/a"))</f>
        <v>9.5920650479499065E-3</v>
      </c>
    </row>
    <row r="52" spans="2:23">
      <c r="C52" s="197" t="s">
        <v>57</v>
      </c>
      <c r="E52" s="144">
        <v>2028611</v>
      </c>
      <c r="G52" s="144">
        <v>2918000</v>
      </c>
      <c r="H52" s="140"/>
      <c r="I52" s="144">
        <f>E52-G52</f>
        <v>-889389</v>
      </c>
      <c r="K52" s="143">
        <f>IF(G52=0,"n/a",IF(AND(I52/G52&lt;1,I52/G52&gt;-1),I52/G52,"n/a"))</f>
        <v>-0.30479403701165181</v>
      </c>
      <c r="M52" s="144">
        <v>2728106</v>
      </c>
      <c r="N52" s="140"/>
      <c r="O52" s="144">
        <f>E52-M52</f>
        <v>-699495</v>
      </c>
      <c r="Q52" s="143">
        <f>IF(M52=0,"n/a",IF(AND(O52/M52&lt;1,O52/M52&gt;-1),O52/M52,"n/a"))</f>
        <v>-0.25640316028776006</v>
      </c>
    </row>
    <row r="53" spans="2:23" ht="6.9" customHeight="1">
      <c r="E53" s="142"/>
      <c r="G53" s="142"/>
      <c r="I53" s="142"/>
      <c r="K53" s="141"/>
      <c r="M53" s="142"/>
      <c r="O53" s="142"/>
      <c r="Q53" s="141"/>
      <c r="S53" s="199"/>
      <c r="T53" s="199"/>
      <c r="U53" s="199"/>
      <c r="V53" s="199"/>
      <c r="W53" s="199"/>
    </row>
    <row r="54" spans="2:23">
      <c r="C54" s="197" t="s">
        <v>56</v>
      </c>
      <c r="E54" s="144">
        <f>SUM(E51:E52)</f>
        <v>50479755</v>
      </c>
      <c r="G54" s="144">
        <f>SUM(G51:G52)</f>
        <v>55002000</v>
      </c>
      <c r="H54" s="140"/>
      <c r="I54" s="144">
        <f>E54-G54</f>
        <v>-4522245</v>
      </c>
      <c r="K54" s="143">
        <f>IF(G54=0,"n/a",IF(AND(I54/G54&lt;1,I54/G54&gt;-1),I54/G54,"n/a"))</f>
        <v>-8.2219646558306977E-2</v>
      </c>
      <c r="M54" s="144">
        <f>SUM(M51:M52)</f>
        <v>50718919</v>
      </c>
      <c r="N54" s="140"/>
      <c r="O54" s="144">
        <f>E54-M54</f>
        <v>-239164</v>
      </c>
      <c r="Q54" s="143">
        <f>IF(M54=0,"n/a",IF(AND(O54/M54&lt;1,O54/M54&gt;-1),O54/M54,"n/a"))</f>
        <v>-4.7154790503322833E-3</v>
      </c>
    </row>
    <row r="55" spans="2:23" ht="6.9" customHeight="1">
      <c r="E55" s="142"/>
      <c r="G55" s="142"/>
      <c r="I55" s="142"/>
      <c r="K55" s="141"/>
      <c r="M55" s="142"/>
      <c r="O55" s="142"/>
      <c r="Q55" s="141"/>
      <c r="S55" s="199"/>
      <c r="T55" s="199"/>
      <c r="U55" s="199"/>
      <c r="V55" s="199"/>
      <c r="W55" s="199"/>
    </row>
    <row r="56" spans="2:23">
      <c r="C56" s="197" t="s">
        <v>55</v>
      </c>
      <c r="E56" s="142">
        <f>E48+E54</f>
        <v>902369288</v>
      </c>
      <c r="G56" s="142">
        <f>G48+G54</f>
        <v>914198000</v>
      </c>
      <c r="H56" s="140"/>
      <c r="I56" s="142">
        <f>E56-G56</f>
        <v>-11828712</v>
      </c>
      <c r="K56" s="145">
        <f>IF(G56=0,"n/a",IF(AND(I56/G56&lt;1,I56/G56&gt;-1),I56/G56,"n/a"))</f>
        <v>-1.2938895075246282E-2</v>
      </c>
      <c r="M56" s="142">
        <f>M48+M54</f>
        <v>880792531</v>
      </c>
      <c r="N56" s="140"/>
      <c r="O56" s="142">
        <f>E56-M56</f>
        <v>21576757</v>
      </c>
      <c r="Q56" s="145">
        <f>IF(M56=0,"n/a",IF(AND(O56/M56&lt;1,O56/M56&gt;-1),O56/M56,"n/a"))</f>
        <v>2.4496979981770532E-2</v>
      </c>
    </row>
    <row r="57" spans="2:23" ht="6.9" customHeight="1">
      <c r="E57" s="142"/>
      <c r="G57" s="142"/>
      <c r="I57" s="142"/>
      <c r="K57" s="141"/>
      <c r="M57" s="142"/>
      <c r="O57" s="142"/>
      <c r="Q57" s="141"/>
      <c r="S57" s="199"/>
      <c r="T57" s="199"/>
      <c r="U57" s="199"/>
      <c r="V57" s="199"/>
      <c r="W57" s="199"/>
    </row>
    <row r="58" spans="2:23" ht="12">
      <c r="B58" s="200" t="s">
        <v>54</v>
      </c>
      <c r="E58" s="142"/>
      <c r="G58" s="142"/>
      <c r="H58" s="140"/>
      <c r="I58" s="142"/>
      <c r="K58" s="141"/>
      <c r="M58" s="142"/>
      <c r="N58" s="140"/>
      <c r="O58" s="142"/>
      <c r="Q58" s="141"/>
    </row>
    <row r="59" spans="2:23">
      <c r="C59" s="197" t="s">
        <v>53</v>
      </c>
      <c r="E59" s="142">
        <v>51989827</v>
      </c>
      <c r="G59" s="142">
        <v>58262000</v>
      </c>
      <c r="H59" s="140"/>
      <c r="I59" s="142">
        <f>E59-G59</f>
        <v>-6272173</v>
      </c>
      <c r="K59" s="145">
        <f>IF(G59=0,"n/a",IF(AND(I59/G59&lt;1,I59/G59&gt;-1),I59/G59,"n/a"))</f>
        <v>-0.10765461192544025</v>
      </c>
      <c r="M59" s="142">
        <v>47809227</v>
      </c>
      <c r="N59" s="140"/>
      <c r="O59" s="142">
        <f>E59-M59</f>
        <v>4180600</v>
      </c>
      <c r="Q59" s="145">
        <f>IF(M59=0,"n/a",IF(AND(O59/M59&lt;1,O59/M59&gt;-1),O59/M59,"n/a"))</f>
        <v>8.7443371548341489E-2</v>
      </c>
    </row>
    <row r="60" spans="2:23">
      <c r="C60" s="197" t="s">
        <v>52</v>
      </c>
      <c r="E60" s="144">
        <v>162422110</v>
      </c>
      <c r="G60" s="144">
        <v>180304000</v>
      </c>
      <c r="H60" s="140"/>
      <c r="I60" s="144">
        <f>E60-G60</f>
        <v>-17881890</v>
      </c>
      <c r="K60" s="143">
        <f>IF(G60=0,"n/a",IF(AND(I60/G60&lt;1,I60/G60&gt;-1),I60/G60,"n/a"))</f>
        <v>-9.9176335522229125E-2</v>
      </c>
      <c r="M60" s="144">
        <v>172237379</v>
      </c>
      <c r="N60" s="140"/>
      <c r="O60" s="144">
        <f>E60-M60</f>
        <v>-9815269</v>
      </c>
      <c r="Q60" s="143">
        <f>IF(M60=0,"n/a",IF(AND(O60/M60&lt;1,O60/M60&gt;-1),O60/M60,"n/a"))</f>
        <v>-5.6986869267210576E-2</v>
      </c>
    </row>
    <row r="61" spans="2:23" ht="6.9" customHeight="1">
      <c r="E61" s="142"/>
      <c r="G61" s="142"/>
      <c r="I61" s="142"/>
      <c r="K61" s="141"/>
      <c r="M61" s="142"/>
      <c r="O61" s="142"/>
      <c r="Q61" s="141"/>
      <c r="S61" s="199"/>
      <c r="T61" s="199"/>
      <c r="U61" s="199"/>
      <c r="V61" s="199"/>
      <c r="W61" s="199"/>
    </row>
    <row r="62" spans="2:23">
      <c r="C62" s="197" t="s">
        <v>51</v>
      </c>
      <c r="E62" s="144">
        <f>SUM(E59:E60)</f>
        <v>214411937</v>
      </c>
      <c r="G62" s="144">
        <f>SUM(G59:G60)</f>
        <v>238566000</v>
      </c>
      <c r="H62" s="140"/>
      <c r="I62" s="144">
        <f>E62-G62</f>
        <v>-24154063</v>
      </c>
      <c r="K62" s="143">
        <f>IF(G62=0,"n/a",IF(AND(I62/G62&lt;1,I62/G62&gt;-1),I62/G62,"n/a"))</f>
        <v>-0.10124687927030675</v>
      </c>
      <c r="M62" s="144">
        <f>SUM(M59:M60)</f>
        <v>220046606</v>
      </c>
      <c r="N62" s="140"/>
      <c r="O62" s="144">
        <f>E62-M62</f>
        <v>-5634669</v>
      </c>
      <c r="Q62" s="143">
        <f>IF(M62=0,"n/a",IF(AND(O62/M62&lt;1,O62/M62&gt;-1),O62/M62,"n/a"))</f>
        <v>-2.5606707153665437E-2</v>
      </c>
    </row>
    <row r="63" spans="2:23" ht="6.9" customHeight="1">
      <c r="E63" s="142"/>
      <c r="G63" s="142"/>
      <c r="I63" s="142"/>
      <c r="K63" s="141"/>
      <c r="M63" s="142"/>
      <c r="O63" s="142"/>
      <c r="Q63" s="141"/>
      <c r="S63" s="199"/>
      <c r="T63" s="199"/>
      <c r="U63" s="199"/>
      <c r="V63" s="199"/>
      <c r="W63" s="199"/>
    </row>
    <row r="64" spans="2:23" ht="12" thickBot="1">
      <c r="C64" s="197" t="s">
        <v>50</v>
      </c>
      <c r="E64" s="139">
        <f>E56+E62</f>
        <v>1116781225</v>
      </c>
      <c r="G64" s="139">
        <f>G56+G62</f>
        <v>1152764000</v>
      </c>
      <c r="H64" s="140"/>
      <c r="I64" s="139">
        <f>E64-G64</f>
        <v>-35982775</v>
      </c>
      <c r="K64" s="138">
        <f>IF(G64=0,"n/a",IF(AND(I64/G64&lt;1,I64/G64&gt;-1),I64/G64,"n/a"))</f>
        <v>-3.1214346561828789E-2</v>
      </c>
      <c r="M64" s="139">
        <f>M56+M62</f>
        <v>1100839137</v>
      </c>
      <c r="N64" s="140"/>
      <c r="O64" s="139">
        <f>E64-M64</f>
        <v>15942088</v>
      </c>
      <c r="Q64" s="138">
        <f>IF(M64=0,"n/a",IF(AND(O64/M64&lt;1,O64/M64&gt;-1),O64/M64,"n/a"))</f>
        <v>1.448175983590598E-2</v>
      </c>
    </row>
    <row r="65" spans="1:1" ht="12" thickTop="1"/>
    <row r="67" spans="1:1">
      <c r="A67" s="197" t="s">
        <v>37</v>
      </c>
    </row>
    <row r="68" spans="1:1">
      <c r="A68" s="197" t="s">
        <v>37</v>
      </c>
    </row>
    <row r="69" spans="1:1">
      <c r="A69" s="197" t="s">
        <v>37</v>
      </c>
    </row>
    <row r="70" spans="1:1">
      <c r="A70" s="197" t="s">
        <v>37</v>
      </c>
    </row>
    <row r="71" spans="1:1">
      <c r="A71" s="197" t="s">
        <v>37</v>
      </c>
    </row>
    <row r="72" spans="1:1">
      <c r="A72" s="197" t="s">
        <v>37</v>
      </c>
    </row>
    <row r="73" spans="1:1">
      <c r="A73" s="197" t="s">
        <v>37</v>
      </c>
    </row>
    <row r="74" spans="1:1">
      <c r="A74" s="197" t="s">
        <v>37</v>
      </c>
    </row>
    <row r="75" spans="1:1">
      <c r="A75" s="197" t="s">
        <v>37</v>
      </c>
    </row>
    <row r="76" spans="1:1">
      <c r="A76" s="197" t="s">
        <v>37</v>
      </c>
    </row>
    <row r="77" spans="1:1">
      <c r="A77" s="197" t="s">
        <v>37</v>
      </c>
    </row>
    <row r="78" spans="1:1">
      <c r="A78" s="197" t="s">
        <v>37</v>
      </c>
    </row>
    <row r="79" spans="1:1">
      <c r="A79" s="197" t="s">
        <v>37</v>
      </c>
    </row>
    <row r="80" spans="1:1">
      <c r="A80" s="197" t="s">
        <v>37</v>
      </c>
    </row>
    <row r="81" spans="1:1">
      <c r="A81" s="197" t="s">
        <v>37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zoomScaleNormal="100" workbookViewId="0">
      <pane xSplit="4" ySplit="8" topLeftCell="E37" activePane="bottomRight" state="frozen"/>
      <selection activeCell="E9" sqref="E9"/>
      <selection pane="topRight" activeCell="E9" sqref="E9"/>
      <selection pane="bottomLeft" activeCell="E9" sqref="E9"/>
      <selection pane="bottomRight" activeCell="K75" sqref="K75"/>
    </sheetView>
  </sheetViews>
  <sheetFormatPr defaultColWidth="9.109375" defaultRowHeight="11.4"/>
  <cols>
    <col min="1" max="2" width="1.6640625" style="197" customWidth="1"/>
    <col min="3" max="3" width="9.109375" style="197"/>
    <col min="4" max="4" width="23.88671875" style="197" customWidth="1"/>
    <col min="5" max="5" width="16.6640625" style="197" customWidth="1"/>
    <col min="6" max="6" width="0.88671875" style="197" customWidth="1"/>
    <col min="7" max="7" width="16.6640625" style="197" customWidth="1"/>
    <col min="8" max="8" width="0.88671875" style="197" customWidth="1"/>
    <col min="9" max="9" width="16.6640625" style="197" customWidth="1"/>
    <col min="10" max="10" width="0.88671875" style="197" customWidth="1"/>
    <col min="11" max="11" width="7.6640625" style="198" customWidth="1"/>
    <col min="12" max="12" width="0.88671875" style="197" customWidth="1"/>
    <col min="13" max="13" width="16.6640625" style="197" customWidth="1"/>
    <col min="14" max="14" width="0.88671875" style="197" customWidth="1"/>
    <col min="15" max="15" width="16.6640625" style="197" customWidth="1"/>
    <col min="16" max="16" width="0.88671875" style="197" customWidth="1"/>
    <col min="17" max="17" width="7.6640625" style="198" customWidth="1"/>
    <col min="18" max="18" width="0.88671875" style="197" customWidth="1"/>
    <col min="19" max="19" width="7.6640625" style="198" customWidth="1"/>
    <col min="20" max="20" width="0.88671875" style="198" customWidth="1"/>
    <col min="21" max="21" width="7.6640625" style="198" customWidth="1"/>
    <col min="22" max="22" width="0.88671875" style="198" customWidth="1"/>
    <col min="23" max="23" width="7.6640625" style="198" customWidth="1"/>
    <col min="24" max="16384" width="9.109375" style="197"/>
  </cols>
  <sheetData>
    <row r="1" spans="1:23" s="212" customFormat="1" ht="13.8">
      <c r="E1" s="317" t="s">
        <v>24</v>
      </c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S1" s="213"/>
      <c r="T1" s="213"/>
      <c r="U1" s="213"/>
      <c r="V1" s="213"/>
      <c r="W1" s="213"/>
    </row>
    <row r="2" spans="1:23" s="212" customFormat="1" ht="13.8">
      <c r="E2" s="317" t="s">
        <v>77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S2" s="213"/>
      <c r="T2" s="213"/>
      <c r="U2" s="213"/>
      <c r="V2" s="213"/>
      <c r="W2" s="213"/>
    </row>
    <row r="3" spans="1:23" s="212" customFormat="1" ht="13.8">
      <c r="E3" s="317" t="s">
        <v>151</v>
      </c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S3" s="213"/>
      <c r="T3" s="213"/>
      <c r="U3" s="213"/>
      <c r="V3" s="213"/>
      <c r="W3" s="213"/>
    </row>
    <row r="4" spans="1:23" s="201" customFormat="1" ht="13.2">
      <c r="E4" s="318" t="s">
        <v>36</v>
      </c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S4" s="211"/>
      <c r="T4" s="211"/>
      <c r="U4" s="211"/>
      <c r="V4" s="211"/>
      <c r="W4" s="211"/>
    </row>
    <row r="5" spans="1:23">
      <c r="A5" s="197" t="s">
        <v>37</v>
      </c>
    </row>
    <row r="6" spans="1:23" s="205" customFormat="1" ht="13.2">
      <c r="A6" s="205" t="s">
        <v>37</v>
      </c>
      <c r="I6" s="319" t="s">
        <v>38</v>
      </c>
      <c r="J6" s="319"/>
      <c r="K6" s="319"/>
      <c r="O6" s="319" t="s">
        <v>83</v>
      </c>
      <c r="P6" s="319"/>
      <c r="Q6" s="319"/>
      <c r="S6" s="315" t="s">
        <v>76</v>
      </c>
      <c r="T6" s="315"/>
      <c r="U6" s="315"/>
      <c r="V6" s="315"/>
      <c r="W6" s="315"/>
    </row>
    <row r="7" spans="1:23" s="205" customFormat="1" ht="13.2">
      <c r="E7" s="210" t="s">
        <v>39</v>
      </c>
      <c r="G7" s="210"/>
      <c r="I7" s="210"/>
      <c r="K7" s="209"/>
      <c r="M7" s="210" t="s">
        <v>39</v>
      </c>
      <c r="O7" s="210"/>
      <c r="Q7" s="209"/>
      <c r="S7" s="209"/>
      <c r="T7" s="207"/>
      <c r="U7" s="209"/>
      <c r="V7" s="207"/>
      <c r="W7" s="209"/>
    </row>
    <row r="8" spans="1:23" s="205" customFormat="1" ht="13.2">
      <c r="A8" s="201" t="s">
        <v>75</v>
      </c>
      <c r="E8" s="206">
        <v>2013</v>
      </c>
      <c r="G8" s="206" t="s">
        <v>40</v>
      </c>
      <c r="I8" s="206" t="s">
        <v>41</v>
      </c>
      <c r="K8" s="208" t="s">
        <v>42</v>
      </c>
      <c r="M8" s="206">
        <v>2012</v>
      </c>
      <c r="O8" s="206" t="s">
        <v>41</v>
      </c>
      <c r="Q8" s="208" t="s">
        <v>42</v>
      </c>
      <c r="S8" s="206">
        <v>2013</v>
      </c>
      <c r="T8" s="207"/>
      <c r="U8" s="208" t="s">
        <v>40</v>
      </c>
      <c r="V8" s="207"/>
      <c r="W8" s="206">
        <v>2012</v>
      </c>
    </row>
    <row r="9" spans="1:23" ht="12">
      <c r="B9" s="200" t="s">
        <v>74</v>
      </c>
    </row>
    <row r="10" spans="1:23">
      <c r="C10" s="197" t="s">
        <v>63</v>
      </c>
      <c r="E10" s="149">
        <v>674005011.77999997</v>
      </c>
      <c r="G10" s="149">
        <v>670666000</v>
      </c>
      <c r="I10" s="149">
        <f>E10-G10</f>
        <v>3339011.7799999714</v>
      </c>
      <c r="K10" s="145">
        <f>IF(G10=0,"n/a",IF(AND(I10/G10&lt;1,I10/G10&gt;-1),I10/G10,"n/a"))</f>
        <v>4.9786507441855875E-3</v>
      </c>
      <c r="M10" s="149">
        <v>745366699.44000006</v>
      </c>
      <c r="O10" s="149">
        <f>E10-M10</f>
        <v>-71361687.660000086</v>
      </c>
      <c r="Q10" s="145">
        <f>IF(M10=0,"n/a",IF(AND(O10/M10&lt;1,O10/M10&gt;-1),O10/M10,"n/a"))</f>
        <v>-9.5740375460313276E-2</v>
      </c>
      <c r="S10" s="156">
        <f>IF(E42=0,"n/a",E10/E42)</f>
        <v>1.2169501533015374</v>
      </c>
      <c r="T10" s="204"/>
      <c r="U10" s="156">
        <f>IF(G42=0,"n/a",G10/G42)</f>
        <v>1.2169521849817548</v>
      </c>
      <c r="V10" s="204"/>
      <c r="W10" s="156">
        <f>IF(M42=0,"n/a",M10/M42)</f>
        <v>1.265108344465647</v>
      </c>
    </row>
    <row r="11" spans="1:23">
      <c r="C11" s="197" t="s">
        <v>62</v>
      </c>
      <c r="E11" s="148">
        <v>261261737.38</v>
      </c>
      <c r="G11" s="148">
        <v>267920000</v>
      </c>
      <c r="I11" s="148">
        <f>E11-G11</f>
        <v>-6658262.6200000048</v>
      </c>
      <c r="K11" s="145">
        <f>IF(G11=0,"n/a",IF(AND(I11/G11&lt;1,I11/G11&gt;-1),I11/G11,"n/a"))</f>
        <v>-2.485168191997613E-2</v>
      </c>
      <c r="M11" s="148">
        <v>296025194.06999999</v>
      </c>
      <c r="O11" s="148">
        <f>E11-M11</f>
        <v>-34763456.689999998</v>
      </c>
      <c r="Q11" s="145">
        <f>IF(M11=0,"n/a",IF(AND(O11/M11&lt;1,O11/M11&gt;-1),O11/M11,"n/a"))</f>
        <v>-0.11743411502258692</v>
      </c>
      <c r="S11" s="158">
        <f>IF(E43=0,"n/a",E11/E43)</f>
        <v>1.0543419394938549</v>
      </c>
      <c r="T11" s="204"/>
      <c r="U11" s="158">
        <f>IF(G43=0,"n/a",G11/G43)</f>
        <v>1.0549817488787472</v>
      </c>
      <c r="V11" s="204"/>
      <c r="W11" s="158">
        <f>IF(M43=0,"n/a",M11/M43)</f>
        <v>1.1067534064288473</v>
      </c>
    </row>
    <row r="12" spans="1:23">
      <c r="C12" s="197" t="s">
        <v>61</v>
      </c>
      <c r="E12" s="152">
        <v>27743030.260000002</v>
      </c>
      <c r="G12" s="152">
        <v>28236000</v>
      </c>
      <c r="I12" s="152">
        <f>E12-G12</f>
        <v>-492969.73999999836</v>
      </c>
      <c r="K12" s="143">
        <f>IF(G12=0,"n/a",IF(AND(I12/G12&lt;1,I12/G12&gt;-1),I12/G12,"n/a"))</f>
        <v>-1.7458908485621136E-2</v>
      </c>
      <c r="M12" s="152">
        <v>31355641.190000001</v>
      </c>
      <c r="O12" s="152">
        <f>E12-M12</f>
        <v>-3612610.9299999997</v>
      </c>
      <c r="Q12" s="143">
        <f>IF(M12=0,"n/a",IF(AND(O12/M12&lt;1,O12/M12&gt;-1),O12/M12,"n/a"))</f>
        <v>-0.11521406652504176</v>
      </c>
      <c r="S12" s="157">
        <f>IF(E44=0,"n/a",E12/E44)</f>
        <v>0.97583929844044226</v>
      </c>
      <c r="T12" s="204"/>
      <c r="U12" s="157">
        <f>IF(G44=0,"n/a",G12/G44)</f>
        <v>0.93434811383189942</v>
      </c>
      <c r="V12" s="204"/>
      <c r="W12" s="157">
        <f>IF(M44=0,"n/a",M12/M44)</f>
        <v>0.9851431694324887</v>
      </c>
    </row>
    <row r="13" spans="1:23" ht="6.9" customHeight="1">
      <c r="E13" s="148"/>
      <c r="G13" s="148"/>
      <c r="I13" s="148"/>
      <c r="K13" s="141"/>
      <c r="M13" s="148"/>
      <c r="O13" s="148"/>
      <c r="Q13" s="141"/>
      <c r="S13" s="204"/>
      <c r="T13" s="204"/>
      <c r="U13" s="204"/>
      <c r="V13" s="204"/>
      <c r="W13" s="204"/>
    </row>
    <row r="14" spans="1:23">
      <c r="C14" s="197" t="s">
        <v>60</v>
      </c>
      <c r="E14" s="148">
        <f>SUM(E10:E12)</f>
        <v>963009779.41999996</v>
      </c>
      <c r="G14" s="148">
        <f>SUM(G10:G12)</f>
        <v>966822000</v>
      </c>
      <c r="I14" s="148">
        <f>E14-G14</f>
        <v>-3812220.5800000429</v>
      </c>
      <c r="K14" s="145">
        <f>IF(G14=0,"n/a",IF(AND(I14/G14&lt;1,I14/G14&gt;-1),I14/G14,"n/a"))</f>
        <v>-3.9430428558721699E-3</v>
      </c>
      <c r="M14" s="148">
        <f>SUM(M10:M12)</f>
        <v>1072747534.7</v>
      </c>
      <c r="O14" s="148">
        <f>E14-M14</f>
        <v>-109737755.28000009</v>
      </c>
      <c r="Q14" s="145">
        <f>IF(M14=0,"n/a",IF(AND(O14/M14&lt;1,O14/M14&gt;-1),O14/M14,"n/a"))</f>
        <v>-0.10229597526941778</v>
      </c>
      <c r="S14" s="158">
        <f>IF(E46=0,"n/a",E14/E46)</f>
        <v>1.1601498535770824</v>
      </c>
      <c r="T14" s="204"/>
      <c r="U14" s="158">
        <f>IF(G46=0,"n/a",G14/G46)</f>
        <v>1.157482520831338</v>
      </c>
      <c r="V14" s="204"/>
      <c r="W14" s="158">
        <f>IF(M46=0,"n/a",M14/M46)</f>
        <v>1.2074066811296256</v>
      </c>
    </row>
    <row r="15" spans="1:23" ht="6.9" customHeight="1">
      <c r="E15" s="148"/>
      <c r="G15" s="148"/>
      <c r="I15" s="148"/>
      <c r="K15" s="141"/>
      <c r="M15" s="148"/>
      <c r="O15" s="148"/>
      <c r="Q15" s="141"/>
      <c r="S15" s="204"/>
      <c r="T15" s="204"/>
      <c r="U15" s="204"/>
      <c r="V15" s="204"/>
      <c r="W15" s="204"/>
    </row>
    <row r="16" spans="1:23" ht="12">
      <c r="B16" s="200" t="s">
        <v>73</v>
      </c>
      <c r="E16" s="148"/>
      <c r="G16" s="148"/>
      <c r="I16" s="148"/>
      <c r="K16" s="141"/>
      <c r="M16" s="148"/>
      <c r="O16" s="148"/>
      <c r="Q16" s="141"/>
      <c r="S16" s="204"/>
      <c r="T16" s="204"/>
      <c r="U16" s="204"/>
      <c r="V16" s="204"/>
      <c r="W16" s="204"/>
    </row>
    <row r="17" spans="2:23">
      <c r="C17" s="197" t="s">
        <v>58</v>
      </c>
      <c r="E17" s="148">
        <v>33214984.260000002</v>
      </c>
      <c r="G17" s="148">
        <v>35439000</v>
      </c>
      <c r="I17" s="148">
        <f>E17-G17</f>
        <v>-2224015.7399999984</v>
      </c>
      <c r="K17" s="145">
        <f>IF(G17=0,"n/a",IF(AND(I17/G17&lt;1,I17/G17&gt;-1),I17/G17,"n/a"))</f>
        <v>-6.2756165241682843E-2</v>
      </c>
      <c r="M17" s="148">
        <v>38246494.329999998</v>
      </c>
      <c r="O17" s="148">
        <f>E17-M17</f>
        <v>-5031510.0699999966</v>
      </c>
      <c r="Q17" s="145">
        <f>IF(M17=0,"n/a",IF(AND(O17/M17&lt;1,O17/M17&gt;-1),O17/M17,"n/a"))</f>
        <v>-0.13155480412366455</v>
      </c>
      <c r="S17" s="158">
        <f>IF(E49=0,"n/a",E17/E49)</f>
        <v>0.69211130597016557</v>
      </c>
      <c r="T17" s="204"/>
      <c r="U17" s="158">
        <f>IF(G49=0,"n/a",G17/G49)</f>
        <v>0.68705531106415152</v>
      </c>
      <c r="V17" s="204"/>
      <c r="W17" s="158">
        <f>IF(M49=0,"n/a",M17/M49)</f>
        <v>0.76858538629919304</v>
      </c>
    </row>
    <row r="18" spans="2:23">
      <c r="C18" s="197" t="s">
        <v>57</v>
      </c>
      <c r="E18" s="152">
        <v>1951366.75</v>
      </c>
      <c r="F18" s="154"/>
      <c r="G18" s="152">
        <v>2822000</v>
      </c>
      <c r="H18" s="155"/>
      <c r="I18" s="152">
        <f>E18-G18</f>
        <v>-870633.25</v>
      </c>
      <c r="J18" s="154"/>
      <c r="K18" s="143">
        <f>IF(G18=0,"n/a",IF(AND(I18/G18&lt;1,I18/G18&gt;-1),I18/G18,"n/a"))</f>
        <v>-0.30851638908575479</v>
      </c>
      <c r="L18" s="153"/>
      <c r="M18" s="152">
        <v>2437004.37</v>
      </c>
      <c r="N18" s="153"/>
      <c r="O18" s="152">
        <f>E18-M18</f>
        <v>-485637.62000000011</v>
      </c>
      <c r="Q18" s="143">
        <f>IF(M18=0,"n/a",IF(AND(O18/M18&lt;1,O18/M18&gt;-1),O18/M18,"n/a"))</f>
        <v>-0.19927646662365242</v>
      </c>
      <c r="S18" s="157">
        <f>IF(E50=0,"n/a",E18/E50)</f>
        <v>0.71528259898992197</v>
      </c>
      <c r="T18" s="204"/>
      <c r="U18" s="157">
        <f>IF(G50=0,"n/a",G18/G50)</f>
        <v>0.77124897512981694</v>
      </c>
      <c r="V18" s="204"/>
      <c r="W18" s="157">
        <f>IF(M50=0,"n/a",M18/M50)</f>
        <v>0.87884235716853876</v>
      </c>
    </row>
    <row r="19" spans="2:23" ht="6.9" customHeight="1">
      <c r="E19" s="148"/>
      <c r="F19" s="203"/>
      <c r="G19" s="148"/>
      <c r="H19" s="203"/>
      <c r="I19" s="148"/>
      <c r="J19" s="203"/>
      <c r="K19" s="141"/>
      <c r="L19" s="203"/>
      <c r="M19" s="148"/>
      <c r="N19" s="203"/>
      <c r="O19" s="148"/>
      <c r="Q19" s="141"/>
      <c r="S19" s="204"/>
      <c r="T19" s="204"/>
      <c r="U19" s="204"/>
      <c r="V19" s="204"/>
      <c r="W19" s="204"/>
    </row>
    <row r="20" spans="2:23">
      <c r="C20" s="197" t="s">
        <v>56</v>
      </c>
      <c r="E20" s="152">
        <f>SUM(E17:E18)</f>
        <v>35166351.010000005</v>
      </c>
      <c r="F20" s="154"/>
      <c r="G20" s="152">
        <f>SUM(G17:G18)</f>
        <v>38261000</v>
      </c>
      <c r="H20" s="155"/>
      <c r="I20" s="152">
        <f>E20-G20</f>
        <v>-3094648.9899999946</v>
      </c>
      <c r="J20" s="154"/>
      <c r="K20" s="143">
        <f>IF(G20=0,"n/a",IF(AND(I20/G20&lt;1,I20/G20&gt;-1),I20/G20,"n/a"))</f>
        <v>-8.0882595593423978E-2</v>
      </c>
      <c r="L20" s="153"/>
      <c r="M20" s="152">
        <f>SUM(M17:M18)</f>
        <v>40683498.699999996</v>
      </c>
      <c r="N20" s="153"/>
      <c r="O20" s="152">
        <f>E20-M20</f>
        <v>-5517147.6899999902</v>
      </c>
      <c r="Q20" s="143">
        <f>IF(M20=0,"n/a",IF(AND(O20/M20&lt;1,O20/M20&gt;-1),O20/M20,"n/a"))</f>
        <v>-0.13561143624061003</v>
      </c>
      <c r="S20" s="157">
        <f>IF(E52=0,"n/a",E20/E52)</f>
        <v>0.6933576602845184</v>
      </c>
      <c r="T20" s="204"/>
      <c r="U20" s="157">
        <f>IF(G52=0,"n/a",G20/G52)</f>
        <v>0.69263215061549599</v>
      </c>
      <c r="V20" s="204"/>
      <c r="W20" s="157">
        <f>IF(M52=0,"n/a",M20/M52)</f>
        <v>0.7744050956041556</v>
      </c>
    </row>
    <row r="21" spans="2:23" ht="6.9" customHeight="1">
      <c r="E21" s="148"/>
      <c r="F21" s="203"/>
      <c r="G21" s="148"/>
      <c r="H21" s="203"/>
      <c r="I21" s="148"/>
      <c r="J21" s="203"/>
      <c r="K21" s="141"/>
      <c r="L21" s="203"/>
      <c r="M21" s="148"/>
      <c r="N21" s="203"/>
      <c r="O21" s="148"/>
      <c r="Q21" s="141"/>
      <c r="S21" s="204"/>
      <c r="T21" s="204"/>
      <c r="U21" s="204"/>
      <c r="V21" s="204"/>
      <c r="W21" s="204"/>
    </row>
    <row r="22" spans="2:23">
      <c r="C22" s="197" t="s">
        <v>72</v>
      </c>
      <c r="E22" s="148">
        <f>E14+E20</f>
        <v>998176130.42999995</v>
      </c>
      <c r="F22" s="203"/>
      <c r="G22" s="148">
        <f>G14+G20</f>
        <v>1005083000</v>
      </c>
      <c r="H22" s="203"/>
      <c r="I22" s="148">
        <f>E22-G22</f>
        <v>-6906869.5700000525</v>
      </c>
      <c r="J22" s="203"/>
      <c r="K22" s="145">
        <f>IF(G22=0,"n/a",IF(AND(I22/G22&lt;1,I22/G22&gt;-1),I22/G22,"n/a"))</f>
        <v>-6.8719395015138579E-3</v>
      </c>
      <c r="L22" s="203"/>
      <c r="M22" s="148">
        <f>M14+M20</f>
        <v>1113431033.4000001</v>
      </c>
      <c r="N22" s="203"/>
      <c r="O22" s="148">
        <f>E22-M22</f>
        <v>-115254902.97000015</v>
      </c>
      <c r="Q22" s="145">
        <f>IF(M22=0,"n/a",IF(AND(O22/M22&lt;1,O22/M22&gt;-1),O22/M22,"n/a"))</f>
        <v>-0.10351328417536107</v>
      </c>
      <c r="S22" s="158">
        <f>IF(E54=0,"n/a",E22/E54)</f>
        <v>1.1332704300940535</v>
      </c>
      <c r="T22" s="204"/>
      <c r="U22" s="158">
        <f>IF(G54=0,"n/a",G22/G54)</f>
        <v>1.1286473071913039</v>
      </c>
      <c r="V22" s="204"/>
      <c r="W22" s="158">
        <f>IF(M54=0,"n/a",M22/M54)</f>
        <v>1.1832327959040476</v>
      </c>
    </row>
    <row r="23" spans="2:23" ht="6.9" customHeight="1">
      <c r="E23" s="148"/>
      <c r="F23" s="203"/>
      <c r="G23" s="148"/>
      <c r="H23" s="203"/>
      <c r="I23" s="148"/>
      <c r="J23" s="203"/>
      <c r="K23" s="141"/>
      <c r="L23" s="203"/>
      <c r="M23" s="148"/>
      <c r="N23" s="203"/>
      <c r="O23" s="148"/>
      <c r="Q23" s="141"/>
      <c r="S23" s="204"/>
      <c r="T23" s="204"/>
      <c r="U23" s="204"/>
      <c r="V23" s="204"/>
      <c r="W23" s="204"/>
    </row>
    <row r="24" spans="2:23" ht="12">
      <c r="B24" s="200" t="s">
        <v>71</v>
      </c>
      <c r="E24" s="148"/>
      <c r="F24" s="203"/>
      <c r="G24" s="148"/>
      <c r="H24" s="203"/>
      <c r="I24" s="148"/>
      <c r="J24" s="203"/>
      <c r="K24" s="141"/>
      <c r="L24" s="203"/>
      <c r="M24" s="148"/>
      <c r="N24" s="203"/>
      <c r="O24" s="148"/>
      <c r="Q24" s="141"/>
      <c r="S24" s="204"/>
      <c r="T24" s="204"/>
      <c r="U24" s="204"/>
      <c r="V24" s="204"/>
      <c r="W24" s="204"/>
    </row>
    <row r="25" spans="2:23">
      <c r="C25" s="197" t="s">
        <v>53</v>
      </c>
      <c r="E25" s="148">
        <v>4713982.92</v>
      </c>
      <c r="F25" s="203"/>
      <c r="G25" s="148">
        <v>4149000</v>
      </c>
      <c r="H25" s="203"/>
      <c r="I25" s="148">
        <f>E25-G25</f>
        <v>564982.91999999993</v>
      </c>
      <c r="J25" s="203"/>
      <c r="K25" s="145">
        <f>IF(G25=0,"n/a",IF(AND(I25/G25&lt;1,I25/G25&gt;-1),I25/G25,"n/a"))</f>
        <v>0.1361732754880694</v>
      </c>
      <c r="L25" s="203"/>
      <c r="M25" s="148">
        <v>4054391.56</v>
      </c>
      <c r="N25" s="203"/>
      <c r="O25" s="148">
        <f>E25-M25</f>
        <v>659591.35999999987</v>
      </c>
      <c r="Q25" s="145">
        <f>IF(M25=0,"n/a",IF(AND(O25/M25&lt;1,O25/M25&gt;-1),O25/M25,"n/a"))</f>
        <v>0.16268565831367304</v>
      </c>
      <c r="S25" s="158">
        <f>IF(E57=0,"n/a",E25/E57)</f>
        <v>9.8599856467037214E-2</v>
      </c>
      <c r="T25" s="204"/>
      <c r="U25" s="158">
        <f>IF(G57=0,"n/a",G25/G57)</f>
        <v>8.2234951340851875E-2</v>
      </c>
      <c r="V25" s="204"/>
      <c r="W25" s="158">
        <f>IF(M57=0,"n/a",M25/M57)</f>
        <v>9.0228955561167681E-2</v>
      </c>
    </row>
    <row r="26" spans="2:23">
      <c r="C26" s="197" t="s">
        <v>52</v>
      </c>
      <c r="E26" s="152">
        <v>10898300.359999999</v>
      </c>
      <c r="F26" s="154"/>
      <c r="G26" s="152">
        <v>11403000</v>
      </c>
      <c r="H26" s="155"/>
      <c r="I26" s="152">
        <f>E26-G26</f>
        <v>-504699.6400000006</v>
      </c>
      <c r="J26" s="154"/>
      <c r="K26" s="143">
        <f>IF(G26=0,"n/a",IF(AND(I26/G26&lt;1,I26/G26&gt;-1),I26/G26,"n/a"))</f>
        <v>-4.4260250811190088E-2</v>
      </c>
      <c r="L26" s="153"/>
      <c r="M26" s="152">
        <v>11185708.140000001</v>
      </c>
      <c r="N26" s="153"/>
      <c r="O26" s="152">
        <f>E26-M26</f>
        <v>-287407.78000000119</v>
      </c>
      <c r="Q26" s="143">
        <f>IF(M26=0,"n/a",IF(AND(O26/M26&lt;1,O26/M26&gt;-1),O26/M26,"n/a"))</f>
        <v>-2.5694196237092341E-2</v>
      </c>
      <c r="S26" s="157">
        <f>IF(E58=0,"n/a",E26/E58)</f>
        <v>6.3274885064292574E-2</v>
      </c>
      <c r="T26" s="204"/>
      <c r="U26" s="157">
        <f>IF(G58=0,"n/a",G26/G58)</f>
        <v>6.3943968417747077E-2</v>
      </c>
      <c r="V26" s="204"/>
      <c r="W26" s="157">
        <f>IF(M58=0,"n/a",M26/M58)</f>
        <v>6.127247674250056E-2</v>
      </c>
    </row>
    <row r="27" spans="2:23" ht="6.9" customHeight="1">
      <c r="E27" s="148"/>
      <c r="F27" s="203"/>
      <c r="G27" s="148"/>
      <c r="H27" s="203"/>
      <c r="I27" s="148"/>
      <c r="J27" s="203"/>
      <c r="K27" s="141"/>
      <c r="L27" s="203"/>
      <c r="M27" s="148"/>
      <c r="N27" s="203"/>
      <c r="O27" s="148"/>
      <c r="Q27" s="141"/>
      <c r="S27" s="204"/>
      <c r="T27" s="204"/>
      <c r="U27" s="204"/>
      <c r="V27" s="204"/>
      <c r="W27" s="204"/>
    </row>
    <row r="28" spans="2:23">
      <c r="C28" s="197" t="s">
        <v>51</v>
      </c>
      <c r="E28" s="152">
        <f>SUM(E25:E26)</f>
        <v>15612283.279999999</v>
      </c>
      <c r="F28" s="154"/>
      <c r="G28" s="152">
        <f>SUM(G25:G26)</f>
        <v>15552000</v>
      </c>
      <c r="H28" s="155"/>
      <c r="I28" s="152">
        <f>E28-G28</f>
        <v>60283.279999999329</v>
      </c>
      <c r="J28" s="154"/>
      <c r="K28" s="143">
        <f>IF(G28=0,"n/a",IF(AND(I28/G28&lt;1,I28/G28&gt;-1),I28/G28,"n/a"))</f>
        <v>3.8762397119341133E-3</v>
      </c>
      <c r="L28" s="153"/>
      <c r="M28" s="152">
        <f>SUM(M25:M26)</f>
        <v>15240099.700000001</v>
      </c>
      <c r="N28" s="153"/>
      <c r="O28" s="152">
        <f>E28-M28</f>
        <v>372183.57999999821</v>
      </c>
      <c r="Q28" s="143">
        <f>IF(M28=0,"n/a",IF(AND(O28/M28&lt;1,O28/M28&gt;-1),O28/M28,"n/a"))</f>
        <v>2.4421334986410765E-2</v>
      </c>
      <c r="S28" s="157">
        <f>IF(E60=0,"n/a",E28/E60)</f>
        <v>7.0949893587542986E-2</v>
      </c>
      <c r="T28" s="204"/>
      <c r="U28" s="157">
        <f>IF(G60=0,"n/a",G28/G60)</f>
        <v>6.7977672971094624E-2</v>
      </c>
      <c r="V28" s="204"/>
      <c r="W28" s="157">
        <f>IF(M60=0,"n/a",M28/M60)</f>
        <v>6.6992011712026012E-2</v>
      </c>
    </row>
    <row r="29" spans="2:23" ht="6.9" customHeight="1">
      <c r="E29" s="148"/>
      <c r="F29" s="203"/>
      <c r="G29" s="148"/>
      <c r="H29" s="203"/>
      <c r="I29" s="148"/>
      <c r="J29" s="203"/>
      <c r="K29" s="141"/>
      <c r="L29" s="203"/>
      <c r="M29" s="148"/>
      <c r="N29" s="203"/>
      <c r="O29" s="148"/>
      <c r="Q29" s="141"/>
      <c r="S29" s="204"/>
      <c r="T29" s="204"/>
      <c r="U29" s="204"/>
      <c r="V29" s="204"/>
      <c r="W29" s="204"/>
    </row>
    <row r="30" spans="2:23">
      <c r="C30" s="197" t="s">
        <v>70</v>
      </c>
      <c r="E30" s="148">
        <f>E22+E28</f>
        <v>1013788413.7099999</v>
      </c>
      <c r="F30" s="203"/>
      <c r="G30" s="148">
        <f>G22+G28</f>
        <v>1020635000</v>
      </c>
      <c r="H30" s="203"/>
      <c r="I30" s="148">
        <f>E30-G30</f>
        <v>-6846586.2900000811</v>
      </c>
      <c r="J30" s="203"/>
      <c r="K30" s="145">
        <f>IF(G30=0,"n/a",IF(AND(I30/G30&lt;1,I30/G30&gt;-1),I30/G30,"n/a"))</f>
        <v>-6.7081633394897111E-3</v>
      </c>
      <c r="L30" s="203"/>
      <c r="M30" s="148">
        <f>M22+M28</f>
        <v>1128671133.1000001</v>
      </c>
      <c r="N30" s="203"/>
      <c r="O30" s="148">
        <f>E30-M30</f>
        <v>-114882719.39000022</v>
      </c>
      <c r="Q30" s="145">
        <f>IF(M30=0,"n/a",IF(AND(O30/M30&lt;1,O30/M30&gt;-1),O30/M30,"n/a"))</f>
        <v>-0.10178582230101355</v>
      </c>
      <c r="S30" s="156">
        <f>IF(E62=0,"n/a",E30/E62)</f>
        <v>0.9209233026296374</v>
      </c>
      <c r="T30" s="204"/>
      <c r="U30" s="156">
        <f>IF(G62=0,"n/a",G30/G62)</f>
        <v>0.91185034231185358</v>
      </c>
      <c r="V30" s="204"/>
      <c r="W30" s="156">
        <f>IF(M62=0,"n/a",M30/M62)</f>
        <v>0.9659154591008976</v>
      </c>
    </row>
    <row r="31" spans="2:23" ht="6.9" customHeight="1">
      <c r="E31" s="148"/>
      <c r="F31" s="203"/>
      <c r="G31" s="148"/>
      <c r="H31" s="203"/>
      <c r="I31" s="148"/>
      <c r="J31" s="203"/>
      <c r="K31" s="141"/>
      <c r="L31" s="203"/>
      <c r="M31" s="148"/>
      <c r="N31" s="203"/>
      <c r="O31" s="148"/>
      <c r="Q31" s="141"/>
      <c r="S31" s="199"/>
      <c r="T31" s="199"/>
      <c r="U31" s="199"/>
      <c r="V31" s="199"/>
      <c r="W31" s="199"/>
    </row>
    <row r="32" spans="2:23" ht="12">
      <c r="B32" s="200" t="s">
        <v>69</v>
      </c>
      <c r="E32" s="152">
        <v>13300355.07</v>
      </c>
      <c r="F32" s="154"/>
      <c r="G32" s="152">
        <v>15035000</v>
      </c>
      <c r="H32" s="155"/>
      <c r="I32" s="152">
        <f>E32-G32</f>
        <v>-1734644.9299999997</v>
      </c>
      <c r="J32" s="154"/>
      <c r="K32" s="143">
        <f>IF(G32=0,"n/a",IF(AND(I32/G32&lt;1,I32/G32&gt;-1),I32/G32,"n/a"))</f>
        <v>-0.11537378982374458</v>
      </c>
      <c r="L32" s="153"/>
      <c r="M32" s="152">
        <v>13999396.77</v>
      </c>
      <c r="N32" s="153"/>
      <c r="O32" s="152">
        <f>E32-M32</f>
        <v>-699041.69999999925</v>
      </c>
      <c r="Q32" s="143">
        <f>IF(M32=0,"n/a",IF(AND(O32/M32&lt;1,O32/M32&gt;-1),O32/M32,"n/a"))</f>
        <v>-4.9933701536198354E-2</v>
      </c>
    </row>
    <row r="33" spans="1:23" ht="6.9" customHeight="1">
      <c r="E33" s="148"/>
      <c r="F33" s="203"/>
      <c r="G33" s="148"/>
      <c r="H33" s="203"/>
      <c r="I33" s="148"/>
      <c r="J33" s="203"/>
      <c r="K33" s="151"/>
      <c r="L33" s="203"/>
      <c r="M33" s="148"/>
      <c r="N33" s="203"/>
      <c r="O33" s="148"/>
      <c r="Q33" s="151"/>
      <c r="S33" s="199"/>
      <c r="T33" s="199"/>
      <c r="U33" s="199"/>
      <c r="V33" s="199"/>
      <c r="W33" s="199"/>
    </row>
    <row r="34" spans="1:23" ht="12" thickBot="1">
      <c r="C34" s="197" t="s">
        <v>68</v>
      </c>
      <c r="E34" s="150">
        <f>E30+E32</f>
        <v>1027088768.78</v>
      </c>
      <c r="F34" s="203"/>
      <c r="G34" s="150">
        <f>G30+G32</f>
        <v>1035670000</v>
      </c>
      <c r="H34" s="203"/>
      <c r="I34" s="150">
        <f>E34-G34</f>
        <v>-8581231.2200000286</v>
      </c>
      <c r="J34" s="203"/>
      <c r="K34" s="138">
        <f>IF(G34=0,"n/a",IF(AND(I34/G34&lt;1,I34/G34&gt;-1),I34/G34,"n/a"))</f>
        <v>-8.285680979462598E-3</v>
      </c>
      <c r="L34" s="203"/>
      <c r="M34" s="150">
        <f>M30+M32</f>
        <v>1142670529.8700001</v>
      </c>
      <c r="N34" s="203"/>
      <c r="O34" s="150">
        <f>E34-M34</f>
        <v>-115581761.09000015</v>
      </c>
      <c r="Q34" s="138">
        <f>IF(M34=0,"n/a",IF(AND(O34/M34&lt;1,O34/M34&gt;-1),O34/M34,"n/a"))</f>
        <v>-0.10115055746046912</v>
      </c>
    </row>
    <row r="35" spans="1:23" ht="12" thickTop="1">
      <c r="E35" s="147"/>
      <c r="F35" s="203"/>
      <c r="G35" s="147"/>
      <c r="I35" s="147"/>
      <c r="M35" s="147"/>
      <c r="O35" s="147"/>
    </row>
    <row r="36" spans="1:23">
      <c r="C36" s="197" t="s">
        <v>67</v>
      </c>
      <c r="E36" s="149">
        <v>30825158.190000001</v>
      </c>
      <c r="F36" s="149"/>
      <c r="G36" s="149">
        <v>22272023</v>
      </c>
      <c r="I36" s="147"/>
      <c r="M36" s="149">
        <v>24126255.84</v>
      </c>
      <c r="O36" s="147"/>
    </row>
    <row r="37" spans="1:23">
      <c r="C37" s="197" t="s">
        <v>43</v>
      </c>
      <c r="E37" s="148">
        <v>4542342.33</v>
      </c>
      <c r="F37" s="202"/>
      <c r="G37" s="148">
        <v>4443613</v>
      </c>
      <c r="I37" s="147"/>
      <c r="M37" s="148">
        <v>3875533.98</v>
      </c>
      <c r="O37" s="147"/>
    </row>
    <row r="38" spans="1:23">
      <c r="C38" s="197" t="s">
        <v>66</v>
      </c>
      <c r="E38" s="148">
        <v>-3069260.44</v>
      </c>
      <c r="F38" s="202"/>
      <c r="G38" s="148">
        <v>-3242473.7429999998</v>
      </c>
      <c r="I38" s="147"/>
      <c r="M38" s="148">
        <v>-3115194.18</v>
      </c>
      <c r="O38" s="147"/>
    </row>
    <row r="39" spans="1:23">
      <c r="E39" s="146"/>
    </row>
    <row r="40" spans="1:23" ht="13.2">
      <c r="A40" s="201" t="s">
        <v>65</v>
      </c>
      <c r="E40" s="146"/>
    </row>
    <row r="41" spans="1:23" ht="12">
      <c r="B41" s="200" t="s">
        <v>64</v>
      </c>
      <c r="E41" s="146"/>
    </row>
    <row r="42" spans="1:23">
      <c r="C42" s="197" t="s">
        <v>63</v>
      </c>
      <c r="E42" s="142">
        <v>553847674</v>
      </c>
      <c r="G42" s="142">
        <v>551103000</v>
      </c>
      <c r="H42" s="140"/>
      <c r="I42" s="142">
        <f>E42-G42</f>
        <v>2744674</v>
      </c>
      <c r="K42" s="145">
        <f>IF(G42=0,"n/a",IF(AND(I42/G42&lt;1,I42/G42&gt;-1),I42/G42,"n/a"))</f>
        <v>4.9803285411257059E-3</v>
      </c>
      <c r="M42" s="142">
        <v>589172226</v>
      </c>
      <c r="N42" s="140"/>
      <c r="O42" s="142">
        <f>E42-M42</f>
        <v>-35324552</v>
      </c>
      <c r="Q42" s="145">
        <f>IF(M42=0,"n/a",IF(AND(O42/M42&lt;1,O42/M42&gt;-1),O42/M42,"n/a"))</f>
        <v>-5.995624104656963E-2</v>
      </c>
    </row>
    <row r="43" spans="1:23">
      <c r="C43" s="197" t="s">
        <v>62</v>
      </c>
      <c r="E43" s="142">
        <v>247796021</v>
      </c>
      <c r="G43" s="142">
        <v>253957000</v>
      </c>
      <c r="H43" s="140"/>
      <c r="I43" s="142">
        <f>E43-G43</f>
        <v>-6160979</v>
      </c>
      <c r="K43" s="145">
        <f>IF(G43=0,"n/a",IF(AND(I43/G43&lt;1,I43/G43&gt;-1),I43/G43,"n/a"))</f>
        <v>-2.4259929830640622E-2</v>
      </c>
      <c r="M43" s="142">
        <v>267471681</v>
      </c>
      <c r="N43" s="140"/>
      <c r="O43" s="142">
        <f>E43-M43</f>
        <v>-19675660</v>
      </c>
      <c r="Q43" s="145">
        <f>IF(M43=0,"n/a",IF(AND(O43/M43&lt;1,O43/M43&gt;-1),O43/M43,"n/a"))</f>
        <v>-7.3561656794612212E-2</v>
      </c>
    </row>
    <row r="44" spans="1:23">
      <c r="C44" s="197" t="s">
        <v>61</v>
      </c>
      <c r="E44" s="144">
        <v>28429917</v>
      </c>
      <c r="G44" s="144">
        <v>30220000</v>
      </c>
      <c r="H44" s="140"/>
      <c r="I44" s="144">
        <f>E44-G44</f>
        <v>-1790083</v>
      </c>
      <c r="K44" s="143">
        <f>IF(G44=0,"n/a",IF(AND(I44/G44&lt;1,I44/G44&gt;-1),I44/G44,"n/a"))</f>
        <v>-5.9235043017868964E-2</v>
      </c>
      <c r="M44" s="144">
        <v>31828512</v>
      </c>
      <c r="N44" s="140"/>
      <c r="O44" s="144">
        <f>E44-M44</f>
        <v>-3398595</v>
      </c>
      <c r="Q44" s="143">
        <f>IF(M44=0,"n/a",IF(AND(O44/M44&lt;1,O44/M44&gt;-1),O44/M44,"n/a"))</f>
        <v>-0.10677831876023611</v>
      </c>
    </row>
    <row r="45" spans="1:23" ht="6.9" customHeight="1">
      <c r="E45" s="142"/>
      <c r="G45" s="142"/>
      <c r="I45" s="142"/>
      <c r="K45" s="141"/>
      <c r="M45" s="142"/>
      <c r="O45" s="142"/>
      <c r="Q45" s="141"/>
      <c r="S45" s="199"/>
      <c r="T45" s="199"/>
      <c r="U45" s="199"/>
      <c r="V45" s="199"/>
      <c r="W45" s="199"/>
    </row>
    <row r="46" spans="1:23">
      <c r="C46" s="197" t="s">
        <v>60</v>
      </c>
      <c r="E46" s="142">
        <f>SUM(E42:E44)</f>
        <v>830073612</v>
      </c>
      <c r="G46" s="142">
        <f>SUM(G42:G44)</f>
        <v>835280000</v>
      </c>
      <c r="H46" s="140"/>
      <c r="I46" s="142">
        <f>E46-G46</f>
        <v>-5206388</v>
      </c>
      <c r="K46" s="145">
        <f>IF(G46=0,"n/a",IF(AND(I46/G46&lt;1,I46/G46&gt;-1),I46/G46,"n/a"))</f>
        <v>-6.2331050665645057E-3</v>
      </c>
      <c r="M46" s="142">
        <f>SUM(M42:M44)</f>
        <v>888472419</v>
      </c>
      <c r="N46" s="140"/>
      <c r="O46" s="142">
        <f>E46-M46</f>
        <v>-58398807</v>
      </c>
      <c r="Q46" s="145">
        <f>IF(M46=0,"n/a",IF(AND(O46/M46&lt;1,O46/M46&gt;-1),O46/M46,"n/a"))</f>
        <v>-6.5729454005707288E-2</v>
      </c>
    </row>
    <row r="47" spans="1:23" ht="6.9" customHeight="1">
      <c r="E47" s="142"/>
      <c r="G47" s="142"/>
      <c r="I47" s="142"/>
      <c r="K47" s="141"/>
      <c r="M47" s="142"/>
      <c r="O47" s="142"/>
      <c r="Q47" s="141"/>
      <c r="S47" s="199"/>
      <c r="T47" s="199"/>
      <c r="U47" s="199"/>
      <c r="V47" s="199"/>
      <c r="W47" s="199"/>
    </row>
    <row r="48" spans="1:23" ht="12">
      <c r="B48" s="200" t="s">
        <v>59</v>
      </c>
      <c r="E48" s="142"/>
      <c r="G48" s="142"/>
      <c r="H48" s="140"/>
      <c r="I48" s="142"/>
      <c r="K48" s="141"/>
      <c r="M48" s="142"/>
      <c r="N48" s="140"/>
      <c r="O48" s="142"/>
      <c r="Q48" s="141"/>
    </row>
    <row r="49" spans="2:23">
      <c r="C49" s="197" t="s">
        <v>58</v>
      </c>
      <c r="E49" s="142">
        <v>47990813</v>
      </c>
      <c r="G49" s="142">
        <v>51581000</v>
      </c>
      <c r="H49" s="140"/>
      <c r="I49" s="142">
        <f>E49-G49</f>
        <v>-3590187</v>
      </c>
      <c r="K49" s="145">
        <f>IF(G49=0,"n/a",IF(AND(I49/G49&lt;1,I49/G49&gt;-1),I49/G49,"n/a"))</f>
        <v>-6.9602896415346741E-2</v>
      </c>
      <c r="M49" s="142">
        <v>49762193</v>
      </c>
      <c r="N49" s="140"/>
      <c r="O49" s="142">
        <f>E49-M49</f>
        <v>-1771380</v>
      </c>
      <c r="Q49" s="145">
        <f>IF(M49=0,"n/a",IF(AND(O49/M49&lt;1,O49/M49&gt;-1),O49/M49,"n/a"))</f>
        <v>-3.5596903858316695E-2</v>
      </c>
    </row>
    <row r="50" spans="2:23">
      <c r="C50" s="197" t="s">
        <v>57</v>
      </c>
      <c r="E50" s="144">
        <v>2728106</v>
      </c>
      <c r="G50" s="144">
        <v>3659000</v>
      </c>
      <c r="H50" s="140"/>
      <c r="I50" s="144">
        <f>E50-G50</f>
        <v>-930894</v>
      </c>
      <c r="K50" s="143">
        <f>IF(G50=0,"n/a",IF(AND(I50/G50&lt;1,I50/G50&gt;-1),I50/G50,"n/a"))</f>
        <v>-0.25441213446296801</v>
      </c>
      <c r="M50" s="144">
        <v>2772971</v>
      </c>
      <c r="N50" s="140"/>
      <c r="O50" s="144">
        <f>E50-M50</f>
        <v>-44865</v>
      </c>
      <c r="Q50" s="143">
        <f>IF(M50=0,"n/a",IF(AND(O50/M50&lt;1,O50/M50&gt;-1),O50/M50,"n/a"))</f>
        <v>-1.6179397476569355E-2</v>
      </c>
    </row>
    <row r="51" spans="2:23" ht="6.9" customHeight="1">
      <c r="E51" s="142"/>
      <c r="G51" s="142"/>
      <c r="I51" s="142"/>
      <c r="K51" s="141"/>
      <c r="M51" s="142"/>
      <c r="O51" s="142"/>
      <c r="Q51" s="141"/>
      <c r="S51" s="199"/>
      <c r="T51" s="199"/>
      <c r="U51" s="199"/>
      <c r="V51" s="199"/>
      <c r="W51" s="199"/>
    </row>
    <row r="52" spans="2:23">
      <c r="C52" s="197" t="s">
        <v>56</v>
      </c>
      <c r="E52" s="144">
        <f>SUM(E49:E50)</f>
        <v>50718919</v>
      </c>
      <c r="G52" s="144">
        <f>SUM(G49:G50)</f>
        <v>55240000</v>
      </c>
      <c r="H52" s="140"/>
      <c r="I52" s="144">
        <f>E52-G52</f>
        <v>-4521081</v>
      </c>
      <c r="K52" s="143">
        <f>IF(G52=0,"n/a",IF(AND(I52/G52&lt;1,I52/G52&gt;-1),I52/G52,"n/a"))</f>
        <v>-8.184433381607531E-2</v>
      </c>
      <c r="M52" s="144">
        <f>SUM(M49:M50)</f>
        <v>52535164</v>
      </c>
      <c r="N52" s="140"/>
      <c r="O52" s="144">
        <f>E52-M52</f>
        <v>-1816245</v>
      </c>
      <c r="Q52" s="143">
        <f>IF(M52=0,"n/a",IF(AND(O52/M52&lt;1,O52/M52&gt;-1),O52/M52,"n/a"))</f>
        <v>-3.4571986869594618E-2</v>
      </c>
    </row>
    <row r="53" spans="2:23" ht="6.9" customHeight="1">
      <c r="E53" s="142"/>
      <c r="G53" s="142"/>
      <c r="I53" s="142"/>
      <c r="K53" s="141"/>
      <c r="M53" s="142"/>
      <c r="O53" s="142"/>
      <c r="Q53" s="141"/>
      <c r="S53" s="199"/>
      <c r="T53" s="199"/>
      <c r="U53" s="199"/>
      <c r="V53" s="199"/>
      <c r="W53" s="199"/>
    </row>
    <row r="54" spans="2:23">
      <c r="C54" s="197" t="s">
        <v>55</v>
      </c>
      <c r="E54" s="142">
        <f>E46+E52</f>
        <v>880792531</v>
      </c>
      <c r="G54" s="142">
        <f>G46+G52</f>
        <v>890520000</v>
      </c>
      <c r="H54" s="140"/>
      <c r="I54" s="142">
        <f>E54-G54</f>
        <v>-9727469</v>
      </c>
      <c r="K54" s="145">
        <f>IF(G54=0,"n/a",IF(AND(I54/G54&lt;1,I54/G54&gt;-1),I54/G54,"n/a"))</f>
        <v>-1.092335826258815E-2</v>
      </c>
      <c r="M54" s="142">
        <f>M46+M52</f>
        <v>941007583</v>
      </c>
      <c r="N54" s="140"/>
      <c r="O54" s="142">
        <f>E54-M54</f>
        <v>-60215052</v>
      </c>
      <c r="Q54" s="145">
        <f>IF(M54=0,"n/a",IF(AND(O54/M54&lt;1,O54/M54&gt;-1),O54/M54,"n/a"))</f>
        <v>-6.3989975307138416E-2</v>
      </c>
    </row>
    <row r="55" spans="2:23" ht="6.9" customHeight="1">
      <c r="E55" s="142"/>
      <c r="G55" s="142"/>
      <c r="I55" s="142"/>
      <c r="K55" s="141"/>
      <c r="M55" s="142"/>
      <c r="O55" s="142"/>
      <c r="Q55" s="141"/>
      <c r="S55" s="199"/>
      <c r="T55" s="199"/>
      <c r="U55" s="199"/>
      <c r="V55" s="199"/>
      <c r="W55" s="199"/>
    </row>
    <row r="56" spans="2:23" ht="12">
      <c r="B56" s="200" t="s">
        <v>54</v>
      </c>
      <c r="E56" s="142"/>
      <c r="G56" s="142"/>
      <c r="H56" s="140"/>
      <c r="I56" s="142"/>
      <c r="K56" s="141"/>
      <c r="M56" s="142"/>
      <c r="N56" s="140"/>
      <c r="O56" s="142"/>
      <c r="Q56" s="141"/>
    </row>
    <row r="57" spans="2:23">
      <c r="C57" s="197" t="s">
        <v>53</v>
      </c>
      <c r="E57" s="142">
        <v>47809227</v>
      </c>
      <c r="G57" s="142">
        <v>50453000</v>
      </c>
      <c r="H57" s="140"/>
      <c r="I57" s="142">
        <f>E57-G57</f>
        <v>-2643773</v>
      </c>
      <c r="K57" s="145">
        <f>IF(G57=0,"n/a",IF(AND(I57/G57&lt;1,I57/G57&gt;-1),I57/G57,"n/a"))</f>
        <v>-5.2400709571284163E-2</v>
      </c>
      <c r="M57" s="142">
        <v>44934484</v>
      </c>
      <c r="N57" s="140"/>
      <c r="O57" s="142">
        <f>E57-M57</f>
        <v>2874743</v>
      </c>
      <c r="Q57" s="145">
        <f>IF(M57=0,"n/a",IF(AND(O57/M57&lt;1,O57/M57&gt;-1),O57/M57,"n/a"))</f>
        <v>6.3976321615265466E-2</v>
      </c>
    </row>
    <row r="58" spans="2:23">
      <c r="C58" s="197" t="s">
        <v>52</v>
      </c>
      <c r="E58" s="144">
        <v>172237379</v>
      </c>
      <c r="G58" s="144">
        <v>178328000</v>
      </c>
      <c r="H58" s="140"/>
      <c r="I58" s="144">
        <f>E58-G58</f>
        <v>-6090621</v>
      </c>
      <c r="K58" s="143">
        <f>IF(G58=0,"n/a",IF(AND(I58/G58&lt;1,I58/G58&gt;-1),I58/G58,"n/a"))</f>
        <v>-3.4154036382396481E-2</v>
      </c>
      <c r="M58" s="144">
        <v>182556814</v>
      </c>
      <c r="N58" s="140"/>
      <c r="O58" s="144">
        <f>E58-M58</f>
        <v>-10319435</v>
      </c>
      <c r="Q58" s="143">
        <f>IF(M58=0,"n/a",IF(AND(O58/M58&lt;1,O58/M58&gt;-1),O58/M58,"n/a"))</f>
        <v>-5.6527251839528704E-2</v>
      </c>
    </row>
    <row r="59" spans="2:23" ht="6.9" customHeight="1">
      <c r="E59" s="142"/>
      <c r="G59" s="142"/>
      <c r="I59" s="142"/>
      <c r="K59" s="141"/>
      <c r="M59" s="142"/>
      <c r="O59" s="142"/>
      <c r="Q59" s="141"/>
      <c r="S59" s="199"/>
      <c r="T59" s="199"/>
      <c r="U59" s="199"/>
      <c r="V59" s="199"/>
      <c r="W59" s="199"/>
    </row>
    <row r="60" spans="2:23">
      <c r="C60" s="197" t="s">
        <v>51</v>
      </c>
      <c r="E60" s="144">
        <f>SUM(E57:E58)</f>
        <v>220046606</v>
      </c>
      <c r="G60" s="144">
        <f>SUM(G57:G58)</f>
        <v>228781000</v>
      </c>
      <c r="H60" s="140"/>
      <c r="I60" s="144">
        <f>E60-G60</f>
        <v>-8734394</v>
      </c>
      <c r="K60" s="143">
        <f>IF(G60=0,"n/a",IF(AND(I60/G60&lt;1,I60/G60&gt;-1),I60/G60,"n/a"))</f>
        <v>-3.8177969324375713E-2</v>
      </c>
      <c r="M60" s="144">
        <f>SUM(M57:M58)</f>
        <v>227491298</v>
      </c>
      <c r="N60" s="140"/>
      <c r="O60" s="144">
        <f>E60-M60</f>
        <v>-7444692</v>
      </c>
      <c r="Q60" s="143">
        <f>IF(M60=0,"n/a",IF(AND(O60/M60&lt;1,O60/M60&gt;-1),O60/M60,"n/a"))</f>
        <v>-3.272517263495503E-2</v>
      </c>
    </row>
    <row r="61" spans="2:23" ht="6.9" customHeight="1">
      <c r="E61" s="142"/>
      <c r="G61" s="142"/>
      <c r="I61" s="142"/>
      <c r="K61" s="141"/>
      <c r="M61" s="142"/>
      <c r="O61" s="142"/>
      <c r="Q61" s="141"/>
      <c r="S61" s="199"/>
      <c r="T61" s="199"/>
      <c r="U61" s="199"/>
      <c r="V61" s="199"/>
      <c r="W61" s="199"/>
    </row>
    <row r="62" spans="2:23" ht="12" thickBot="1">
      <c r="C62" s="197" t="s">
        <v>50</v>
      </c>
      <c r="E62" s="139">
        <f>E54+E60</f>
        <v>1100839137</v>
      </c>
      <c r="G62" s="139">
        <f>G54+G60</f>
        <v>1119301000</v>
      </c>
      <c r="H62" s="140"/>
      <c r="I62" s="139">
        <f>E62-G62</f>
        <v>-18461863</v>
      </c>
      <c r="K62" s="138">
        <f>IF(G62=0,"n/a",IF(AND(I62/G62&lt;1,I62/G62&gt;-1),I62/G62,"n/a"))</f>
        <v>-1.6494100335834597E-2</v>
      </c>
      <c r="M62" s="139">
        <f>M54+M60</f>
        <v>1168498881</v>
      </c>
      <c r="N62" s="140"/>
      <c r="O62" s="139">
        <f>E62-M62</f>
        <v>-67659744</v>
      </c>
      <c r="Q62" s="138">
        <f>IF(M62=0,"n/a",IF(AND(O62/M62&lt;1,O62/M62&gt;-1),O62/M62,"n/a"))</f>
        <v>-5.7903131188364397E-2</v>
      </c>
    </row>
    <row r="63" spans="2:23" ht="12" thickTop="1"/>
    <row r="65" spans="1:1">
      <c r="A65" s="197" t="s">
        <v>37</v>
      </c>
    </row>
    <row r="66" spans="1:1">
      <c r="A66" s="197" t="s">
        <v>37</v>
      </c>
    </row>
    <row r="67" spans="1:1">
      <c r="A67" s="197" t="s">
        <v>37</v>
      </c>
    </row>
    <row r="68" spans="1:1">
      <c r="A68" s="197" t="s">
        <v>37</v>
      </c>
    </row>
    <row r="69" spans="1:1">
      <c r="A69" s="197" t="s">
        <v>37</v>
      </c>
    </row>
    <row r="70" spans="1:1">
      <c r="A70" s="197" t="s">
        <v>37</v>
      </c>
    </row>
    <row r="71" spans="1:1">
      <c r="A71" s="197" t="s">
        <v>37</v>
      </c>
    </row>
    <row r="72" spans="1:1">
      <c r="A72" s="197" t="s">
        <v>37</v>
      </c>
    </row>
    <row r="73" spans="1:1">
      <c r="A73" s="197" t="s">
        <v>37</v>
      </c>
    </row>
    <row r="74" spans="1:1">
      <c r="A74" s="197" t="s">
        <v>37</v>
      </c>
    </row>
    <row r="75" spans="1:1">
      <c r="A75" s="197" t="s">
        <v>37</v>
      </c>
    </row>
    <row r="76" spans="1:1">
      <c r="A76" s="197" t="s">
        <v>37</v>
      </c>
    </row>
    <row r="77" spans="1:1">
      <c r="A77" s="197" t="s">
        <v>37</v>
      </c>
    </row>
    <row r="78" spans="1:1">
      <c r="A78" s="197" t="s">
        <v>37</v>
      </c>
    </row>
    <row r="79" spans="1:1">
      <c r="A79" s="197" t="s">
        <v>37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ageMargins left="0.25" right="0.25" top="0.25" bottom="0.39" header="0" footer="0"/>
  <pageSetup scale="80" orientation="landscape" r:id="rId1"/>
  <headerFooter alignWithMargins="0">
    <oddFooter>&amp;C5c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opLeftCell="A9" zoomScaleNormal="100" workbookViewId="0">
      <selection activeCell="E36" sqref="E36"/>
    </sheetView>
  </sheetViews>
  <sheetFormatPr defaultRowHeight="14.4"/>
  <cols>
    <col min="3" max="3" width="34.44140625" customWidth="1"/>
    <col min="4" max="4" width="2.44140625" customWidth="1"/>
    <col min="5" max="5" width="18.109375" customWidth="1"/>
    <col min="6" max="6" width="2.109375" customWidth="1"/>
    <col min="7" max="7" width="20.109375" customWidth="1"/>
    <col min="8" max="8" width="1.88671875" customWidth="1"/>
    <col min="9" max="9" width="17.33203125" customWidth="1"/>
    <col min="10" max="10" width="1.109375" customWidth="1"/>
    <col min="12" max="12" width="1.6640625" customWidth="1"/>
    <col min="13" max="13" width="17.6640625" customWidth="1"/>
    <col min="14" max="14" width="1.5546875" customWidth="1"/>
    <col min="15" max="15" width="17.109375" customWidth="1"/>
    <col min="16" max="16" width="1.44140625" customWidth="1"/>
    <col min="18" max="18" width="1.44140625" customWidth="1"/>
    <col min="20" max="20" width="2" customWidth="1"/>
    <col min="22" max="22" width="1.6640625" customWidth="1"/>
  </cols>
  <sheetData>
    <row r="1" spans="1:23" ht="15.6">
      <c r="A1" s="102"/>
      <c r="B1" s="102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02"/>
      <c r="W1" s="102"/>
    </row>
    <row r="2" spans="1:23" ht="15.6">
      <c r="A2" s="135" t="s">
        <v>24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</row>
    <row r="3" spans="1:23" ht="15.6">
      <c r="A3" s="135" t="s">
        <v>77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</row>
    <row r="4" spans="1:23" ht="15.6">
      <c r="A4" s="135" t="s">
        <v>153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</row>
    <row r="5" spans="1:23" ht="15.6">
      <c r="A5" s="136" t="s">
        <v>36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1:23" ht="15.6">
      <c r="A6" s="70" t="s">
        <v>37</v>
      </c>
      <c r="B6" s="133"/>
      <c r="C6" s="133"/>
      <c r="D6" s="133"/>
      <c r="E6" s="133"/>
      <c r="F6" s="134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2"/>
      <c r="V6" s="133"/>
      <c r="W6" s="132"/>
    </row>
    <row r="7" spans="1:23" ht="15.6">
      <c r="A7" s="71" t="s">
        <v>37</v>
      </c>
      <c r="B7" s="103"/>
      <c r="C7" s="103"/>
      <c r="D7" s="103"/>
      <c r="E7" s="103"/>
      <c r="F7" s="124"/>
      <c r="G7" s="103"/>
      <c r="H7" s="103"/>
      <c r="I7" s="72" t="s">
        <v>38</v>
      </c>
      <c r="J7" s="72"/>
      <c r="K7" s="72"/>
      <c r="L7" s="103"/>
      <c r="M7" s="103"/>
      <c r="N7" s="103"/>
      <c r="O7" s="130" t="s">
        <v>85</v>
      </c>
      <c r="P7" s="129"/>
      <c r="Q7" s="131"/>
      <c r="R7" s="123"/>
      <c r="S7" s="130" t="s">
        <v>76</v>
      </c>
      <c r="T7" s="129"/>
      <c r="U7" s="128"/>
      <c r="V7" s="129"/>
      <c r="W7" s="128"/>
    </row>
    <row r="8" spans="1:23">
      <c r="A8" s="103"/>
      <c r="B8" s="103"/>
      <c r="C8" s="103"/>
      <c r="D8" s="103"/>
      <c r="E8" s="127" t="s">
        <v>39</v>
      </c>
      <c r="F8" s="124"/>
      <c r="G8" s="127"/>
      <c r="H8" s="126"/>
      <c r="I8" s="73"/>
      <c r="J8" s="73"/>
      <c r="K8" s="73"/>
      <c r="L8" s="126"/>
      <c r="M8" s="127" t="s">
        <v>39</v>
      </c>
      <c r="N8" s="103"/>
      <c r="O8" s="103"/>
      <c r="P8" s="103"/>
      <c r="Q8" s="103"/>
      <c r="R8" s="103"/>
      <c r="S8" s="126"/>
      <c r="T8" s="126"/>
      <c r="U8" s="127"/>
      <c r="V8" s="126"/>
      <c r="W8" s="125"/>
    </row>
    <row r="9" spans="1:23">
      <c r="A9" s="103"/>
      <c r="B9" s="103"/>
      <c r="C9" s="103"/>
      <c r="D9" s="103"/>
      <c r="E9" s="194">
        <v>2012</v>
      </c>
      <c r="F9" s="124"/>
      <c r="G9" s="194" t="s">
        <v>40</v>
      </c>
      <c r="H9" s="103"/>
      <c r="I9" s="74" t="s">
        <v>41</v>
      </c>
      <c r="J9" s="103"/>
      <c r="K9" s="74" t="s">
        <v>42</v>
      </c>
      <c r="L9" s="103"/>
      <c r="M9" s="194">
        <v>2011</v>
      </c>
      <c r="N9" s="103"/>
      <c r="O9" s="74" t="s">
        <v>41</v>
      </c>
      <c r="P9" s="103"/>
      <c r="Q9" s="75" t="s">
        <v>42</v>
      </c>
      <c r="R9" s="103"/>
      <c r="S9" s="76">
        <v>2012</v>
      </c>
      <c r="T9" s="103"/>
      <c r="U9" s="194" t="s">
        <v>40</v>
      </c>
      <c r="V9" s="103"/>
      <c r="W9" s="194">
        <v>2011</v>
      </c>
    </row>
    <row r="10" spans="1:23" ht="15.6">
      <c r="A10" s="113" t="s">
        <v>75</v>
      </c>
      <c r="B10" s="112"/>
      <c r="C10" s="112"/>
      <c r="D10" s="103"/>
      <c r="E10" s="102"/>
      <c r="F10" s="102"/>
      <c r="G10" s="103"/>
      <c r="H10" s="103"/>
      <c r="I10" s="77"/>
      <c r="J10" s="77"/>
      <c r="K10" s="77"/>
      <c r="L10" s="103"/>
      <c r="M10" s="103"/>
      <c r="N10" s="103"/>
      <c r="O10" s="103"/>
      <c r="P10" s="103"/>
      <c r="Q10" s="103"/>
      <c r="R10" s="103"/>
      <c r="S10" s="103"/>
      <c r="T10" s="103"/>
      <c r="U10" s="186"/>
      <c r="V10" s="103"/>
      <c r="W10" s="123"/>
    </row>
    <row r="11" spans="1:23" ht="15.6">
      <c r="A11" s="113"/>
      <c r="B11" s="112" t="s">
        <v>74</v>
      </c>
      <c r="C11" s="103"/>
      <c r="D11" s="103"/>
      <c r="E11" s="102"/>
      <c r="F11" s="102"/>
      <c r="G11" s="103"/>
      <c r="H11" s="103"/>
      <c r="I11" s="77"/>
      <c r="J11" s="77"/>
      <c r="K11" s="77"/>
      <c r="L11" s="103"/>
      <c r="M11" s="103"/>
      <c r="N11" s="103"/>
      <c r="O11" s="103"/>
      <c r="P11" s="103"/>
      <c r="Q11" s="103"/>
      <c r="R11" s="103"/>
      <c r="S11" s="103"/>
      <c r="T11" s="103"/>
      <c r="U11" s="186"/>
      <c r="V11" s="103"/>
      <c r="W11" s="123"/>
    </row>
    <row r="12" spans="1:23">
      <c r="A12" s="104"/>
      <c r="B12" s="103"/>
      <c r="C12" s="103" t="s">
        <v>63</v>
      </c>
      <c r="D12" s="102"/>
      <c r="E12" s="78">
        <v>745366699.44000006</v>
      </c>
      <c r="F12" s="98"/>
      <c r="G12" s="78">
        <v>707642000</v>
      </c>
      <c r="H12" s="98"/>
      <c r="I12" s="78">
        <v>37724699.440000057</v>
      </c>
      <c r="J12" s="98"/>
      <c r="K12" s="79">
        <v>5.3310430189276496E-2</v>
      </c>
      <c r="L12" s="187"/>
      <c r="M12" s="78">
        <v>738269705.02999997</v>
      </c>
      <c r="N12" s="117"/>
      <c r="O12" s="78">
        <v>7096994.4100000858</v>
      </c>
      <c r="P12" s="117"/>
      <c r="Q12" s="79">
        <v>9.6130104779412699E-3</v>
      </c>
      <c r="R12" s="117"/>
      <c r="S12" s="80">
        <v>1.265108344465647</v>
      </c>
      <c r="T12" s="81"/>
      <c r="U12" s="80">
        <v>1.266845212733581</v>
      </c>
      <c r="V12" s="81"/>
      <c r="W12" s="80">
        <v>1.2700136182080051</v>
      </c>
    </row>
    <row r="13" spans="1:23">
      <c r="A13" s="104"/>
      <c r="B13" s="103"/>
      <c r="C13" s="103" t="s">
        <v>62</v>
      </c>
      <c r="D13" s="102"/>
      <c r="E13" s="82">
        <v>296025194.06999999</v>
      </c>
      <c r="F13" s="98"/>
      <c r="G13" s="82">
        <v>281576000</v>
      </c>
      <c r="H13" s="98"/>
      <c r="I13" s="82">
        <v>14449194.069999993</v>
      </c>
      <c r="J13" s="98"/>
      <c r="K13" s="79">
        <v>5.1315431961530787E-2</v>
      </c>
      <c r="L13" s="99"/>
      <c r="M13" s="82">
        <v>295560886.41000003</v>
      </c>
      <c r="N13" s="83"/>
      <c r="O13" s="82">
        <v>464307.65999996662</v>
      </c>
      <c r="P13" s="120"/>
      <c r="Q13" s="79">
        <v>1.5709374323498349E-3</v>
      </c>
      <c r="R13" s="120"/>
      <c r="S13" s="84">
        <v>1.1067534064288473</v>
      </c>
      <c r="T13" s="84"/>
      <c r="U13" s="84">
        <v>1.1220849605483383</v>
      </c>
      <c r="V13" s="84"/>
      <c r="W13" s="84">
        <v>1.1205191307936706</v>
      </c>
    </row>
    <row r="14" spans="1:23">
      <c r="A14" s="104"/>
      <c r="B14" s="103"/>
      <c r="C14" s="103" t="s">
        <v>61</v>
      </c>
      <c r="D14" s="102"/>
      <c r="E14" s="82">
        <v>31355641.190000001</v>
      </c>
      <c r="F14" s="98"/>
      <c r="G14" s="82">
        <v>31241000</v>
      </c>
      <c r="H14" s="98"/>
      <c r="I14" s="82">
        <v>114641.19000000134</v>
      </c>
      <c r="J14" s="98"/>
      <c r="K14" s="85">
        <v>3.669574917576305E-3</v>
      </c>
      <c r="L14" s="99"/>
      <c r="M14" s="82">
        <v>31636219.739999998</v>
      </c>
      <c r="N14" s="86"/>
      <c r="O14" s="82">
        <v>-280578.54999999702</v>
      </c>
      <c r="P14" s="119"/>
      <c r="Q14" s="85">
        <v>-8.8689025523881072E-3</v>
      </c>
      <c r="R14" s="119"/>
      <c r="S14" s="84">
        <v>0.9851431694324887</v>
      </c>
      <c r="T14" s="87"/>
      <c r="U14" s="84">
        <v>1.0122148781752203</v>
      </c>
      <c r="V14" s="84"/>
      <c r="W14" s="84">
        <v>0.99765374320483979</v>
      </c>
    </row>
    <row r="15" spans="1:23">
      <c r="A15" s="104"/>
      <c r="B15" s="103"/>
      <c r="C15" s="103"/>
      <c r="D15" s="102"/>
      <c r="E15" s="88"/>
      <c r="F15" s="98"/>
      <c r="G15" s="88"/>
      <c r="H15" s="98"/>
      <c r="I15" s="88"/>
      <c r="J15" s="98"/>
      <c r="K15" s="89"/>
      <c r="L15" s="99"/>
      <c r="M15" s="88"/>
      <c r="N15" s="83"/>
      <c r="O15" s="88"/>
      <c r="P15" s="120"/>
      <c r="Q15" s="89"/>
      <c r="R15" s="120"/>
      <c r="S15" s="90"/>
      <c r="T15" s="84"/>
      <c r="U15" s="90"/>
      <c r="V15" s="84"/>
      <c r="W15" s="90"/>
    </row>
    <row r="16" spans="1:23">
      <c r="A16" s="104"/>
      <c r="B16" s="103"/>
      <c r="C16" s="103" t="s">
        <v>60</v>
      </c>
      <c r="D16" s="102"/>
      <c r="E16" s="82">
        <v>1072747534.7</v>
      </c>
      <c r="F16" s="98"/>
      <c r="G16" s="82">
        <v>1020459000</v>
      </c>
      <c r="H16" s="98"/>
      <c r="I16" s="82">
        <v>52288534.700000048</v>
      </c>
      <c r="J16" s="98"/>
      <c r="K16" s="79">
        <v>5.1240211218677133E-2</v>
      </c>
      <c r="L16" s="99"/>
      <c r="M16" s="82">
        <v>1065466811.1799999</v>
      </c>
      <c r="N16" s="83"/>
      <c r="O16" s="82">
        <v>7280723.5200001001</v>
      </c>
      <c r="P16" s="120"/>
      <c r="Q16" s="79">
        <v>6.8333649097307219E-3</v>
      </c>
      <c r="R16" s="120"/>
      <c r="S16" s="84">
        <v>1.2074066811296256</v>
      </c>
      <c r="T16" s="84"/>
      <c r="U16" s="84">
        <v>1.2142683753971371</v>
      </c>
      <c r="V16" s="84"/>
      <c r="W16" s="84">
        <v>1.2151897247053214</v>
      </c>
    </row>
    <row r="17" spans="1:23">
      <c r="A17" s="104"/>
      <c r="B17" s="103"/>
      <c r="C17" s="103"/>
      <c r="D17" s="122"/>
      <c r="E17" s="98"/>
      <c r="F17" s="98"/>
      <c r="G17" s="98"/>
      <c r="H17" s="83"/>
      <c r="I17" s="98"/>
      <c r="J17" s="83"/>
      <c r="K17" s="89"/>
      <c r="L17" s="99"/>
      <c r="M17" s="98"/>
      <c r="N17" s="83"/>
      <c r="O17" s="98"/>
      <c r="P17" s="120"/>
      <c r="Q17" s="89"/>
      <c r="R17" s="120"/>
      <c r="S17" s="84"/>
      <c r="T17" s="84"/>
      <c r="U17" s="84"/>
      <c r="V17" s="84"/>
      <c r="W17" s="91"/>
    </row>
    <row r="18" spans="1:23">
      <c r="A18" s="104"/>
      <c r="B18" s="109" t="s">
        <v>73</v>
      </c>
      <c r="C18" s="103"/>
      <c r="D18" s="122"/>
      <c r="E18" s="98"/>
      <c r="F18" s="98"/>
      <c r="G18" s="98"/>
      <c r="H18" s="83"/>
      <c r="I18" s="98"/>
      <c r="J18" s="83"/>
      <c r="K18" s="89"/>
      <c r="L18" s="99"/>
      <c r="M18" s="98"/>
      <c r="N18" s="83"/>
      <c r="O18" s="98"/>
      <c r="P18" s="120"/>
      <c r="Q18" s="89"/>
      <c r="R18" s="120"/>
      <c r="S18" s="84"/>
      <c r="T18" s="84"/>
      <c r="U18" s="84"/>
      <c r="V18" s="84"/>
      <c r="W18" s="91"/>
    </row>
    <row r="19" spans="1:23">
      <c r="A19" s="104"/>
      <c r="B19" s="103"/>
      <c r="C19" s="103" t="s">
        <v>58</v>
      </c>
      <c r="D19" s="102"/>
      <c r="E19" s="82">
        <v>38246494.329999998</v>
      </c>
      <c r="F19" s="98"/>
      <c r="G19" s="82">
        <v>37645000</v>
      </c>
      <c r="H19" s="98"/>
      <c r="I19" s="82">
        <v>601494.32999999821</v>
      </c>
      <c r="J19" s="98"/>
      <c r="K19" s="79">
        <v>1.5978066941160798E-2</v>
      </c>
      <c r="L19" s="99"/>
      <c r="M19" s="82">
        <v>43259447.93</v>
      </c>
      <c r="N19" s="83"/>
      <c r="O19" s="82">
        <v>-5012953.6000000015</v>
      </c>
      <c r="P19" s="120"/>
      <c r="Q19" s="79">
        <v>-0.11588112747327892</v>
      </c>
      <c r="R19" s="120"/>
      <c r="S19" s="84">
        <v>0.76858538629919304</v>
      </c>
      <c r="T19" s="84"/>
      <c r="U19" s="84">
        <v>0.77741982115936636</v>
      </c>
      <c r="V19" s="84"/>
      <c r="W19" s="84">
        <v>0.80625252770195843</v>
      </c>
    </row>
    <row r="20" spans="1:23">
      <c r="A20" s="104"/>
      <c r="B20" s="103"/>
      <c r="C20" s="103" t="s">
        <v>57</v>
      </c>
      <c r="D20" s="102"/>
      <c r="E20" s="82">
        <v>2437004.37</v>
      </c>
      <c r="F20" s="98"/>
      <c r="G20" s="82">
        <v>3289000</v>
      </c>
      <c r="H20" s="98"/>
      <c r="I20" s="82">
        <v>-851995.62999999989</v>
      </c>
      <c r="J20" s="98"/>
      <c r="K20" s="85">
        <v>-0.25904397385223471</v>
      </c>
      <c r="L20" s="99"/>
      <c r="M20" s="82">
        <v>3521794.11</v>
      </c>
      <c r="N20" s="86"/>
      <c r="O20" s="82">
        <v>-1084789.7399999998</v>
      </c>
      <c r="P20" s="119"/>
      <c r="Q20" s="85">
        <v>-0.30802190761798959</v>
      </c>
      <c r="R20" s="119"/>
      <c r="S20" s="84">
        <v>0.87884235716853876</v>
      </c>
      <c r="T20" s="84"/>
      <c r="U20" s="84">
        <v>0.84246926229508201</v>
      </c>
      <c r="V20" s="84"/>
      <c r="W20" s="84">
        <v>0.92443426539009232</v>
      </c>
    </row>
    <row r="21" spans="1:23">
      <c r="A21" s="104"/>
      <c r="B21" s="103"/>
      <c r="C21" s="103"/>
      <c r="D21" s="102"/>
      <c r="E21" s="88"/>
      <c r="F21" s="98"/>
      <c r="G21" s="88"/>
      <c r="H21" s="98"/>
      <c r="I21" s="88"/>
      <c r="J21" s="98"/>
      <c r="K21" s="89"/>
      <c r="L21" s="99"/>
      <c r="M21" s="88"/>
      <c r="N21" s="83"/>
      <c r="O21" s="88"/>
      <c r="P21" s="120"/>
      <c r="Q21" s="89"/>
      <c r="R21" s="120"/>
      <c r="S21" s="90"/>
      <c r="T21" s="84"/>
      <c r="U21" s="90"/>
      <c r="V21" s="84"/>
      <c r="W21" s="90"/>
    </row>
    <row r="22" spans="1:23">
      <c r="A22" s="104"/>
      <c r="B22" s="103"/>
      <c r="C22" s="103" t="s">
        <v>56</v>
      </c>
      <c r="D22" s="102"/>
      <c r="E22" s="92">
        <v>40683498.700000003</v>
      </c>
      <c r="F22" s="98"/>
      <c r="G22" s="92">
        <v>40934000</v>
      </c>
      <c r="H22" s="98"/>
      <c r="I22" s="92">
        <v>-250501.29999999702</v>
      </c>
      <c r="J22" s="98"/>
      <c r="K22" s="85">
        <v>-6.1196389309619639E-3</v>
      </c>
      <c r="L22" s="99"/>
      <c r="M22" s="92">
        <v>46781242.039999999</v>
      </c>
      <c r="N22" s="86"/>
      <c r="O22" s="92">
        <v>-6097743.3399999961</v>
      </c>
      <c r="P22" s="119"/>
      <c r="Q22" s="85">
        <v>-0.1303459051982023</v>
      </c>
      <c r="R22" s="119"/>
      <c r="S22" s="84">
        <v>0.77440509560415582</v>
      </c>
      <c r="T22" s="84"/>
      <c r="U22" s="84">
        <v>0.7822730139316223</v>
      </c>
      <c r="V22" s="84"/>
      <c r="W22" s="84">
        <v>0.81408750313845191</v>
      </c>
    </row>
    <row r="23" spans="1:23">
      <c r="A23" s="104"/>
      <c r="B23" s="103"/>
      <c r="C23" s="103"/>
      <c r="D23" s="102"/>
      <c r="E23" s="86"/>
      <c r="F23" s="98"/>
      <c r="G23" s="86"/>
      <c r="H23" s="98"/>
      <c r="I23" s="86"/>
      <c r="J23" s="98"/>
      <c r="K23" s="89"/>
      <c r="L23" s="99"/>
      <c r="M23" s="86"/>
      <c r="N23" s="86"/>
      <c r="O23" s="86"/>
      <c r="P23" s="119"/>
      <c r="Q23" s="89"/>
      <c r="R23" s="119"/>
      <c r="S23" s="90"/>
      <c r="T23" s="87"/>
      <c r="U23" s="90"/>
      <c r="V23" s="87"/>
      <c r="W23" s="90"/>
    </row>
    <row r="24" spans="1:23">
      <c r="A24" s="104"/>
      <c r="B24" s="103"/>
      <c r="C24" s="103" t="s">
        <v>72</v>
      </c>
      <c r="D24" s="102"/>
      <c r="E24" s="82">
        <v>1113431033.4000001</v>
      </c>
      <c r="F24" s="98"/>
      <c r="G24" s="82">
        <v>1061393000</v>
      </c>
      <c r="H24" s="98"/>
      <c r="I24" s="82">
        <v>52038033.400000095</v>
      </c>
      <c r="J24" s="98"/>
      <c r="K24" s="79">
        <v>4.9028054076105734E-2</v>
      </c>
      <c r="L24" s="99"/>
      <c r="M24" s="82">
        <v>1112248053.22</v>
      </c>
      <c r="N24" s="86"/>
      <c r="O24" s="82">
        <v>1182980.1800000668</v>
      </c>
      <c r="P24" s="119"/>
      <c r="Q24" s="79">
        <v>1.0635938418370745E-3</v>
      </c>
      <c r="R24" s="119"/>
      <c r="S24" s="84">
        <v>1.1832327959040476</v>
      </c>
      <c r="T24" s="84"/>
      <c r="U24" s="84">
        <v>1.1889467770861315</v>
      </c>
      <c r="V24" s="84"/>
      <c r="W24" s="84">
        <v>1.1905185271124117</v>
      </c>
    </row>
    <row r="25" spans="1:23">
      <c r="A25" s="104"/>
      <c r="B25" s="103"/>
      <c r="C25" s="103"/>
      <c r="D25" s="122"/>
      <c r="E25" s="98"/>
      <c r="F25" s="98"/>
      <c r="G25" s="98"/>
      <c r="H25" s="83"/>
      <c r="I25" s="98"/>
      <c r="J25" s="83"/>
      <c r="K25" s="89"/>
      <c r="L25" s="99"/>
      <c r="M25" s="98"/>
      <c r="N25" s="83"/>
      <c r="O25" s="98"/>
      <c r="P25" s="120"/>
      <c r="Q25" s="89"/>
      <c r="R25" s="120"/>
      <c r="S25" s="84"/>
      <c r="T25" s="84"/>
      <c r="U25" s="84"/>
      <c r="V25" s="84"/>
      <c r="W25" s="91"/>
    </row>
    <row r="26" spans="1:23">
      <c r="A26" s="104"/>
      <c r="B26" s="109" t="s">
        <v>71</v>
      </c>
      <c r="C26" s="103"/>
      <c r="D26" s="122"/>
      <c r="E26" s="98"/>
      <c r="F26" s="98"/>
      <c r="G26" s="98"/>
      <c r="H26" s="83"/>
      <c r="I26" s="98"/>
      <c r="J26" s="83"/>
      <c r="K26" s="89"/>
      <c r="L26" s="99"/>
      <c r="M26" s="98"/>
      <c r="N26" s="83"/>
      <c r="O26" s="98"/>
      <c r="P26" s="120"/>
      <c r="Q26" s="89"/>
      <c r="R26" s="120"/>
      <c r="S26" s="84"/>
      <c r="T26" s="84"/>
      <c r="U26" s="84"/>
      <c r="V26" s="84"/>
      <c r="W26" s="91"/>
    </row>
    <row r="27" spans="1:23">
      <c r="A27" s="104"/>
      <c r="B27" s="103"/>
      <c r="C27" s="103" t="s">
        <v>53</v>
      </c>
      <c r="D27" s="102"/>
      <c r="E27" s="82">
        <v>4054391.56</v>
      </c>
      <c r="F27" s="98"/>
      <c r="G27" s="82">
        <v>3624000</v>
      </c>
      <c r="H27" s="98"/>
      <c r="I27" s="82">
        <v>430391.56000000006</v>
      </c>
      <c r="J27" s="98"/>
      <c r="K27" s="79">
        <v>0.11876146799116999</v>
      </c>
      <c r="L27" s="99"/>
      <c r="M27" s="82">
        <v>3734130.77</v>
      </c>
      <c r="N27" s="83"/>
      <c r="O27" s="82">
        <v>320260.79000000004</v>
      </c>
      <c r="P27" s="120"/>
      <c r="Q27" s="79">
        <v>8.5765820675851701E-2</v>
      </c>
      <c r="R27" s="120"/>
      <c r="S27" s="84">
        <v>9.0228955561167681E-2</v>
      </c>
      <c r="T27" s="84"/>
      <c r="U27" s="84">
        <v>7.633652104309728E-2</v>
      </c>
      <c r="V27" s="84"/>
      <c r="W27" s="84">
        <v>8.1952649706983446E-2</v>
      </c>
    </row>
    <row r="28" spans="1:23">
      <c r="A28" s="104"/>
      <c r="B28" s="103"/>
      <c r="C28" s="103" t="s">
        <v>52</v>
      </c>
      <c r="D28" s="102"/>
      <c r="E28" s="82">
        <v>11185708.140000001</v>
      </c>
      <c r="F28" s="98"/>
      <c r="G28" s="82">
        <v>10600000</v>
      </c>
      <c r="H28" s="98"/>
      <c r="I28" s="82">
        <v>585708.1400000006</v>
      </c>
      <c r="J28" s="98"/>
      <c r="K28" s="85">
        <v>5.5255484905660436E-2</v>
      </c>
      <c r="L28" s="99"/>
      <c r="M28" s="82">
        <v>10544787.310000001</v>
      </c>
      <c r="N28" s="86"/>
      <c r="O28" s="82">
        <v>640920.83000000007</v>
      </c>
      <c r="P28" s="119"/>
      <c r="Q28" s="85">
        <v>6.0780821002638132E-2</v>
      </c>
      <c r="R28" s="119"/>
      <c r="S28" s="84">
        <v>6.127247674250056E-2</v>
      </c>
      <c r="T28" s="84"/>
      <c r="U28" s="84">
        <v>6.5477771531994536E-2</v>
      </c>
      <c r="V28" s="84"/>
      <c r="W28" s="84">
        <v>6.2390060800739958E-2</v>
      </c>
    </row>
    <row r="29" spans="1:23">
      <c r="A29" s="104"/>
      <c r="B29" s="103"/>
      <c r="C29" s="103"/>
      <c r="D29" s="102"/>
      <c r="E29" s="88"/>
      <c r="F29" s="98"/>
      <c r="G29" s="88"/>
      <c r="H29" s="98"/>
      <c r="I29" s="88"/>
      <c r="J29" s="98"/>
      <c r="K29" s="89"/>
      <c r="L29" s="99"/>
      <c r="M29" s="88"/>
      <c r="N29" s="83"/>
      <c r="O29" s="88"/>
      <c r="P29" s="120"/>
      <c r="Q29" s="89"/>
      <c r="R29" s="120"/>
      <c r="S29" s="90"/>
      <c r="T29" s="84"/>
      <c r="U29" s="90"/>
      <c r="V29" s="84"/>
      <c r="W29" s="90"/>
    </row>
    <row r="30" spans="1:23">
      <c r="A30" s="104"/>
      <c r="B30" s="103"/>
      <c r="C30" s="103" t="s">
        <v>51</v>
      </c>
      <c r="D30" s="102"/>
      <c r="E30" s="82">
        <v>15240099.699999999</v>
      </c>
      <c r="F30" s="98"/>
      <c r="G30" s="82">
        <v>14224000</v>
      </c>
      <c r="H30" s="98"/>
      <c r="I30" s="82">
        <v>1016099.6999999993</v>
      </c>
      <c r="J30" s="98"/>
      <c r="K30" s="85">
        <v>7.1435580708661364E-2</v>
      </c>
      <c r="L30" s="99"/>
      <c r="M30" s="82">
        <v>14278918.08</v>
      </c>
      <c r="N30" s="83"/>
      <c r="O30" s="82">
        <v>961181.61999999918</v>
      </c>
      <c r="P30" s="120"/>
      <c r="Q30" s="85">
        <v>6.7314737336177724E-2</v>
      </c>
      <c r="R30" s="120"/>
      <c r="S30" s="84">
        <v>6.6992011712026012E-2</v>
      </c>
      <c r="T30" s="84"/>
      <c r="U30" s="84">
        <v>6.7940065246153772E-2</v>
      </c>
      <c r="V30" s="84"/>
      <c r="W30" s="84">
        <v>6.6544064446974971E-2</v>
      </c>
    </row>
    <row r="31" spans="1:23">
      <c r="A31" s="104"/>
      <c r="B31" s="103"/>
      <c r="C31" s="103"/>
      <c r="D31" s="102"/>
      <c r="E31" s="88"/>
      <c r="F31" s="98"/>
      <c r="G31" s="88"/>
      <c r="H31" s="98"/>
      <c r="I31" s="88"/>
      <c r="J31" s="98"/>
      <c r="K31" s="110"/>
      <c r="L31" s="120"/>
      <c r="M31" s="88"/>
      <c r="N31" s="83"/>
      <c r="O31" s="88"/>
      <c r="P31" s="120"/>
      <c r="Q31" s="110"/>
      <c r="R31" s="120"/>
      <c r="S31" s="121"/>
      <c r="T31" s="120"/>
      <c r="U31" s="121"/>
      <c r="V31" s="120"/>
      <c r="W31" s="121"/>
    </row>
    <row r="32" spans="1:23">
      <c r="A32" s="104"/>
      <c r="B32" s="103"/>
      <c r="C32" s="103" t="s">
        <v>70</v>
      </c>
      <c r="D32" s="102"/>
      <c r="E32" s="82">
        <v>1128671133.0999999</v>
      </c>
      <c r="F32" s="98"/>
      <c r="G32" s="82">
        <v>1075617000</v>
      </c>
      <c r="H32" s="98"/>
      <c r="I32" s="82">
        <v>53054133.099999905</v>
      </c>
      <c r="J32" s="98"/>
      <c r="K32" s="79">
        <v>4.9324372058083786E-2</v>
      </c>
      <c r="L32" s="99"/>
      <c r="M32" s="82">
        <v>1126526971.3</v>
      </c>
      <c r="N32" s="83"/>
      <c r="O32" s="82">
        <v>2144161.7999999523</v>
      </c>
      <c r="P32" s="120"/>
      <c r="Q32" s="79">
        <v>1.9033381841942166E-3</v>
      </c>
      <c r="R32" s="120"/>
      <c r="S32" s="80">
        <v>0.96591545910089738</v>
      </c>
      <c r="T32" s="81"/>
      <c r="U32" s="80">
        <v>0.97598990271106034</v>
      </c>
      <c r="V32" s="81"/>
      <c r="W32" s="80">
        <v>0.98058329935858202</v>
      </c>
    </row>
    <row r="33" spans="1:23" ht="15.6">
      <c r="A33" s="104"/>
      <c r="B33" s="103"/>
      <c r="C33" s="103"/>
      <c r="D33" s="102"/>
      <c r="E33" s="83"/>
      <c r="F33" s="98"/>
      <c r="G33" s="83"/>
      <c r="H33" s="98"/>
      <c r="I33" s="83"/>
      <c r="J33" s="98"/>
      <c r="K33" s="89"/>
      <c r="L33" s="99"/>
      <c r="M33" s="83"/>
      <c r="N33" s="83"/>
      <c r="O33" s="83"/>
      <c r="P33" s="120"/>
      <c r="Q33" s="89"/>
      <c r="R33" s="120"/>
      <c r="S33" s="99"/>
      <c r="T33" s="120"/>
      <c r="U33" s="188"/>
      <c r="V33" s="120"/>
      <c r="W33" s="111"/>
    </row>
    <row r="34" spans="1:23" ht="15.6">
      <c r="A34" s="104"/>
      <c r="B34" s="109" t="s">
        <v>69</v>
      </c>
      <c r="C34" s="103"/>
      <c r="D34" s="102"/>
      <c r="E34" s="92">
        <v>13999396.77</v>
      </c>
      <c r="F34" s="98"/>
      <c r="G34" s="92">
        <v>17516000</v>
      </c>
      <c r="H34" s="98"/>
      <c r="I34" s="92">
        <v>-3516603.2300000004</v>
      </c>
      <c r="J34" s="98"/>
      <c r="K34" s="85">
        <v>-0.20076519924640332</v>
      </c>
      <c r="L34" s="99"/>
      <c r="M34" s="92">
        <v>14215222.960000001</v>
      </c>
      <c r="N34" s="86"/>
      <c r="O34" s="92">
        <v>-215826.19000000134</v>
      </c>
      <c r="P34" s="119"/>
      <c r="Q34" s="85">
        <v>-1.5182750957006538E-2</v>
      </c>
      <c r="R34" s="119"/>
      <c r="S34" s="93"/>
      <c r="T34" s="119"/>
      <c r="U34" s="188"/>
      <c r="V34" s="119"/>
      <c r="W34" s="111"/>
    </row>
    <row r="35" spans="1:23" ht="15.6">
      <c r="A35" s="104"/>
      <c r="B35" s="103"/>
      <c r="C35" s="103"/>
      <c r="D35" s="102"/>
      <c r="E35" s="118"/>
      <c r="F35" s="98"/>
      <c r="G35" s="118"/>
      <c r="H35" s="98"/>
      <c r="I35" s="118"/>
      <c r="J35" s="98"/>
      <c r="K35" s="89"/>
      <c r="L35" s="99"/>
      <c r="M35" s="118"/>
      <c r="N35" s="99"/>
      <c r="O35" s="118"/>
      <c r="P35" s="99"/>
      <c r="Q35" s="89"/>
      <c r="R35" s="99"/>
      <c r="S35" s="99"/>
      <c r="T35" s="99"/>
      <c r="U35" s="188"/>
      <c r="V35" s="99"/>
      <c r="W35" s="111"/>
    </row>
    <row r="36" spans="1:23" ht="16.2" thickBot="1">
      <c r="A36" s="104"/>
      <c r="B36" s="103"/>
      <c r="C36" s="103" t="s">
        <v>68</v>
      </c>
      <c r="D36" s="102"/>
      <c r="E36" s="94">
        <v>1142670529.8699999</v>
      </c>
      <c r="F36" s="98"/>
      <c r="G36" s="94">
        <v>1093133000</v>
      </c>
      <c r="H36" s="98"/>
      <c r="I36" s="94">
        <v>49537529.869999886</v>
      </c>
      <c r="J36" s="98"/>
      <c r="K36" s="95">
        <v>4.5317019859431561E-2</v>
      </c>
      <c r="L36" s="99"/>
      <c r="M36" s="94">
        <v>1140742194.26</v>
      </c>
      <c r="N36" s="115"/>
      <c r="O36" s="94">
        <v>1928335.6099998951</v>
      </c>
      <c r="P36" s="115"/>
      <c r="Q36" s="95">
        <v>1.6904219197843491E-3</v>
      </c>
      <c r="R36" s="115"/>
      <c r="S36" s="93"/>
      <c r="T36" s="115"/>
      <c r="U36" s="188"/>
      <c r="V36" s="115"/>
      <c r="W36" s="111"/>
    </row>
    <row r="37" spans="1:23" ht="15" thickTop="1">
      <c r="A37" s="104"/>
      <c r="B37" s="103"/>
      <c r="C37" s="103"/>
      <c r="D37" s="102"/>
      <c r="E37" s="98"/>
      <c r="F37" s="98"/>
      <c r="G37" s="98"/>
      <c r="H37" s="99"/>
      <c r="I37" s="187"/>
      <c r="J37" s="83"/>
      <c r="K37" s="116"/>
      <c r="L37" s="99"/>
      <c r="M37" s="98"/>
      <c r="N37" s="115"/>
      <c r="O37" s="117"/>
      <c r="P37" s="115"/>
      <c r="Q37" s="116"/>
      <c r="R37" s="115"/>
      <c r="S37" s="98"/>
      <c r="T37" s="98"/>
      <c r="U37" s="98"/>
      <c r="V37" s="98"/>
      <c r="W37" s="98"/>
    </row>
    <row r="38" spans="1:23">
      <c r="A38" s="104"/>
      <c r="B38" s="103"/>
      <c r="C38" s="103" t="s">
        <v>67</v>
      </c>
      <c r="D38" s="102"/>
      <c r="E38" s="78">
        <v>24126255.84</v>
      </c>
      <c r="F38" s="98"/>
      <c r="G38" s="78">
        <v>20010000</v>
      </c>
      <c r="H38" s="99"/>
      <c r="I38" s="83"/>
      <c r="J38" s="83"/>
      <c r="K38" s="96"/>
      <c r="L38" s="99"/>
      <c r="M38" s="78">
        <v>19585627.969999999</v>
      </c>
      <c r="N38" s="115"/>
      <c r="O38" s="114"/>
      <c r="P38" s="115"/>
      <c r="Q38" s="96"/>
      <c r="R38" s="99" t="s">
        <v>37</v>
      </c>
      <c r="S38" s="98"/>
      <c r="T38" s="98"/>
      <c r="U38" s="98"/>
      <c r="V38" s="98"/>
      <c r="W38" s="98"/>
    </row>
    <row r="39" spans="1:23">
      <c r="A39" s="104"/>
      <c r="B39" s="103"/>
      <c r="C39" s="103" t="s">
        <v>43</v>
      </c>
      <c r="D39" s="102"/>
      <c r="E39" s="82">
        <v>3875533.98</v>
      </c>
      <c r="F39" s="98"/>
      <c r="G39" s="82">
        <v>3799000</v>
      </c>
      <c r="H39" s="99"/>
      <c r="I39" s="83"/>
      <c r="J39" s="83"/>
      <c r="K39" s="96"/>
      <c r="L39" s="99"/>
      <c r="M39" s="82">
        <v>4067578.66</v>
      </c>
      <c r="N39" s="115"/>
      <c r="O39" s="114"/>
      <c r="P39" s="115"/>
      <c r="Q39" s="96"/>
      <c r="R39" s="99" t="s">
        <v>37</v>
      </c>
      <c r="S39" s="98"/>
      <c r="T39" s="98"/>
      <c r="U39" s="98"/>
      <c r="V39" s="98"/>
      <c r="W39" s="98"/>
    </row>
    <row r="40" spans="1:23">
      <c r="A40" s="104"/>
      <c r="B40" s="103"/>
      <c r="C40" s="103" t="s">
        <v>66</v>
      </c>
      <c r="D40" s="102"/>
      <c r="E40" s="82">
        <v>-3115194.18</v>
      </c>
      <c r="F40" s="98"/>
      <c r="G40" s="82">
        <v>-2936384.9730000002</v>
      </c>
      <c r="H40" s="99"/>
      <c r="I40" s="83"/>
      <c r="J40" s="83"/>
      <c r="K40" s="96"/>
      <c r="L40" s="99"/>
      <c r="M40" s="82">
        <v>-3434094.89</v>
      </c>
      <c r="N40" s="115"/>
      <c r="O40" s="114"/>
      <c r="P40" s="115"/>
      <c r="Q40" s="96"/>
      <c r="R40" s="99"/>
      <c r="S40" s="98"/>
      <c r="T40" s="98"/>
      <c r="U40" s="98"/>
      <c r="V40" s="98"/>
      <c r="W40" s="98"/>
    </row>
    <row r="41" spans="1:23" ht="15.6">
      <c r="A41" s="104"/>
      <c r="B41" s="103"/>
      <c r="C41" s="103"/>
      <c r="D41" s="103"/>
      <c r="E41" s="98"/>
      <c r="F41" s="98"/>
      <c r="G41" s="99"/>
      <c r="H41" s="99"/>
      <c r="I41" s="83"/>
      <c r="J41" s="83"/>
      <c r="K41" s="96"/>
      <c r="L41" s="99"/>
      <c r="M41" s="99"/>
      <c r="N41" s="99"/>
      <c r="O41" s="114"/>
      <c r="P41" s="99"/>
      <c r="Q41" s="96"/>
      <c r="R41" s="99" t="s">
        <v>37</v>
      </c>
      <c r="S41" s="98"/>
      <c r="T41" s="99"/>
      <c r="U41" s="188"/>
      <c r="V41" s="99"/>
      <c r="W41" s="111"/>
    </row>
    <row r="42" spans="1:23" ht="15.6">
      <c r="A42" s="113" t="s">
        <v>65</v>
      </c>
      <c r="B42" s="112"/>
      <c r="C42" s="112"/>
      <c r="D42" s="103"/>
      <c r="E42" s="98"/>
      <c r="F42" s="98"/>
      <c r="G42" s="99"/>
      <c r="H42" s="99"/>
      <c r="I42" s="83"/>
      <c r="J42" s="83"/>
      <c r="K42" s="96"/>
      <c r="L42" s="99"/>
      <c r="M42" s="99"/>
      <c r="N42" s="99"/>
      <c r="O42" s="114"/>
      <c r="P42" s="99"/>
      <c r="Q42" s="96"/>
      <c r="R42" s="99"/>
      <c r="S42" s="99"/>
      <c r="T42" s="99"/>
      <c r="U42" s="188"/>
      <c r="V42" s="99"/>
      <c r="W42" s="111"/>
    </row>
    <row r="43" spans="1:23" ht="15.6">
      <c r="A43" s="113"/>
      <c r="B43" s="112" t="s">
        <v>64</v>
      </c>
      <c r="C43" s="103"/>
      <c r="D43" s="103"/>
      <c r="E43" s="98"/>
      <c r="F43" s="98"/>
      <c r="G43" s="99"/>
      <c r="H43" s="99"/>
      <c r="I43" s="83"/>
      <c r="J43" s="83"/>
      <c r="K43" s="96"/>
      <c r="L43" s="99"/>
      <c r="M43" s="99"/>
      <c r="N43" s="99"/>
      <c r="O43" s="99"/>
      <c r="P43" s="99"/>
      <c r="Q43" s="96"/>
      <c r="R43" s="99"/>
      <c r="S43" s="99"/>
      <c r="T43" s="99"/>
      <c r="U43" s="188"/>
      <c r="V43" s="99"/>
      <c r="W43" s="111"/>
    </row>
    <row r="44" spans="1:23">
      <c r="A44" s="104"/>
      <c r="B44" s="103"/>
      <c r="C44" s="103" t="s">
        <v>63</v>
      </c>
      <c r="D44" s="102"/>
      <c r="E44" s="108">
        <v>589172226</v>
      </c>
      <c r="F44" s="98"/>
      <c r="G44" s="108">
        <v>558586000</v>
      </c>
      <c r="H44" s="101"/>
      <c r="I44" s="108">
        <v>30586226</v>
      </c>
      <c r="J44" s="83"/>
      <c r="K44" s="79">
        <v>5.475652092963304E-2</v>
      </c>
      <c r="L44" s="189"/>
      <c r="M44" s="108">
        <v>581308495</v>
      </c>
      <c r="N44" s="101"/>
      <c r="O44" s="108">
        <v>7863731</v>
      </c>
      <c r="P44" s="99"/>
      <c r="Q44" s="79">
        <v>1.3527638194931248E-2</v>
      </c>
      <c r="R44" s="99"/>
      <c r="S44" s="98"/>
      <c r="T44" s="98"/>
      <c r="U44" s="98"/>
      <c r="V44" s="98"/>
      <c r="W44" s="98"/>
    </row>
    <row r="45" spans="1:23">
      <c r="A45" s="104"/>
      <c r="B45" s="103"/>
      <c r="C45" s="103" t="s">
        <v>62</v>
      </c>
      <c r="D45" s="102"/>
      <c r="E45" s="108">
        <v>267471681</v>
      </c>
      <c r="F45" s="98"/>
      <c r="G45" s="108">
        <v>250940000</v>
      </c>
      <c r="H45" s="101"/>
      <c r="I45" s="108">
        <v>16531681</v>
      </c>
      <c r="J45" s="83"/>
      <c r="K45" s="79">
        <v>6.5879018888977445E-2</v>
      </c>
      <c r="L45" s="99"/>
      <c r="M45" s="108">
        <v>263771388</v>
      </c>
      <c r="N45" s="101"/>
      <c r="O45" s="108">
        <v>3700293</v>
      </c>
      <c r="P45" s="99"/>
      <c r="Q45" s="79">
        <v>1.402840932845984E-2</v>
      </c>
      <c r="R45" s="99"/>
      <c r="S45" s="98"/>
      <c r="T45" s="98"/>
      <c r="U45" s="98"/>
      <c r="V45" s="98"/>
      <c r="W45" s="98"/>
    </row>
    <row r="46" spans="1:23">
      <c r="A46" s="104"/>
      <c r="B46" s="103"/>
      <c r="C46" s="103" t="s">
        <v>61</v>
      </c>
      <c r="D46" s="102"/>
      <c r="E46" s="108">
        <v>31828512</v>
      </c>
      <c r="F46" s="98"/>
      <c r="G46" s="108">
        <v>30864000</v>
      </c>
      <c r="H46" s="101"/>
      <c r="I46" s="108">
        <v>964512</v>
      </c>
      <c r="J46" s="83"/>
      <c r="K46" s="85">
        <v>3.1250388802488337E-2</v>
      </c>
      <c r="L46" s="99"/>
      <c r="M46" s="108">
        <v>31710621</v>
      </c>
      <c r="N46" s="101"/>
      <c r="O46" s="108">
        <v>117891</v>
      </c>
      <c r="P46" s="99"/>
      <c r="Q46" s="85">
        <v>3.7177133806367275E-3</v>
      </c>
      <c r="R46" s="99"/>
      <c r="S46" s="98"/>
      <c r="T46" s="98"/>
      <c r="U46" s="98"/>
      <c r="V46" s="98"/>
      <c r="W46" s="98"/>
    </row>
    <row r="47" spans="1:23">
      <c r="A47" s="104"/>
      <c r="B47" s="103"/>
      <c r="C47" s="103"/>
      <c r="D47" s="102"/>
      <c r="E47" s="107" t="s">
        <v>37</v>
      </c>
      <c r="F47" s="98"/>
      <c r="G47" s="107" t="s">
        <v>37</v>
      </c>
      <c r="H47" s="101"/>
      <c r="I47" s="107"/>
      <c r="J47" s="83"/>
      <c r="K47" s="89"/>
      <c r="L47" s="99"/>
      <c r="M47" s="107" t="s">
        <v>37</v>
      </c>
      <c r="N47" s="101"/>
      <c r="O47" s="107"/>
      <c r="P47" s="99"/>
      <c r="Q47" s="89"/>
      <c r="R47" s="99"/>
      <c r="S47" s="98"/>
      <c r="T47" s="98"/>
      <c r="U47" s="98"/>
      <c r="V47" s="98"/>
      <c r="W47" s="98"/>
    </row>
    <row r="48" spans="1:23">
      <c r="A48" s="104"/>
      <c r="B48" s="103"/>
      <c r="C48" s="103" t="s">
        <v>60</v>
      </c>
      <c r="D48" s="102"/>
      <c r="E48" s="108">
        <v>888472419</v>
      </c>
      <c r="F48" s="98"/>
      <c r="G48" s="108">
        <v>840390000</v>
      </c>
      <c r="H48" s="101"/>
      <c r="I48" s="108">
        <v>48082419</v>
      </c>
      <c r="J48" s="83"/>
      <c r="K48" s="79">
        <v>5.721441116624424E-2</v>
      </c>
      <c r="L48" s="99"/>
      <c r="M48" s="108">
        <v>876790504</v>
      </c>
      <c r="N48" s="101"/>
      <c r="O48" s="108">
        <v>11681915</v>
      </c>
      <c r="P48" s="99"/>
      <c r="Q48" s="79">
        <v>1.3323496259033389E-2</v>
      </c>
      <c r="R48" s="99"/>
      <c r="S48" s="98"/>
      <c r="T48" s="98"/>
      <c r="U48" s="98"/>
      <c r="V48" s="98"/>
      <c r="W48" s="98"/>
    </row>
    <row r="49" spans="1:23">
      <c r="A49" s="104"/>
      <c r="B49" s="103"/>
      <c r="C49" s="103"/>
      <c r="D49" s="103"/>
      <c r="E49" s="101"/>
      <c r="F49" s="98"/>
      <c r="G49" s="101"/>
      <c r="H49" s="101"/>
      <c r="I49" s="101"/>
      <c r="J49" s="83"/>
      <c r="K49" s="89"/>
      <c r="L49" s="99"/>
      <c r="M49" s="101"/>
      <c r="N49" s="101"/>
      <c r="O49" s="101"/>
      <c r="P49" s="99"/>
      <c r="Q49" s="89"/>
      <c r="R49" s="99"/>
      <c r="S49" s="98"/>
      <c r="T49" s="98"/>
      <c r="U49" s="98"/>
      <c r="V49" s="98"/>
      <c r="W49" s="98"/>
    </row>
    <row r="50" spans="1:23">
      <c r="A50" s="104"/>
      <c r="B50" s="109" t="s">
        <v>59</v>
      </c>
      <c r="C50" s="103"/>
      <c r="D50" s="103"/>
      <c r="E50" s="101"/>
      <c r="F50" s="98"/>
      <c r="G50" s="101"/>
      <c r="H50" s="101"/>
      <c r="I50" s="101"/>
      <c r="J50" s="83"/>
      <c r="K50" s="89"/>
      <c r="L50" s="99"/>
      <c r="M50" s="101"/>
      <c r="N50" s="101"/>
      <c r="O50" s="101"/>
      <c r="P50" s="99"/>
      <c r="Q50" s="89"/>
      <c r="R50" s="99"/>
      <c r="S50" s="98"/>
      <c r="T50" s="98"/>
      <c r="U50" s="98"/>
      <c r="V50" s="98"/>
      <c r="W50" s="98"/>
    </row>
    <row r="51" spans="1:23">
      <c r="A51" s="104"/>
      <c r="B51" s="103"/>
      <c r="C51" s="103" t="s">
        <v>58</v>
      </c>
      <c r="D51" s="102"/>
      <c r="E51" s="108">
        <v>49762193</v>
      </c>
      <c r="F51" s="98"/>
      <c r="G51" s="108">
        <v>48423000</v>
      </c>
      <c r="H51" s="101"/>
      <c r="I51" s="108">
        <v>1339193</v>
      </c>
      <c r="J51" s="83"/>
      <c r="K51" s="79">
        <v>2.7656134481548026E-2</v>
      </c>
      <c r="L51" s="99"/>
      <c r="M51" s="108">
        <v>53654961</v>
      </c>
      <c r="N51" s="101"/>
      <c r="O51" s="108">
        <v>-3892768</v>
      </c>
      <c r="P51" s="99"/>
      <c r="Q51" s="79">
        <v>-7.2551874560117566E-2</v>
      </c>
      <c r="R51" s="99"/>
      <c r="S51" s="98"/>
      <c r="T51" s="98"/>
      <c r="U51" s="98"/>
      <c r="V51" s="98"/>
      <c r="W51" s="98"/>
    </row>
    <row r="52" spans="1:23">
      <c r="A52" s="104"/>
      <c r="B52" s="103"/>
      <c r="C52" s="103" t="s">
        <v>57</v>
      </c>
      <c r="D52" s="102"/>
      <c r="E52" s="108">
        <v>2772971</v>
      </c>
      <c r="F52" s="98"/>
      <c r="G52" s="108">
        <v>3904000</v>
      </c>
      <c r="H52" s="101"/>
      <c r="I52" s="108">
        <v>-1131029</v>
      </c>
      <c r="J52" s="83"/>
      <c r="K52" s="85">
        <v>-0.28971029713114754</v>
      </c>
      <c r="L52" s="99"/>
      <c r="M52" s="108">
        <v>3809675</v>
      </c>
      <c r="N52" s="101"/>
      <c r="O52" s="108">
        <v>-1036704</v>
      </c>
      <c r="P52" s="99"/>
      <c r="Q52" s="85">
        <v>-0.27212400007874687</v>
      </c>
      <c r="R52" s="99"/>
      <c r="S52" s="98"/>
      <c r="T52" s="98"/>
      <c r="U52" s="98"/>
      <c r="V52" s="98"/>
      <c r="W52" s="98"/>
    </row>
    <row r="53" spans="1:23">
      <c r="A53" s="104"/>
      <c r="B53" s="103"/>
      <c r="C53" s="103"/>
      <c r="D53" s="102"/>
      <c r="E53" s="107" t="s">
        <v>37</v>
      </c>
      <c r="F53" s="98"/>
      <c r="G53" s="107" t="s">
        <v>37</v>
      </c>
      <c r="H53" s="101"/>
      <c r="I53" s="107"/>
      <c r="J53" s="83"/>
      <c r="K53" s="89"/>
      <c r="L53" s="99"/>
      <c r="M53" s="107" t="s">
        <v>37</v>
      </c>
      <c r="N53" s="101"/>
      <c r="O53" s="107"/>
      <c r="P53" s="99"/>
      <c r="Q53" s="89"/>
      <c r="R53" s="99"/>
      <c r="S53" s="98"/>
      <c r="T53" s="98"/>
      <c r="U53" s="98"/>
      <c r="V53" s="98"/>
      <c r="W53" s="98"/>
    </row>
    <row r="54" spans="1:23">
      <c r="A54" s="104"/>
      <c r="B54" s="103"/>
      <c r="C54" s="103" t="s">
        <v>56</v>
      </c>
      <c r="D54" s="102"/>
      <c r="E54" s="108">
        <v>52535164</v>
      </c>
      <c r="F54" s="98"/>
      <c r="G54" s="108">
        <v>52327000</v>
      </c>
      <c r="H54" s="101"/>
      <c r="I54" s="108">
        <v>208164</v>
      </c>
      <c r="J54" s="83"/>
      <c r="K54" s="85">
        <v>3.9781374816060542E-3</v>
      </c>
      <c r="L54" s="99"/>
      <c r="M54" s="108">
        <v>57464636</v>
      </c>
      <c r="N54" s="101"/>
      <c r="O54" s="108">
        <v>-4929472</v>
      </c>
      <c r="P54" s="99"/>
      <c r="Q54" s="85">
        <v>-8.5782706428350119E-2</v>
      </c>
      <c r="R54" s="99"/>
      <c r="S54" s="98"/>
      <c r="T54" s="98"/>
      <c r="U54" s="98"/>
      <c r="V54" s="98"/>
      <c r="W54" s="98"/>
    </row>
    <row r="55" spans="1:23">
      <c r="A55" s="104"/>
      <c r="B55" s="103"/>
      <c r="C55" s="103"/>
      <c r="D55" s="102"/>
      <c r="E55" s="107" t="s">
        <v>37</v>
      </c>
      <c r="F55" s="98"/>
      <c r="G55" s="107" t="s">
        <v>37</v>
      </c>
      <c r="H55" s="101"/>
      <c r="I55" s="107"/>
      <c r="J55" s="83"/>
      <c r="K55" s="110"/>
      <c r="L55" s="99"/>
      <c r="M55" s="107" t="s">
        <v>37</v>
      </c>
      <c r="N55" s="101"/>
      <c r="O55" s="107"/>
      <c r="P55" s="99"/>
      <c r="Q55" s="110"/>
      <c r="R55" s="99"/>
      <c r="S55" s="98"/>
      <c r="T55" s="98"/>
      <c r="U55" s="98"/>
      <c r="V55" s="98"/>
      <c r="W55" s="98"/>
    </row>
    <row r="56" spans="1:23">
      <c r="A56" s="104"/>
      <c r="B56" s="103"/>
      <c r="C56" s="103" t="s">
        <v>55</v>
      </c>
      <c r="D56" s="102"/>
      <c r="E56" s="108">
        <v>941007583</v>
      </c>
      <c r="F56" s="98"/>
      <c r="G56" s="108">
        <v>892717000</v>
      </c>
      <c r="H56" s="101"/>
      <c r="I56" s="108">
        <v>48290583</v>
      </c>
      <c r="J56" s="83"/>
      <c r="K56" s="79">
        <v>5.4093943545378879E-2</v>
      </c>
      <c r="L56" s="99"/>
      <c r="M56" s="108">
        <v>934255140</v>
      </c>
      <c r="N56" s="101"/>
      <c r="O56" s="108">
        <v>6752443</v>
      </c>
      <c r="P56" s="99"/>
      <c r="Q56" s="79">
        <v>7.2276219962782327E-3</v>
      </c>
      <c r="R56" s="99"/>
      <c r="S56" s="98"/>
      <c r="T56" s="98"/>
      <c r="U56" s="98"/>
      <c r="V56" s="98"/>
      <c r="W56" s="98"/>
    </row>
    <row r="57" spans="1:23">
      <c r="A57" s="104"/>
      <c r="B57" s="103"/>
      <c r="C57" s="103"/>
      <c r="D57" s="102"/>
      <c r="E57" s="101"/>
      <c r="F57" s="98"/>
      <c r="G57" s="101"/>
      <c r="H57" s="101"/>
      <c r="I57" s="101"/>
      <c r="J57" s="83"/>
      <c r="K57" s="89"/>
      <c r="L57" s="99"/>
      <c r="M57" s="101"/>
      <c r="N57" s="101"/>
      <c r="O57" s="101"/>
      <c r="P57" s="99"/>
      <c r="Q57" s="89"/>
      <c r="R57" s="99"/>
      <c r="S57" s="98"/>
      <c r="T57" s="98"/>
      <c r="U57" s="98"/>
      <c r="V57" s="98"/>
      <c r="W57" s="98"/>
    </row>
    <row r="58" spans="1:23">
      <c r="A58" s="104"/>
      <c r="B58" s="109" t="s">
        <v>54</v>
      </c>
      <c r="C58" s="103"/>
      <c r="D58" s="103"/>
      <c r="E58" s="101"/>
      <c r="F58" s="99"/>
      <c r="G58" s="101"/>
      <c r="H58" s="101"/>
      <c r="I58" s="101"/>
      <c r="J58" s="83"/>
      <c r="K58" s="89"/>
      <c r="L58" s="99"/>
      <c r="M58" s="101"/>
      <c r="N58" s="101"/>
      <c r="O58" s="101"/>
      <c r="P58" s="99"/>
      <c r="Q58" s="89"/>
      <c r="R58" s="99"/>
      <c r="S58" s="98"/>
      <c r="T58" s="98"/>
      <c r="U58" s="98"/>
      <c r="V58" s="98"/>
      <c r="W58" s="98"/>
    </row>
    <row r="59" spans="1:23">
      <c r="A59" s="104"/>
      <c r="B59" s="103"/>
      <c r="C59" s="103" t="s">
        <v>53</v>
      </c>
      <c r="D59" s="103"/>
      <c r="E59" s="108">
        <v>44934484</v>
      </c>
      <c r="F59" s="99"/>
      <c r="G59" s="108">
        <v>47474000</v>
      </c>
      <c r="H59" s="101"/>
      <c r="I59" s="108">
        <v>-2539516</v>
      </c>
      <c r="J59" s="83"/>
      <c r="K59" s="79">
        <v>-5.3492774992627543E-2</v>
      </c>
      <c r="L59" s="99"/>
      <c r="M59" s="108">
        <v>45564491</v>
      </c>
      <c r="N59" s="98"/>
      <c r="O59" s="108">
        <v>-630007</v>
      </c>
      <c r="P59" s="99"/>
      <c r="Q59" s="79">
        <v>-1.3826709926376661E-2</v>
      </c>
      <c r="R59" s="98"/>
      <c r="S59" s="98"/>
      <c r="T59" s="98"/>
      <c r="U59" s="98"/>
      <c r="V59" s="98"/>
      <c r="W59" s="98"/>
    </row>
    <row r="60" spans="1:23">
      <c r="A60" s="104"/>
      <c r="B60" s="103"/>
      <c r="C60" s="103" t="s">
        <v>52</v>
      </c>
      <c r="D60" s="102"/>
      <c r="E60" s="108">
        <v>182556814</v>
      </c>
      <c r="F60" s="98"/>
      <c r="G60" s="108">
        <v>161887000</v>
      </c>
      <c r="H60" s="101"/>
      <c r="I60" s="108">
        <v>20669814</v>
      </c>
      <c r="J60" s="83"/>
      <c r="K60" s="85">
        <v>0.1276805055378134</v>
      </c>
      <c r="L60" s="99"/>
      <c r="M60" s="108">
        <v>169013897</v>
      </c>
      <c r="N60" s="98"/>
      <c r="O60" s="108">
        <v>13542917</v>
      </c>
      <c r="P60" s="99"/>
      <c r="Q60" s="85">
        <v>8.0129014479797478E-2</v>
      </c>
      <c r="R60" s="98"/>
      <c r="S60" s="98"/>
      <c r="T60" s="98"/>
      <c r="U60" s="98"/>
      <c r="V60" s="98"/>
      <c r="W60" s="98"/>
    </row>
    <row r="61" spans="1:23">
      <c r="A61" s="104"/>
      <c r="B61" s="103"/>
      <c r="C61" s="103"/>
      <c r="D61" s="102"/>
      <c r="E61" s="107" t="s">
        <v>37</v>
      </c>
      <c r="F61" s="98"/>
      <c r="G61" s="107" t="s">
        <v>37</v>
      </c>
      <c r="H61" s="101"/>
      <c r="I61" s="107"/>
      <c r="J61" s="83"/>
      <c r="K61" s="89"/>
      <c r="L61" s="99"/>
      <c r="M61" s="107" t="s">
        <v>37</v>
      </c>
      <c r="N61" s="101"/>
      <c r="O61" s="107"/>
      <c r="P61" s="99"/>
      <c r="Q61" s="89"/>
      <c r="R61" s="98"/>
      <c r="S61" s="98"/>
      <c r="T61" s="98"/>
      <c r="U61" s="98"/>
      <c r="V61" s="98"/>
      <c r="W61" s="98"/>
    </row>
    <row r="62" spans="1:23">
      <c r="A62" s="104"/>
      <c r="B62" s="103"/>
      <c r="C62" s="103" t="s">
        <v>51</v>
      </c>
      <c r="D62" s="102"/>
      <c r="E62" s="106">
        <v>227491298</v>
      </c>
      <c r="F62" s="98"/>
      <c r="G62" s="106">
        <v>209361000</v>
      </c>
      <c r="H62" s="101"/>
      <c r="I62" s="106">
        <v>18130298</v>
      </c>
      <c r="J62" s="83"/>
      <c r="K62" s="85">
        <v>8.6598258510419801E-2</v>
      </c>
      <c r="L62" s="99"/>
      <c r="M62" s="106">
        <v>214578388</v>
      </c>
      <c r="N62" s="101"/>
      <c r="O62" s="106">
        <v>12912910</v>
      </c>
      <c r="P62" s="99"/>
      <c r="Q62" s="85">
        <v>6.01780548374704E-2</v>
      </c>
      <c r="R62" s="98"/>
      <c r="S62" s="98"/>
      <c r="T62" s="98"/>
      <c r="U62" s="98"/>
      <c r="V62" s="98"/>
      <c r="W62" s="98"/>
    </row>
    <row r="63" spans="1:23">
      <c r="A63" s="104"/>
      <c r="B63" s="103"/>
      <c r="C63" s="103"/>
      <c r="D63" s="102"/>
      <c r="E63" s="101" t="s">
        <v>37</v>
      </c>
      <c r="F63" s="98"/>
      <c r="G63" s="101" t="s">
        <v>37</v>
      </c>
      <c r="H63" s="101"/>
      <c r="I63" s="101"/>
      <c r="J63" s="83"/>
      <c r="K63" s="89"/>
      <c r="L63" s="99"/>
      <c r="M63" s="101" t="s">
        <v>37</v>
      </c>
      <c r="N63" s="101"/>
      <c r="O63" s="101"/>
      <c r="P63" s="99"/>
      <c r="Q63" s="89"/>
      <c r="R63" s="98"/>
      <c r="S63" s="98"/>
      <c r="T63" s="98"/>
      <c r="U63" s="98"/>
      <c r="V63" s="98"/>
      <c r="W63" s="98"/>
    </row>
    <row r="64" spans="1:23" ht="15" thickBot="1">
      <c r="A64" s="104"/>
      <c r="B64" s="103"/>
      <c r="C64" s="103" t="s">
        <v>50</v>
      </c>
      <c r="D64" s="102"/>
      <c r="E64" s="105">
        <v>1168498881</v>
      </c>
      <c r="F64" s="98"/>
      <c r="G64" s="105">
        <v>1102078000</v>
      </c>
      <c r="H64" s="101"/>
      <c r="I64" s="105">
        <v>66420881</v>
      </c>
      <c r="J64" s="83"/>
      <c r="K64" s="95">
        <v>6.0268765913120484E-2</v>
      </c>
      <c r="L64" s="99"/>
      <c r="M64" s="105">
        <v>1148833528</v>
      </c>
      <c r="N64" s="101"/>
      <c r="O64" s="105">
        <v>19665353</v>
      </c>
      <c r="P64" s="99"/>
      <c r="Q64" s="95">
        <v>1.7117669810904058E-2</v>
      </c>
      <c r="R64" s="98"/>
      <c r="S64" s="98"/>
      <c r="T64" s="98"/>
      <c r="U64" s="98"/>
      <c r="V64" s="98"/>
      <c r="W64" s="98"/>
    </row>
    <row r="65" spans="1:23" ht="15" thickTop="1">
      <c r="A65" s="104"/>
      <c r="B65" s="103"/>
      <c r="C65" s="103"/>
      <c r="D65" s="102"/>
      <c r="E65" s="100"/>
      <c r="F65" s="98"/>
      <c r="G65" s="100"/>
      <c r="H65" s="101"/>
      <c r="I65" s="100"/>
      <c r="J65" s="83"/>
      <c r="K65" s="97"/>
      <c r="L65" s="99"/>
      <c r="M65" s="100"/>
      <c r="N65" s="101"/>
      <c r="O65" s="100"/>
      <c r="P65" s="99"/>
      <c r="Q65" s="97"/>
      <c r="R65" s="98"/>
      <c r="S65" s="98"/>
      <c r="T65" s="98"/>
      <c r="U65" s="98"/>
      <c r="V65" s="98"/>
      <c r="W65" s="98"/>
    </row>
  </sheetData>
  <pageMargins left="0.7" right="0.7" top="0.75" bottom="0.75" header="0.3" footer="0.3"/>
  <pageSetup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7DB6E0B-69C0-48F5-AC73-DEE2B39693E0}"/>
</file>

<file path=customXml/itemProps2.xml><?xml version="1.0" encoding="utf-8"?>
<ds:datastoreItem xmlns:ds="http://schemas.openxmlformats.org/officeDocument/2006/customXml" ds:itemID="{B392957F-E2CF-4580-990C-FAE699386C9B}"/>
</file>

<file path=customXml/itemProps3.xml><?xml version="1.0" encoding="utf-8"?>
<ds:datastoreItem xmlns:ds="http://schemas.openxmlformats.org/officeDocument/2006/customXml" ds:itemID="{E67E4B10-321C-4BDA-8630-ACE704571633}"/>
</file>

<file path=customXml/itemProps4.xml><?xml version="1.0" encoding="utf-8"?>
<ds:datastoreItem xmlns:ds="http://schemas.openxmlformats.org/officeDocument/2006/customXml" ds:itemID="{347F71AF-EF86-4BA9-BD2A-24684F5CB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Lead G</vt:lpstr>
      <vt:lpstr>3-YR AVERAGE-GAS</vt:lpstr>
      <vt:lpstr>NetWriteoffs-Gas</vt:lpstr>
      <vt:lpstr>BS Accts Gas</vt:lpstr>
      <vt:lpstr>SOG 12ME 5-2016</vt:lpstr>
      <vt:lpstr>SOG 12ME 5-2015</vt:lpstr>
      <vt:lpstr>SOG 12ME 5-2014</vt:lpstr>
      <vt:lpstr>SOG 12ME 5-2013</vt:lpstr>
      <vt:lpstr>SOG 12ME 5-2012</vt:lpstr>
      <vt:lpstr>904G Uncollectible 5YE 9-2016</vt:lpstr>
      <vt:lpstr>'SOG 12ME 5-2013'!Print_Area</vt:lpstr>
      <vt:lpstr>'SOG 12ME 5-2014'!Print_Area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Pedersen, Neal E</dc:creator>
  <cp:lastModifiedBy>kbarnard</cp:lastModifiedBy>
  <cp:lastPrinted>2016-12-21T19:24:16Z</cp:lastPrinted>
  <dcterms:created xsi:type="dcterms:W3CDTF">2010-03-09T22:21:25Z</dcterms:created>
  <dcterms:modified xsi:type="dcterms:W3CDTF">2018-04-05T16:44:23Z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