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365" windowWidth="18660" windowHeight="4410" tabRatio="700"/>
  </bookViews>
  <sheets>
    <sheet name="PFIS" sheetId="1" r:id="rId1"/>
    <sheet name="Sch 1 ADJs" sheetId="2" r:id="rId2"/>
    <sheet name="Sch 3.1 Staff Restating" sheetId="3" r:id="rId3"/>
    <sheet name="Sch 3.2 Staff ProForma" sheetId="4" r:id="rId4"/>
    <sheet name="Sch  6 Rev Req" sheetId="5" r:id="rId5"/>
    <sheet name="Sch 7 Interest Sync" sheetId="6" r:id="rId6"/>
    <sheet name="Sch 8 BEOY" sheetId="7" r:id="rId7"/>
    <sheet name="Sch 13 Worksheet Cal Adjs" sheetId="8" r:id="rId8"/>
    <sheet name="Sch 27 DR 17 IncomeMod" sheetId="9" r:id="rId9"/>
  </sheets>
  <externalReferences>
    <externalReference r:id="rId10"/>
    <externalReference r:id="rId11"/>
  </externalReferences>
  <definedNames>
    <definedName name="_xlnm.Print_Area" localSheetId="0">PFIS!$A$1:$N$62</definedName>
    <definedName name="_xlnm.Print_Area" localSheetId="1">'Sch 1 ADJs'!$A$2:$I$64</definedName>
    <definedName name="_xlnm.Print_Area" localSheetId="7">'Sch 13 Worksheet Cal Adjs'!$B$6:$M$635</definedName>
    <definedName name="_xlnm.Print_Area" localSheetId="8">'Sch 27 DR 17 IncomeMod'!$C$8:$Z$305</definedName>
    <definedName name="_xlnm.Print_Area" localSheetId="5">'Sch 7 Interest Sync'!$A$1:$F$29</definedName>
    <definedName name="_xlnm.Print_Area" localSheetId="6">'Sch 8 BEOY'!$A$1:$J$44</definedName>
    <definedName name="_xlnm.Print_Titles" localSheetId="7">'Sch 13 Worksheet Cal Adjs'!$A:$A,'Sch 13 Worksheet Cal Adjs'!$1:$6</definedName>
    <definedName name="_xlnm.Print_Titles" localSheetId="8">'Sch 27 DR 17 IncomeMod'!$A:$A,'Sch 27 DR 17 IncomeMod'!$1:$7</definedName>
    <definedName name="_xlnm.Print_Titles" localSheetId="2">'Sch 3.1 Staff Restating'!$A:$B</definedName>
    <definedName name="_xlnm.Print_Titles" localSheetId="3">'Sch 3.2 Staff ProForma'!$A:$B</definedName>
  </definedNames>
  <calcPr calcId="144525"/>
</workbook>
</file>

<file path=xl/calcChain.xml><?xml version="1.0" encoding="utf-8"?>
<calcChain xmlns="http://schemas.openxmlformats.org/spreadsheetml/2006/main">
  <c r="AD303" i="9" l="1"/>
  <c r="Y303" i="9"/>
  <c r="AQ301" i="9"/>
  <c r="AP301" i="9"/>
  <c r="AO301" i="9"/>
  <c r="AN301" i="9"/>
  <c r="AM301" i="9"/>
  <c r="AL301" i="9"/>
  <c r="AK301" i="9"/>
  <c r="AJ301" i="9"/>
  <c r="AI301" i="9"/>
  <c r="AH301" i="9"/>
  <c r="AG301" i="9"/>
  <c r="N301" i="9"/>
  <c r="M301" i="9"/>
  <c r="K301" i="9"/>
  <c r="J301" i="9"/>
  <c r="I301" i="9"/>
  <c r="AD299" i="9"/>
  <c r="H299" i="9"/>
  <c r="G299" i="9"/>
  <c r="AE298" i="9"/>
  <c r="AC298" i="9"/>
  <c r="AD298" i="9" s="1"/>
  <c r="AB298" i="9"/>
  <c r="Z298" i="9"/>
  <c r="X298" i="9"/>
  <c r="Y298" i="9" s="1"/>
  <c r="W298" i="9"/>
  <c r="AE297" i="9"/>
  <c r="AC297" i="9"/>
  <c r="AD297" i="9" s="1"/>
  <c r="AB297" i="9"/>
  <c r="Z297" i="9"/>
  <c r="X297" i="9"/>
  <c r="Y297" i="9" s="1"/>
  <c r="W297" i="9"/>
  <c r="AE296" i="9"/>
  <c r="AC296" i="9"/>
  <c r="AD296" i="9" s="1"/>
  <c r="AB296" i="9"/>
  <c r="Z296" i="9"/>
  <c r="X296" i="9"/>
  <c r="Y296" i="9" s="1"/>
  <c r="W296" i="9"/>
  <c r="AE295" i="9"/>
  <c r="AC295" i="9"/>
  <c r="AD295" i="9" s="1"/>
  <c r="AB295" i="9"/>
  <c r="Z295" i="9"/>
  <c r="X295" i="9"/>
  <c r="Y295" i="9" s="1"/>
  <c r="W295" i="9"/>
  <c r="AE294" i="9"/>
  <c r="AC294" i="9"/>
  <c r="AD294" i="9" s="1"/>
  <c r="AB294" i="9"/>
  <c r="Z294" i="9"/>
  <c r="X294" i="9"/>
  <c r="Y294" i="9" s="1"/>
  <c r="W294" i="9"/>
  <c r="AE293" i="9"/>
  <c r="AC293" i="9"/>
  <c r="AD293" i="9" s="1"/>
  <c r="AB293" i="9"/>
  <c r="Z293" i="9"/>
  <c r="X293" i="9"/>
  <c r="Y293" i="9" s="1"/>
  <c r="W293" i="9"/>
  <c r="AE292" i="9"/>
  <c r="AC292" i="9"/>
  <c r="AD292" i="9" s="1"/>
  <c r="AB292" i="9"/>
  <c r="Z292" i="9"/>
  <c r="X292" i="9"/>
  <c r="Y292" i="9" s="1"/>
  <c r="W292" i="9"/>
  <c r="AE291" i="9"/>
  <c r="AC291" i="9"/>
  <c r="AD291" i="9" s="1"/>
  <c r="AB291" i="9"/>
  <c r="Z291" i="9"/>
  <c r="X291" i="9"/>
  <c r="Y291" i="9" s="1"/>
  <c r="W291" i="9"/>
  <c r="AE290" i="9"/>
  <c r="AC290" i="9"/>
  <c r="AD290" i="9" s="1"/>
  <c r="AB290" i="9"/>
  <c r="Z290" i="9"/>
  <c r="X290" i="9"/>
  <c r="Y290" i="9" s="1"/>
  <c r="W290" i="9"/>
  <c r="AE289" i="9"/>
  <c r="AC289" i="9"/>
  <c r="AD289" i="9" s="1"/>
  <c r="AB289" i="9"/>
  <c r="Z289" i="9"/>
  <c r="X289" i="9"/>
  <c r="Y289" i="9" s="1"/>
  <c r="W289" i="9"/>
  <c r="AE288" i="9"/>
  <c r="AC288" i="9"/>
  <c r="AD288" i="9" s="1"/>
  <c r="AB288" i="9"/>
  <c r="Z288" i="9"/>
  <c r="X288" i="9"/>
  <c r="Y288" i="9" s="1"/>
  <c r="W288" i="9"/>
  <c r="AE287" i="9"/>
  <c r="AC287" i="9"/>
  <c r="AD287" i="9" s="1"/>
  <c r="AB287" i="9"/>
  <c r="Z287" i="9"/>
  <c r="X287" i="9"/>
  <c r="Y287" i="9" s="1"/>
  <c r="W287" i="9"/>
  <c r="AE286" i="9"/>
  <c r="AC286" i="9"/>
  <c r="AD286" i="9" s="1"/>
  <c r="AB286" i="9"/>
  <c r="Z286" i="9"/>
  <c r="X286" i="9"/>
  <c r="Y286" i="9" s="1"/>
  <c r="W286" i="9"/>
  <c r="AE285" i="9"/>
  <c r="AC285" i="9"/>
  <c r="AD285" i="9" s="1"/>
  <c r="AB285" i="9"/>
  <c r="Z285" i="9"/>
  <c r="X285" i="9"/>
  <c r="Y285" i="9" s="1"/>
  <c r="W285" i="9"/>
  <c r="AE284" i="9"/>
  <c r="AC284" i="9"/>
  <c r="AD284" i="9" s="1"/>
  <c r="AB284" i="9"/>
  <c r="Z284" i="9"/>
  <c r="X284" i="9"/>
  <c r="Y284" i="9" s="1"/>
  <c r="W284" i="9"/>
  <c r="AE283" i="9"/>
  <c r="AC283" i="9"/>
  <c r="AD283" i="9" s="1"/>
  <c r="AB283" i="9"/>
  <c r="Z283" i="9"/>
  <c r="X283" i="9"/>
  <c r="Y283" i="9" s="1"/>
  <c r="W283" i="9"/>
  <c r="AE281" i="9"/>
  <c r="AC281" i="9"/>
  <c r="AD281" i="9" s="1"/>
  <c r="AB281" i="9"/>
  <c r="Z281" i="9"/>
  <c r="X281" i="9"/>
  <c r="Y281" i="9" s="1"/>
  <c r="W281" i="9"/>
  <c r="AE280" i="9"/>
  <c r="AC280" i="9"/>
  <c r="AD280" i="9" s="1"/>
  <c r="AB280" i="9"/>
  <c r="Z280" i="9"/>
  <c r="X280" i="9"/>
  <c r="Y280" i="9" s="1"/>
  <c r="W280" i="9"/>
  <c r="AE279" i="9"/>
  <c r="AC279" i="9"/>
  <c r="AD279" i="9" s="1"/>
  <c r="AB279" i="9"/>
  <c r="Z279" i="9"/>
  <c r="X279" i="9"/>
  <c r="Y279" i="9" s="1"/>
  <c r="W279" i="9"/>
  <c r="AE278" i="9"/>
  <c r="AC278" i="9"/>
  <c r="AD278" i="9" s="1"/>
  <c r="AB278" i="9"/>
  <c r="Z278" i="9"/>
  <c r="X278" i="9"/>
  <c r="Y278" i="9" s="1"/>
  <c r="W278" i="9"/>
  <c r="AT277" i="9"/>
  <c r="AE277" i="9"/>
  <c r="AC277" i="9"/>
  <c r="AB277" i="9"/>
  <c r="AD277" i="9" s="1"/>
  <c r="Z277" i="9"/>
  <c r="X277" i="9"/>
  <c r="W277" i="9"/>
  <c r="Y277" i="9" s="1"/>
  <c r="AE276" i="9"/>
  <c r="AC276" i="9"/>
  <c r="AB276" i="9"/>
  <c r="AD276" i="9" s="1"/>
  <c r="Z276" i="9"/>
  <c r="X276" i="9"/>
  <c r="W276" i="9"/>
  <c r="Y276" i="9" s="1"/>
  <c r="AE275" i="9"/>
  <c r="AC275" i="9"/>
  <c r="AB275" i="9"/>
  <c r="AD275" i="9" s="1"/>
  <c r="Z275" i="9"/>
  <c r="X275" i="9"/>
  <c r="W275" i="9"/>
  <c r="Y275" i="9" s="1"/>
  <c r="AE274" i="9"/>
  <c r="AC274" i="9"/>
  <c r="AB274" i="9"/>
  <c r="AD274" i="9" s="1"/>
  <c r="Z274" i="9"/>
  <c r="X274" i="9"/>
  <c r="W274" i="9"/>
  <c r="Y274" i="9" s="1"/>
  <c r="AE273" i="9"/>
  <c r="AC273" i="9"/>
  <c r="AB273" i="9"/>
  <c r="AD273" i="9" s="1"/>
  <c r="Z273" i="9"/>
  <c r="X273" i="9"/>
  <c r="W273" i="9"/>
  <c r="Y273" i="9" s="1"/>
  <c r="AE272" i="9"/>
  <c r="AC272" i="9"/>
  <c r="AB272" i="9"/>
  <c r="AD272" i="9" s="1"/>
  <c r="Z272" i="9"/>
  <c r="X272" i="9"/>
  <c r="W272" i="9"/>
  <c r="Y272" i="9" s="1"/>
  <c r="AE271" i="9"/>
  <c r="AC271" i="9"/>
  <c r="AB271" i="9"/>
  <c r="AD271" i="9" s="1"/>
  <c r="Z271" i="9"/>
  <c r="X271" i="9"/>
  <c r="W271" i="9"/>
  <c r="Y271" i="9" s="1"/>
  <c r="AE270" i="9"/>
  <c r="AC270" i="9"/>
  <c r="AB270" i="9"/>
  <c r="AD270" i="9" s="1"/>
  <c r="Z270" i="9"/>
  <c r="X270" i="9"/>
  <c r="W270" i="9"/>
  <c r="Y270" i="9" s="1"/>
  <c r="AE269" i="9"/>
  <c r="AC269" i="9"/>
  <c r="AB269" i="9"/>
  <c r="AD269" i="9" s="1"/>
  <c r="Z269" i="9"/>
  <c r="X269" i="9"/>
  <c r="W269" i="9"/>
  <c r="Y269" i="9" s="1"/>
  <c r="AE268" i="9"/>
  <c r="AC268" i="9"/>
  <c r="AB268" i="9"/>
  <c r="AD268" i="9" s="1"/>
  <c r="Z268" i="9"/>
  <c r="X268" i="9"/>
  <c r="W268" i="9"/>
  <c r="Y268" i="9" s="1"/>
  <c r="AE267" i="9"/>
  <c r="AC267" i="9"/>
  <c r="AB267" i="9"/>
  <c r="AD267" i="9" s="1"/>
  <c r="Z267" i="9"/>
  <c r="X267" i="9"/>
  <c r="W267" i="9"/>
  <c r="Y267" i="9" s="1"/>
  <c r="AE266" i="9"/>
  <c r="AC266" i="9"/>
  <c r="AB266" i="9"/>
  <c r="AD266" i="9" s="1"/>
  <c r="Z266" i="9"/>
  <c r="X266" i="9"/>
  <c r="W266" i="9"/>
  <c r="Y266" i="9" s="1"/>
  <c r="AE265" i="9"/>
  <c r="AC265" i="9"/>
  <c r="AB265" i="9"/>
  <c r="AD265" i="9" s="1"/>
  <c r="Z265" i="9"/>
  <c r="X265" i="9"/>
  <c r="W265" i="9"/>
  <c r="Y265" i="9" s="1"/>
  <c r="AE264" i="9"/>
  <c r="AC264" i="9"/>
  <c r="AB264" i="9"/>
  <c r="AD264" i="9" s="1"/>
  <c r="Z264" i="9"/>
  <c r="X264" i="9"/>
  <c r="W264" i="9"/>
  <c r="Y264" i="9" s="1"/>
  <c r="AE263" i="9"/>
  <c r="AC263" i="9"/>
  <c r="AB263" i="9"/>
  <c r="AD263" i="9" s="1"/>
  <c r="Z263" i="9"/>
  <c r="X263" i="9"/>
  <c r="W263" i="9"/>
  <c r="Y263" i="9" s="1"/>
  <c r="AE262" i="9"/>
  <c r="AC262" i="9"/>
  <c r="AB262" i="9"/>
  <c r="AD262" i="9" s="1"/>
  <c r="Z262" i="9"/>
  <c r="X262" i="9"/>
  <c r="W262" i="9"/>
  <c r="Y262" i="9" s="1"/>
  <c r="AE261" i="9"/>
  <c r="AC261" i="9"/>
  <c r="AB261" i="9"/>
  <c r="AD261" i="9" s="1"/>
  <c r="Z261" i="9"/>
  <c r="X261" i="9"/>
  <c r="W261" i="9"/>
  <c r="Y261" i="9" s="1"/>
  <c r="AE260" i="9"/>
  <c r="AC260" i="9"/>
  <c r="AB260" i="9"/>
  <c r="AD260" i="9" s="1"/>
  <c r="Z260" i="9"/>
  <c r="X260" i="9"/>
  <c r="W260" i="9"/>
  <c r="Y260" i="9" s="1"/>
  <c r="AE259" i="9"/>
  <c r="AC259" i="9"/>
  <c r="AB259" i="9"/>
  <c r="AD259" i="9" s="1"/>
  <c r="Z259" i="9"/>
  <c r="X259" i="9"/>
  <c r="W259" i="9"/>
  <c r="Y259" i="9" s="1"/>
  <c r="AE255" i="9"/>
  <c r="AC255" i="9"/>
  <c r="AB255" i="9"/>
  <c r="AD255" i="9" s="1"/>
  <c r="Z255" i="9"/>
  <c r="X255" i="9"/>
  <c r="W255" i="9"/>
  <c r="Y255" i="9" s="1"/>
  <c r="AE251" i="9"/>
  <c r="AC251" i="9"/>
  <c r="AB251" i="9"/>
  <c r="AD251" i="9" s="1"/>
  <c r="Z251" i="9"/>
  <c r="X251" i="9"/>
  <c r="W251" i="9"/>
  <c r="Y251" i="9" s="1"/>
  <c r="AE250" i="9"/>
  <c r="AC250" i="9"/>
  <c r="AB250" i="9"/>
  <c r="AD250" i="9" s="1"/>
  <c r="Z250" i="9"/>
  <c r="X250" i="9"/>
  <c r="W250" i="9"/>
  <c r="Y250" i="9" s="1"/>
  <c r="AE249" i="9"/>
  <c r="AC249" i="9"/>
  <c r="AB249" i="9"/>
  <c r="AD249" i="9" s="1"/>
  <c r="Z249" i="9"/>
  <c r="X249" i="9"/>
  <c r="W249" i="9"/>
  <c r="Y249" i="9" s="1"/>
  <c r="AE246" i="9"/>
  <c r="AC246" i="9"/>
  <c r="AB246" i="9"/>
  <c r="AD246" i="9" s="1"/>
  <c r="Z246" i="9"/>
  <c r="X246" i="9"/>
  <c r="W246" i="9"/>
  <c r="Y246" i="9" s="1"/>
  <c r="AE245" i="9"/>
  <c r="AC245" i="9"/>
  <c r="AB245" i="9"/>
  <c r="AD245" i="9" s="1"/>
  <c r="Z245" i="9"/>
  <c r="X245" i="9"/>
  <c r="W245" i="9"/>
  <c r="Y245" i="9" s="1"/>
  <c r="AE244" i="9"/>
  <c r="AC244" i="9"/>
  <c r="AB244" i="9"/>
  <c r="AD244" i="9" s="1"/>
  <c r="Z244" i="9"/>
  <c r="X244" i="9"/>
  <c r="W244" i="9"/>
  <c r="Y244" i="9" s="1"/>
  <c r="AE243" i="9"/>
  <c r="AC243" i="9"/>
  <c r="AB243" i="9"/>
  <c r="AD243" i="9" s="1"/>
  <c r="Z243" i="9"/>
  <c r="X243" i="9"/>
  <c r="W243" i="9"/>
  <c r="Y243" i="9" s="1"/>
  <c r="AE242" i="9"/>
  <c r="AC242" i="9"/>
  <c r="AB242" i="9"/>
  <c r="AD242" i="9" s="1"/>
  <c r="Z242" i="9"/>
  <c r="X242" i="9"/>
  <c r="W242" i="9"/>
  <c r="Y242" i="9" s="1"/>
  <c r="AE237" i="9"/>
  <c r="AC237" i="9"/>
  <c r="AB237" i="9"/>
  <c r="AD237" i="9" s="1"/>
  <c r="Z237" i="9"/>
  <c r="X237" i="9"/>
  <c r="W237" i="9"/>
  <c r="Y237" i="9" s="1"/>
  <c r="AE236" i="9"/>
  <c r="AC236" i="9"/>
  <c r="AB236" i="9"/>
  <c r="AD236" i="9" s="1"/>
  <c r="Z236" i="9"/>
  <c r="X236" i="9"/>
  <c r="W236" i="9"/>
  <c r="Y236" i="9" s="1"/>
  <c r="AE235" i="9"/>
  <c r="AC235" i="9"/>
  <c r="AB235" i="9"/>
  <c r="AD235" i="9" s="1"/>
  <c r="Z235" i="9"/>
  <c r="X235" i="9"/>
  <c r="W235" i="9"/>
  <c r="Y235" i="9" s="1"/>
  <c r="AE231" i="9"/>
  <c r="AC231" i="9"/>
  <c r="AD231" i="9" s="1"/>
  <c r="AB231" i="9"/>
  <c r="Z231" i="9"/>
  <c r="X231" i="9"/>
  <c r="Y231" i="9" s="1"/>
  <c r="W231" i="9"/>
  <c r="AE230" i="9"/>
  <c r="AC230" i="9"/>
  <c r="AD230" i="9" s="1"/>
  <c r="AB230" i="9"/>
  <c r="Z230" i="9"/>
  <c r="X230" i="9"/>
  <c r="Y230" i="9" s="1"/>
  <c r="W230" i="9"/>
  <c r="AE229" i="9"/>
  <c r="AC229" i="9"/>
  <c r="AD229" i="9" s="1"/>
  <c r="AB229" i="9"/>
  <c r="Z229" i="9"/>
  <c r="X229" i="9"/>
  <c r="Y229" i="9" s="1"/>
  <c r="W229" i="9"/>
  <c r="AE228" i="9"/>
  <c r="AC228" i="9"/>
  <c r="AD228" i="9" s="1"/>
  <c r="AB228" i="9"/>
  <c r="Z228" i="9"/>
  <c r="X228" i="9"/>
  <c r="Y228" i="9" s="1"/>
  <c r="W228" i="9"/>
  <c r="AE227" i="9"/>
  <c r="AC227" i="9"/>
  <c r="AD227" i="9" s="1"/>
  <c r="AB227" i="9"/>
  <c r="Z227" i="9"/>
  <c r="X227" i="9"/>
  <c r="Y227" i="9" s="1"/>
  <c r="W227" i="9"/>
  <c r="AE226" i="9"/>
  <c r="AC226" i="9"/>
  <c r="AD226" i="9" s="1"/>
  <c r="AB226" i="9"/>
  <c r="Z226" i="9"/>
  <c r="X226" i="9"/>
  <c r="Y226" i="9" s="1"/>
  <c r="W226" i="9"/>
  <c r="AE225" i="9"/>
  <c r="AC225" i="9"/>
  <c r="AD225" i="9" s="1"/>
  <c r="AB225" i="9"/>
  <c r="Z225" i="9"/>
  <c r="X225" i="9"/>
  <c r="Y225" i="9" s="1"/>
  <c r="W225" i="9"/>
  <c r="AE224" i="9"/>
  <c r="AC224" i="9"/>
  <c r="AD224" i="9" s="1"/>
  <c r="AB224" i="9"/>
  <c r="Z224" i="9"/>
  <c r="X224" i="9"/>
  <c r="Y224" i="9" s="1"/>
  <c r="W224" i="9"/>
  <c r="AE223" i="9"/>
  <c r="AC223" i="9"/>
  <c r="AD223" i="9" s="1"/>
  <c r="AB223" i="9"/>
  <c r="Z223" i="9"/>
  <c r="X223" i="9"/>
  <c r="Y223" i="9" s="1"/>
  <c r="W223" i="9"/>
  <c r="AE222" i="9"/>
  <c r="AC222" i="9"/>
  <c r="AD222" i="9" s="1"/>
  <c r="AB222" i="9"/>
  <c r="Z222" i="9"/>
  <c r="X222" i="9"/>
  <c r="Y222" i="9" s="1"/>
  <c r="W222" i="9"/>
  <c r="AE221" i="9"/>
  <c r="AC221" i="9"/>
  <c r="AD221" i="9" s="1"/>
  <c r="AB221" i="9"/>
  <c r="Z221" i="9"/>
  <c r="X221" i="9"/>
  <c r="Y221" i="9" s="1"/>
  <c r="W221" i="9"/>
  <c r="AE220" i="9"/>
  <c r="AC220" i="9"/>
  <c r="AD220" i="9" s="1"/>
  <c r="AB220" i="9"/>
  <c r="Z220" i="9"/>
  <c r="X220" i="9"/>
  <c r="Y220" i="9" s="1"/>
  <c r="W220" i="9"/>
  <c r="AE219" i="9"/>
  <c r="AC219" i="9"/>
  <c r="AD219" i="9" s="1"/>
  <c r="AB219" i="9"/>
  <c r="Z219" i="9"/>
  <c r="X219" i="9"/>
  <c r="Y219" i="9" s="1"/>
  <c r="W219" i="9"/>
  <c r="AE218" i="9"/>
  <c r="AC218" i="9"/>
  <c r="AD218" i="9" s="1"/>
  <c r="AB218" i="9"/>
  <c r="Z218" i="9"/>
  <c r="X218" i="9"/>
  <c r="Y218" i="9" s="1"/>
  <c r="W218" i="9"/>
  <c r="AE217" i="9"/>
  <c r="AC217" i="9"/>
  <c r="AD217" i="9" s="1"/>
  <c r="AB217" i="9"/>
  <c r="Z217" i="9"/>
  <c r="X217" i="9"/>
  <c r="Y217" i="9" s="1"/>
  <c r="W217" i="9"/>
  <c r="AE216" i="9"/>
  <c r="AC216" i="9"/>
  <c r="AD216" i="9" s="1"/>
  <c r="AB216" i="9"/>
  <c r="Z216" i="9"/>
  <c r="X216" i="9"/>
  <c r="Y216" i="9" s="1"/>
  <c r="W216" i="9"/>
  <c r="AE215" i="9"/>
  <c r="AC215" i="9"/>
  <c r="AD215" i="9" s="1"/>
  <c r="AB215" i="9"/>
  <c r="Z215" i="9"/>
  <c r="X215" i="9"/>
  <c r="Y215" i="9" s="1"/>
  <c r="W215" i="9"/>
  <c r="AE214" i="9"/>
  <c r="AC214" i="9"/>
  <c r="AD214" i="9" s="1"/>
  <c r="AB214" i="9"/>
  <c r="Z214" i="9"/>
  <c r="X214" i="9"/>
  <c r="Y214" i="9" s="1"/>
  <c r="W214" i="9"/>
  <c r="AE213" i="9"/>
  <c r="AC213" i="9"/>
  <c r="AD213" i="9" s="1"/>
  <c r="AB213" i="9"/>
  <c r="Z213" i="9"/>
  <c r="X213" i="9"/>
  <c r="Y213" i="9" s="1"/>
  <c r="W213" i="9"/>
  <c r="AE212" i="9"/>
  <c r="AC212" i="9"/>
  <c r="AD212" i="9" s="1"/>
  <c r="AB212" i="9"/>
  <c r="Z212" i="9"/>
  <c r="X212" i="9"/>
  <c r="Y212" i="9" s="1"/>
  <c r="W212" i="9"/>
  <c r="AE211" i="9"/>
  <c r="AC211" i="9"/>
  <c r="AD211" i="9" s="1"/>
  <c r="AB211" i="9"/>
  <c r="Z211" i="9"/>
  <c r="X211" i="9"/>
  <c r="Y211" i="9" s="1"/>
  <c r="W211" i="9"/>
  <c r="AE210" i="9"/>
  <c r="AC210" i="9"/>
  <c r="AD210" i="9" s="1"/>
  <c r="AB210" i="9"/>
  <c r="Z210" i="9"/>
  <c r="X210" i="9"/>
  <c r="Y210" i="9" s="1"/>
  <c r="W210" i="9"/>
  <c r="AE209" i="9"/>
  <c r="AC209" i="9"/>
  <c r="AD209" i="9" s="1"/>
  <c r="AB209" i="9"/>
  <c r="Z209" i="9"/>
  <c r="X209" i="9"/>
  <c r="Y209" i="9" s="1"/>
  <c r="W209" i="9"/>
  <c r="AE208" i="9"/>
  <c r="AC208" i="9"/>
  <c r="AD208" i="9" s="1"/>
  <c r="AB208" i="9"/>
  <c r="Z208" i="9"/>
  <c r="X208" i="9"/>
  <c r="Y208" i="9" s="1"/>
  <c r="W208" i="9"/>
  <c r="AE206" i="9"/>
  <c r="AC206" i="9"/>
  <c r="AD206" i="9" s="1"/>
  <c r="AB206" i="9"/>
  <c r="Z206" i="9"/>
  <c r="X206" i="9"/>
  <c r="Y206" i="9" s="1"/>
  <c r="W206" i="9"/>
  <c r="AE205" i="9"/>
  <c r="AC205" i="9"/>
  <c r="AD205" i="9" s="1"/>
  <c r="AB205" i="9"/>
  <c r="Z205" i="9"/>
  <c r="X205" i="9"/>
  <c r="Y205" i="9" s="1"/>
  <c r="W205" i="9"/>
  <c r="AE196" i="9"/>
  <c r="AC196" i="9"/>
  <c r="AD196" i="9" s="1"/>
  <c r="AB196" i="9"/>
  <c r="Z196" i="9"/>
  <c r="X196" i="9"/>
  <c r="Y196" i="9" s="1"/>
  <c r="W196" i="9"/>
  <c r="AE194" i="9"/>
  <c r="AC194" i="9"/>
  <c r="AD194" i="9" s="1"/>
  <c r="AB194" i="9"/>
  <c r="Z194" i="9"/>
  <c r="X194" i="9"/>
  <c r="Y194" i="9" s="1"/>
  <c r="W194" i="9"/>
  <c r="AE188" i="9"/>
  <c r="AC188" i="9"/>
  <c r="AD188" i="9" s="1"/>
  <c r="AB188" i="9"/>
  <c r="Z188" i="9"/>
  <c r="X188" i="9"/>
  <c r="Y188" i="9" s="1"/>
  <c r="W188" i="9"/>
  <c r="AE185" i="9"/>
  <c r="AC185" i="9"/>
  <c r="AD185" i="9" s="1"/>
  <c r="AB185" i="9"/>
  <c r="Z185" i="9"/>
  <c r="X185" i="9"/>
  <c r="Y185" i="9" s="1"/>
  <c r="W185" i="9"/>
  <c r="AE183" i="9"/>
  <c r="AC183" i="9"/>
  <c r="AD183" i="9" s="1"/>
  <c r="AB183" i="9"/>
  <c r="Z183" i="9"/>
  <c r="X183" i="9"/>
  <c r="Y183" i="9" s="1"/>
  <c r="W183" i="9"/>
  <c r="AE182" i="9"/>
  <c r="AC182" i="9"/>
  <c r="AD182" i="9" s="1"/>
  <c r="AB182" i="9"/>
  <c r="Z182" i="9"/>
  <c r="X182" i="9"/>
  <c r="Y182" i="9" s="1"/>
  <c r="W182" i="9"/>
  <c r="AE181" i="9"/>
  <c r="AC181" i="9"/>
  <c r="AD181" i="9" s="1"/>
  <c r="AB181" i="9"/>
  <c r="Z181" i="9"/>
  <c r="X181" i="9"/>
  <c r="Y181" i="9" s="1"/>
  <c r="W181" i="9"/>
  <c r="AE180" i="9"/>
  <c r="AC180" i="9"/>
  <c r="AD180" i="9" s="1"/>
  <c r="AB180" i="9"/>
  <c r="Z180" i="9"/>
  <c r="X180" i="9"/>
  <c r="Y180" i="9" s="1"/>
  <c r="W180" i="9"/>
  <c r="AE179" i="9"/>
  <c r="AC179" i="9"/>
  <c r="AD179" i="9" s="1"/>
  <c r="AB179" i="9"/>
  <c r="Z179" i="9"/>
  <c r="X179" i="9"/>
  <c r="Y179" i="9" s="1"/>
  <c r="W179" i="9"/>
  <c r="AE178" i="9"/>
  <c r="AC178" i="9"/>
  <c r="AD178" i="9" s="1"/>
  <c r="AB178" i="9"/>
  <c r="Z178" i="9"/>
  <c r="X178" i="9"/>
  <c r="Y178" i="9" s="1"/>
  <c r="W178" i="9"/>
  <c r="AE177" i="9"/>
  <c r="AC177" i="9"/>
  <c r="AD177" i="9" s="1"/>
  <c r="AB177" i="9"/>
  <c r="Z177" i="9"/>
  <c r="X177" i="9"/>
  <c r="Y177" i="9" s="1"/>
  <c r="W177" i="9"/>
  <c r="AE176" i="9"/>
  <c r="AC176" i="9"/>
  <c r="AD176" i="9" s="1"/>
  <c r="AB176" i="9"/>
  <c r="Z176" i="9"/>
  <c r="X176" i="9"/>
  <c r="Y176" i="9" s="1"/>
  <c r="W176" i="9"/>
  <c r="AE175" i="9"/>
  <c r="AC175" i="9"/>
  <c r="AD175" i="9" s="1"/>
  <c r="AB175" i="9"/>
  <c r="Z175" i="9"/>
  <c r="X175" i="9"/>
  <c r="Y175" i="9" s="1"/>
  <c r="W175" i="9"/>
  <c r="AE174" i="9"/>
  <c r="AC174" i="9"/>
  <c r="AD174" i="9" s="1"/>
  <c r="AB174" i="9"/>
  <c r="Z174" i="9"/>
  <c r="X174" i="9"/>
  <c r="Y174" i="9" s="1"/>
  <c r="W174" i="9"/>
  <c r="AE171" i="9"/>
  <c r="AC171" i="9"/>
  <c r="AD171" i="9" s="1"/>
  <c r="AB171" i="9"/>
  <c r="Z171" i="9"/>
  <c r="X171" i="9"/>
  <c r="Y171" i="9" s="1"/>
  <c r="W171" i="9"/>
  <c r="AE169" i="9"/>
  <c r="AC169" i="9"/>
  <c r="AD169" i="9" s="1"/>
  <c r="AB169" i="9"/>
  <c r="Z169" i="9"/>
  <c r="X169" i="9"/>
  <c r="Y169" i="9" s="1"/>
  <c r="W169" i="9"/>
  <c r="AE166" i="9"/>
  <c r="AC166" i="9"/>
  <c r="AD166" i="9" s="1"/>
  <c r="AB166" i="9"/>
  <c r="Z166" i="9"/>
  <c r="X166" i="9"/>
  <c r="Y166" i="9" s="1"/>
  <c r="W166" i="9"/>
  <c r="AE165" i="9"/>
  <c r="AC165" i="9"/>
  <c r="AD165" i="9" s="1"/>
  <c r="AB165" i="9"/>
  <c r="Z165" i="9"/>
  <c r="X165" i="9"/>
  <c r="Y165" i="9" s="1"/>
  <c r="W165" i="9"/>
  <c r="AE162" i="9"/>
  <c r="AC162" i="9"/>
  <c r="AD162" i="9" s="1"/>
  <c r="AB162" i="9"/>
  <c r="Z162" i="9"/>
  <c r="X162" i="9"/>
  <c r="Y162" i="9" s="1"/>
  <c r="W162" i="9"/>
  <c r="AE161" i="9"/>
  <c r="AC161" i="9"/>
  <c r="AD161" i="9" s="1"/>
  <c r="AB161" i="9"/>
  <c r="Z161" i="9"/>
  <c r="X161" i="9"/>
  <c r="Y161" i="9" s="1"/>
  <c r="W161" i="9"/>
  <c r="AE160" i="9"/>
  <c r="AC160" i="9"/>
  <c r="AD160" i="9" s="1"/>
  <c r="AB160" i="9"/>
  <c r="Z160" i="9"/>
  <c r="X160" i="9"/>
  <c r="Y160" i="9" s="1"/>
  <c r="W160" i="9"/>
  <c r="AE159" i="9"/>
  <c r="AC159" i="9"/>
  <c r="AD159" i="9" s="1"/>
  <c r="AB159" i="9"/>
  <c r="Z159" i="9"/>
  <c r="X159" i="9"/>
  <c r="Y159" i="9" s="1"/>
  <c r="W159" i="9"/>
  <c r="AE158" i="9"/>
  <c r="AC158" i="9"/>
  <c r="AD158" i="9" s="1"/>
  <c r="AB158" i="9"/>
  <c r="Z158" i="9"/>
  <c r="X158" i="9"/>
  <c r="Y158" i="9" s="1"/>
  <c r="W158" i="9"/>
  <c r="AE157" i="9"/>
  <c r="AC157" i="9"/>
  <c r="AD157" i="9" s="1"/>
  <c r="AB157" i="9"/>
  <c r="Z157" i="9"/>
  <c r="X157" i="9"/>
  <c r="Y157" i="9" s="1"/>
  <c r="W157" i="9"/>
  <c r="AE156" i="9"/>
  <c r="AC156" i="9"/>
  <c r="AD156" i="9" s="1"/>
  <c r="AB156" i="9"/>
  <c r="Z156" i="9"/>
  <c r="X156" i="9"/>
  <c r="Y156" i="9" s="1"/>
  <c r="W156" i="9"/>
  <c r="AE154" i="9"/>
  <c r="AC154" i="9"/>
  <c r="AD154" i="9" s="1"/>
  <c r="AB154" i="9"/>
  <c r="Z154" i="9"/>
  <c r="X154" i="9"/>
  <c r="Y154" i="9" s="1"/>
  <c r="W154" i="9"/>
  <c r="AE153" i="9"/>
  <c r="AC153" i="9"/>
  <c r="AD153" i="9" s="1"/>
  <c r="AB153" i="9"/>
  <c r="Z153" i="9"/>
  <c r="X153" i="9"/>
  <c r="Y153" i="9" s="1"/>
  <c r="W153" i="9"/>
  <c r="AE152" i="9"/>
  <c r="AC152" i="9"/>
  <c r="AD152" i="9" s="1"/>
  <c r="AB152" i="9"/>
  <c r="Z152" i="9"/>
  <c r="X152" i="9"/>
  <c r="Y152" i="9" s="1"/>
  <c r="W152" i="9"/>
  <c r="AE151" i="9"/>
  <c r="AC151" i="9"/>
  <c r="AD151" i="9" s="1"/>
  <c r="AB151" i="9"/>
  <c r="Z151" i="9"/>
  <c r="X151" i="9"/>
  <c r="Y151" i="9" s="1"/>
  <c r="W151" i="9"/>
  <c r="AE149" i="9"/>
  <c r="AC149" i="9"/>
  <c r="AD149" i="9" s="1"/>
  <c r="AB149" i="9"/>
  <c r="Z149" i="9"/>
  <c r="X149" i="9"/>
  <c r="Y149" i="9" s="1"/>
  <c r="W149" i="9"/>
  <c r="AE148" i="9"/>
  <c r="AC148" i="9"/>
  <c r="AD148" i="9" s="1"/>
  <c r="AB148" i="9"/>
  <c r="Z148" i="9"/>
  <c r="X148" i="9"/>
  <c r="Y148" i="9" s="1"/>
  <c r="W148" i="9"/>
  <c r="AE147" i="9"/>
  <c r="AC147" i="9"/>
  <c r="AD147" i="9" s="1"/>
  <c r="AB147" i="9"/>
  <c r="Z147" i="9"/>
  <c r="X147" i="9"/>
  <c r="Y147" i="9" s="1"/>
  <c r="W147" i="9"/>
  <c r="AE146" i="9"/>
  <c r="AC146" i="9"/>
  <c r="AD146" i="9" s="1"/>
  <c r="AB146" i="9"/>
  <c r="Z146" i="9"/>
  <c r="X146" i="9"/>
  <c r="Y146" i="9" s="1"/>
  <c r="W146" i="9"/>
  <c r="AE145" i="9"/>
  <c r="AC145" i="9"/>
  <c r="AD145" i="9" s="1"/>
  <c r="AB145" i="9"/>
  <c r="Z145" i="9"/>
  <c r="X145" i="9"/>
  <c r="Y145" i="9" s="1"/>
  <c r="W145" i="9"/>
  <c r="AE144" i="9"/>
  <c r="AC144" i="9"/>
  <c r="AD144" i="9" s="1"/>
  <c r="AB144" i="9"/>
  <c r="Z144" i="9"/>
  <c r="X144" i="9"/>
  <c r="Y144" i="9" s="1"/>
  <c r="W144" i="9"/>
  <c r="AE142" i="9"/>
  <c r="AC142" i="9"/>
  <c r="AD142" i="9" s="1"/>
  <c r="AB142" i="9"/>
  <c r="Z142" i="9"/>
  <c r="X142" i="9"/>
  <c r="Y142" i="9" s="1"/>
  <c r="W142" i="9"/>
  <c r="AE141" i="9"/>
  <c r="AC141" i="9"/>
  <c r="AD141" i="9" s="1"/>
  <c r="AB141" i="9"/>
  <c r="Z141" i="9"/>
  <c r="X141" i="9"/>
  <c r="Y141" i="9" s="1"/>
  <c r="W141" i="9"/>
  <c r="AE140" i="9"/>
  <c r="AC140" i="9"/>
  <c r="AD140" i="9" s="1"/>
  <c r="AB140" i="9"/>
  <c r="Z140" i="9"/>
  <c r="X140" i="9"/>
  <c r="Y140" i="9" s="1"/>
  <c r="W140" i="9"/>
  <c r="AE135" i="9"/>
  <c r="AC135" i="9"/>
  <c r="AD135" i="9" s="1"/>
  <c r="AB135" i="9"/>
  <c r="Z135" i="9"/>
  <c r="X135" i="9"/>
  <c r="Y135" i="9" s="1"/>
  <c r="W135" i="9"/>
  <c r="AE132" i="9"/>
  <c r="AC132" i="9"/>
  <c r="AD132" i="9" s="1"/>
  <c r="AB132" i="9"/>
  <c r="Z132" i="9"/>
  <c r="X132" i="9"/>
  <c r="Y132" i="9" s="1"/>
  <c r="W132" i="9"/>
  <c r="AE131" i="9"/>
  <c r="AC131" i="9"/>
  <c r="AD131" i="9" s="1"/>
  <c r="AB131" i="9"/>
  <c r="Z131" i="9"/>
  <c r="X131" i="9"/>
  <c r="Y131" i="9" s="1"/>
  <c r="W131" i="9"/>
  <c r="AE130" i="9"/>
  <c r="AC130" i="9"/>
  <c r="AD130" i="9" s="1"/>
  <c r="AB130" i="9"/>
  <c r="Z130" i="9"/>
  <c r="X130" i="9"/>
  <c r="Y130" i="9" s="1"/>
  <c r="W130" i="9"/>
  <c r="AE129" i="9"/>
  <c r="AC129" i="9"/>
  <c r="AD129" i="9" s="1"/>
  <c r="AB129" i="9"/>
  <c r="Z129" i="9"/>
  <c r="X129" i="9"/>
  <c r="Y129" i="9" s="1"/>
  <c r="W129" i="9"/>
  <c r="AE128" i="9"/>
  <c r="AC128" i="9"/>
  <c r="AD128" i="9" s="1"/>
  <c r="AB128" i="9"/>
  <c r="Z128" i="9"/>
  <c r="X128" i="9"/>
  <c r="Y128" i="9" s="1"/>
  <c r="W128" i="9"/>
  <c r="AE125" i="9"/>
  <c r="AC125" i="9"/>
  <c r="AD125" i="9" s="1"/>
  <c r="AB125" i="9"/>
  <c r="Z125" i="9"/>
  <c r="X125" i="9"/>
  <c r="Y125" i="9" s="1"/>
  <c r="W125" i="9"/>
  <c r="AE124" i="9"/>
  <c r="AC124" i="9"/>
  <c r="AD124" i="9" s="1"/>
  <c r="AB124" i="9"/>
  <c r="Z124" i="9"/>
  <c r="X124" i="9"/>
  <c r="Y124" i="9" s="1"/>
  <c r="W124" i="9"/>
  <c r="AE119" i="9"/>
  <c r="AC119" i="9"/>
  <c r="AD119" i="9" s="1"/>
  <c r="AB119" i="9"/>
  <c r="Z119" i="9"/>
  <c r="X119" i="9"/>
  <c r="Y119" i="9" s="1"/>
  <c r="W119" i="9"/>
  <c r="AE114" i="9"/>
  <c r="AC114" i="9"/>
  <c r="AD114" i="9" s="1"/>
  <c r="AB114" i="9"/>
  <c r="Z114" i="9"/>
  <c r="X114" i="9"/>
  <c r="Y114" i="9" s="1"/>
  <c r="W114" i="9"/>
  <c r="AE106" i="9"/>
  <c r="AC106" i="9"/>
  <c r="AD106" i="9" s="1"/>
  <c r="AB106" i="9"/>
  <c r="Z106" i="9"/>
  <c r="X106" i="9"/>
  <c r="Y106" i="9" s="1"/>
  <c r="W106" i="9"/>
  <c r="AE103" i="9"/>
  <c r="AC103" i="9"/>
  <c r="AD103" i="9" s="1"/>
  <c r="AB103" i="9"/>
  <c r="Z103" i="9"/>
  <c r="X103" i="9"/>
  <c r="Y103" i="9" s="1"/>
  <c r="W103" i="9"/>
  <c r="AE102" i="9"/>
  <c r="AC102" i="9"/>
  <c r="AD102" i="9" s="1"/>
  <c r="AB102" i="9"/>
  <c r="Z102" i="9"/>
  <c r="X102" i="9"/>
  <c r="Y102" i="9" s="1"/>
  <c r="W102" i="9"/>
  <c r="AE101" i="9"/>
  <c r="AC101" i="9"/>
  <c r="AD101" i="9" s="1"/>
  <c r="AB101" i="9"/>
  <c r="Z101" i="9"/>
  <c r="X101" i="9"/>
  <c r="Y101" i="9" s="1"/>
  <c r="W101" i="9"/>
  <c r="AE100" i="9"/>
  <c r="AC100" i="9"/>
  <c r="AD100" i="9" s="1"/>
  <c r="AB100" i="9"/>
  <c r="Z100" i="9"/>
  <c r="X100" i="9"/>
  <c r="Y100" i="9" s="1"/>
  <c r="W100" i="9"/>
  <c r="AE99" i="9"/>
  <c r="AC99" i="9"/>
  <c r="AD99" i="9" s="1"/>
  <c r="AB99" i="9"/>
  <c r="Z99" i="9"/>
  <c r="X99" i="9"/>
  <c r="Y99" i="9" s="1"/>
  <c r="W99" i="9"/>
  <c r="AE98" i="9"/>
  <c r="AC98" i="9"/>
  <c r="AD98" i="9" s="1"/>
  <c r="AB98" i="9"/>
  <c r="Z98" i="9"/>
  <c r="X98" i="9"/>
  <c r="Y98" i="9" s="1"/>
  <c r="W98" i="9"/>
  <c r="AE97" i="9"/>
  <c r="AC97" i="9"/>
  <c r="AD97" i="9" s="1"/>
  <c r="AB97" i="9"/>
  <c r="Z97" i="9"/>
  <c r="X97" i="9"/>
  <c r="Y97" i="9" s="1"/>
  <c r="W97" i="9"/>
  <c r="AE96" i="9"/>
  <c r="AC96" i="9"/>
  <c r="AD96" i="9" s="1"/>
  <c r="AB96" i="9"/>
  <c r="Z96" i="9"/>
  <c r="X96" i="9"/>
  <c r="Y96" i="9" s="1"/>
  <c r="W96" i="9"/>
  <c r="AE94" i="9"/>
  <c r="AC94" i="9"/>
  <c r="AD94" i="9" s="1"/>
  <c r="AB94" i="9"/>
  <c r="Z94" i="9"/>
  <c r="X94" i="9"/>
  <c r="Y94" i="9" s="1"/>
  <c r="W94" i="9"/>
  <c r="AE93" i="9"/>
  <c r="AC93" i="9"/>
  <c r="AD93" i="9" s="1"/>
  <c r="AB93" i="9"/>
  <c r="Z93" i="9"/>
  <c r="X93" i="9"/>
  <c r="Y93" i="9" s="1"/>
  <c r="W93" i="9"/>
  <c r="AE92" i="9"/>
  <c r="AC92" i="9"/>
  <c r="AD92" i="9" s="1"/>
  <c r="AB92" i="9"/>
  <c r="Z92" i="9"/>
  <c r="X92" i="9"/>
  <c r="Y92" i="9" s="1"/>
  <c r="W92" i="9"/>
  <c r="AE91" i="9"/>
  <c r="AC91" i="9"/>
  <c r="AD91" i="9" s="1"/>
  <c r="AB91" i="9"/>
  <c r="Z91" i="9"/>
  <c r="X91" i="9"/>
  <c r="Y91" i="9" s="1"/>
  <c r="W91" i="9"/>
  <c r="AE90" i="9"/>
  <c r="AC90" i="9"/>
  <c r="AD90" i="9" s="1"/>
  <c r="AB90" i="9"/>
  <c r="Z90" i="9"/>
  <c r="X90" i="9"/>
  <c r="Y90" i="9" s="1"/>
  <c r="W90" i="9"/>
  <c r="AE88" i="9"/>
  <c r="AC88" i="9"/>
  <c r="AD88" i="9" s="1"/>
  <c r="AB88" i="9"/>
  <c r="Z88" i="9"/>
  <c r="X88" i="9"/>
  <c r="Y88" i="9" s="1"/>
  <c r="W88" i="9"/>
  <c r="AE85" i="9"/>
  <c r="AC85" i="9"/>
  <c r="AD85" i="9" s="1"/>
  <c r="AB85" i="9"/>
  <c r="Z85" i="9"/>
  <c r="X85" i="9"/>
  <c r="Y85" i="9" s="1"/>
  <c r="W85" i="9"/>
  <c r="AE84" i="9"/>
  <c r="AC84" i="9"/>
  <c r="AD84" i="9" s="1"/>
  <c r="AB84" i="9"/>
  <c r="Z84" i="9"/>
  <c r="X84" i="9"/>
  <c r="Y84" i="9" s="1"/>
  <c r="W84" i="9"/>
  <c r="AE83" i="9"/>
  <c r="AC83" i="9"/>
  <c r="AD83" i="9" s="1"/>
  <c r="AB83" i="9"/>
  <c r="Z83" i="9"/>
  <c r="X83" i="9"/>
  <c r="Y83" i="9" s="1"/>
  <c r="W83" i="9"/>
  <c r="AE72" i="9"/>
  <c r="AC72" i="9"/>
  <c r="AD72" i="9" s="1"/>
  <c r="AB72" i="9"/>
  <c r="Z72" i="9"/>
  <c r="X72" i="9"/>
  <c r="Y72" i="9" s="1"/>
  <c r="W72" i="9"/>
  <c r="AE71" i="9"/>
  <c r="AC71" i="9"/>
  <c r="AD71" i="9" s="1"/>
  <c r="AB71" i="9"/>
  <c r="Z71" i="9"/>
  <c r="X71" i="9"/>
  <c r="Y71" i="9" s="1"/>
  <c r="W71" i="9"/>
  <c r="AE70" i="9"/>
  <c r="AC70" i="9"/>
  <c r="AD70" i="9" s="1"/>
  <c r="AB70" i="9"/>
  <c r="Z70" i="9"/>
  <c r="X70" i="9"/>
  <c r="Y70" i="9" s="1"/>
  <c r="W70" i="9"/>
  <c r="AE68" i="9"/>
  <c r="AC68" i="9"/>
  <c r="AD68" i="9" s="1"/>
  <c r="AB68" i="9"/>
  <c r="Z68" i="9"/>
  <c r="X68" i="9"/>
  <c r="Y68" i="9" s="1"/>
  <c r="W68" i="9"/>
  <c r="AE67" i="9"/>
  <c r="AC67" i="9"/>
  <c r="AD67" i="9" s="1"/>
  <c r="AB67" i="9"/>
  <c r="Z67" i="9"/>
  <c r="X67" i="9"/>
  <c r="Y67" i="9" s="1"/>
  <c r="W67" i="9"/>
  <c r="AE66" i="9"/>
  <c r="AC66" i="9"/>
  <c r="AD66" i="9" s="1"/>
  <c r="AB66" i="9"/>
  <c r="Z66" i="9"/>
  <c r="X66" i="9"/>
  <c r="Y66" i="9" s="1"/>
  <c r="W66" i="9"/>
  <c r="AE65" i="9"/>
  <c r="AC65" i="9"/>
  <c r="AD65" i="9" s="1"/>
  <c r="AB65" i="9"/>
  <c r="Z65" i="9"/>
  <c r="X65" i="9"/>
  <c r="Y65" i="9" s="1"/>
  <c r="W65" i="9"/>
  <c r="AE64" i="9"/>
  <c r="AC64" i="9"/>
  <c r="AD64" i="9" s="1"/>
  <c r="AB64" i="9"/>
  <c r="Z64" i="9"/>
  <c r="X64" i="9"/>
  <c r="Y64" i="9" s="1"/>
  <c r="W64" i="9"/>
  <c r="AE62" i="9"/>
  <c r="AC62" i="9"/>
  <c r="AD62" i="9" s="1"/>
  <c r="AB62" i="9"/>
  <c r="Z62" i="9"/>
  <c r="X62" i="9"/>
  <c r="Y62" i="9" s="1"/>
  <c r="W62" i="9"/>
  <c r="AE59" i="9"/>
  <c r="AC59" i="9"/>
  <c r="AD59" i="9" s="1"/>
  <c r="AB59" i="9"/>
  <c r="Z59" i="9"/>
  <c r="X59" i="9"/>
  <c r="Y59" i="9" s="1"/>
  <c r="W59" i="9"/>
  <c r="AE58" i="9"/>
  <c r="AC58" i="9"/>
  <c r="AD58" i="9" s="1"/>
  <c r="AB58" i="9"/>
  <c r="Z58" i="9"/>
  <c r="X58" i="9"/>
  <c r="Y58" i="9" s="1"/>
  <c r="W58" i="9"/>
  <c r="AE57" i="9"/>
  <c r="AC57" i="9"/>
  <c r="AD57" i="9" s="1"/>
  <c r="AB57" i="9"/>
  <c r="Z57" i="9"/>
  <c r="X57" i="9"/>
  <c r="Y57" i="9" s="1"/>
  <c r="W57" i="9"/>
  <c r="AE56" i="9"/>
  <c r="AC56" i="9"/>
  <c r="AD56" i="9" s="1"/>
  <c r="AB56" i="9"/>
  <c r="Z56" i="9"/>
  <c r="X56" i="9"/>
  <c r="Y56" i="9" s="1"/>
  <c r="W56" i="9"/>
  <c r="AE55" i="9"/>
  <c r="AC55" i="9"/>
  <c r="AD55" i="9" s="1"/>
  <c r="AB55" i="9"/>
  <c r="Z55" i="9"/>
  <c r="X55" i="9"/>
  <c r="Y55" i="9" s="1"/>
  <c r="W55" i="9"/>
  <c r="AE54" i="9"/>
  <c r="AC54" i="9"/>
  <c r="AD54" i="9" s="1"/>
  <c r="AB54" i="9"/>
  <c r="Z54" i="9"/>
  <c r="X54" i="9"/>
  <c r="Y54" i="9" s="1"/>
  <c r="W54" i="9"/>
  <c r="AE53" i="9"/>
  <c r="AC53" i="9"/>
  <c r="AD53" i="9" s="1"/>
  <c r="AB53" i="9"/>
  <c r="Z53" i="9"/>
  <c r="X53" i="9"/>
  <c r="Y53" i="9" s="1"/>
  <c r="W53" i="9"/>
  <c r="AE52" i="9"/>
  <c r="AC52" i="9"/>
  <c r="AD52" i="9" s="1"/>
  <c r="AB52" i="9"/>
  <c r="Z52" i="9"/>
  <c r="X52" i="9"/>
  <c r="Y52" i="9" s="1"/>
  <c r="W52" i="9"/>
  <c r="AE51" i="9"/>
  <c r="AC51" i="9"/>
  <c r="AD51" i="9" s="1"/>
  <c r="AB51" i="9"/>
  <c r="Z51" i="9"/>
  <c r="X51" i="9"/>
  <c r="Y51" i="9" s="1"/>
  <c r="W51" i="9"/>
  <c r="AE44" i="9"/>
  <c r="AC44" i="9"/>
  <c r="AD44" i="9" s="1"/>
  <c r="AB44" i="9"/>
  <c r="Z44" i="9"/>
  <c r="X44" i="9"/>
  <c r="Y44" i="9" s="1"/>
  <c r="W44" i="9"/>
  <c r="AE39" i="9"/>
  <c r="AC39" i="9"/>
  <c r="AD39" i="9" s="1"/>
  <c r="AB39" i="9"/>
  <c r="Z39" i="9"/>
  <c r="X39" i="9"/>
  <c r="Y39" i="9" s="1"/>
  <c r="W39" i="9"/>
  <c r="AE38" i="9"/>
  <c r="AC38" i="9"/>
  <c r="AD38" i="9" s="1"/>
  <c r="AB38" i="9"/>
  <c r="Z38" i="9"/>
  <c r="X38" i="9"/>
  <c r="Y38" i="9" s="1"/>
  <c r="W38" i="9"/>
  <c r="AE37" i="9"/>
  <c r="AC37" i="9"/>
  <c r="AD37" i="9" s="1"/>
  <c r="AB37" i="9"/>
  <c r="Z37" i="9"/>
  <c r="X37" i="9"/>
  <c r="Y37" i="9" s="1"/>
  <c r="W37" i="9"/>
  <c r="AE36" i="9"/>
  <c r="AC36" i="9"/>
  <c r="AD36" i="9" s="1"/>
  <c r="AB36" i="9"/>
  <c r="Z36" i="9"/>
  <c r="X36" i="9"/>
  <c r="Y36" i="9" s="1"/>
  <c r="W36" i="9"/>
  <c r="AE35" i="9"/>
  <c r="AC35" i="9"/>
  <c r="AD35" i="9" s="1"/>
  <c r="AB35" i="9"/>
  <c r="Z35" i="9"/>
  <c r="X35" i="9"/>
  <c r="Y35" i="9" s="1"/>
  <c r="W35" i="9"/>
  <c r="AE22" i="9"/>
  <c r="AC22" i="9"/>
  <c r="AD22" i="9" s="1"/>
  <c r="AB22" i="9"/>
  <c r="Z22" i="9"/>
  <c r="X22" i="9"/>
  <c r="Y22" i="9" s="1"/>
  <c r="W22" i="9"/>
  <c r="AE21" i="9"/>
  <c r="AC21" i="9"/>
  <c r="AD21" i="9" s="1"/>
  <c r="AB21" i="9"/>
  <c r="Z21" i="9"/>
  <c r="X21" i="9"/>
  <c r="Y21" i="9" s="1"/>
  <c r="W21" i="9"/>
  <c r="AE20" i="9"/>
  <c r="AC20" i="9"/>
  <c r="AD20" i="9" s="1"/>
  <c r="AB20" i="9"/>
  <c r="Z20" i="9"/>
  <c r="X20" i="9"/>
  <c r="Y20" i="9" s="1"/>
  <c r="W20" i="9"/>
  <c r="AE19" i="9"/>
  <c r="AC19" i="9"/>
  <c r="AD19" i="9" s="1"/>
  <c r="AB19" i="9"/>
  <c r="Z19" i="9"/>
  <c r="X19" i="9"/>
  <c r="Y19" i="9" s="1"/>
  <c r="W19" i="9"/>
  <c r="AE17" i="9"/>
  <c r="AC17" i="9"/>
  <c r="AD17" i="9" s="1"/>
  <c r="AB17" i="9"/>
  <c r="Z17" i="9"/>
  <c r="X17" i="9"/>
  <c r="Y17" i="9" s="1"/>
  <c r="W17" i="9"/>
  <c r="AC9" i="9"/>
  <c r="AB9" i="9"/>
  <c r="X9" i="9"/>
  <c r="W9" i="9"/>
  <c r="F632" i="8"/>
  <c r="E632" i="8"/>
  <c r="D632" i="8"/>
  <c r="D630" i="8"/>
  <c r="J624" i="8"/>
  <c r="J622" i="8"/>
  <c r="J621" i="8"/>
  <c r="J620" i="8"/>
  <c r="J619" i="8"/>
  <c r="J618" i="8"/>
  <c r="E612" i="8"/>
  <c r="D612" i="8"/>
  <c r="F611" i="8"/>
  <c r="F612" i="8" s="1"/>
  <c r="E611" i="8"/>
  <c r="D611" i="8"/>
  <c r="F610" i="8"/>
  <c r="F609" i="8"/>
  <c r="F608" i="8"/>
  <c r="F607" i="8"/>
  <c r="F606" i="8"/>
  <c r="F605" i="8"/>
  <c r="F604" i="8"/>
  <c r="H604" i="8" s="1"/>
  <c r="E604" i="8"/>
  <c r="D604" i="8"/>
  <c r="F602" i="8"/>
  <c r="F601" i="8"/>
  <c r="F600" i="8"/>
  <c r="E593" i="8"/>
  <c r="E598" i="8" s="1"/>
  <c r="D593" i="8"/>
  <c r="D598" i="8" s="1"/>
  <c r="D592" i="8"/>
  <c r="D591" i="8"/>
  <c r="F590" i="8"/>
  <c r="E590" i="8"/>
  <c r="F589" i="8"/>
  <c r="F593" i="8" s="1"/>
  <c r="E589" i="8"/>
  <c r="D574" i="8"/>
  <c r="F573" i="8"/>
  <c r="D573" i="8"/>
  <c r="I565" i="8"/>
  <c r="H565" i="8"/>
  <c r="J565" i="8" s="1"/>
  <c r="J567" i="8" s="1"/>
  <c r="I564" i="8"/>
  <c r="H564" i="8"/>
  <c r="G564" i="8"/>
  <c r="G565" i="8" s="1"/>
  <c r="J563" i="8"/>
  <c r="I563" i="8"/>
  <c r="H563" i="8"/>
  <c r="G563" i="8"/>
  <c r="I556" i="8"/>
  <c r="I558" i="8" s="1"/>
  <c r="H556" i="8"/>
  <c r="J556" i="8" s="1"/>
  <c r="J553" i="8"/>
  <c r="J552" i="8"/>
  <c r="I547" i="8"/>
  <c r="H547" i="8"/>
  <c r="J546" i="8"/>
  <c r="J545" i="8"/>
  <c r="J544" i="8"/>
  <c r="J543" i="8"/>
  <c r="J542" i="8"/>
  <c r="E533" i="8"/>
  <c r="D532" i="8"/>
  <c r="D533" i="8" s="1"/>
  <c r="G525" i="8"/>
  <c r="D525" i="8"/>
  <c r="G524" i="8"/>
  <c r="G523" i="8"/>
  <c r="D523" i="8"/>
  <c r="F515" i="8"/>
  <c r="G508" i="8"/>
  <c r="D527" i="8" s="1"/>
  <c r="D504" i="8"/>
  <c r="I504" i="8" s="1"/>
  <c r="I505" i="8" s="1"/>
  <c r="I507" i="8" s="1"/>
  <c r="L503" i="8"/>
  <c r="K503" i="8"/>
  <c r="J503" i="8"/>
  <c r="I503" i="8"/>
  <c r="H503" i="8"/>
  <c r="G503" i="8"/>
  <c r="L502" i="8"/>
  <c r="L501" i="8"/>
  <c r="L500" i="8"/>
  <c r="M499" i="8"/>
  <c r="L499" i="8"/>
  <c r="L498" i="8"/>
  <c r="L497" i="8"/>
  <c r="L496" i="8"/>
  <c r="L495" i="8"/>
  <c r="L494" i="8"/>
  <c r="L493" i="8"/>
  <c r="L492" i="8"/>
  <c r="L491" i="8"/>
  <c r="L490" i="8"/>
  <c r="L489" i="8"/>
  <c r="M488" i="8"/>
  <c r="L488" i="8"/>
  <c r="L487" i="8"/>
  <c r="L486" i="8"/>
  <c r="L485" i="8"/>
  <c r="L484" i="8"/>
  <c r="L483" i="8"/>
  <c r="L482" i="8"/>
  <c r="L481" i="8"/>
  <c r="M480" i="8"/>
  <c r="L480" i="8"/>
  <c r="L479" i="8"/>
  <c r="L478" i="8"/>
  <c r="L477" i="8"/>
  <c r="L476" i="8"/>
  <c r="L475" i="8"/>
  <c r="L474" i="8"/>
  <c r="L473" i="8"/>
  <c r="L472" i="8"/>
  <c r="M471" i="8"/>
  <c r="L471" i="8"/>
  <c r="L470" i="8"/>
  <c r="L469" i="8"/>
  <c r="L468" i="8"/>
  <c r="L467" i="8"/>
  <c r="L466" i="8"/>
  <c r="L465" i="8"/>
  <c r="L464" i="8"/>
  <c r="L463" i="8"/>
  <c r="L462" i="8"/>
  <c r="L461" i="8"/>
  <c r="L460" i="8"/>
  <c r="L459" i="8"/>
  <c r="M458" i="8"/>
  <c r="L458" i="8"/>
  <c r="L457" i="8"/>
  <c r="L456" i="8"/>
  <c r="L455" i="8"/>
  <c r="L454" i="8"/>
  <c r="L453" i="8"/>
  <c r="L452" i="8"/>
  <c r="L451" i="8"/>
  <c r="L450" i="8"/>
  <c r="L449" i="8"/>
  <c r="L448" i="8"/>
  <c r="L447" i="8"/>
  <c r="M446" i="8"/>
  <c r="L446" i="8"/>
  <c r="L445" i="8"/>
  <c r="L444" i="8"/>
  <c r="L443" i="8"/>
  <c r="L442" i="8"/>
  <c r="L441" i="8"/>
  <c r="L440" i="8"/>
  <c r="M439" i="8"/>
  <c r="L439" i="8"/>
  <c r="L438" i="8"/>
  <c r="L437" i="8"/>
  <c r="L436" i="8"/>
  <c r="L435" i="8"/>
  <c r="L434" i="8"/>
  <c r="L433" i="8"/>
  <c r="L432" i="8"/>
  <c r="L431" i="8"/>
  <c r="L430" i="8"/>
  <c r="L429" i="8"/>
  <c r="M428" i="8"/>
  <c r="L428" i="8"/>
  <c r="L427" i="8"/>
  <c r="L426" i="8"/>
  <c r="L425" i="8"/>
  <c r="L424" i="8"/>
  <c r="L423" i="8"/>
  <c r="L422" i="8"/>
  <c r="L421" i="8"/>
  <c r="L420" i="8"/>
  <c r="L419" i="8"/>
  <c r="M418" i="8"/>
  <c r="L418" i="8"/>
  <c r="L417" i="8"/>
  <c r="L416" i="8"/>
  <c r="L415" i="8"/>
  <c r="L414" i="8"/>
  <c r="L413" i="8"/>
  <c r="M412" i="8"/>
  <c r="L412" i="8"/>
  <c r="L411" i="8"/>
  <c r="L410" i="8"/>
  <c r="L409" i="8"/>
  <c r="L408" i="8"/>
  <c r="L407" i="8"/>
  <c r="L406" i="8"/>
  <c r="L405" i="8"/>
  <c r="M404" i="8"/>
  <c r="L404" i="8"/>
  <c r="L403" i="8"/>
  <c r="L402" i="8"/>
  <c r="L401" i="8"/>
  <c r="L400" i="8"/>
  <c r="M399" i="8"/>
  <c r="L399" i="8"/>
  <c r="L398" i="8"/>
  <c r="L397" i="8"/>
  <c r="L396" i="8"/>
  <c r="L395" i="8"/>
  <c r="L394" i="8"/>
  <c r="L393" i="8"/>
  <c r="M392" i="8"/>
  <c r="L392" i="8"/>
  <c r="L391" i="8"/>
  <c r="L390" i="8"/>
  <c r="L389" i="8"/>
  <c r="L388" i="8"/>
  <c r="L387" i="8"/>
  <c r="M386" i="8"/>
  <c r="L386" i="8"/>
  <c r="D378" i="8"/>
  <c r="F367" i="8"/>
  <c r="F366" i="8"/>
  <c r="D360" i="8"/>
  <c r="E360" i="8" s="1"/>
  <c r="G359" i="8"/>
  <c r="E359" i="8"/>
  <c r="F355" i="8"/>
  <c r="D355" i="8"/>
  <c r="D353" i="8"/>
  <c r="D351" i="8"/>
  <c r="G360" i="8" s="1"/>
  <c r="D350" i="8"/>
  <c r="E349" i="8"/>
  <c r="D346" i="8"/>
  <c r="D345" i="8"/>
  <c r="D344" i="8"/>
  <c r="D343" i="8"/>
  <c r="D322" i="8"/>
  <c r="G315" i="8"/>
  <c r="G307" i="8" s="1"/>
  <c r="F315" i="8"/>
  <c r="D314" i="8"/>
  <c r="F307" i="8"/>
  <c r="G305" i="8"/>
  <c r="G306" i="8" s="1"/>
  <c r="F305" i="8"/>
  <c r="D301" i="8"/>
  <c r="D300" i="8"/>
  <c r="E297" i="8"/>
  <c r="E296" i="8"/>
  <c r="E295" i="8"/>
  <c r="D290" i="8"/>
  <c r="D288" i="8"/>
  <c r="E278" i="8"/>
  <c r="G265" i="8"/>
  <c r="F265" i="8"/>
  <c r="E265" i="8"/>
  <c r="D268" i="8" s="1"/>
  <c r="D265" i="8"/>
  <c r="E251" i="8"/>
  <c r="E250" i="8"/>
  <c r="E249" i="8"/>
  <c r="E243" i="8"/>
  <c r="E237" i="8"/>
  <c r="E231" i="8"/>
  <c r="E226" i="8"/>
  <c r="F225" i="8"/>
  <c r="G225" i="8" s="1"/>
  <c r="E225" i="8"/>
  <c r="D225" i="8"/>
  <c r="F223" i="8"/>
  <c r="D361" i="8" s="1"/>
  <c r="E361" i="8" s="1"/>
  <c r="E223" i="8"/>
  <c r="F222" i="8"/>
  <c r="E222" i="8"/>
  <c r="E221" i="8"/>
  <c r="F220" i="8"/>
  <c r="E220" i="8"/>
  <c r="E216" i="8"/>
  <c r="D216" i="8"/>
  <c r="E215" i="8"/>
  <c r="E214" i="8"/>
  <c r="E213" i="8"/>
  <c r="D209" i="8"/>
  <c r="D207" i="8"/>
  <c r="D206" i="8"/>
  <c r="D202" i="8"/>
  <c r="D196" i="8"/>
  <c r="D193" i="8"/>
  <c r="F188" i="8"/>
  <c r="F186" i="8"/>
  <c r="D186" i="8"/>
  <c r="F185" i="8"/>
  <c r="E185" i="8"/>
  <c r="F184" i="8"/>
  <c r="E184" i="8"/>
  <c r="G178" i="8"/>
  <c r="G175" i="8"/>
  <c r="E175" i="8"/>
  <c r="G174" i="8"/>
  <c r="G173" i="8"/>
  <c r="H164" i="8"/>
  <c r="H159" i="8"/>
  <c r="D528" i="8" s="1"/>
  <c r="G528" i="8" s="1"/>
  <c r="H158" i="8"/>
  <c r="H157" i="8"/>
  <c r="J153" i="8"/>
  <c r="I153" i="8"/>
  <c r="H153" i="8"/>
  <c r="G153" i="8"/>
  <c r="E153" i="8"/>
  <c r="J152" i="8"/>
  <c r="J146" i="8"/>
  <c r="J143" i="8"/>
  <c r="J139" i="8"/>
  <c r="J135" i="8"/>
  <c r="J113" i="8"/>
  <c r="J112" i="8"/>
  <c r="J111" i="8"/>
  <c r="D108" i="8"/>
  <c r="D103" i="8"/>
  <c r="D102" i="8"/>
  <c r="D101" i="8"/>
  <c r="G99" i="8"/>
  <c r="F99" i="8"/>
  <c r="D98" i="8"/>
  <c r="D91" i="8"/>
  <c r="D90" i="8"/>
  <c r="E86" i="8"/>
  <c r="D100" i="8" s="1"/>
  <c r="H101" i="8" s="1"/>
  <c r="H102" i="8" s="1"/>
  <c r="E72" i="8"/>
  <c r="E73" i="8" s="1"/>
  <c r="E71" i="8"/>
  <c r="E70" i="8"/>
  <c r="H68" i="8"/>
  <c r="H67" i="8"/>
  <c r="G63" i="8"/>
  <c r="G75" i="8" s="1"/>
  <c r="F63" i="8"/>
  <c r="H69" i="8" s="1"/>
  <c r="E63" i="8"/>
  <c r="F62" i="8"/>
  <c r="F60" i="8"/>
  <c r="F58" i="8"/>
  <c r="G47" i="8"/>
  <c r="F47" i="8"/>
  <c r="D31" i="8"/>
  <c r="D30" i="8"/>
  <c r="F19" i="8"/>
  <c r="G18" i="8" s="1"/>
  <c r="F10" i="8" s="1"/>
  <c r="F13" i="8" s="1"/>
  <c r="F18" i="8"/>
  <c r="F17" i="8"/>
  <c r="D13" i="8"/>
  <c r="I12" i="8"/>
  <c r="I11" i="8"/>
  <c r="I9" i="8"/>
  <c r="C4" i="8"/>
  <c r="C3" i="8"/>
  <c r="C2" i="8"/>
  <c r="C1" i="8"/>
  <c r="C37" i="7"/>
  <c r="G36" i="7"/>
  <c r="E36" i="7"/>
  <c r="I36" i="7" s="1"/>
  <c r="G35" i="7"/>
  <c r="E35" i="7"/>
  <c r="I35" i="7" s="1"/>
  <c r="G34" i="7"/>
  <c r="E34" i="7"/>
  <c r="I34" i="7" s="1"/>
  <c r="G33" i="7"/>
  <c r="G37" i="7" s="1"/>
  <c r="E33" i="7"/>
  <c r="E37" i="7" s="1"/>
  <c r="G30" i="7"/>
  <c r="E30" i="7"/>
  <c r="I30" i="7" s="1"/>
  <c r="C29" i="7"/>
  <c r="E29" i="7" s="1"/>
  <c r="I29" i="7" s="1"/>
  <c r="E28" i="7"/>
  <c r="I28" i="7" s="1"/>
  <c r="C28" i="7"/>
  <c r="G28" i="7" s="1"/>
  <c r="E27" i="7"/>
  <c r="I27" i="7" s="1"/>
  <c r="C27" i="7"/>
  <c r="G27" i="7" s="1"/>
  <c r="E26" i="7"/>
  <c r="E31" i="7" s="1"/>
  <c r="C26" i="7"/>
  <c r="C31" i="7" s="1"/>
  <c r="B21" i="7"/>
  <c r="E15" i="7"/>
  <c r="G15" i="7" s="1"/>
  <c r="I15" i="7" s="1"/>
  <c r="C15" i="7"/>
  <c r="E14" i="7"/>
  <c r="E20" i="7" s="1"/>
  <c r="C14" i="7"/>
  <c r="C20" i="7" s="1"/>
  <c r="E13" i="7"/>
  <c r="G13" i="7" s="1"/>
  <c r="I13" i="7" s="1"/>
  <c r="C13" i="7"/>
  <c r="E12" i="7"/>
  <c r="E19" i="7" s="1"/>
  <c r="C12" i="7"/>
  <c r="G12" i="7" s="1"/>
  <c r="E11" i="7"/>
  <c r="G11" i="7" s="1"/>
  <c r="I11" i="7" s="1"/>
  <c r="C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8" i="7" s="1"/>
  <c r="A39" i="7" s="1"/>
  <c r="A40" i="7" s="1"/>
  <c r="A41" i="7" s="1"/>
  <c r="E10" i="7"/>
  <c r="E18" i="7" s="1"/>
  <c r="E21" i="7" s="1"/>
  <c r="C10" i="7"/>
  <c r="G10" i="7" s="1"/>
  <c r="E8" i="7"/>
  <c r="C8" i="7"/>
  <c r="B5" i="7"/>
  <c r="B4" i="7"/>
  <c r="B3" i="7"/>
  <c r="B2" i="7"/>
  <c r="H29" i="6"/>
  <c r="H26" i="6"/>
  <c r="F22" i="6"/>
  <c r="F21" i="6"/>
  <c r="E17" i="6"/>
  <c r="B16" i="6"/>
  <c r="E12" i="6"/>
  <c r="E13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11" i="6"/>
  <c r="E10" i="6"/>
  <c r="B5" i="6"/>
  <c r="B4" i="6"/>
  <c r="B3" i="6"/>
  <c r="B2" i="6"/>
  <c r="G18" i="5"/>
  <c r="E18" i="5"/>
  <c r="G16" i="5"/>
  <c r="E14" i="5"/>
  <c r="E11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E10" i="5"/>
  <c r="E12" i="5" s="1"/>
  <c r="E16" i="5" s="1"/>
  <c r="E19" i="5" s="1"/>
  <c r="B5" i="5"/>
  <c r="B4" i="5"/>
  <c r="B3" i="5"/>
  <c r="B2" i="5"/>
  <c r="L64" i="4"/>
  <c r="K64" i="4"/>
  <c r="J64" i="4"/>
  <c r="C64" i="4" s="1"/>
  <c r="B64" i="4"/>
  <c r="B63" i="4"/>
  <c r="B62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F61" i="4"/>
  <c r="E61" i="4"/>
  <c r="B61" i="4"/>
  <c r="G60" i="4"/>
  <c r="D60" i="4"/>
  <c r="C60" i="4"/>
  <c r="B60" i="4"/>
  <c r="G59" i="4"/>
  <c r="D59" i="4"/>
  <c r="C59" i="4" s="1"/>
  <c r="B59" i="4"/>
  <c r="G58" i="4"/>
  <c r="D58" i="4"/>
  <c r="C58" i="4"/>
  <c r="B58" i="4"/>
  <c r="G57" i="4"/>
  <c r="D57" i="4"/>
  <c r="C57" i="4" s="1"/>
  <c r="B57" i="4"/>
  <c r="G56" i="4"/>
  <c r="G61" i="4" s="1"/>
  <c r="D56" i="4"/>
  <c r="C56" i="4"/>
  <c r="C61" i="4" s="1"/>
  <c r="B56" i="4"/>
  <c r="B55" i="4"/>
  <c r="B54" i="4"/>
  <c r="G53" i="4"/>
  <c r="F53" i="4"/>
  <c r="E53" i="4"/>
  <c r="D53" i="4"/>
  <c r="B53" i="4"/>
  <c r="B52" i="4"/>
  <c r="AP51" i="4"/>
  <c r="AL51" i="4"/>
  <c r="AH51" i="4"/>
  <c r="AD51" i="4"/>
  <c r="Z51" i="4"/>
  <c r="V51" i="4"/>
  <c r="R51" i="4"/>
  <c r="N51" i="4"/>
  <c r="L51" i="4"/>
  <c r="J51" i="4"/>
  <c r="F51" i="4"/>
  <c r="D51" i="4"/>
  <c r="B51" i="4"/>
  <c r="C50" i="4"/>
  <c r="B50" i="4"/>
  <c r="C49" i="4"/>
  <c r="B49" i="4"/>
  <c r="C48" i="4"/>
  <c r="C53" i="4" s="1"/>
  <c r="B48" i="4"/>
  <c r="B47" i="4"/>
  <c r="AP46" i="4"/>
  <c r="AO46" i="4"/>
  <c r="AO51" i="4" s="1"/>
  <c r="AL46" i="4"/>
  <c r="AK46" i="4"/>
  <c r="AK51" i="4" s="1"/>
  <c r="AH46" i="4"/>
  <c r="AE46" i="4"/>
  <c r="AE51" i="4" s="1"/>
  <c r="AD46" i="4"/>
  <c r="AC46" i="4"/>
  <c r="AC51" i="4" s="1"/>
  <c r="AA46" i="4"/>
  <c r="AA51" i="4" s="1"/>
  <c r="Z46" i="4"/>
  <c r="Y46" i="4"/>
  <c r="Y51" i="4" s="1"/>
  <c r="V46" i="4"/>
  <c r="S46" i="4"/>
  <c r="S51" i="4" s="1"/>
  <c r="R46" i="4"/>
  <c r="Q46" i="4"/>
  <c r="Q51" i="4" s="1"/>
  <c r="O46" i="4"/>
  <c r="O51" i="4" s="1"/>
  <c r="N46" i="4"/>
  <c r="M46" i="4"/>
  <c r="M51" i="4" s="1"/>
  <c r="L46" i="4"/>
  <c r="K46" i="4"/>
  <c r="K51" i="4" s="1"/>
  <c r="J46" i="4"/>
  <c r="G46" i="4"/>
  <c r="G51" i="4" s="1"/>
  <c r="D46" i="4"/>
  <c r="B46" i="4"/>
  <c r="C45" i="4"/>
  <c r="B45" i="4"/>
  <c r="AN44" i="4"/>
  <c r="B44" i="4"/>
  <c r="AM43" i="4"/>
  <c r="C43" i="4" s="1"/>
  <c r="B43" i="4"/>
  <c r="C42" i="4"/>
  <c r="B42" i="4"/>
  <c r="AK41" i="4"/>
  <c r="H41" i="4"/>
  <c r="C41" i="4" s="1"/>
  <c r="B41" i="4"/>
  <c r="AJ40" i="4"/>
  <c r="B40" i="4"/>
  <c r="AI39" i="4"/>
  <c r="C39" i="4" s="1"/>
  <c r="B39" i="4"/>
  <c r="H38" i="4"/>
  <c r="C38" i="4" s="1"/>
  <c r="B38" i="4"/>
  <c r="AG37" i="4"/>
  <c r="C37" i="4" s="1"/>
  <c r="B37" i="4"/>
  <c r="AF36" i="4"/>
  <c r="B36" i="4"/>
  <c r="C35" i="4"/>
  <c r="B35" i="4"/>
  <c r="H34" i="4"/>
  <c r="C34" i="4"/>
  <c r="B34" i="4"/>
  <c r="AC33" i="4"/>
  <c r="C33" i="4"/>
  <c r="B33" i="4"/>
  <c r="AB32" i="4"/>
  <c r="AB46" i="4" s="1"/>
  <c r="AB51" i="4" s="1"/>
  <c r="C32" i="4"/>
  <c r="B32" i="4"/>
  <c r="AA31" i="4"/>
  <c r="C31" i="4"/>
  <c r="B31" i="4"/>
  <c r="F30" i="4"/>
  <c r="F46" i="4" s="1"/>
  <c r="C30" i="4"/>
  <c r="B30" i="4"/>
  <c r="Y29" i="4"/>
  <c r="C29" i="4"/>
  <c r="B29" i="4"/>
  <c r="X28" i="4"/>
  <c r="X46" i="4" s="1"/>
  <c r="X51" i="4" s="1"/>
  <c r="C28" i="4"/>
  <c r="B28" i="4"/>
  <c r="W27" i="4"/>
  <c r="C27" i="4"/>
  <c r="B27" i="4"/>
  <c r="C26" i="4"/>
  <c r="B26" i="4"/>
  <c r="U25" i="4"/>
  <c r="C25" i="4" s="1"/>
  <c r="B25" i="4"/>
  <c r="T24" i="4"/>
  <c r="T46" i="4" s="1"/>
  <c r="T51" i="4" s="1"/>
  <c r="C24" i="4"/>
  <c r="B24" i="4"/>
  <c r="S23" i="4"/>
  <c r="C23" i="4"/>
  <c r="B23" i="4"/>
  <c r="B22" i="4"/>
  <c r="E21" i="4"/>
  <c r="E46" i="4" s="1"/>
  <c r="E51" i="4" s="1"/>
  <c r="C21" i="4"/>
  <c r="B21" i="4"/>
  <c r="W20" i="4"/>
  <c r="W46" i="4" s="1"/>
  <c r="W51" i="4" s="1"/>
  <c r="P20" i="4"/>
  <c r="P46" i="4" s="1"/>
  <c r="P51" i="4" s="1"/>
  <c r="B20" i="4"/>
  <c r="B19" i="4"/>
  <c r="B18" i="4"/>
  <c r="AP17" i="4"/>
  <c r="AP52" i="4" s="1"/>
  <c r="AO17" i="4"/>
  <c r="AN17" i="4"/>
  <c r="AM17" i="4"/>
  <c r="AL17" i="4"/>
  <c r="AL52" i="4" s="1"/>
  <c r="AK17" i="4"/>
  <c r="AK52" i="4" s="1"/>
  <c r="AJ17" i="4"/>
  <c r="AI17" i="4"/>
  <c r="AH17" i="4"/>
  <c r="AH52" i="4" s="1"/>
  <c r="AG17" i="4"/>
  <c r="AF17" i="4"/>
  <c r="AE17" i="4"/>
  <c r="AE52" i="4" s="1"/>
  <c r="AD17" i="4"/>
  <c r="AD52" i="4" s="1"/>
  <c r="AC17" i="4"/>
  <c r="AC52" i="4" s="1"/>
  <c r="AB17" i="4"/>
  <c r="AB52" i="4" s="1"/>
  <c r="AA17" i="4"/>
  <c r="Z17" i="4"/>
  <c r="Z52" i="4" s="1"/>
  <c r="Y17" i="4"/>
  <c r="X17" i="4"/>
  <c r="X52" i="4" s="1"/>
  <c r="W17" i="4"/>
  <c r="V17" i="4"/>
  <c r="V52" i="4" s="1"/>
  <c r="U17" i="4"/>
  <c r="T17" i="4"/>
  <c r="T52" i="4" s="1"/>
  <c r="S17" i="4"/>
  <c r="R17" i="4"/>
  <c r="R52" i="4" s="1"/>
  <c r="Q17" i="4"/>
  <c r="P17" i="4"/>
  <c r="P52" i="4" s="1"/>
  <c r="O17" i="4"/>
  <c r="O52" i="4" s="1"/>
  <c r="N17" i="4"/>
  <c r="N52" i="4" s="1"/>
  <c r="M17" i="4"/>
  <c r="M52" i="4" s="1"/>
  <c r="L17" i="4"/>
  <c r="L52" i="4" s="1"/>
  <c r="K17" i="4"/>
  <c r="K52" i="4" s="1"/>
  <c r="J17" i="4"/>
  <c r="J52" i="4" s="1"/>
  <c r="I17" i="4"/>
  <c r="H17" i="4"/>
  <c r="G17" i="4"/>
  <c r="F17" i="4"/>
  <c r="F52" i="4" s="1"/>
  <c r="E17" i="4"/>
  <c r="D17" i="4"/>
  <c r="D52" i="4" s="1"/>
  <c r="B17" i="4"/>
  <c r="C16" i="4"/>
  <c r="B16" i="4"/>
  <c r="F15" i="4"/>
  <c r="C15" i="4"/>
  <c r="B15" i="4"/>
  <c r="C14" i="4"/>
  <c r="B14" i="4"/>
  <c r="C13" i="4"/>
  <c r="B13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C12" i="4"/>
  <c r="B12" i="4"/>
  <c r="A12" i="4"/>
  <c r="C11" i="4"/>
  <c r="C17" i="4" s="1"/>
  <c r="B11" i="4"/>
  <c r="B10" i="4"/>
  <c r="B4" i="4"/>
  <c r="B3" i="4"/>
  <c r="B2" i="4"/>
  <c r="B1" i="4"/>
  <c r="L64" i="3"/>
  <c r="K64" i="3"/>
  <c r="J64" i="3"/>
  <c r="C64" i="3" s="1"/>
  <c r="B64" i="3"/>
  <c r="B63" i="3"/>
  <c r="B62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F61" i="3"/>
  <c r="E61" i="3"/>
  <c r="B61" i="3"/>
  <c r="G60" i="3"/>
  <c r="D60" i="3"/>
  <c r="C60" i="3"/>
  <c r="B60" i="3"/>
  <c r="G59" i="3"/>
  <c r="D59" i="3"/>
  <c r="C59" i="3" s="1"/>
  <c r="B59" i="3"/>
  <c r="G58" i="3"/>
  <c r="D58" i="3"/>
  <c r="C58" i="3"/>
  <c r="B58" i="3"/>
  <c r="G57" i="3"/>
  <c r="D57" i="3"/>
  <c r="C57" i="3" s="1"/>
  <c r="B57" i="3"/>
  <c r="G56" i="3"/>
  <c r="G61" i="3" s="1"/>
  <c r="D56" i="3"/>
  <c r="D61" i="3" s="1"/>
  <c r="C56" i="3"/>
  <c r="C61" i="3" s="1"/>
  <c r="B56" i="3"/>
  <c r="B55" i="3"/>
  <c r="B54" i="3"/>
  <c r="G53" i="3"/>
  <c r="F53" i="3"/>
  <c r="E53" i="3"/>
  <c r="D53" i="3"/>
  <c r="B53" i="3"/>
  <c r="B52" i="3"/>
  <c r="B51" i="3"/>
  <c r="C50" i="3"/>
  <c r="B50" i="3"/>
  <c r="C49" i="3"/>
  <c r="B49" i="3"/>
  <c r="C48" i="3"/>
  <c r="C53" i="3" s="1"/>
  <c r="B48" i="3"/>
  <c r="B47" i="3"/>
  <c r="AP46" i="3"/>
  <c r="AP51" i="3" s="1"/>
  <c r="AO46" i="3"/>
  <c r="AO51" i="3" s="1"/>
  <c r="AL46" i="3"/>
  <c r="AL51" i="3" s="1"/>
  <c r="AH46" i="3"/>
  <c r="AH51" i="3" s="1"/>
  <c r="AE46" i="3"/>
  <c r="AE51" i="3" s="1"/>
  <c r="AD46" i="3"/>
  <c r="AD51" i="3" s="1"/>
  <c r="Z46" i="3"/>
  <c r="Z51" i="3" s="1"/>
  <c r="V46" i="3"/>
  <c r="V51" i="3" s="1"/>
  <c r="R46" i="3"/>
  <c r="R51" i="3" s="1"/>
  <c r="Q46" i="3"/>
  <c r="Q51" i="3" s="1"/>
  <c r="O46" i="3"/>
  <c r="O51" i="3" s="1"/>
  <c r="N46" i="3"/>
  <c r="N51" i="3" s="1"/>
  <c r="M46" i="3"/>
  <c r="M51" i="3" s="1"/>
  <c r="L46" i="3"/>
  <c r="L51" i="3" s="1"/>
  <c r="K46" i="3"/>
  <c r="K51" i="3" s="1"/>
  <c r="J46" i="3"/>
  <c r="J51" i="3" s="1"/>
  <c r="G46" i="3"/>
  <c r="G51" i="3" s="1"/>
  <c r="D46" i="3"/>
  <c r="D51" i="3" s="1"/>
  <c r="B46" i="3"/>
  <c r="C45" i="3"/>
  <c r="B45" i="3"/>
  <c r="AN44" i="3"/>
  <c r="AN46" i="3" s="1"/>
  <c r="AN51" i="3" s="1"/>
  <c r="B44" i="3"/>
  <c r="AM43" i="3"/>
  <c r="AM46" i="3" s="1"/>
  <c r="AM51" i="3" s="1"/>
  <c r="B43" i="3"/>
  <c r="C42" i="3"/>
  <c r="B42" i="3"/>
  <c r="AK41" i="3"/>
  <c r="AK46" i="3" s="1"/>
  <c r="AK51" i="3" s="1"/>
  <c r="H41" i="3"/>
  <c r="C41" i="3" s="1"/>
  <c r="B41" i="3"/>
  <c r="AJ40" i="3"/>
  <c r="AJ46" i="3" s="1"/>
  <c r="AJ51" i="3" s="1"/>
  <c r="B40" i="3"/>
  <c r="AI39" i="3"/>
  <c r="AI46" i="3" s="1"/>
  <c r="AI51" i="3" s="1"/>
  <c r="B39" i="3"/>
  <c r="H38" i="3"/>
  <c r="C38" i="3" s="1"/>
  <c r="B38" i="3"/>
  <c r="AG37" i="3"/>
  <c r="AG46" i="3" s="1"/>
  <c r="AG51" i="3" s="1"/>
  <c r="B37" i="3"/>
  <c r="AF36" i="3"/>
  <c r="AF46" i="3" s="1"/>
  <c r="AF51" i="3" s="1"/>
  <c r="B36" i="3"/>
  <c r="C35" i="3"/>
  <c r="B35" i="3"/>
  <c r="H34" i="3"/>
  <c r="H46" i="3" s="1"/>
  <c r="H51" i="3" s="1"/>
  <c r="C34" i="3"/>
  <c r="B34" i="3"/>
  <c r="AC33" i="3"/>
  <c r="AC46" i="3" s="1"/>
  <c r="AC51" i="3" s="1"/>
  <c r="C33" i="3"/>
  <c r="B33" i="3"/>
  <c r="AB32" i="3"/>
  <c r="AB46" i="3" s="1"/>
  <c r="AB51" i="3" s="1"/>
  <c r="C32" i="3"/>
  <c r="B32" i="3"/>
  <c r="AA31" i="3"/>
  <c r="AA46" i="3" s="1"/>
  <c r="AA51" i="3" s="1"/>
  <c r="C31" i="3"/>
  <c r="B31" i="3"/>
  <c r="F30" i="3"/>
  <c r="F46" i="3" s="1"/>
  <c r="F51" i="3" s="1"/>
  <c r="C30" i="3"/>
  <c r="B30" i="3"/>
  <c r="Y29" i="3"/>
  <c r="Y46" i="3" s="1"/>
  <c r="Y51" i="3" s="1"/>
  <c r="C29" i="3"/>
  <c r="B29" i="3"/>
  <c r="X28" i="3"/>
  <c r="X46" i="3" s="1"/>
  <c r="X51" i="3" s="1"/>
  <c r="C28" i="3"/>
  <c r="B28" i="3"/>
  <c r="W27" i="3"/>
  <c r="C27" i="3"/>
  <c r="B27" i="3"/>
  <c r="C26" i="3"/>
  <c r="B26" i="3"/>
  <c r="U25" i="3"/>
  <c r="B25" i="3"/>
  <c r="T24" i="3"/>
  <c r="T46" i="3" s="1"/>
  <c r="T51" i="3" s="1"/>
  <c r="B24" i="3"/>
  <c r="S23" i="3"/>
  <c r="S46" i="3" s="1"/>
  <c r="S51" i="3" s="1"/>
  <c r="B23" i="3"/>
  <c r="B22" i="3"/>
  <c r="E21" i="3"/>
  <c r="E46" i="3" s="1"/>
  <c r="E51" i="3" s="1"/>
  <c r="B21" i="3"/>
  <c r="W20" i="3"/>
  <c r="W46" i="3" s="1"/>
  <c r="W51" i="3" s="1"/>
  <c r="P20" i="3"/>
  <c r="P46" i="3" s="1"/>
  <c r="P51" i="3" s="1"/>
  <c r="C20" i="3"/>
  <c r="B20" i="3"/>
  <c r="B19" i="3"/>
  <c r="B18" i="3"/>
  <c r="AP17" i="3"/>
  <c r="AP52" i="3" s="1"/>
  <c r="AO17" i="3"/>
  <c r="AO52" i="3" s="1"/>
  <c r="AN17" i="3"/>
  <c r="AN52" i="3" s="1"/>
  <c r="AM17" i="3"/>
  <c r="AM52" i="3" s="1"/>
  <c r="AL17" i="3"/>
  <c r="AL52" i="3" s="1"/>
  <c r="AK17" i="3"/>
  <c r="AK52" i="3" s="1"/>
  <c r="AJ17" i="3"/>
  <c r="AJ52" i="3" s="1"/>
  <c r="AI17" i="3"/>
  <c r="AI52" i="3" s="1"/>
  <c r="AH17" i="3"/>
  <c r="AH52" i="3" s="1"/>
  <c r="AG17" i="3"/>
  <c r="AG52" i="3" s="1"/>
  <c r="AF17" i="3"/>
  <c r="AF52" i="3" s="1"/>
  <c r="AE17" i="3"/>
  <c r="AE52" i="3" s="1"/>
  <c r="AD17" i="3"/>
  <c r="AD52" i="3" s="1"/>
  <c r="AC17" i="3"/>
  <c r="AC52" i="3" s="1"/>
  <c r="AB17" i="3"/>
  <c r="AB52" i="3" s="1"/>
  <c r="AA17" i="3"/>
  <c r="AA52" i="3" s="1"/>
  <c r="Z17" i="3"/>
  <c r="Z52" i="3" s="1"/>
  <c r="Y17" i="3"/>
  <c r="Y52" i="3" s="1"/>
  <c r="X17" i="3"/>
  <c r="X52" i="3" s="1"/>
  <c r="W17" i="3"/>
  <c r="W52" i="3" s="1"/>
  <c r="V17" i="3"/>
  <c r="V52" i="3" s="1"/>
  <c r="U17" i="3"/>
  <c r="T17" i="3"/>
  <c r="T52" i="3" s="1"/>
  <c r="S17" i="3"/>
  <c r="S52" i="3" s="1"/>
  <c r="R17" i="3"/>
  <c r="R52" i="3" s="1"/>
  <c r="Q17" i="3"/>
  <c r="Q52" i="3" s="1"/>
  <c r="P17" i="3"/>
  <c r="P52" i="3" s="1"/>
  <c r="O17" i="3"/>
  <c r="O52" i="3" s="1"/>
  <c r="N17" i="3"/>
  <c r="N52" i="3" s="1"/>
  <c r="M17" i="3"/>
  <c r="M52" i="3" s="1"/>
  <c r="L17" i="3"/>
  <c r="L52" i="3" s="1"/>
  <c r="K17" i="3"/>
  <c r="K52" i="3" s="1"/>
  <c r="J17" i="3"/>
  <c r="J52" i="3" s="1"/>
  <c r="I17" i="3"/>
  <c r="H17" i="3"/>
  <c r="H52" i="3" s="1"/>
  <c r="G17" i="3"/>
  <c r="G52" i="3" s="1"/>
  <c r="E17" i="3"/>
  <c r="E52" i="3" s="1"/>
  <c r="D17" i="3"/>
  <c r="D52" i="3" s="1"/>
  <c r="B17" i="3"/>
  <c r="C16" i="3"/>
  <c r="B16" i="3"/>
  <c r="F15" i="3"/>
  <c r="F17" i="3" s="1"/>
  <c r="F52" i="3" s="1"/>
  <c r="B15" i="3"/>
  <c r="C14" i="3"/>
  <c r="B14" i="3"/>
  <c r="C13" i="3"/>
  <c r="B13" i="3"/>
  <c r="C12" i="3"/>
  <c r="B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C11" i="3"/>
  <c r="B11" i="3"/>
  <c r="B10" i="3"/>
  <c r="B4" i="3"/>
  <c r="B3" i="3"/>
  <c r="B2" i="3"/>
  <c r="B1" i="3"/>
  <c r="H64" i="2"/>
  <c r="G64" i="2"/>
  <c r="I64" i="2" s="1"/>
  <c r="D64" i="2"/>
  <c r="E64" i="2" s="1"/>
  <c r="C64" i="2"/>
  <c r="B64" i="2"/>
  <c r="B63" i="2"/>
  <c r="B62" i="2"/>
  <c r="B61" i="2"/>
  <c r="H60" i="2"/>
  <c r="G60" i="2"/>
  <c r="I60" i="2" s="1"/>
  <c r="D60" i="2"/>
  <c r="E60" i="2" s="1"/>
  <c r="C60" i="2"/>
  <c r="B60" i="2"/>
  <c r="H59" i="2"/>
  <c r="G59" i="2"/>
  <c r="I59" i="2" s="1"/>
  <c r="D59" i="2"/>
  <c r="E59" i="2" s="1"/>
  <c r="C59" i="2"/>
  <c r="B59" i="2"/>
  <c r="H58" i="2"/>
  <c r="G58" i="2"/>
  <c r="I58" i="2" s="1"/>
  <c r="D58" i="2"/>
  <c r="E58" i="2" s="1"/>
  <c r="C58" i="2"/>
  <c r="B58" i="2"/>
  <c r="H57" i="2"/>
  <c r="G57" i="2"/>
  <c r="I57" i="2" s="1"/>
  <c r="D57" i="2"/>
  <c r="E57" i="2" s="1"/>
  <c r="C57" i="2"/>
  <c r="B57" i="2"/>
  <c r="H56" i="2"/>
  <c r="H61" i="2" s="1"/>
  <c r="G56" i="2"/>
  <c r="G61" i="2" s="1"/>
  <c r="D56" i="2"/>
  <c r="D61" i="2" s="1"/>
  <c r="C56" i="2"/>
  <c r="C61" i="2" s="1"/>
  <c r="B56" i="2"/>
  <c r="B55" i="2"/>
  <c r="B54" i="2"/>
  <c r="B53" i="2"/>
  <c r="B52" i="2"/>
  <c r="B51" i="2"/>
  <c r="H50" i="2"/>
  <c r="G50" i="2"/>
  <c r="I50" i="2" s="1"/>
  <c r="D50" i="2"/>
  <c r="E50" i="2" s="1"/>
  <c r="C50" i="2"/>
  <c r="B50" i="2"/>
  <c r="H49" i="2"/>
  <c r="G49" i="2"/>
  <c r="I49" i="2" s="1"/>
  <c r="D49" i="2"/>
  <c r="E49" i="2" s="1"/>
  <c r="C49" i="2"/>
  <c r="B49" i="2"/>
  <c r="B48" i="2"/>
  <c r="B47" i="2"/>
  <c r="B46" i="2"/>
  <c r="H45" i="2"/>
  <c r="G45" i="2"/>
  <c r="I45" i="2" s="1"/>
  <c r="D45" i="2"/>
  <c r="E45" i="2" s="1"/>
  <c r="C45" i="2"/>
  <c r="B45" i="2"/>
  <c r="H44" i="2"/>
  <c r="G44" i="2"/>
  <c r="I44" i="2" s="1"/>
  <c r="D44" i="2"/>
  <c r="E44" i="2" s="1"/>
  <c r="C44" i="2"/>
  <c r="B44" i="2"/>
  <c r="H43" i="2"/>
  <c r="G43" i="2"/>
  <c r="I43" i="2" s="1"/>
  <c r="D43" i="2"/>
  <c r="E43" i="2" s="1"/>
  <c r="C43" i="2"/>
  <c r="B43" i="2"/>
  <c r="H42" i="2"/>
  <c r="G42" i="2"/>
  <c r="I42" i="2" s="1"/>
  <c r="D42" i="2"/>
  <c r="E42" i="2" s="1"/>
  <c r="C42" i="2"/>
  <c r="B42" i="2"/>
  <c r="H41" i="2"/>
  <c r="G41" i="2"/>
  <c r="I41" i="2" s="1"/>
  <c r="D41" i="2"/>
  <c r="E41" i="2" s="1"/>
  <c r="C41" i="2"/>
  <c r="B41" i="2"/>
  <c r="H40" i="2"/>
  <c r="G40" i="2"/>
  <c r="I40" i="2" s="1"/>
  <c r="D40" i="2"/>
  <c r="E40" i="2" s="1"/>
  <c r="C40" i="2"/>
  <c r="B40" i="2"/>
  <c r="H39" i="2"/>
  <c r="G39" i="2"/>
  <c r="I39" i="2" s="1"/>
  <c r="D39" i="2"/>
  <c r="E39" i="2" s="1"/>
  <c r="C39" i="2"/>
  <c r="B39" i="2"/>
  <c r="H38" i="2"/>
  <c r="G38" i="2"/>
  <c r="I38" i="2" s="1"/>
  <c r="D38" i="2"/>
  <c r="E38" i="2" s="1"/>
  <c r="C38" i="2"/>
  <c r="B38" i="2"/>
  <c r="H37" i="2"/>
  <c r="G37" i="2"/>
  <c r="I37" i="2" s="1"/>
  <c r="D37" i="2"/>
  <c r="E37" i="2" s="1"/>
  <c r="C37" i="2"/>
  <c r="B37" i="2"/>
  <c r="H36" i="2"/>
  <c r="G36" i="2"/>
  <c r="I36" i="2" s="1"/>
  <c r="D36" i="2"/>
  <c r="E36" i="2" s="1"/>
  <c r="C36" i="2"/>
  <c r="B36" i="2"/>
  <c r="H35" i="2"/>
  <c r="G35" i="2"/>
  <c r="I35" i="2" s="1"/>
  <c r="D35" i="2"/>
  <c r="E35" i="2" s="1"/>
  <c r="C35" i="2"/>
  <c r="B35" i="2"/>
  <c r="H34" i="2"/>
  <c r="G34" i="2"/>
  <c r="I34" i="2" s="1"/>
  <c r="D34" i="2"/>
  <c r="E34" i="2" s="1"/>
  <c r="C34" i="2"/>
  <c r="B34" i="2"/>
  <c r="H33" i="2"/>
  <c r="G33" i="2"/>
  <c r="I33" i="2" s="1"/>
  <c r="D33" i="2"/>
  <c r="E33" i="2" s="1"/>
  <c r="C33" i="2"/>
  <c r="B33" i="2"/>
  <c r="H32" i="2"/>
  <c r="G32" i="2"/>
  <c r="I32" i="2" s="1"/>
  <c r="D32" i="2"/>
  <c r="E32" i="2" s="1"/>
  <c r="C32" i="2"/>
  <c r="B32" i="2"/>
  <c r="H31" i="2"/>
  <c r="G31" i="2"/>
  <c r="I31" i="2" s="1"/>
  <c r="D31" i="2"/>
  <c r="E31" i="2" s="1"/>
  <c r="C31" i="2"/>
  <c r="B31" i="2"/>
  <c r="H30" i="2"/>
  <c r="G30" i="2"/>
  <c r="I30" i="2" s="1"/>
  <c r="D30" i="2"/>
  <c r="E30" i="2" s="1"/>
  <c r="C30" i="2"/>
  <c r="B30" i="2"/>
  <c r="H29" i="2"/>
  <c r="G29" i="2"/>
  <c r="I29" i="2" s="1"/>
  <c r="D29" i="2"/>
  <c r="E29" i="2" s="1"/>
  <c r="C29" i="2"/>
  <c r="B29" i="2"/>
  <c r="H28" i="2"/>
  <c r="G28" i="2"/>
  <c r="I28" i="2" s="1"/>
  <c r="D28" i="2"/>
  <c r="E28" i="2" s="1"/>
  <c r="C28" i="2"/>
  <c r="B28" i="2"/>
  <c r="H27" i="2"/>
  <c r="G27" i="2"/>
  <c r="I27" i="2" s="1"/>
  <c r="D27" i="2"/>
  <c r="E27" i="2" s="1"/>
  <c r="C27" i="2"/>
  <c r="B27" i="2"/>
  <c r="H26" i="2"/>
  <c r="G26" i="2"/>
  <c r="I26" i="2" s="1"/>
  <c r="D26" i="2"/>
  <c r="E26" i="2" s="1"/>
  <c r="C26" i="2"/>
  <c r="B26" i="2"/>
  <c r="H25" i="2"/>
  <c r="I25" i="2" s="1"/>
  <c r="G25" i="2"/>
  <c r="D25" i="2"/>
  <c r="C25" i="2"/>
  <c r="E25" i="2" s="1"/>
  <c r="B25" i="2"/>
  <c r="H24" i="2"/>
  <c r="I24" i="2" s="1"/>
  <c r="G24" i="2"/>
  <c r="D24" i="2"/>
  <c r="C24" i="2"/>
  <c r="E24" i="2" s="1"/>
  <c r="B24" i="2"/>
  <c r="H23" i="2"/>
  <c r="I23" i="2" s="1"/>
  <c r="G23" i="2"/>
  <c r="D23" i="2"/>
  <c r="C23" i="2"/>
  <c r="E23" i="2" s="1"/>
  <c r="B23" i="2"/>
  <c r="H22" i="2"/>
  <c r="I22" i="2" s="1"/>
  <c r="G22" i="2"/>
  <c r="D22" i="2"/>
  <c r="C22" i="2"/>
  <c r="E22" i="2" s="1"/>
  <c r="B22" i="2"/>
  <c r="H21" i="2"/>
  <c r="I21" i="2" s="1"/>
  <c r="G21" i="2"/>
  <c r="D21" i="2"/>
  <c r="C21" i="2"/>
  <c r="E21" i="2" s="1"/>
  <c r="B21" i="2"/>
  <c r="H20" i="2"/>
  <c r="H46" i="2" s="1"/>
  <c r="H51" i="2" s="1"/>
  <c r="G20" i="2"/>
  <c r="G46" i="2" s="1"/>
  <c r="G51" i="2" s="1"/>
  <c r="D20" i="2"/>
  <c r="D46" i="2" s="1"/>
  <c r="D51" i="2" s="1"/>
  <c r="C20" i="2"/>
  <c r="C46" i="2" s="1"/>
  <c r="C51" i="2" s="1"/>
  <c r="B20" i="2"/>
  <c r="B19" i="2"/>
  <c r="B18" i="2"/>
  <c r="B17" i="2"/>
  <c r="H16" i="2"/>
  <c r="I16" i="2" s="1"/>
  <c r="G16" i="2"/>
  <c r="D16" i="2"/>
  <c r="C16" i="2"/>
  <c r="E16" i="2" s="1"/>
  <c r="B16" i="2"/>
  <c r="H15" i="2"/>
  <c r="I15" i="2" s="1"/>
  <c r="G15" i="2"/>
  <c r="D15" i="2"/>
  <c r="C15" i="2"/>
  <c r="E15" i="2" s="1"/>
  <c r="B15" i="2"/>
  <c r="H14" i="2"/>
  <c r="I14" i="2" s="1"/>
  <c r="G14" i="2"/>
  <c r="D14" i="2"/>
  <c r="C14" i="2"/>
  <c r="E14" i="2" s="1"/>
  <c r="B14" i="2"/>
  <c r="H13" i="2"/>
  <c r="I13" i="2" s="1"/>
  <c r="G13" i="2"/>
  <c r="D13" i="2"/>
  <c r="C13" i="2"/>
  <c r="E13" i="2" s="1"/>
  <c r="B13" i="2"/>
  <c r="H12" i="2"/>
  <c r="I12" i="2" s="1"/>
  <c r="G12" i="2"/>
  <c r="D12" i="2"/>
  <c r="C12" i="2"/>
  <c r="E12" i="2" s="1"/>
  <c r="B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H11" i="2"/>
  <c r="H17" i="2" s="1"/>
  <c r="G11" i="2"/>
  <c r="G17" i="2" s="1"/>
  <c r="D11" i="2"/>
  <c r="D17" i="2" s="1"/>
  <c r="C11" i="2"/>
  <c r="C17" i="2" s="1"/>
  <c r="B11" i="2"/>
  <c r="B10" i="2"/>
  <c r="B5" i="2"/>
  <c r="B4" i="2"/>
  <c r="B3" i="2"/>
  <c r="B2" i="2"/>
  <c r="H62" i="1"/>
  <c r="E62" i="1"/>
  <c r="C62" i="1"/>
  <c r="F62" i="1" s="1"/>
  <c r="I62" i="1" s="1"/>
  <c r="L62" i="1" s="1"/>
  <c r="H58" i="1"/>
  <c r="E58" i="1"/>
  <c r="C58" i="1"/>
  <c r="F58" i="1" s="1"/>
  <c r="I58" i="1" s="1"/>
  <c r="L58" i="1" s="1"/>
  <c r="H57" i="1"/>
  <c r="E57" i="1"/>
  <c r="F57" i="1" s="1"/>
  <c r="C57" i="1"/>
  <c r="H56" i="1"/>
  <c r="E56" i="1"/>
  <c r="C56" i="1"/>
  <c r="F56" i="1" s="1"/>
  <c r="I56" i="1" s="1"/>
  <c r="L56" i="1" s="1"/>
  <c r="H55" i="1"/>
  <c r="E55" i="1"/>
  <c r="F55" i="1" s="1"/>
  <c r="C55" i="1"/>
  <c r="H54" i="1"/>
  <c r="H59" i="1" s="1"/>
  <c r="E54" i="1"/>
  <c r="C54" i="1"/>
  <c r="C59" i="1" s="1"/>
  <c r="N51" i="1"/>
  <c r="K48" i="1"/>
  <c r="H48" i="1"/>
  <c r="E48" i="1"/>
  <c r="F48" i="1" s="1"/>
  <c r="C48" i="1"/>
  <c r="B48" i="1"/>
  <c r="H47" i="1"/>
  <c r="E47" i="1"/>
  <c r="F47" i="1" s="1"/>
  <c r="C47" i="1"/>
  <c r="H43" i="1"/>
  <c r="E43" i="1"/>
  <c r="C43" i="1"/>
  <c r="F43" i="1" s="1"/>
  <c r="I43" i="1" s="1"/>
  <c r="L43" i="1" s="1"/>
  <c r="H42" i="1"/>
  <c r="E42" i="1"/>
  <c r="F42" i="1" s="1"/>
  <c r="C42" i="1"/>
  <c r="H41" i="1"/>
  <c r="E41" i="1"/>
  <c r="C41" i="1"/>
  <c r="F41" i="1" s="1"/>
  <c r="I41" i="1" s="1"/>
  <c r="L41" i="1" s="1"/>
  <c r="H40" i="1"/>
  <c r="E40" i="1"/>
  <c r="F40" i="1" s="1"/>
  <c r="C40" i="1"/>
  <c r="K39" i="1"/>
  <c r="H39" i="1"/>
  <c r="E39" i="1"/>
  <c r="F39" i="1" s="1"/>
  <c r="I39" i="1" s="1"/>
  <c r="L39" i="1" s="1"/>
  <c r="C39" i="1"/>
  <c r="H38" i="1"/>
  <c r="E38" i="1"/>
  <c r="F38" i="1" s="1"/>
  <c r="C38" i="1"/>
  <c r="H37" i="1"/>
  <c r="E37" i="1"/>
  <c r="C37" i="1"/>
  <c r="F37" i="1" s="1"/>
  <c r="I37" i="1" s="1"/>
  <c r="L37" i="1" s="1"/>
  <c r="H36" i="1"/>
  <c r="E36" i="1"/>
  <c r="F36" i="1" s="1"/>
  <c r="C36" i="1"/>
  <c r="H35" i="1"/>
  <c r="E35" i="1"/>
  <c r="C35" i="1"/>
  <c r="F35" i="1" s="1"/>
  <c r="I35" i="1" s="1"/>
  <c r="L35" i="1" s="1"/>
  <c r="H34" i="1"/>
  <c r="E34" i="1"/>
  <c r="F34" i="1" s="1"/>
  <c r="C34" i="1"/>
  <c r="H33" i="1"/>
  <c r="E33" i="1"/>
  <c r="C33" i="1"/>
  <c r="F33" i="1" s="1"/>
  <c r="I33" i="1" s="1"/>
  <c r="L33" i="1" s="1"/>
  <c r="K32" i="1"/>
  <c r="H32" i="1"/>
  <c r="E32" i="1"/>
  <c r="C32" i="1"/>
  <c r="F32" i="1" s="1"/>
  <c r="I32" i="1" s="1"/>
  <c r="L32" i="1" s="1"/>
  <c r="H31" i="1"/>
  <c r="E31" i="1"/>
  <c r="F31" i="1" s="1"/>
  <c r="I31" i="1" s="1"/>
  <c r="L31" i="1" s="1"/>
  <c r="C31" i="1"/>
  <c r="H30" i="1"/>
  <c r="E30" i="1"/>
  <c r="C30" i="1"/>
  <c r="F30" i="1" s="1"/>
  <c r="I30" i="1" s="1"/>
  <c r="L30" i="1" s="1"/>
  <c r="H29" i="1"/>
  <c r="E29" i="1"/>
  <c r="F29" i="1" s="1"/>
  <c r="I29" i="1" s="1"/>
  <c r="L29" i="1" s="1"/>
  <c r="C29" i="1"/>
  <c r="H28" i="1"/>
  <c r="E28" i="1"/>
  <c r="C28" i="1"/>
  <c r="F28" i="1" s="1"/>
  <c r="I28" i="1" s="1"/>
  <c r="L28" i="1" s="1"/>
  <c r="H27" i="1"/>
  <c r="E27" i="1"/>
  <c r="F27" i="1" s="1"/>
  <c r="I27" i="1" s="1"/>
  <c r="L27" i="1" s="1"/>
  <c r="C27" i="1"/>
  <c r="H26" i="1"/>
  <c r="F26" i="1"/>
  <c r="I26" i="1" s="1"/>
  <c r="L26" i="1" s="1"/>
  <c r="E26" i="1"/>
  <c r="H25" i="1"/>
  <c r="E25" i="1"/>
  <c r="C25" i="1"/>
  <c r="F25" i="1" s="1"/>
  <c r="I25" i="1" s="1"/>
  <c r="L25" i="1" s="1"/>
  <c r="H24" i="1"/>
  <c r="E24" i="1"/>
  <c r="F24" i="1" s="1"/>
  <c r="C24" i="1"/>
  <c r="H23" i="1"/>
  <c r="E23" i="1"/>
  <c r="C23" i="1"/>
  <c r="F23" i="1" s="1"/>
  <c r="I23" i="1" s="1"/>
  <c r="L23" i="1" s="1"/>
  <c r="H22" i="1"/>
  <c r="E22" i="1"/>
  <c r="F22" i="1" s="1"/>
  <c r="I22" i="1" s="1"/>
  <c r="L22" i="1" s="1"/>
  <c r="C22" i="1"/>
  <c r="H21" i="1"/>
  <c r="E21" i="1"/>
  <c r="C21" i="1"/>
  <c r="F21" i="1" s="1"/>
  <c r="I21" i="1" s="1"/>
  <c r="L21" i="1" s="1"/>
  <c r="H20" i="1"/>
  <c r="E20" i="1"/>
  <c r="C20" i="1"/>
  <c r="F20" i="1" s="1"/>
  <c r="I20" i="1" s="1"/>
  <c r="L20" i="1" s="1"/>
  <c r="R19" i="1"/>
  <c r="Q19" i="1"/>
  <c r="H19" i="1"/>
  <c r="E19" i="1"/>
  <c r="F19" i="1" s="1"/>
  <c r="I19" i="1" s="1"/>
  <c r="L19" i="1" s="1"/>
  <c r="C19" i="1"/>
  <c r="H18" i="1"/>
  <c r="H44" i="1" s="1"/>
  <c r="E18" i="1"/>
  <c r="F18" i="1" s="1"/>
  <c r="C18" i="1"/>
  <c r="R16" i="1"/>
  <c r="Q16" i="1"/>
  <c r="N15" i="1"/>
  <c r="H14" i="1"/>
  <c r="E14" i="1"/>
  <c r="F14" i="1" s="1"/>
  <c r="I14" i="1" s="1"/>
  <c r="N14" i="1" s="1"/>
  <c r="O14" i="1" s="1"/>
  <c r="C14" i="1"/>
  <c r="H13" i="1"/>
  <c r="E13" i="1"/>
  <c r="C13" i="1"/>
  <c r="F13" i="1" s="1"/>
  <c r="I13" i="1" s="1"/>
  <c r="H12" i="1"/>
  <c r="E12" i="1"/>
  <c r="F12" i="1" s="1"/>
  <c r="I12" i="1" s="1"/>
  <c r="N12" i="1" s="1"/>
  <c r="O12" i="1" s="1"/>
  <c r="C12" i="1"/>
  <c r="K11" i="1"/>
  <c r="N11" i="1" s="1"/>
  <c r="O11" i="1" s="1"/>
  <c r="H11" i="1"/>
  <c r="E11" i="1"/>
  <c r="F11" i="1" s="1"/>
  <c r="I11" i="1" s="1"/>
  <c r="C11" i="1"/>
  <c r="K10" i="1"/>
  <c r="H10" i="1"/>
  <c r="E10" i="1"/>
  <c r="F10" i="1" s="1"/>
  <c r="I10" i="1" s="1"/>
  <c r="C10" i="1"/>
  <c r="K9" i="1"/>
  <c r="H9" i="1"/>
  <c r="H15" i="1" s="1"/>
  <c r="H46" i="1" s="1"/>
  <c r="H50" i="1" s="1"/>
  <c r="E9" i="1"/>
  <c r="E15" i="1" s="1"/>
  <c r="C9" i="1"/>
  <c r="C1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8" i="1"/>
  <c r="L6" i="1"/>
  <c r="K6" i="1"/>
  <c r="H6" i="1"/>
  <c r="E6" i="1"/>
  <c r="A4" i="1"/>
  <c r="A3" i="1"/>
  <c r="A2" i="1"/>
  <c r="A1" i="1"/>
  <c r="X258" i="9" l="1"/>
  <c r="X257" i="9"/>
  <c r="X256" i="9"/>
  <c r="X254" i="9"/>
  <c r="X253" i="9"/>
  <c r="X252" i="9"/>
  <c r="X248" i="9"/>
  <c r="X247" i="9"/>
  <c r="X282" i="9"/>
  <c r="X241" i="9"/>
  <c r="X240" i="9"/>
  <c r="X239" i="9"/>
  <c r="X238" i="9"/>
  <c r="X234" i="9"/>
  <c r="X233" i="9"/>
  <c r="X232" i="9"/>
  <c r="X207" i="9"/>
  <c r="X204" i="9"/>
  <c r="X203" i="9"/>
  <c r="X202" i="9"/>
  <c r="X201" i="9"/>
  <c r="X200" i="9"/>
  <c r="X199" i="9"/>
  <c r="X198" i="9"/>
  <c r="X197" i="9"/>
  <c r="X195" i="9"/>
  <c r="X193" i="9"/>
  <c r="X192" i="9"/>
  <c r="X191" i="9"/>
  <c r="X190" i="9"/>
  <c r="X189" i="9"/>
  <c r="X187" i="9"/>
  <c r="X186" i="9"/>
  <c r="X184" i="9"/>
  <c r="X173" i="9"/>
  <c r="X172" i="9"/>
  <c r="X170" i="9"/>
  <c r="X168" i="9"/>
  <c r="X167" i="9"/>
  <c r="X164" i="9"/>
  <c r="X163" i="9"/>
  <c r="X155" i="9"/>
  <c r="X150" i="9"/>
  <c r="X143" i="9"/>
  <c r="X139" i="9"/>
  <c r="X138" i="9"/>
  <c r="X137" i="9"/>
  <c r="X136" i="9"/>
  <c r="X134" i="9"/>
  <c r="X133" i="9"/>
  <c r="X127" i="9"/>
  <c r="X126" i="9"/>
  <c r="X123" i="9"/>
  <c r="X122" i="9"/>
  <c r="X121" i="9"/>
  <c r="X120" i="9"/>
  <c r="X118" i="9"/>
  <c r="X117" i="9"/>
  <c r="X116" i="9"/>
  <c r="X115" i="9"/>
  <c r="X113" i="9"/>
  <c r="X112" i="9"/>
  <c r="X111" i="9"/>
  <c r="X110" i="9"/>
  <c r="X109" i="9"/>
  <c r="X108" i="9"/>
  <c r="X107" i="9"/>
  <c r="X105" i="9"/>
  <c r="X104" i="9"/>
  <c r="X95" i="9"/>
  <c r="X89" i="9"/>
  <c r="X87" i="9"/>
  <c r="X86" i="9"/>
  <c r="X82" i="9"/>
  <c r="X81" i="9"/>
  <c r="X80" i="9"/>
  <c r="AC258" i="9"/>
  <c r="AC257" i="9"/>
  <c r="AC256" i="9"/>
  <c r="AC254" i="9"/>
  <c r="AC253" i="9"/>
  <c r="AC252" i="9"/>
  <c r="AC248" i="9"/>
  <c r="AC247" i="9"/>
  <c r="AC241" i="9"/>
  <c r="AC282" i="9"/>
  <c r="AC240" i="9"/>
  <c r="AC239" i="9"/>
  <c r="AC238" i="9"/>
  <c r="AC234" i="9"/>
  <c r="AC233" i="9"/>
  <c r="AC232" i="9"/>
  <c r="AC207" i="9"/>
  <c r="AC204" i="9"/>
  <c r="AC203" i="9"/>
  <c r="AC202" i="9"/>
  <c r="AC201" i="9"/>
  <c r="AC200" i="9"/>
  <c r="AC199" i="9"/>
  <c r="AC198" i="9"/>
  <c r="AC197" i="9"/>
  <c r="AC195" i="9"/>
  <c r="AC193" i="9"/>
  <c r="AC192" i="9"/>
  <c r="AC191" i="9"/>
  <c r="AC190" i="9"/>
  <c r="AC189" i="9"/>
  <c r="AC187" i="9"/>
  <c r="AC186" i="9"/>
  <c r="AC184" i="9"/>
  <c r="AC173" i="9"/>
  <c r="AC172" i="9"/>
  <c r="AC170" i="9"/>
  <c r="AC168" i="9"/>
  <c r="AC167" i="9"/>
  <c r="AC164" i="9"/>
  <c r="AC163" i="9"/>
  <c r="AC155" i="9"/>
  <c r="AC150" i="9"/>
  <c r="AC143" i="9"/>
  <c r="AC139" i="9"/>
  <c r="AC138" i="9"/>
  <c r="AC137" i="9"/>
  <c r="AC136" i="9"/>
  <c r="AC134" i="9"/>
  <c r="AC133" i="9"/>
  <c r="AC127" i="9"/>
  <c r="AC126" i="9"/>
  <c r="AC123" i="9"/>
  <c r="AC122" i="9"/>
  <c r="AC121" i="9"/>
  <c r="AC120" i="9"/>
  <c r="AC118" i="9"/>
  <c r="AC117" i="9"/>
  <c r="AC116" i="9"/>
  <c r="AC115" i="9"/>
  <c r="AC113" i="9"/>
  <c r="AC112" i="9"/>
  <c r="AC111" i="9"/>
  <c r="AC110" i="9"/>
  <c r="AC109" i="9"/>
  <c r="AC108" i="9"/>
  <c r="AC107" i="9"/>
  <c r="AC105" i="9"/>
  <c r="AC104" i="9"/>
  <c r="AC95" i="9"/>
  <c r="AC89" i="9"/>
  <c r="AC87" i="9"/>
  <c r="AC86" i="9"/>
  <c r="AC82" i="9"/>
  <c r="AC81" i="9"/>
  <c r="AC80" i="9"/>
  <c r="AC79" i="9"/>
  <c r="X12" i="9"/>
  <c r="AC12" i="9"/>
  <c r="X13" i="9"/>
  <c r="AC13" i="9"/>
  <c r="X14" i="9"/>
  <c r="AC14" i="9"/>
  <c r="X15" i="9"/>
  <c r="AC15" i="9"/>
  <c r="X16" i="9"/>
  <c r="AC16" i="9"/>
  <c r="X18" i="9"/>
  <c r="AC18" i="9"/>
  <c r="X23" i="9"/>
  <c r="AC23" i="9"/>
  <c r="X24" i="9"/>
  <c r="AC24" i="9"/>
  <c r="X25" i="9"/>
  <c r="AC25" i="9"/>
  <c r="X26" i="9"/>
  <c r="AC26" i="9"/>
  <c r="X27" i="9"/>
  <c r="AC27" i="9"/>
  <c r="X28" i="9"/>
  <c r="AC28" i="9"/>
  <c r="X29" i="9"/>
  <c r="AC29" i="9"/>
  <c r="X30" i="9"/>
  <c r="AC30" i="9"/>
  <c r="X31" i="9"/>
  <c r="AC31" i="9"/>
  <c r="X32" i="9"/>
  <c r="AC32" i="9"/>
  <c r="X33" i="9"/>
  <c r="AC33" i="9"/>
  <c r="X34" i="9"/>
  <c r="AC34" i="9"/>
  <c r="X40" i="9"/>
  <c r="AC40" i="9"/>
  <c r="X41" i="9"/>
  <c r="AC41" i="9"/>
  <c r="X42" i="9"/>
  <c r="AC42" i="9"/>
  <c r="X43" i="9"/>
  <c r="AC43" i="9"/>
  <c r="X45" i="9"/>
  <c r="AC45" i="9"/>
  <c r="X46" i="9"/>
  <c r="AC46" i="9"/>
  <c r="X47" i="9"/>
  <c r="AC47" i="9"/>
  <c r="X48" i="9"/>
  <c r="AC48" i="9"/>
  <c r="X49" i="9"/>
  <c r="AC49" i="9"/>
  <c r="X50" i="9"/>
  <c r="AC50" i="9"/>
  <c r="X60" i="9"/>
  <c r="AC60" i="9"/>
  <c r="X61" i="9"/>
  <c r="AC61" i="9"/>
  <c r="X63" i="9"/>
  <c r="AC63" i="9"/>
  <c r="X69" i="9"/>
  <c r="AC69" i="9"/>
  <c r="X73" i="9"/>
  <c r="AC73" i="9"/>
  <c r="X74" i="9"/>
  <c r="AC74" i="9"/>
  <c r="X75" i="9"/>
  <c r="AC75" i="9"/>
  <c r="X76" i="9"/>
  <c r="AC76" i="9"/>
  <c r="X77" i="9"/>
  <c r="AC77" i="9"/>
  <c r="X78" i="9"/>
  <c r="AC78" i="9"/>
  <c r="X79" i="9"/>
  <c r="W282" i="9"/>
  <c r="W241" i="9"/>
  <c r="W240" i="9"/>
  <c r="W258" i="9"/>
  <c r="W257" i="9"/>
  <c r="W256" i="9"/>
  <c r="W254" i="9"/>
  <c r="W253" i="9"/>
  <c r="W252" i="9"/>
  <c r="W248" i="9"/>
  <c r="W247" i="9"/>
  <c r="W239" i="9"/>
  <c r="W238" i="9"/>
  <c r="W234" i="9"/>
  <c r="W233" i="9"/>
  <c r="W232" i="9"/>
  <c r="W207" i="9"/>
  <c r="W204" i="9"/>
  <c r="W203" i="9"/>
  <c r="W202" i="9"/>
  <c r="W201" i="9"/>
  <c r="W200" i="9"/>
  <c r="W199" i="9"/>
  <c r="W198" i="9"/>
  <c r="W197" i="9"/>
  <c r="W195" i="9"/>
  <c r="W193" i="9"/>
  <c r="W192" i="9"/>
  <c r="W191" i="9"/>
  <c r="W190" i="9"/>
  <c r="W189" i="9"/>
  <c r="W187" i="9"/>
  <c r="W186" i="9"/>
  <c r="W184" i="9"/>
  <c r="W173" i="9"/>
  <c r="W172" i="9"/>
  <c r="W170" i="9"/>
  <c r="W168" i="9"/>
  <c r="W167" i="9"/>
  <c r="W164" i="9"/>
  <c r="W163" i="9"/>
  <c r="W155" i="9"/>
  <c r="W150" i="9"/>
  <c r="W143" i="9"/>
  <c r="W139" i="9"/>
  <c r="W138" i="9"/>
  <c r="W137" i="9"/>
  <c r="W136" i="9"/>
  <c r="W134" i="9"/>
  <c r="W133" i="9"/>
  <c r="W127" i="9"/>
  <c r="W126" i="9"/>
  <c r="W123" i="9"/>
  <c r="W122" i="9"/>
  <c r="W121" i="9"/>
  <c r="W120" i="9"/>
  <c r="W118" i="9"/>
  <c r="W117" i="9"/>
  <c r="W116" i="9"/>
  <c r="W115" i="9"/>
  <c r="W113" i="9"/>
  <c r="W112" i="9"/>
  <c r="W111" i="9"/>
  <c r="W110" i="9"/>
  <c r="W109" i="9"/>
  <c r="W108" i="9"/>
  <c r="W107" i="9"/>
  <c r="W105" i="9"/>
  <c r="W104" i="9"/>
  <c r="W95" i="9"/>
  <c r="W89" i="9"/>
  <c r="W87" i="9"/>
  <c r="W86" i="9"/>
  <c r="W82" i="9"/>
  <c r="W81" i="9"/>
  <c r="W80" i="9"/>
  <c r="W79" i="9"/>
  <c r="W78" i="9"/>
  <c r="W77" i="9"/>
  <c r="W76" i="9"/>
  <c r="W75" i="9"/>
  <c r="AB282" i="9"/>
  <c r="AB240" i="9"/>
  <c r="AB258" i="9"/>
  <c r="AB257" i="9"/>
  <c r="AB256" i="9"/>
  <c r="AB254" i="9"/>
  <c r="AB253" i="9"/>
  <c r="AB252" i="9"/>
  <c r="AB248" i="9"/>
  <c r="AB247" i="9"/>
  <c r="AB241" i="9"/>
  <c r="AB238" i="9"/>
  <c r="AB234" i="9"/>
  <c r="AB233" i="9"/>
  <c r="AB232" i="9"/>
  <c r="AB207" i="9"/>
  <c r="AB204" i="9"/>
  <c r="AB203" i="9"/>
  <c r="AB202" i="9"/>
  <c r="AB201" i="9"/>
  <c r="AB200" i="9"/>
  <c r="AB199" i="9"/>
  <c r="AB198" i="9"/>
  <c r="AB197" i="9"/>
  <c r="AB195" i="9"/>
  <c r="AB193" i="9"/>
  <c r="AB192" i="9"/>
  <c r="AB191" i="9"/>
  <c r="AB190" i="9"/>
  <c r="AB189" i="9"/>
  <c r="AB187" i="9"/>
  <c r="AB186" i="9"/>
  <c r="AB184" i="9"/>
  <c r="AB239" i="9"/>
  <c r="AB173" i="9"/>
  <c r="AB172" i="9"/>
  <c r="AB170" i="9"/>
  <c r="AB168" i="9"/>
  <c r="AB167" i="9"/>
  <c r="AB164" i="9"/>
  <c r="AB163" i="9"/>
  <c r="AB155" i="9"/>
  <c r="AB150" i="9"/>
  <c r="AB143" i="9"/>
  <c r="AB139" i="9"/>
  <c r="AB138" i="9"/>
  <c r="AB137" i="9"/>
  <c r="AB136" i="9"/>
  <c r="AB134" i="9"/>
  <c r="AB133" i="9"/>
  <c r="AB127" i="9"/>
  <c r="AB126" i="9"/>
  <c r="AB123" i="9"/>
  <c r="AB122" i="9"/>
  <c r="AB121" i="9"/>
  <c r="AB120" i="9"/>
  <c r="AB118" i="9"/>
  <c r="AB117" i="9"/>
  <c r="AB116" i="9"/>
  <c r="AB115" i="9"/>
  <c r="AB113" i="9"/>
  <c r="AB112" i="9"/>
  <c r="AB111" i="9"/>
  <c r="AB110" i="9"/>
  <c r="AB109" i="9"/>
  <c r="AB108" i="9"/>
  <c r="AB107" i="9"/>
  <c r="AB105" i="9"/>
  <c r="AB104" i="9"/>
  <c r="AB95" i="9"/>
  <c r="AB89" i="9"/>
  <c r="AB87" i="9"/>
  <c r="AB86" i="9"/>
  <c r="AB82" i="9"/>
  <c r="AB81" i="9"/>
  <c r="AB80" i="9"/>
  <c r="AB79" i="9"/>
  <c r="AB78" i="9"/>
  <c r="AB77" i="9"/>
  <c r="AB76" i="9"/>
  <c r="AB75" i="9"/>
  <c r="W12" i="9"/>
  <c r="AB12" i="9"/>
  <c r="W13" i="9"/>
  <c r="AB13" i="9"/>
  <c r="W14" i="9"/>
  <c r="AB14" i="9"/>
  <c r="W15" i="9"/>
  <c r="AB15" i="9"/>
  <c r="W16" i="9"/>
  <c r="AB16" i="9"/>
  <c r="W18" i="9"/>
  <c r="AB18" i="9"/>
  <c r="W23" i="9"/>
  <c r="AB23" i="9"/>
  <c r="W24" i="9"/>
  <c r="AB24" i="9"/>
  <c r="W25" i="9"/>
  <c r="AB25" i="9"/>
  <c r="W26" i="9"/>
  <c r="AB26" i="9"/>
  <c r="W27" i="9"/>
  <c r="AB27" i="9"/>
  <c r="W28" i="9"/>
  <c r="AB28" i="9"/>
  <c r="W29" i="9"/>
  <c r="AB29" i="9"/>
  <c r="W30" i="9"/>
  <c r="AB30" i="9"/>
  <c r="W31" i="9"/>
  <c r="AB31" i="9"/>
  <c r="W32" i="9"/>
  <c r="AB32" i="9"/>
  <c r="W33" i="9"/>
  <c r="AB33" i="9"/>
  <c r="W34" i="9"/>
  <c r="AB34" i="9"/>
  <c r="W40" i="9"/>
  <c r="AB40" i="9"/>
  <c r="W41" i="9"/>
  <c r="AB41" i="9"/>
  <c r="W42" i="9"/>
  <c r="AB42" i="9"/>
  <c r="W43" i="9"/>
  <c r="AB43" i="9"/>
  <c r="W45" i="9"/>
  <c r="AB45" i="9"/>
  <c r="W46" i="9"/>
  <c r="AB46" i="9"/>
  <c r="W47" i="9"/>
  <c r="AB47" i="9"/>
  <c r="W48" i="9"/>
  <c r="AB48" i="9"/>
  <c r="W49" i="9"/>
  <c r="AB49" i="9"/>
  <c r="W50" i="9"/>
  <c r="AB50" i="9"/>
  <c r="W60" i="9"/>
  <c r="AB60" i="9"/>
  <c r="W61" i="9"/>
  <c r="AB61" i="9"/>
  <c r="W63" i="9"/>
  <c r="AB63" i="9"/>
  <c r="W69" i="9"/>
  <c r="AB69" i="9"/>
  <c r="W73" i="9"/>
  <c r="AB73" i="9"/>
  <c r="W74" i="9"/>
  <c r="AB74" i="9"/>
  <c r="AR301" i="9"/>
  <c r="G76" i="8"/>
  <c r="G78" i="8" s="1"/>
  <c r="H70" i="8"/>
  <c r="H71" i="8" s="1"/>
  <c r="J559" i="8"/>
  <c r="J558" i="8"/>
  <c r="D578" i="8"/>
  <c r="D577" i="8"/>
  <c r="F598" i="8"/>
  <c r="H595" i="8" s="1"/>
  <c r="D613" i="8"/>
  <c r="G77" i="8"/>
  <c r="E362" i="8"/>
  <c r="D529" i="8"/>
  <c r="G527" i="8"/>
  <c r="G529" i="8" s="1"/>
  <c r="E613" i="8"/>
  <c r="F613" i="8" s="1"/>
  <c r="G17" i="8"/>
  <c r="G10" i="8" s="1"/>
  <c r="F86" i="8"/>
  <c r="F92" i="8" s="1"/>
  <c r="E90" i="8"/>
  <c r="H161" i="8"/>
  <c r="J164" i="8" s="1"/>
  <c r="H265" i="8"/>
  <c r="G361" i="8"/>
  <c r="G532" i="8"/>
  <c r="H611" i="8"/>
  <c r="H612" i="8" s="1"/>
  <c r="I10" i="7"/>
  <c r="G18" i="7"/>
  <c r="I12" i="7"/>
  <c r="G19" i="7"/>
  <c r="E39" i="7"/>
  <c r="C39" i="7"/>
  <c r="G14" i="7"/>
  <c r="C16" i="7"/>
  <c r="C18" i="7"/>
  <c r="C19" i="7"/>
  <c r="I26" i="7"/>
  <c r="I31" i="7" s="1"/>
  <c r="G29" i="7"/>
  <c r="E16" i="7"/>
  <c r="G26" i="7"/>
  <c r="G31" i="7" s="1"/>
  <c r="G39" i="7" s="1"/>
  <c r="I33" i="7"/>
  <c r="I37" i="7" s="1"/>
  <c r="F23" i="6"/>
  <c r="E16" i="6"/>
  <c r="E18" i="6" s="1"/>
  <c r="F24" i="6"/>
  <c r="H52" i="4"/>
  <c r="AJ52" i="4"/>
  <c r="AF46" i="4"/>
  <c r="AF51" i="4" s="1"/>
  <c r="AF52" i="4" s="1"/>
  <c r="C36" i="4"/>
  <c r="AJ46" i="4"/>
  <c r="AJ51" i="4" s="1"/>
  <c r="C40" i="4"/>
  <c r="AN46" i="4"/>
  <c r="AN51" i="4" s="1"/>
  <c r="AN52" i="4" s="1"/>
  <c r="C44" i="4"/>
  <c r="AG46" i="4"/>
  <c r="AG51" i="4" s="1"/>
  <c r="AI46" i="4"/>
  <c r="AI51" i="4" s="1"/>
  <c r="AI52" i="4" s="1"/>
  <c r="E52" i="4"/>
  <c r="G52" i="4"/>
  <c r="Q52" i="4"/>
  <c r="S52" i="4"/>
  <c r="W52" i="4"/>
  <c r="Y52" i="4"/>
  <c r="AA52" i="4"/>
  <c r="AG52" i="4"/>
  <c r="AM52" i="4"/>
  <c r="AO52" i="4"/>
  <c r="C20" i="4"/>
  <c r="H46" i="4"/>
  <c r="H51" i="4" s="1"/>
  <c r="U46" i="4"/>
  <c r="U51" i="4" s="1"/>
  <c r="U52" i="4" s="1"/>
  <c r="AM46" i="4"/>
  <c r="AM51" i="4" s="1"/>
  <c r="D61" i="4"/>
  <c r="C15" i="3"/>
  <c r="C17" i="3" s="1"/>
  <c r="C21" i="3"/>
  <c r="C23" i="3"/>
  <c r="C24" i="3"/>
  <c r="I22" i="3"/>
  <c r="U46" i="3"/>
  <c r="U51" i="3" s="1"/>
  <c r="U52" i="3" s="1"/>
  <c r="C25" i="3"/>
  <c r="C36" i="3"/>
  <c r="C37" i="3"/>
  <c r="C39" i="3"/>
  <c r="C40" i="3"/>
  <c r="C43" i="3"/>
  <c r="C44" i="3"/>
  <c r="C52" i="2"/>
  <c r="C48" i="2"/>
  <c r="C53" i="2" s="1"/>
  <c r="G52" i="2"/>
  <c r="G48" i="2"/>
  <c r="G53" i="2" s="1"/>
  <c r="D52" i="2"/>
  <c r="D48" i="2"/>
  <c r="D53" i="2" s="1"/>
  <c r="H52" i="2"/>
  <c r="H48" i="2"/>
  <c r="H53" i="2" s="1"/>
  <c r="I11" i="2"/>
  <c r="I17" i="2" s="1"/>
  <c r="I20" i="2"/>
  <c r="I46" i="2" s="1"/>
  <c r="I51" i="2" s="1"/>
  <c r="E11" i="2"/>
  <c r="E17" i="2" s="1"/>
  <c r="E20" i="2"/>
  <c r="E46" i="2" s="1"/>
  <c r="E51" i="2" s="1"/>
  <c r="E56" i="2"/>
  <c r="E61" i="2" s="1"/>
  <c r="I56" i="2"/>
  <c r="I61" i="2" s="1"/>
  <c r="L13" i="1"/>
  <c r="N13" i="1"/>
  <c r="O13" i="1" s="1"/>
  <c r="K15" i="1"/>
  <c r="N16" i="1" s="1"/>
  <c r="O16" i="1" s="1"/>
  <c r="L10" i="1"/>
  <c r="F9" i="1"/>
  <c r="F15" i="1" s="1"/>
  <c r="I9" i="1"/>
  <c r="I15" i="1" s="1"/>
  <c r="N10" i="1"/>
  <c r="O10" i="1" s="1"/>
  <c r="F44" i="1"/>
  <c r="F49" i="1" s="1"/>
  <c r="I18" i="1"/>
  <c r="L11" i="1"/>
  <c r="L12" i="1"/>
  <c r="L14" i="1"/>
  <c r="E44" i="1"/>
  <c r="E46" i="1" s="1"/>
  <c r="E50" i="1" s="1"/>
  <c r="C44" i="1"/>
  <c r="C49" i="1" s="1"/>
  <c r="C50" i="1" s="1"/>
  <c r="I24" i="1"/>
  <c r="L24" i="1" s="1"/>
  <c r="I34" i="1"/>
  <c r="L34" i="1" s="1"/>
  <c r="I36" i="1"/>
  <c r="L36" i="1" s="1"/>
  <c r="I38" i="1"/>
  <c r="I40" i="1"/>
  <c r="L40" i="1" s="1"/>
  <c r="I42" i="1"/>
  <c r="L42" i="1" s="1"/>
  <c r="I47" i="1"/>
  <c r="L47" i="1" s="1"/>
  <c r="I48" i="1"/>
  <c r="L48" i="1" s="1"/>
  <c r="F54" i="1"/>
  <c r="I55" i="1"/>
  <c r="L55" i="1" s="1"/>
  <c r="I57" i="1"/>
  <c r="L57" i="1" s="1"/>
  <c r="AB301" i="9" l="1"/>
  <c r="Y79" i="9"/>
  <c r="Z79" i="9" s="1"/>
  <c r="Y78" i="9"/>
  <c r="Z78" i="9" s="1"/>
  <c r="Y77" i="9"/>
  <c r="Z77" i="9" s="1"/>
  <c r="Y76" i="9"/>
  <c r="Z76" i="9" s="1"/>
  <c r="Y75" i="9"/>
  <c r="Z75" i="9" s="1"/>
  <c r="Y74" i="9"/>
  <c r="Z74" i="9" s="1"/>
  <c r="Y73" i="9"/>
  <c r="Z73" i="9" s="1"/>
  <c r="Y69" i="9"/>
  <c r="Z69" i="9" s="1"/>
  <c r="Y63" i="9"/>
  <c r="Z63" i="9" s="1"/>
  <c r="Y61" i="9"/>
  <c r="Z61" i="9" s="1"/>
  <c r="Y60" i="9"/>
  <c r="Z60" i="9" s="1"/>
  <c r="Y50" i="9"/>
  <c r="Z50" i="9" s="1"/>
  <c r="Y49" i="9"/>
  <c r="Z49" i="9" s="1"/>
  <c r="Y48" i="9"/>
  <c r="Z48" i="9" s="1"/>
  <c r="Y47" i="9"/>
  <c r="Z47" i="9" s="1"/>
  <c r="Y46" i="9"/>
  <c r="Z46" i="9" s="1"/>
  <c r="Y45" i="9"/>
  <c r="Z45" i="9" s="1"/>
  <c r="Y43" i="9"/>
  <c r="Z43" i="9" s="1"/>
  <c r="Y42" i="9"/>
  <c r="Z42" i="9" s="1"/>
  <c r="Y41" i="9"/>
  <c r="Z41" i="9" s="1"/>
  <c r="Y40" i="9"/>
  <c r="Z40" i="9" s="1"/>
  <c r="Y34" i="9"/>
  <c r="Z34" i="9" s="1"/>
  <c r="Y33" i="9"/>
  <c r="Z33" i="9" s="1"/>
  <c r="Y32" i="9"/>
  <c r="Z32" i="9" s="1"/>
  <c r="Y31" i="9"/>
  <c r="Z31" i="9" s="1"/>
  <c r="Y30" i="9"/>
  <c r="Z30" i="9" s="1"/>
  <c r="Y29" i="9"/>
  <c r="Z29" i="9" s="1"/>
  <c r="Y28" i="9"/>
  <c r="Z28" i="9" s="1"/>
  <c r="Y27" i="9"/>
  <c r="Z27" i="9" s="1"/>
  <c r="Y26" i="9"/>
  <c r="Z26" i="9" s="1"/>
  <c r="Y25" i="9"/>
  <c r="Z25" i="9" s="1"/>
  <c r="Y24" i="9"/>
  <c r="Z24" i="9" s="1"/>
  <c r="Y23" i="9"/>
  <c r="Z23" i="9" s="1"/>
  <c r="Y18" i="9"/>
  <c r="Z18" i="9" s="1"/>
  <c r="Y16" i="9"/>
  <c r="Z16" i="9" s="1"/>
  <c r="Y15" i="9"/>
  <c r="Z15" i="9" s="1"/>
  <c r="Y14" i="9"/>
  <c r="Z14" i="9" s="1"/>
  <c r="Y13" i="9"/>
  <c r="Z13" i="9" s="1"/>
  <c r="X301" i="9"/>
  <c r="Y12" i="9"/>
  <c r="AD80" i="9"/>
  <c r="AE80" i="9" s="1"/>
  <c r="AD82" i="9"/>
  <c r="AE82" i="9" s="1"/>
  <c r="AD87" i="9"/>
  <c r="AE87" i="9" s="1"/>
  <c r="AD95" i="9"/>
  <c r="AE95" i="9" s="1"/>
  <c r="AD105" i="9"/>
  <c r="AE105" i="9" s="1"/>
  <c r="AD108" i="9"/>
  <c r="AE108" i="9" s="1"/>
  <c r="AD110" i="9"/>
  <c r="AE110" i="9" s="1"/>
  <c r="AD112" i="9"/>
  <c r="AE112" i="9" s="1"/>
  <c r="AD115" i="9"/>
  <c r="AE115" i="9" s="1"/>
  <c r="AD117" i="9"/>
  <c r="AE117" i="9" s="1"/>
  <c r="AD120" i="9"/>
  <c r="AE120" i="9" s="1"/>
  <c r="AD122" i="9"/>
  <c r="AE122" i="9" s="1"/>
  <c r="AD126" i="9"/>
  <c r="AE126" i="9" s="1"/>
  <c r="AD133" i="9"/>
  <c r="AE133" i="9" s="1"/>
  <c r="AD136" i="9"/>
  <c r="AE136" i="9" s="1"/>
  <c r="AD138" i="9"/>
  <c r="AE138" i="9" s="1"/>
  <c r="AD143" i="9"/>
  <c r="AE143" i="9" s="1"/>
  <c r="AD155" i="9"/>
  <c r="AE155" i="9" s="1"/>
  <c r="AD164" i="9"/>
  <c r="AE164" i="9" s="1"/>
  <c r="AD168" i="9"/>
  <c r="AE168" i="9" s="1"/>
  <c r="AD172" i="9"/>
  <c r="AE172" i="9" s="1"/>
  <c r="AD184" i="9"/>
  <c r="AE184" i="9" s="1"/>
  <c r="AD187" i="9"/>
  <c r="AE187" i="9" s="1"/>
  <c r="AD190" i="9"/>
  <c r="AE190" i="9" s="1"/>
  <c r="AD192" i="9"/>
  <c r="AE192" i="9" s="1"/>
  <c r="AD195" i="9"/>
  <c r="AE195" i="9" s="1"/>
  <c r="AD198" i="9"/>
  <c r="AE198" i="9" s="1"/>
  <c r="AD200" i="9"/>
  <c r="AE200" i="9" s="1"/>
  <c r="AD202" i="9"/>
  <c r="AE202" i="9" s="1"/>
  <c r="AD204" i="9"/>
  <c r="AE204" i="9" s="1"/>
  <c r="AD232" i="9"/>
  <c r="AE232" i="9" s="1"/>
  <c r="AD234" i="9"/>
  <c r="AE234" i="9" s="1"/>
  <c r="AD239" i="9"/>
  <c r="AE239" i="9" s="1"/>
  <c r="AD282" i="9"/>
  <c r="AE282" i="9" s="1"/>
  <c r="AD247" i="9"/>
  <c r="AE247" i="9" s="1"/>
  <c r="AD252" i="9"/>
  <c r="AE252" i="9" s="1"/>
  <c r="AD254" i="9"/>
  <c r="AE254" i="9" s="1"/>
  <c r="AD257" i="9"/>
  <c r="AE257" i="9" s="1"/>
  <c r="Y80" i="9"/>
  <c r="Z80" i="9" s="1"/>
  <c r="Y82" i="9"/>
  <c r="Z82" i="9" s="1"/>
  <c r="Y87" i="9"/>
  <c r="Z87" i="9" s="1"/>
  <c r="Y95" i="9"/>
  <c r="Z95" i="9" s="1"/>
  <c r="Y105" i="9"/>
  <c r="Z105" i="9" s="1"/>
  <c r="Y108" i="9"/>
  <c r="Z108" i="9" s="1"/>
  <c r="Y110" i="9"/>
  <c r="Z110" i="9" s="1"/>
  <c r="Y112" i="9"/>
  <c r="Z112" i="9" s="1"/>
  <c r="Y115" i="9"/>
  <c r="Z115" i="9" s="1"/>
  <c r="Y117" i="9"/>
  <c r="Z117" i="9" s="1"/>
  <c r="Y120" i="9"/>
  <c r="Z120" i="9" s="1"/>
  <c r="Y122" i="9"/>
  <c r="Z122" i="9" s="1"/>
  <c r="Y126" i="9"/>
  <c r="Z126" i="9" s="1"/>
  <c r="Y133" i="9"/>
  <c r="Z133" i="9" s="1"/>
  <c r="Y136" i="9"/>
  <c r="Z136" i="9" s="1"/>
  <c r="Y138" i="9"/>
  <c r="Z138" i="9" s="1"/>
  <c r="Y143" i="9"/>
  <c r="Z143" i="9" s="1"/>
  <c r="Y155" i="9"/>
  <c r="Z155" i="9" s="1"/>
  <c r="Y164" i="9"/>
  <c r="Z164" i="9" s="1"/>
  <c r="Y168" i="9"/>
  <c r="Z168" i="9" s="1"/>
  <c r="Y172" i="9"/>
  <c r="Z172" i="9" s="1"/>
  <c r="Y184" i="9"/>
  <c r="Z184" i="9" s="1"/>
  <c r="Y187" i="9"/>
  <c r="Z187" i="9" s="1"/>
  <c r="Y190" i="9"/>
  <c r="Z190" i="9" s="1"/>
  <c r="Y192" i="9"/>
  <c r="Z192" i="9" s="1"/>
  <c r="Y195" i="9"/>
  <c r="Z195" i="9" s="1"/>
  <c r="Y198" i="9"/>
  <c r="Z198" i="9" s="1"/>
  <c r="Y200" i="9"/>
  <c r="Z200" i="9" s="1"/>
  <c r="Y202" i="9"/>
  <c r="Z202" i="9" s="1"/>
  <c r="Y204" i="9"/>
  <c r="Z204" i="9" s="1"/>
  <c r="Y232" i="9"/>
  <c r="Z232" i="9" s="1"/>
  <c r="Y234" i="9"/>
  <c r="Z234" i="9" s="1"/>
  <c r="Y239" i="9"/>
  <c r="Z239" i="9" s="1"/>
  <c r="Y241" i="9"/>
  <c r="Z241" i="9" s="1"/>
  <c r="Y247" i="9"/>
  <c r="Z247" i="9" s="1"/>
  <c r="Y252" i="9"/>
  <c r="Z252" i="9" s="1"/>
  <c r="Y254" i="9"/>
  <c r="Z254" i="9" s="1"/>
  <c r="Y257" i="9"/>
  <c r="Z257" i="9" s="1"/>
  <c r="W301" i="9"/>
  <c r="AD78" i="9"/>
  <c r="AE78" i="9" s="1"/>
  <c r="AD77" i="9"/>
  <c r="AE77" i="9" s="1"/>
  <c r="AD76" i="9"/>
  <c r="AE76" i="9" s="1"/>
  <c r="AD75" i="9"/>
  <c r="AE75" i="9" s="1"/>
  <c r="AD74" i="9"/>
  <c r="AE74" i="9" s="1"/>
  <c r="AD73" i="9"/>
  <c r="AE73" i="9" s="1"/>
  <c r="AD69" i="9"/>
  <c r="AE69" i="9" s="1"/>
  <c r="AD63" i="9"/>
  <c r="AE63" i="9" s="1"/>
  <c r="AD61" i="9"/>
  <c r="AE61" i="9" s="1"/>
  <c r="AD60" i="9"/>
  <c r="AE60" i="9" s="1"/>
  <c r="AD50" i="9"/>
  <c r="AE50" i="9" s="1"/>
  <c r="AD49" i="9"/>
  <c r="AE49" i="9" s="1"/>
  <c r="AD48" i="9"/>
  <c r="AE48" i="9" s="1"/>
  <c r="AD47" i="9"/>
  <c r="AE47" i="9" s="1"/>
  <c r="AD46" i="9"/>
  <c r="AE46" i="9" s="1"/>
  <c r="AD45" i="9"/>
  <c r="AE45" i="9" s="1"/>
  <c r="AD43" i="9"/>
  <c r="AE43" i="9" s="1"/>
  <c r="AD42" i="9"/>
  <c r="AE42" i="9" s="1"/>
  <c r="AD41" i="9"/>
  <c r="AE41" i="9" s="1"/>
  <c r="AD40" i="9"/>
  <c r="AE40" i="9" s="1"/>
  <c r="AD34" i="9"/>
  <c r="AE34" i="9" s="1"/>
  <c r="AD33" i="9"/>
  <c r="AE33" i="9" s="1"/>
  <c r="AD32" i="9"/>
  <c r="AE32" i="9" s="1"/>
  <c r="AD31" i="9"/>
  <c r="AE31" i="9" s="1"/>
  <c r="AD30" i="9"/>
  <c r="AE30" i="9" s="1"/>
  <c r="AD29" i="9"/>
  <c r="AE29" i="9" s="1"/>
  <c r="AD28" i="9"/>
  <c r="AE28" i="9" s="1"/>
  <c r="AD27" i="9"/>
  <c r="AE27" i="9" s="1"/>
  <c r="AD26" i="9"/>
  <c r="AE26" i="9" s="1"/>
  <c r="AD25" i="9"/>
  <c r="AE25" i="9" s="1"/>
  <c r="AD24" i="9"/>
  <c r="AE24" i="9" s="1"/>
  <c r="AD23" i="9"/>
  <c r="AE23" i="9" s="1"/>
  <c r="AD18" i="9"/>
  <c r="AE18" i="9" s="1"/>
  <c r="AD16" i="9"/>
  <c r="AE16" i="9" s="1"/>
  <c r="AD15" i="9"/>
  <c r="AE15" i="9" s="1"/>
  <c r="AD14" i="9"/>
  <c r="AE14" i="9" s="1"/>
  <c r="AD13" i="9"/>
  <c r="AE13" i="9" s="1"/>
  <c r="AC301" i="9"/>
  <c r="AD12" i="9"/>
  <c r="AD79" i="9"/>
  <c r="AE79" i="9" s="1"/>
  <c r="AD81" i="9"/>
  <c r="AE81" i="9" s="1"/>
  <c r="AD86" i="9"/>
  <c r="AE86" i="9" s="1"/>
  <c r="AD89" i="9"/>
  <c r="AE89" i="9" s="1"/>
  <c r="AD104" i="9"/>
  <c r="AE104" i="9" s="1"/>
  <c r="AD107" i="9"/>
  <c r="AE107" i="9" s="1"/>
  <c r="AD109" i="9"/>
  <c r="AE109" i="9" s="1"/>
  <c r="AD111" i="9"/>
  <c r="AE111" i="9" s="1"/>
  <c r="AD113" i="9"/>
  <c r="AE113" i="9" s="1"/>
  <c r="AD116" i="9"/>
  <c r="AE116" i="9" s="1"/>
  <c r="AD118" i="9"/>
  <c r="AE118" i="9" s="1"/>
  <c r="AD121" i="9"/>
  <c r="AE121" i="9" s="1"/>
  <c r="AD123" i="9"/>
  <c r="AE123" i="9" s="1"/>
  <c r="AD127" i="9"/>
  <c r="AE127" i="9" s="1"/>
  <c r="AD134" i="9"/>
  <c r="AE134" i="9" s="1"/>
  <c r="AD137" i="9"/>
  <c r="AE137" i="9" s="1"/>
  <c r="AD139" i="9"/>
  <c r="AE139" i="9" s="1"/>
  <c r="AD150" i="9"/>
  <c r="AE150" i="9" s="1"/>
  <c r="AD163" i="9"/>
  <c r="AE163" i="9" s="1"/>
  <c r="AD167" i="9"/>
  <c r="AE167" i="9" s="1"/>
  <c r="AD170" i="9"/>
  <c r="AE170" i="9" s="1"/>
  <c r="AD173" i="9"/>
  <c r="AE173" i="9" s="1"/>
  <c r="AD186" i="9"/>
  <c r="AE186" i="9" s="1"/>
  <c r="AD189" i="9"/>
  <c r="AE189" i="9" s="1"/>
  <c r="AD191" i="9"/>
  <c r="AE191" i="9" s="1"/>
  <c r="AD193" i="9"/>
  <c r="AE193" i="9" s="1"/>
  <c r="AD197" i="9"/>
  <c r="AE197" i="9" s="1"/>
  <c r="AD199" i="9"/>
  <c r="AE199" i="9" s="1"/>
  <c r="AD201" i="9"/>
  <c r="AE201" i="9" s="1"/>
  <c r="AD203" i="9"/>
  <c r="AE203" i="9" s="1"/>
  <c r="AD207" i="9"/>
  <c r="AE207" i="9" s="1"/>
  <c r="AD233" i="9"/>
  <c r="AE233" i="9" s="1"/>
  <c r="AD238" i="9"/>
  <c r="AE238" i="9" s="1"/>
  <c r="AD240" i="9"/>
  <c r="AE240" i="9" s="1"/>
  <c r="AD241" i="9"/>
  <c r="AE241" i="9" s="1"/>
  <c r="AD248" i="9"/>
  <c r="AE248" i="9" s="1"/>
  <c r="AD253" i="9"/>
  <c r="AE253" i="9" s="1"/>
  <c r="AD256" i="9"/>
  <c r="AE256" i="9" s="1"/>
  <c r="AD258" i="9"/>
  <c r="AE258" i="9" s="1"/>
  <c r="Y81" i="9"/>
  <c r="Z81" i="9" s="1"/>
  <c r="Y86" i="9"/>
  <c r="Z86" i="9" s="1"/>
  <c r="Y89" i="9"/>
  <c r="Z89" i="9" s="1"/>
  <c r="Y104" i="9"/>
  <c r="Z104" i="9" s="1"/>
  <c r="Y107" i="9"/>
  <c r="Z107" i="9" s="1"/>
  <c r="Y109" i="9"/>
  <c r="Z109" i="9" s="1"/>
  <c r="Y111" i="9"/>
  <c r="Z111" i="9" s="1"/>
  <c r="Y113" i="9"/>
  <c r="Z113" i="9" s="1"/>
  <c r="Y116" i="9"/>
  <c r="Z116" i="9" s="1"/>
  <c r="Y118" i="9"/>
  <c r="Z118" i="9" s="1"/>
  <c r="Y121" i="9"/>
  <c r="Z121" i="9" s="1"/>
  <c r="Y123" i="9"/>
  <c r="Z123" i="9" s="1"/>
  <c r="Y127" i="9"/>
  <c r="Z127" i="9" s="1"/>
  <c r="Y134" i="9"/>
  <c r="Z134" i="9" s="1"/>
  <c r="Y137" i="9"/>
  <c r="Z137" i="9" s="1"/>
  <c r="Y139" i="9"/>
  <c r="Z139" i="9" s="1"/>
  <c r="Y150" i="9"/>
  <c r="Z150" i="9" s="1"/>
  <c r="Y163" i="9"/>
  <c r="Z163" i="9" s="1"/>
  <c r="Y167" i="9"/>
  <c r="Z167" i="9" s="1"/>
  <c r="Y170" i="9"/>
  <c r="Z170" i="9" s="1"/>
  <c r="Y173" i="9"/>
  <c r="Z173" i="9" s="1"/>
  <c r="Y186" i="9"/>
  <c r="Z186" i="9" s="1"/>
  <c r="Y189" i="9"/>
  <c r="Z189" i="9" s="1"/>
  <c r="Y191" i="9"/>
  <c r="Z191" i="9" s="1"/>
  <c r="Y193" i="9"/>
  <c r="Z193" i="9" s="1"/>
  <c r="Y197" i="9"/>
  <c r="Z197" i="9" s="1"/>
  <c r="Y199" i="9"/>
  <c r="Z199" i="9" s="1"/>
  <c r="Y201" i="9"/>
  <c r="Z201" i="9" s="1"/>
  <c r="Y203" i="9"/>
  <c r="Z203" i="9" s="1"/>
  <c r="Y207" i="9"/>
  <c r="Z207" i="9" s="1"/>
  <c r="Y233" i="9"/>
  <c r="Z233" i="9" s="1"/>
  <c r="Y238" i="9"/>
  <c r="Z238" i="9" s="1"/>
  <c r="Y240" i="9"/>
  <c r="Z240" i="9" s="1"/>
  <c r="Y282" i="9"/>
  <c r="Z282" i="9" s="1"/>
  <c r="Y248" i="9"/>
  <c r="Z248" i="9" s="1"/>
  <c r="Y253" i="9"/>
  <c r="Z253" i="9" s="1"/>
  <c r="Y256" i="9"/>
  <c r="Z256" i="9" s="1"/>
  <c r="Y258" i="9"/>
  <c r="Z258" i="9" s="1"/>
  <c r="D582" i="8"/>
  <c r="F578" i="8"/>
  <c r="G92" i="8"/>
  <c r="I10" i="8"/>
  <c r="I13" i="8" s="1"/>
  <c r="F14" i="8" s="1"/>
  <c r="G13" i="8"/>
  <c r="H593" i="8"/>
  <c r="H598" i="8" s="1"/>
  <c r="D581" i="8"/>
  <c r="F577" i="8"/>
  <c r="I41" i="7"/>
  <c r="I39" i="7"/>
  <c r="C21" i="7"/>
  <c r="I14" i="7"/>
  <c r="G20" i="7"/>
  <c r="G21" i="7"/>
  <c r="G41" i="7" s="1"/>
  <c r="G16" i="7"/>
  <c r="I16" i="7"/>
  <c r="F26" i="6"/>
  <c r="F29" i="6" s="1"/>
  <c r="I22" i="4"/>
  <c r="I46" i="3"/>
  <c r="I51" i="3" s="1"/>
  <c r="C22" i="3"/>
  <c r="C46" i="3" s="1"/>
  <c r="E52" i="2"/>
  <c r="E48" i="2"/>
  <c r="E53" i="2" s="1"/>
  <c r="I52" i="2"/>
  <c r="I48" i="2"/>
  <c r="I53" i="2" s="1"/>
  <c r="C46" i="1"/>
  <c r="C51" i="1" s="1"/>
  <c r="C61" i="1" s="1"/>
  <c r="I44" i="1"/>
  <c r="I49" i="1" s="1"/>
  <c r="I50" i="1" s="1"/>
  <c r="L18" i="1"/>
  <c r="F59" i="1"/>
  <c r="I54" i="1"/>
  <c r="N9" i="1"/>
  <c r="O9" i="1" s="1"/>
  <c r="F50" i="1"/>
  <c r="F46" i="1"/>
  <c r="F51" i="1" s="1"/>
  <c r="F61" i="1" s="1"/>
  <c r="L9" i="1"/>
  <c r="L15" i="1" s="1"/>
  <c r="AD301" i="9" l="1"/>
  <c r="AD305" i="9" s="1"/>
  <c r="AE12" i="9"/>
  <c r="Y301" i="9"/>
  <c r="Y305" i="9" s="1"/>
  <c r="Z12" i="9"/>
  <c r="Z301" i="9" s="1"/>
  <c r="G14" i="8"/>
  <c r="G15" i="8"/>
  <c r="I46" i="4"/>
  <c r="I51" i="4" s="1"/>
  <c r="C22" i="4"/>
  <c r="C46" i="4" s="1"/>
  <c r="I52" i="3"/>
  <c r="C51" i="3"/>
  <c r="C52" i="3" s="1"/>
  <c r="L54" i="1"/>
  <c r="L59" i="1" s="1"/>
  <c r="I59" i="1"/>
  <c r="N20" i="1"/>
  <c r="I46" i="1"/>
  <c r="I51" i="1" s="1"/>
  <c r="I61" i="1" s="1"/>
  <c r="I52" i="4" l="1"/>
  <c r="C51" i="4"/>
  <c r="C52" i="4" s="1"/>
  <c r="N61" i="1"/>
  <c r="K38" i="1"/>
  <c r="K44" i="1" l="1"/>
  <c r="L38" i="1"/>
  <c r="L44" i="1" s="1"/>
  <c r="L49" i="1" l="1"/>
  <c r="L50" i="1" s="1"/>
  <c r="L46" i="1"/>
  <c r="N18" i="1"/>
  <c r="L51" i="1" l="1"/>
  <c r="L61" i="1" s="1"/>
  <c r="N48" i="1"/>
</calcChain>
</file>

<file path=xl/comments1.xml><?xml version="1.0" encoding="utf-8"?>
<comments xmlns="http://schemas.openxmlformats.org/spreadsheetml/2006/main">
  <authors>
    <author>Amy White</author>
  </authors>
  <commentList>
    <comment ref="H9" authorId="0">
      <text>
        <r>
          <rPr>
            <b/>
            <sz val="12"/>
            <color indexed="81"/>
            <rFont val="Tahoma"/>
            <family val="2"/>
          </rPr>
          <t>Amy White:</t>
        </r>
        <r>
          <rPr>
            <sz val="12"/>
            <color indexed="81"/>
            <rFont val="Tahoma"/>
            <family val="2"/>
          </rPr>
          <t xml:space="preserve">
Adjustment to account for growth in number of customers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>
      <text>
        <r>
          <rPr>
            <b/>
            <sz val="12"/>
            <color indexed="81"/>
            <rFont val="Tahoma"/>
            <family val="2"/>
          </rPr>
          <t>Amy White:</t>
        </r>
        <r>
          <rPr>
            <sz val="12"/>
            <color indexed="81"/>
            <rFont val="Tahoma"/>
            <family val="2"/>
          </rPr>
          <t xml:space="preserve">
(1387764), domestic, double-counted, or non SV property
(56,412) Used and Useful</t>
        </r>
      </text>
    </comment>
    <comment ref="E55" authorId="0">
      <text>
        <r>
          <rPr>
            <b/>
            <sz val="12"/>
            <color indexed="81"/>
            <rFont val="Tahoma"/>
            <family val="2"/>
          </rPr>
          <t>Amy White:</t>
        </r>
        <r>
          <rPr>
            <sz val="12"/>
            <color indexed="81"/>
            <rFont val="Tahoma"/>
            <family val="2"/>
          </rPr>
          <t xml:space="preserve">
Acc Depr decrease   141,663
Domestic, double-counted, or non SV property
Used and useful        4200</t>
        </r>
      </text>
    </comment>
  </commentList>
</comments>
</file>

<file path=xl/comments2.xml><?xml version="1.0" encoding="utf-8"?>
<comments xmlns="http://schemas.openxmlformats.org/spreadsheetml/2006/main">
  <authors>
    <author>Amy White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This item dropped; not for training, but for payroll processing service
</t>
        </r>
      </text>
    </comment>
  </commentList>
</comments>
</file>

<file path=xl/comments3.xml><?xml version="1.0" encoding="utf-8"?>
<comments xmlns="http://schemas.openxmlformats.org/spreadsheetml/2006/main">
  <authors>
    <author>Amy White</author>
    <author>Amy</author>
  </authors>
  <commentList>
    <comment ref="F86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Item allowed back into expense after email from R. Finnigan 7/18/11 11:33 am </t>
        </r>
      </text>
    </comment>
    <comment ref="E89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Item allowed back into expense (salaries) after email from R. Finnigan 7/18/11
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There may be a page missing out of this invoice because detail does not tie to total 
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Note moved from column f to column g after settlement mtg 2 as it interfered with formulas- adju changed from $2345 to domestic to $2977 to doemstic 
</t>
        </r>
      </text>
    </comment>
    <comment ref="H329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Company did not respond to this column so staff will assume ALL domestic customers have irrigation service as company stated in data request response
</t>
        </r>
      </text>
    </comment>
    <comment ref="D480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Company's filing states this invoice was for $755; both invoice and staff's calcs show $725
</t>
        </r>
      </text>
    </comment>
    <comment ref="I507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Mr. Finnigan to update 
Adjusted after Mr. Finnigan's update
</t>
        </r>
      </text>
    </comment>
    <comment ref="C524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Not training but payroll processing 
</t>
        </r>
      </text>
    </comment>
    <comment ref="F524" authorId="1">
      <text>
        <r>
          <rPr>
            <b/>
            <sz val="9"/>
            <color indexed="81"/>
            <rFont val="Tahoma"/>
            <family val="2"/>
          </rPr>
          <t>Amy:</t>
        </r>
        <r>
          <rPr>
            <sz val="9"/>
            <color indexed="81"/>
            <rFont val="Tahoma"/>
            <family val="2"/>
          </rPr>
          <t xml:space="preserve">
Finding adjusted out--CBS was a current expense, not a capitalize-able expense
</t>
        </r>
      </text>
    </comment>
    <comment ref="H541" authorId="0">
      <text>
        <r>
          <rPr>
            <b/>
            <sz val="12"/>
            <color indexed="81"/>
            <rFont val="Tahoma"/>
            <family val="2"/>
          </rPr>
          <t>Amy White:</t>
        </r>
        <r>
          <rPr>
            <sz val="12"/>
            <color indexed="81"/>
            <rFont val="Tahoma"/>
            <family val="2"/>
          </rPr>
          <t xml:space="preserve">
Company did not respond to this column in DR 2 #5 so staff will assume ALL domestic customers have irrigation service as company stated in data request response
</t>
        </r>
      </text>
    </comment>
  </commentList>
</comments>
</file>

<file path=xl/comments4.xml><?xml version="1.0" encoding="utf-8"?>
<comments xmlns="http://schemas.openxmlformats.org/spreadsheetml/2006/main">
  <authors>
    <author>Amy White</author>
  </authors>
  <commentList>
    <comment ref="I116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Biggest Active Lot 
</t>
        </r>
      </text>
    </comment>
  </commentList>
</comments>
</file>

<file path=xl/sharedStrings.xml><?xml version="1.0" encoding="utf-8"?>
<sst xmlns="http://schemas.openxmlformats.org/spreadsheetml/2006/main" count="2096" uniqueCount="1405">
  <si>
    <t>(a)</t>
  </si>
  <si>
    <t>(b)</t>
  </si>
  <si>
    <t>(c)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</si>
  <si>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</si>
  <si>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</si>
  <si>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</si>
  <si>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</si>
  <si>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</si>
  <si>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</si>
  <si>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</si>
  <si>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</si>
  <si>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</si>
  <si>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</si>
  <si>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</si>
  <si>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</si>
  <si>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</si>
  <si>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(b) + (c)</t>
  </si>
  <si>
    <t>(d) + (e)</t>
  </si>
  <si>
    <t>Schedule 5</t>
  </si>
  <si>
    <t>(f) + (g)</t>
  </si>
  <si>
    <t>Overrides</t>
  </si>
  <si>
    <t>REVENUES</t>
  </si>
  <si>
    <t xml:space="preserve">Un-Metered Sales / Irrigation </t>
  </si>
  <si>
    <t>Select Party</t>
  </si>
  <si>
    <t xml:space="preserve">Metered Sales / Domestic </t>
  </si>
  <si>
    <t>Staff</t>
  </si>
  <si>
    <t>Ready-to-Serve</t>
  </si>
  <si>
    <t>Fire Protection / Irrigation</t>
  </si>
  <si>
    <t>Regulatory Capital Structure</t>
  </si>
  <si>
    <t>Jobbing</t>
  </si>
  <si>
    <t>Actual Weighted Average Cost of Capital</t>
  </si>
  <si>
    <t>Other Income, Ancillary Charges (Hookup Charges)</t>
  </si>
  <si>
    <t>OPERATING REVENUE</t>
  </si>
  <si>
    <t>(number check)</t>
  </si>
  <si>
    <t>Federal Income Tax (FIT)</t>
  </si>
  <si>
    <t>Suggested FIT Rate</t>
  </si>
  <si>
    <t>EXPENSES</t>
  </si>
  <si>
    <t xml:space="preserve">Salary and Wages - Employees  </t>
  </si>
  <si>
    <t>(total wages per total expenses)</t>
  </si>
  <si>
    <t>Conversion Factor (CF)</t>
  </si>
  <si>
    <t>Suggested CF</t>
  </si>
  <si>
    <t>Salary and Wages - Officers</t>
  </si>
  <si>
    <t>Employee Pensions and Benefits</t>
  </si>
  <si>
    <t>(benefits per wages)</t>
  </si>
  <si>
    <t>Purchased Power/Water</t>
  </si>
  <si>
    <t>Test Period in a Leap Year</t>
  </si>
  <si>
    <t>Chemicals &amp; Testing</t>
  </si>
  <si>
    <t>No</t>
  </si>
  <si>
    <t>Material &amp; Supplies</t>
  </si>
  <si>
    <t>Contractual Engineer</t>
  </si>
  <si>
    <t>Contractual Accounting</t>
  </si>
  <si>
    <t>Contractual Legal</t>
  </si>
  <si>
    <t>Contractual Operations</t>
  </si>
  <si>
    <t>Rental of Building, Property, and Equipment</t>
  </si>
  <si>
    <t>Transportation</t>
  </si>
  <si>
    <t>Insurance - Vehicle, General Liability, Workman's Comp.</t>
  </si>
  <si>
    <t>Regulatory Commission Expenses - Fees</t>
  </si>
  <si>
    <t>Regulatory Commission Expenses - Amort. Rate Case</t>
  </si>
  <si>
    <t>Travel, Education, CCR, and Public Relations</t>
  </si>
  <si>
    <t>Office, Postage, Phone, and Bank Charges</t>
  </si>
  <si>
    <t>Bad Debt</t>
  </si>
  <si>
    <t>Repairs</t>
  </si>
  <si>
    <t>Net Depreciation/Amortization</t>
  </si>
  <si>
    <t>Utility Excise Tax</t>
  </si>
  <si>
    <t>Property Tax</t>
  </si>
  <si>
    <t xml:space="preserve">Payroll Tax  </t>
  </si>
  <si>
    <t>Other Taxes &amp; Licenses (DOH/PWB/ESD/DOE)</t>
  </si>
  <si>
    <t>Miscellaneous</t>
  </si>
  <si>
    <t>OPERATING EXPENSES</t>
  </si>
  <si>
    <t>Operating Incom before Taxes</t>
  </si>
  <si>
    <t>Interest Expense</t>
  </si>
  <si>
    <t xml:space="preserve"> </t>
  </si>
  <si>
    <t>TOTAL OPERATING EXPENSE</t>
  </si>
  <si>
    <t>NET INCOME (LOSS)</t>
  </si>
  <si>
    <t>NET OPERATING INCOME</t>
  </si>
  <si>
    <t>Domestic, double-counted or non SV property</t>
  </si>
  <si>
    <t>RATE BASE</t>
  </si>
  <si>
    <t>Used and Useful</t>
  </si>
  <si>
    <t>Utility Plant in Service (UPIS)</t>
  </si>
  <si>
    <t xml:space="preserve">    Accumulated Depreciation</t>
  </si>
  <si>
    <t>Acquisition Adjustment</t>
  </si>
  <si>
    <t>Contributions In Aid of Construction (CIAC) Plant in Service</t>
  </si>
  <si>
    <t xml:space="preserve">    Accumulated Amortization</t>
  </si>
  <si>
    <t>NET RATE BASE</t>
  </si>
  <si>
    <t>Rate of Return</t>
  </si>
  <si>
    <t>Customer Count</t>
  </si>
  <si>
    <t>Line  No.</t>
  </si>
  <si>
    <t>Company Restating Adjustment</t>
  </si>
  <si>
    <t xml:space="preserve"> Staff    Restating Adjustment</t>
  </si>
  <si>
    <t>Difference</t>
  </si>
  <si>
    <t>Company        Pro Forma Adjustment</t>
  </si>
  <si>
    <t xml:space="preserve"> Staff             Pro Forma Adjustment</t>
  </si>
  <si>
    <t>Sch 2.1</t>
  </si>
  <si>
    <t>Sch 3.1</t>
  </si>
  <si>
    <t>( c) - ( b)</t>
  </si>
  <si>
    <t>Sch 2.2</t>
  </si>
  <si>
    <t>Sch 3.2</t>
  </si>
  <si>
    <t>( f) - ( e)</t>
  </si>
  <si>
    <t>Schedule 3.1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</si>
  <si>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</si>
  <si>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</si>
  <si>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</si>
  <si>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</si>
  <si>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</si>
  <si>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</si>
  <si>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</si>
  <si>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</si>
  <si>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</si>
  <si>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</si>
  <si>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</si>
  <si>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</si>
  <si>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</si>
  <si>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</si>
  <si>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</si>
  <si>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</si>
  <si>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</si>
  <si>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</si>
  <si>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</si>
  <si>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</si>
  <si>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</si>
  <si>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</si>
  <si>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</si>
  <si>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</si>
  <si>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</si>
  <si>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</si>
  <si>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</si>
  <si>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</si>
  <si>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</si>
  <si>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</si>
  <si>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</si>
  <si>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</si>
  <si>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</si>
  <si>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SR-1</t>
  </si>
  <si>
    <t>SR-2</t>
  </si>
  <si>
    <t>SR-3</t>
  </si>
  <si>
    <t>SR-4</t>
  </si>
  <si>
    <t>SR-5</t>
  </si>
  <si>
    <t>SR-6</t>
  </si>
  <si>
    <t>SR-7</t>
  </si>
  <si>
    <t>SR-8</t>
  </si>
  <si>
    <t>SR-9</t>
  </si>
  <si>
    <t>SR-10</t>
  </si>
  <si>
    <t>SR-11</t>
  </si>
  <si>
    <t>SR-12</t>
  </si>
  <si>
    <t>SR-13</t>
  </si>
  <si>
    <t>SR-14</t>
  </si>
  <si>
    <t>SR-15</t>
  </si>
  <si>
    <t>SR-16</t>
  </si>
  <si>
    <t>SR-17</t>
  </si>
  <si>
    <t>SR-18</t>
  </si>
  <si>
    <t>SR-19</t>
  </si>
  <si>
    <t>SR-20</t>
  </si>
  <si>
    <t>SR-21</t>
  </si>
  <si>
    <t>SR-22</t>
  </si>
  <si>
    <t>SR-23</t>
  </si>
  <si>
    <t>SR-24</t>
  </si>
  <si>
    <t>SR-25</t>
  </si>
  <si>
    <t>SR-26</t>
  </si>
  <si>
    <t>SR-27</t>
  </si>
  <si>
    <t>SR-28</t>
  </si>
  <si>
    <t>SR-29</t>
  </si>
  <si>
    <t>SR-30</t>
  </si>
  <si>
    <t>SR-31</t>
  </si>
  <si>
    <t>SR-32</t>
  </si>
  <si>
    <t>SR-33</t>
  </si>
  <si>
    <t>SR-34</t>
  </si>
  <si>
    <t>SR-35</t>
  </si>
  <si>
    <t>SR-36</t>
  </si>
  <si>
    <t>SR-37</t>
  </si>
  <si>
    <t>SR-38</t>
  </si>
  <si>
    <t>SR-39</t>
  </si>
  <si>
    <t xml:space="preserve"> Total Staff Restating Adjustment</t>
  </si>
  <si>
    <t>BEOY Plant Adjustment</t>
  </si>
  <si>
    <t>Depreciation Adjustment</t>
  </si>
  <si>
    <t>Jobbing Revenue &amp; Jobbing Expenses</t>
  </si>
  <si>
    <t>Regulatory Plant Adjustment</t>
  </si>
  <si>
    <t>Taxes, Fees, and Bad Debt</t>
  </si>
  <si>
    <t>Benefits &amp; Payroll Taxes (11)</t>
  </si>
  <si>
    <t>Metered Sales</t>
  </si>
  <si>
    <t>Un-Metered Sales</t>
  </si>
  <si>
    <t>Other Income, Ancillary Charges</t>
  </si>
  <si>
    <t xml:space="preserve">Salary  Employees  </t>
  </si>
  <si>
    <t>Salary  Officers</t>
  </si>
  <si>
    <t xml:space="preserve">Employee Pension/Benefit </t>
  </si>
  <si>
    <t xml:space="preserve">Chemicals </t>
  </si>
  <si>
    <t>Contractual  Engineer</t>
  </si>
  <si>
    <t>Contractual  Accounting</t>
  </si>
  <si>
    <t>Contractual  Legal</t>
  </si>
  <si>
    <t>Contractual  Ops</t>
  </si>
  <si>
    <t>Rents / Building, Property</t>
  </si>
  <si>
    <t>Insurance</t>
  </si>
  <si>
    <t>Regulatory, Fees / Rate Case</t>
  </si>
  <si>
    <t>Bank Charges / Dues / Subscriptions</t>
  </si>
  <si>
    <t>Travel / Education / CCR</t>
  </si>
  <si>
    <t>Office / Postage</t>
  </si>
  <si>
    <t>Public Relations / Advertising / Phone</t>
  </si>
  <si>
    <t>Other Tax &amp; License (DOH/UTC/ESD)</t>
  </si>
  <si>
    <t>Other Expenses / Bad Debt</t>
  </si>
  <si>
    <t>Sum (c - h)</t>
  </si>
  <si>
    <t>Schedule 8</t>
  </si>
  <si>
    <t>Schedule 9 &amp; 10</t>
  </si>
  <si>
    <t>PFIS</t>
  </si>
  <si>
    <t>Input &amp; Schedule 8</t>
  </si>
  <si>
    <t>Restated</t>
  </si>
  <si>
    <t xml:space="preserve">Schedule 6 </t>
  </si>
  <si>
    <t>Net Pro Forma Average Rate Base</t>
  </si>
  <si>
    <t>PFIS F 53</t>
  </si>
  <si>
    <t>Weighted Cost of Capital</t>
  </si>
  <si>
    <t>Sch 4  F/G 28</t>
  </si>
  <si>
    <t>Operating Income Requirement</t>
  </si>
  <si>
    <t>Ln C1 * Ln C2</t>
  </si>
  <si>
    <t>Pro Forma Net Operating Income (Loss)</t>
  </si>
  <si>
    <t>PFIS F 45</t>
  </si>
  <si>
    <t>Operating Income Deficiency (Excess)</t>
  </si>
  <si>
    <t>Ln C3 - Ln C5</t>
  </si>
  <si>
    <t>Revenue Conversion Factor</t>
  </si>
  <si>
    <t>Sch 5  D 18</t>
  </si>
  <si>
    <t>Additional Revenue Requirement (Reduction)</t>
  </si>
  <si>
    <t>Ln C7 / Ln C9</t>
  </si>
  <si>
    <t xml:space="preserve">Schedule 7 </t>
  </si>
  <si>
    <t>Interest Results</t>
  </si>
  <si>
    <t>Tax Results</t>
  </si>
  <si>
    <t>Weighted Cost of Debt</t>
  </si>
  <si>
    <t>Sch 4 - F/G 22</t>
  </si>
  <si>
    <t>Pro Forma Interest Expense</t>
  </si>
  <si>
    <t>Ln C1 * Ln C3</t>
  </si>
  <si>
    <t xml:space="preserve">Ln C4   </t>
  </si>
  <si>
    <t>Interest Expense per Books</t>
  </si>
  <si>
    <t>PFIS D 41</t>
  </si>
  <si>
    <t>Adjustment to Interest Expense</t>
  </si>
  <si>
    <t>Ln C7 - Ln C8</t>
  </si>
  <si>
    <t>Income Tax rate</t>
  </si>
  <si>
    <t>Sch 5 C 12</t>
  </si>
  <si>
    <t>Net Income before Interest and Federal Tax</t>
  </si>
  <si>
    <t>PFIS F 40</t>
  </si>
  <si>
    <t xml:space="preserve">Pro Forma Interest Expense Less Prior Income </t>
  </si>
  <si>
    <t>Ln D13 - Ln D14</t>
  </si>
  <si>
    <t>Income Tax Effect</t>
  </si>
  <si>
    <t>Ln D15 * Ln D12 - PFIS D 42</t>
  </si>
  <si>
    <t>Net Income after Interest and Federal Tax</t>
  </si>
  <si>
    <t>Ln D15 - Ln D17 - PFIS D 48</t>
  </si>
  <si>
    <t>BOY</t>
  </si>
  <si>
    <t>EOY</t>
  </si>
  <si>
    <t>BEOY</t>
  </si>
  <si>
    <t>ADJ</t>
  </si>
  <si>
    <t>RB 1</t>
  </si>
  <si>
    <t xml:space="preserve"> UTILITY PLANT IN SERVICE (UPIS)</t>
  </si>
  <si>
    <t xml:space="preserve">   ACCUM DEPRECIATION</t>
  </si>
  <si>
    <t>ACQUISITION ADJUSTMENT</t>
  </si>
  <si>
    <t xml:space="preserve">   ACCUM  AMORTIZATION</t>
  </si>
  <si>
    <t>CIAC PLANT IN SERVE</t>
  </si>
  <si>
    <t xml:space="preserve"> NET RATE BASE</t>
  </si>
  <si>
    <t>Net UPIS</t>
  </si>
  <si>
    <t>Net ACQ</t>
  </si>
  <si>
    <t>Net CIAC</t>
  </si>
  <si>
    <t>Proforma Plant Additions</t>
  </si>
  <si>
    <t>Description (UPIS)</t>
  </si>
  <si>
    <t>Cost</t>
  </si>
  <si>
    <t>Depn</t>
  </si>
  <si>
    <t>BEOY Plant</t>
  </si>
  <si>
    <t>BEOY Depn</t>
  </si>
  <si>
    <t xml:space="preserve">Legal expenses capitalize / depreciate </t>
  </si>
  <si>
    <t xml:space="preserve">Consulting expenses capitalize / depreciate </t>
  </si>
  <si>
    <t xml:space="preserve">QuickBooks training </t>
  </si>
  <si>
    <t xml:space="preserve">TAK software </t>
  </si>
  <si>
    <t>Description (CIAC)</t>
  </si>
  <si>
    <t>Net Plant</t>
  </si>
  <si>
    <t>Net Rate Base</t>
  </si>
  <si>
    <t xml:space="preserve">Line No. </t>
  </si>
  <si>
    <t>(A)</t>
  </si>
  <si>
    <t>(B)</t>
  </si>
  <si>
    <t>(C  )</t>
  </si>
  <si>
    <t>(D)</t>
  </si>
  <si>
    <t>(E)</t>
  </si>
  <si>
    <t>(F)</t>
  </si>
  <si>
    <t>(G)</t>
  </si>
  <si>
    <t>(H)</t>
  </si>
  <si>
    <t>(I)</t>
  </si>
  <si>
    <t xml:space="preserve">(J) </t>
  </si>
  <si>
    <t>(K)</t>
  </si>
  <si>
    <t>Salary and Wages-Employees</t>
  </si>
  <si>
    <t xml:space="preserve">Cost </t>
  </si>
  <si>
    <t xml:space="preserve">Allocation basis </t>
  </si>
  <si>
    <t xml:space="preserve">Irrigation </t>
  </si>
  <si>
    <t xml:space="preserve">Domestic </t>
  </si>
  <si>
    <t xml:space="preserve">Total </t>
  </si>
  <si>
    <t xml:space="preserve">Luna </t>
  </si>
  <si>
    <t xml:space="preserve">all irrigation </t>
  </si>
  <si>
    <t xml:space="preserve">Rathbun --bookkeeping (15% irr; 85% dom) </t>
  </si>
  <si>
    <t xml:space="preserve">Divide on basis of bills </t>
  </si>
  <si>
    <t>Shockey (from Candy Mt)</t>
  </si>
  <si>
    <t>Divide 50/50 irr/dom</t>
  </si>
  <si>
    <t xml:space="preserve">Smyser (from Candy Mt.) </t>
  </si>
  <si>
    <t>Pct of time</t>
  </si>
  <si>
    <t xml:space="preserve">Basis for Kelly Rathbun salary allocation </t>
  </si>
  <si>
    <t xml:space="preserve">Service </t>
  </si>
  <si>
    <t xml:space="preserve">Annual Bills </t>
  </si>
  <si>
    <t xml:space="preserve">Customers </t>
  </si>
  <si>
    <t xml:space="preserve">Total Bills </t>
  </si>
  <si>
    <t>Percent</t>
  </si>
  <si>
    <t>Purchased Power / Water Adjustments</t>
  </si>
  <si>
    <t xml:space="preserve">Restating: </t>
  </si>
  <si>
    <t xml:space="preserve">Removed domestic based on WWA </t>
  </si>
  <si>
    <t xml:space="preserve">Pro Forma </t>
  </si>
  <si>
    <t>Wholesale water agr adjustment</t>
  </si>
  <si>
    <t xml:space="preserve">Is related to irrigation assessment for 2009 </t>
  </si>
  <si>
    <t>Less: acreage adjustment</t>
  </si>
  <si>
    <t>See schedule 25, Acreage</t>
  </si>
  <si>
    <t>SP-17</t>
  </si>
  <si>
    <t>Power costs related to irrigation are adjusted downward to account for total acreage v. irrigable acreage</t>
  </si>
  <si>
    <t>House square footage per development covenants and an allowance for driveways were adjusted out in Sch. 25.</t>
  </si>
  <si>
    <t xml:space="preserve">Less: drinking water testing </t>
  </si>
  <si>
    <t xml:space="preserve">SR-17 </t>
  </si>
  <si>
    <t xml:space="preserve">All chemicals and testing attributable to domestic drinking water.  Disallow all cost for irrigation water. </t>
  </si>
  <si>
    <t>Material and Supplies adjustment</t>
  </si>
  <si>
    <t xml:space="preserve">Invoice Vendor </t>
  </si>
  <si>
    <t>Date</t>
  </si>
  <si>
    <t>Total</t>
  </si>
  <si>
    <t>Domestic</t>
  </si>
  <si>
    <t>Steebers Lock Svc</t>
  </si>
  <si>
    <t>lock</t>
  </si>
  <si>
    <t>Lowe's</t>
  </si>
  <si>
    <t>landscape rakes</t>
  </si>
  <si>
    <t xml:space="preserve">Basin Feed and Supply </t>
  </si>
  <si>
    <t>spider spray</t>
  </si>
  <si>
    <t>Kennewick Ranch/Home</t>
  </si>
  <si>
    <t>testing supplies</t>
  </si>
  <si>
    <t>Fasteners</t>
  </si>
  <si>
    <t>pond filter</t>
  </si>
  <si>
    <t>parts</t>
  </si>
  <si>
    <t>irrigation disconnect</t>
  </si>
  <si>
    <t>Ace Hardware</t>
  </si>
  <si>
    <t xml:space="preserve">supplies shovel </t>
  </si>
  <si>
    <t>Walmart</t>
  </si>
  <si>
    <t>duct tape</t>
  </si>
  <si>
    <t>HD Fowler</t>
  </si>
  <si>
    <t>Home Depot</t>
  </si>
  <si>
    <t>garbage bags</t>
  </si>
  <si>
    <t>pumphouse heater</t>
  </si>
  <si>
    <t xml:space="preserve">Tacoma Screw Products </t>
  </si>
  <si>
    <t>Marking paint</t>
  </si>
  <si>
    <t>pumphouse heaters</t>
  </si>
  <si>
    <t xml:space="preserve">pass reivew, not material </t>
  </si>
  <si>
    <t xml:space="preserve">This is the only expense staff can allocate to irrigation. </t>
  </si>
  <si>
    <t xml:space="preserve">no receipt provided, g/l entry only </t>
  </si>
  <si>
    <t xml:space="preserve">Adjustments </t>
  </si>
  <si>
    <t xml:space="preserve">G/L Adjustment </t>
  </si>
  <si>
    <t xml:space="preserve">unexplained adjustment  in G/L </t>
  </si>
  <si>
    <t>prior period expense, not allowed</t>
  </si>
  <si>
    <t xml:space="preserve">TAK Software </t>
  </si>
  <si>
    <t>Capitalize and depreciate, 3 years (see DR 4, #3)</t>
  </si>
  <si>
    <t xml:space="preserve">capitalize and depreciate </t>
  </si>
  <si>
    <t xml:space="preserve">Back payroll, Kelly Rathbun </t>
  </si>
  <si>
    <t>Prior period expense, see DR 4 #3; disallow</t>
  </si>
  <si>
    <t>domestic expenses</t>
  </si>
  <si>
    <t>Amount divided between dom / irr</t>
  </si>
  <si>
    <t>Net Materials &amp; Supplies expense 2009</t>
  </si>
  <si>
    <t>Total adjusted out</t>
  </si>
  <si>
    <t>Less: total invoiced amount</t>
  </si>
  <si>
    <t>G/L Amounts to divide between dom / irr</t>
  </si>
  <si>
    <t>Calcuation of Adjustment:</t>
  </si>
  <si>
    <t xml:space="preserve">Material &amp; Supplies gross amount </t>
  </si>
  <si>
    <t>Less: irrigation expenses</t>
  </si>
  <si>
    <t xml:space="preserve"> Less: uninvoiced half to irrigation </t>
  </si>
  <si>
    <t>Adjustment  material and supplies</t>
  </si>
  <si>
    <t xml:space="preserve">Allowed expense </t>
  </si>
  <si>
    <t xml:space="preserve">Accounting and Bookkeeping </t>
  </si>
  <si>
    <t xml:space="preserve">As Filed </t>
  </si>
  <si>
    <t>Difference b/n filed and g/l amt is not material, pass further review</t>
  </si>
  <si>
    <t xml:space="preserve">From G/L </t>
  </si>
  <si>
    <t xml:space="preserve">Adjustment </t>
  </si>
  <si>
    <t>Allowed</t>
  </si>
  <si>
    <t>CBS Business Solutions, LLC Total</t>
  </si>
  <si>
    <t>2560.25</t>
  </si>
  <si>
    <t xml:space="preserve">Payroll prep expense; allocate 22.8% to irrigation expense; disallow 77.2 % to domestic  </t>
  </si>
  <si>
    <t>Adjustment: $21 underreported</t>
  </si>
  <si>
    <t>QuickBooks Payroll Service Total</t>
  </si>
  <si>
    <t>789.62</t>
  </si>
  <si>
    <t>Reclass $790 to Salaries; Allocate 50/50 to domestic and irrigation on same basis Shockey's salary previously allocated</t>
  </si>
  <si>
    <t>This a salary pymt to Shockey that was kept in suspense acct</t>
  </si>
  <si>
    <t>$21 underreported</t>
  </si>
  <si>
    <t xml:space="preserve">22.8% to irrigation salaries </t>
  </si>
  <si>
    <t>Divide on basis of bills (see SR-6 above; 85% domestic, 15% irrigation)</t>
  </si>
  <si>
    <t xml:space="preserve">Shockey </t>
  </si>
  <si>
    <t>Divide 50/50</t>
  </si>
  <si>
    <t>Smyser</t>
  </si>
  <si>
    <t>Contractual Acct adjustment</t>
  </si>
  <si>
    <t>adjust out all Shockey salary from quickbooks suspense acct</t>
  </si>
  <si>
    <t>Bookkeeping Adj to Contr Acct</t>
  </si>
  <si>
    <t>adjust in underreported expense</t>
  </si>
  <si>
    <t>adjust in Shockey irrigation saslary from suspense acct</t>
  </si>
  <si>
    <t>Legal expenses</t>
  </si>
  <si>
    <t xml:space="preserve">ties to invoice total </t>
  </si>
  <si>
    <t xml:space="preserve"> Detail of Legal expenses</t>
  </si>
  <si>
    <t>Invoice date</t>
  </si>
  <si>
    <t>Water rights / other</t>
  </si>
  <si>
    <t>P/S &amp; WW Agrs</t>
  </si>
  <si>
    <t xml:space="preserve">Subtotal </t>
  </si>
  <si>
    <t xml:space="preserve">Invoice total </t>
  </si>
  <si>
    <t xml:space="preserve">Cascadia Law Group </t>
  </si>
  <si>
    <t xml:space="preserve">Emails with client and Conservancy Board on status of applications to change. </t>
  </si>
  <si>
    <t>Conservancy Board</t>
  </si>
  <si>
    <t>Kuffel, Hultgreen, Klashke &amp; Shea</t>
  </si>
  <si>
    <t xml:space="preserve">Misc </t>
  </si>
  <si>
    <t xml:space="preserve">Meet at SV re development issues </t>
  </si>
  <si>
    <t>P/S agr: Review UTC regulations</t>
  </si>
  <si>
    <t>P/s agr: conf with McDonald &amp; Rathbun</t>
  </si>
  <si>
    <t>P/S agr: start drafting agr</t>
  </si>
  <si>
    <t>P/S agr: continue drafting agr</t>
  </si>
  <si>
    <t>P/S agr: confer with UTC staff</t>
  </si>
  <si>
    <t>P/S agr: prep for mtg with UTC</t>
  </si>
  <si>
    <t xml:space="preserve">Meet with UTC staff on transfer </t>
  </si>
  <si>
    <t>P/S agr</t>
  </si>
  <si>
    <t xml:space="preserve">P/S agr revision </t>
  </si>
  <si>
    <t>Phone conf w/Rathbun re p/s agr</t>
  </si>
  <si>
    <t>Phone and email re UTC mtg and P/S agr</t>
  </si>
  <si>
    <t>Email w/Rathbun re p/s agr</t>
  </si>
  <si>
    <t xml:space="preserve">Rate case extension proposals </t>
  </si>
  <si>
    <t>P/S agr: confer with UTC and SVWW</t>
  </si>
  <si>
    <t>P/S agr: finalize draft transfer &amp; lease agr</t>
  </si>
  <si>
    <t xml:space="preserve">P/S agr: conference with SVWW </t>
  </si>
  <si>
    <t>P/S agr: revise agr</t>
  </si>
  <si>
    <t>P/S agr: confer with HDR</t>
  </si>
  <si>
    <t xml:space="preserve">Wholesale water agreement </t>
  </si>
  <si>
    <t>P/S agr and wholesale water agreement ; easements</t>
  </si>
  <si>
    <t xml:space="preserve">P/S agr: review cost basis </t>
  </si>
  <si>
    <t>P/S agr: review cost basis and confer w HDR</t>
  </si>
  <si>
    <t>P/S agree: confer with HDR</t>
  </si>
  <si>
    <t>Rate case withdrawal letter</t>
  </si>
  <si>
    <t xml:space="preserve">Allowable as Test Year Expense: </t>
  </si>
  <si>
    <t>Capitalize and Depreciate:</t>
  </si>
  <si>
    <t xml:space="preserve">Adjust out: 50% for Domestic </t>
  </si>
  <si>
    <t xml:space="preserve">Legal related to P/S agr and WWA </t>
  </si>
  <si>
    <t xml:space="preserve">Capitalize and Depreciate (5 year life) </t>
  </si>
  <si>
    <t xml:space="preserve">Contractual Operations Adjustment </t>
  </si>
  <si>
    <t xml:space="preserve">As filed: </t>
  </si>
  <si>
    <t xml:space="preserve">From g/l: </t>
  </si>
  <si>
    <t xml:space="preserve">Comment </t>
  </si>
  <si>
    <t xml:space="preserve">Adjustment Amt </t>
  </si>
  <si>
    <t>Anderson Water System Consultants Total</t>
  </si>
  <si>
    <t>Per 6/30 meeting, this is all domestic (system operator)</t>
  </si>
  <si>
    <t>HDR Engineering, Inc. Total</t>
  </si>
  <si>
    <t xml:space="preserve">Capitalize and Depreciate (5-year life) </t>
  </si>
  <si>
    <t>Rogers Surveying, Inc., P.S. Total</t>
  </si>
  <si>
    <t xml:space="preserve">50 / 50 split between water / domestic </t>
  </si>
  <si>
    <t>Water Man Consulting Total</t>
  </si>
  <si>
    <t xml:space="preserve">Related Adjustment </t>
  </si>
  <si>
    <t xml:space="preserve">Half to domestic,half to Irrigation: Capitalize and Depreciate (5-year life) </t>
  </si>
  <si>
    <t>To BEOY</t>
  </si>
  <si>
    <t>Office Rental Adjustment</t>
  </si>
  <si>
    <t>There are many customers who fall into both customer categories</t>
  </si>
  <si>
    <t>Current Customers</t>
  </si>
  <si>
    <t>Allocated cost</t>
  </si>
  <si>
    <t xml:space="preserve">Adjust out Domestic Expense </t>
  </si>
  <si>
    <t xml:space="preserve">Transportation Adjustment </t>
  </si>
  <si>
    <t>Allocate 50% to domestic water</t>
  </si>
  <si>
    <t xml:space="preserve">Roughly 50% of plant is for either dom or irr.  Divide Transportation accordingly. </t>
  </si>
  <si>
    <t>Adjustment to Transportation Exp</t>
  </si>
  <si>
    <t>Insurance Adjustment .</t>
  </si>
  <si>
    <t xml:space="preserve">Roughly 50% of plant is for either dom or irr.  Divide Insurance accordingly. </t>
  </si>
  <si>
    <t>Allocate 50% to domestic</t>
  </si>
  <si>
    <t>Adjust in workers' comp costs</t>
  </si>
  <si>
    <t>Total L&amp;I premium</t>
  </si>
  <si>
    <t xml:space="preserve">Per general ledger </t>
  </si>
  <si>
    <t>Less: amount allocated to domestic</t>
  </si>
  <si>
    <t>Adjust on same basis as salary allocation</t>
  </si>
  <si>
    <t>Total L&amp;I premium to irrigation</t>
  </si>
  <si>
    <t>22.8% to irrigation</t>
  </si>
  <si>
    <t>Net Adjustment</t>
  </si>
  <si>
    <t>Travel, Education, CCR, and Public Relations adjustment</t>
  </si>
  <si>
    <t>Dues, Subscriptions</t>
  </si>
  <si>
    <t>50/50 split</t>
  </si>
  <si>
    <t>Education</t>
  </si>
  <si>
    <t>Meals</t>
  </si>
  <si>
    <t>Allocate half to domestic</t>
  </si>
  <si>
    <t>Office, Postage, Phone, and Bank Charges Adjustment</t>
  </si>
  <si>
    <t>Irrigation</t>
  </si>
  <si>
    <t>Office Supplies</t>
  </si>
  <si>
    <t>85/15 % split based on number of bills</t>
  </si>
  <si>
    <t>Phone</t>
  </si>
  <si>
    <t>Previous disallowance 20% for personal use stricken after settlement conference; allocate50% to irr</t>
  </si>
  <si>
    <t>Revised after 7/12 meeting with company-formula problem, see note</t>
  </si>
  <si>
    <t>Postage, Delivery</t>
  </si>
  <si>
    <t>85/15 % split based on no of bills</t>
  </si>
  <si>
    <t>Bank Fees</t>
  </si>
  <si>
    <t>Repair Expense Adj</t>
  </si>
  <si>
    <t>Other</t>
  </si>
  <si>
    <t>Comment</t>
  </si>
  <si>
    <t>Shumate</t>
  </si>
  <si>
    <t xml:space="preserve">Repairs on meter reading motorcycle </t>
  </si>
  <si>
    <t xml:space="preserve">No way to divide, split in half </t>
  </si>
  <si>
    <t>all freeze damage is domestic, adj out</t>
  </si>
  <si>
    <t>Designated as all irrigation on receipt</t>
  </si>
  <si>
    <t>Irrigation Specialists</t>
  </si>
  <si>
    <t>Candy Mt Farms pivot repair-disallow</t>
  </si>
  <si>
    <t>pond landscaping repair</t>
  </si>
  <si>
    <t>irrigation service set</t>
  </si>
  <si>
    <t xml:space="preserve">repairs to irrigation </t>
  </si>
  <si>
    <t>Johnston Supply</t>
  </si>
  <si>
    <t>well repairs</t>
  </si>
  <si>
    <t>Platt Electric</t>
  </si>
  <si>
    <t>no invoice or receipt</t>
  </si>
  <si>
    <t>Sight and Sound Video</t>
  </si>
  <si>
    <t>video to DVD transfer--well tape</t>
  </si>
  <si>
    <t xml:space="preserve">Candy Mt Farms </t>
  </si>
  <si>
    <t>well #1</t>
  </si>
  <si>
    <t>all items pertinent to meters</t>
  </si>
  <si>
    <t xml:space="preserve">Ranch &amp; Home Supply </t>
  </si>
  <si>
    <t xml:space="preserve">Maintenance </t>
  </si>
  <si>
    <t>G&amp;R Ag Products</t>
  </si>
  <si>
    <t xml:space="preserve">weed sprayer </t>
  </si>
  <si>
    <t>Senske</t>
  </si>
  <si>
    <t xml:space="preserve">bug treatment </t>
  </si>
  <si>
    <t xml:space="preserve">no invoice or receipt </t>
  </si>
  <si>
    <t>Jesse's Lawn Maintenance</t>
  </si>
  <si>
    <t xml:space="preserve">sprinkler repair </t>
  </si>
  <si>
    <t xml:space="preserve">cleanup at "monument" </t>
  </si>
  <si>
    <t>pond cleanup and mowing</t>
  </si>
  <si>
    <t xml:space="preserve">pond and monument cleanup </t>
  </si>
  <si>
    <t xml:space="preserve">Domestic repairs plus CMLLC repaid </t>
  </si>
  <si>
    <t xml:space="preserve">Depreciation Adjustment </t>
  </si>
  <si>
    <t xml:space="preserve">Depreciation on annual report appears to be linked to the following assets: </t>
  </si>
  <si>
    <t>ECS Invoice</t>
  </si>
  <si>
    <t xml:space="preserve">Annual as calc'd by model </t>
  </si>
  <si>
    <t>Site Prep/Controls</t>
  </si>
  <si>
    <t>Lusk Pump Invoice</t>
  </si>
  <si>
    <t>40 hp American Pump &amp; appurtenances</t>
  </si>
  <si>
    <t>Peninsula Engineering - WSP Prep</t>
  </si>
  <si>
    <t xml:space="preserve">Conclusion: </t>
  </si>
  <si>
    <t xml:space="preserve">Amount shown as annual and accumulated depreciation both appear excessive.  Correct </t>
  </si>
  <si>
    <t xml:space="preserve">  calculations are done in the DEPN spreadsheet; those amounts will be used instead of the company's </t>
  </si>
  <si>
    <t xml:space="preserve">  calculations for the annual report.  Also, WSP is pertinent to domestic only, so that item will be dropped. </t>
  </si>
  <si>
    <t>Amt on company annual report and used in filing</t>
  </si>
  <si>
    <t xml:space="preserve">Depreciation Expense </t>
  </si>
  <si>
    <t xml:space="preserve">See Sch 9 DEPN for calculations </t>
  </si>
  <si>
    <t>Moved from SP-34 to net here due to income tax expense  advantageous to company per C Mickelsen</t>
  </si>
  <si>
    <t>To adjust in one year's depreciation exp</t>
  </si>
  <si>
    <t xml:space="preserve">Net adjustment </t>
  </si>
  <si>
    <t>Excise Tax</t>
  </si>
  <si>
    <t>Exicse tax approximation</t>
  </si>
  <si>
    <t xml:space="preserve">Gross times 5.029 % </t>
  </si>
  <si>
    <t>Not material difference, pass further review</t>
  </si>
  <si>
    <t>As Filed</t>
  </si>
  <si>
    <t>Less:Tax on domestic income</t>
  </si>
  <si>
    <t>Adjust out domestic income</t>
  </si>
  <si>
    <t>B&amp;O expense for irrigation</t>
  </si>
  <si>
    <t>Payroll Tax Adjustment</t>
  </si>
  <si>
    <t xml:space="preserve">Allocate Payroll taxes on same basis as payroll.  </t>
  </si>
  <si>
    <t>Payroll cost allocation</t>
  </si>
  <si>
    <t>Overall percentages</t>
  </si>
  <si>
    <t>Disallow all as it appears to be DOH-related.</t>
  </si>
  <si>
    <t xml:space="preserve">These are related to domestic water only. </t>
  </si>
  <si>
    <t xml:space="preserve">Revenue Adjustment for Growth </t>
  </si>
  <si>
    <t>Current Customer Counts</t>
  </si>
  <si>
    <t>According to the Company in UW-110107 DR 2 #5</t>
  </si>
  <si>
    <t xml:space="preserve">Current Domestic Customers </t>
  </si>
  <si>
    <t xml:space="preserve">Current Ready-to Serve Customers </t>
  </si>
  <si>
    <t xml:space="preserve">Total Current Domestic customers </t>
  </si>
  <si>
    <t>Total Domestic customers Anticipated  at build-out</t>
  </si>
  <si>
    <t xml:space="preserve">Current Irrigation Customers </t>
  </si>
  <si>
    <t>Total Irrigation Customers Anticipated at Build-out</t>
  </si>
  <si>
    <t>Summit View phase 1</t>
  </si>
  <si>
    <t>Summit View phase 2</t>
  </si>
  <si>
    <t>Summit View phase 3 &amp; 4</t>
  </si>
  <si>
    <t>Summit View phase 5</t>
  </si>
  <si>
    <t>Summit View phase 6</t>
  </si>
  <si>
    <t>Summit View phase 7</t>
  </si>
  <si>
    <t xml:space="preserve">  Summit View subtotal </t>
  </si>
  <si>
    <t>Sunset Canyon</t>
  </si>
  <si>
    <t xml:space="preserve">Badget View </t>
  </si>
  <si>
    <t xml:space="preserve">Irrigation Customers: </t>
  </si>
  <si>
    <t xml:space="preserve">All domestic customers </t>
  </si>
  <si>
    <t xml:space="preserve">Badger View </t>
  </si>
  <si>
    <t xml:space="preserve">Total estimated irrigation customers </t>
  </si>
  <si>
    <t xml:space="preserve">Estimate reasonable but will use actual for pro forma adjustment </t>
  </si>
  <si>
    <t>2011 customers</t>
  </si>
  <si>
    <t xml:space="preserve">2009 customers </t>
  </si>
  <si>
    <t xml:space="preserve">2009 had a lot of prorated charges because many </t>
  </si>
  <si>
    <t>Actual per DR 17</t>
  </si>
  <si>
    <t>As filed by the company</t>
  </si>
  <si>
    <t xml:space="preserve">customers came in the middle of the irrigation season </t>
  </si>
  <si>
    <t xml:space="preserve">Difference in customer count </t>
  </si>
  <si>
    <t xml:space="preserve">Growth in customer base </t>
  </si>
  <si>
    <t>Income at $400 per customer</t>
  </si>
  <si>
    <t>Test year irrigation revenue</t>
  </si>
  <si>
    <t>Pro Forma adj for growth</t>
  </si>
  <si>
    <t>SP-9</t>
  </si>
  <si>
    <t xml:space="preserve">Related Variable Costs: </t>
  </si>
  <si>
    <t xml:space="preserve">Total expense </t>
  </si>
  <si>
    <t>Times growth % (30.7%)</t>
  </si>
  <si>
    <t>Growth factor</t>
  </si>
  <si>
    <t xml:space="preserve">Notes after 7/13 meeting with company: </t>
  </si>
  <si>
    <t>Staff checked operation of the model file for a gross-up</t>
  </si>
  <si>
    <t>Purchased power / water</t>
  </si>
  <si>
    <t>factor on revenue adjustments and all revenue adjustments</t>
  </si>
  <si>
    <t>Postage</t>
  </si>
  <si>
    <t>receive an automatic gross-up in Worksheet 3.2, Staff</t>
  </si>
  <si>
    <t xml:space="preserve">Office supplies </t>
  </si>
  <si>
    <t xml:space="preserve">Pro-forma adjustments.  Even with an explicit adjustment </t>
  </si>
  <si>
    <t xml:space="preserve">the overall adjustment amt remains the same. </t>
  </si>
  <si>
    <t xml:space="preserve">7/20/11 Update after 7/18/11 11:41 email from company: </t>
  </si>
  <si>
    <t>Percent change</t>
  </si>
  <si>
    <t>Residential acreage irrigated</t>
  </si>
  <si>
    <t>Conclusion: power use directly related to acreage; adjust power expense</t>
  </si>
  <si>
    <t xml:space="preserve">Ag acreage irrigation </t>
  </si>
  <si>
    <t xml:space="preserve">  by the growth in residential acreage under irrigation</t>
  </si>
  <si>
    <t xml:space="preserve">Invoice </t>
  </si>
  <si>
    <t xml:space="preserve">Invoice date </t>
  </si>
  <si>
    <t xml:space="preserve">Svc date </t>
  </si>
  <si>
    <t>P/S Agr / WWA</t>
  </si>
  <si>
    <t>UW-110107</t>
  </si>
  <si>
    <t>UW-110220</t>
  </si>
  <si>
    <t>Can't determine what this related to</t>
  </si>
  <si>
    <t xml:space="preserve">Water rights / DOE / WSP / affiliated in filing / annual report </t>
  </si>
  <si>
    <t>Total this line</t>
  </si>
  <si>
    <t xml:space="preserve">Total this invoice </t>
  </si>
  <si>
    <t xml:space="preserve">Rate Case Legal Expense (Finnigan) </t>
  </si>
  <si>
    <t xml:space="preserve">Review documents/financials </t>
  </si>
  <si>
    <t>Review statutes to confirm jurisdiction</t>
  </si>
  <si>
    <t xml:space="preserve">Review agreements; email client </t>
  </si>
  <si>
    <t>TC w/Rathbun; review agreements</t>
  </si>
  <si>
    <t>Draft changes to Hickman P/S Agr</t>
  </si>
  <si>
    <t>Draft revisions to P/S Agr</t>
  </si>
  <si>
    <t>Edit Hickman P/S Agr</t>
  </si>
  <si>
    <t xml:space="preserve">Research </t>
  </si>
  <si>
    <t>Exchange e-mails; review statutes</t>
  </si>
  <si>
    <t>Respond to Q on RTS; review irrigation rate backup</t>
  </si>
  <si>
    <t xml:space="preserve">TC w/Rathbun; review and edit WWA </t>
  </si>
  <si>
    <t>Review comments from client; respond w/suggestions</t>
  </si>
  <si>
    <t>Respond to Qs; review/edit P/S agr</t>
  </si>
  <si>
    <t xml:space="preserve">TC w/McDonald; reivew DOE permit </t>
  </si>
  <si>
    <t>Reivew data; respond to emails on possible rate case</t>
  </si>
  <si>
    <t>Review whole rate and reserve fund concept</t>
  </si>
  <si>
    <t>Review wholesale pricing; draft language for agr</t>
  </si>
  <si>
    <t xml:space="preserve">Finish change to irrigation agreement </t>
  </si>
  <si>
    <t xml:space="preserve">Review rate case issues </t>
  </si>
  <si>
    <t xml:space="preserve">TC w/client regarding next steps </t>
  </si>
  <si>
    <t>Review rate base summary; respond to Qs on rate base</t>
  </si>
  <si>
    <t xml:space="preserve">Respond to questions on rate base </t>
  </si>
  <si>
    <t xml:space="preserve">Review rate base issues </t>
  </si>
  <si>
    <t xml:space="preserve">Follow up on rate base issues </t>
  </si>
  <si>
    <t xml:space="preserve">Work on rate base questions </t>
  </si>
  <si>
    <t xml:space="preserve">Work on final contracts; email client </t>
  </si>
  <si>
    <t xml:space="preserve">Exhange emails on agreements </t>
  </si>
  <si>
    <t xml:space="preserve">Finish agreements; send to client </t>
  </si>
  <si>
    <t>Respond to Qs from Rathbun; edit WWA</t>
  </si>
  <si>
    <t>Review/exchange emails w/Rathbun; draft language for agr</t>
  </si>
  <si>
    <t xml:space="preserve">Edit WWA </t>
  </si>
  <si>
    <t xml:space="preserve">Exchange emails w/Rathbun; revise agreement; draft WUTC Petition </t>
  </si>
  <si>
    <t>Revise agreement and send to client</t>
  </si>
  <si>
    <t xml:space="preserve">Begin research on irrigation </t>
  </si>
  <si>
    <t>Research Suncadia order</t>
  </si>
  <si>
    <t xml:space="preserve">Review WUTC order on Suncadia </t>
  </si>
  <si>
    <t>Follow up on irrigation issue</t>
  </si>
  <si>
    <t>TC wCommission staff re irrigation issues</t>
  </si>
  <si>
    <t xml:space="preserve">Draft status report on irrigation issues </t>
  </si>
  <si>
    <t xml:space="preserve">TC w/engineer; review Mr. Ward's letter to DOH </t>
  </si>
  <si>
    <t>Review and respond to engineer's questions</t>
  </si>
  <si>
    <t xml:space="preserve">Review email from engineer; respond; send data </t>
  </si>
  <si>
    <t>Respond to Q on capital project funding sources; begin rate case</t>
  </si>
  <si>
    <t xml:space="preserve">Respond to Q on how surcharges work </t>
  </si>
  <si>
    <t xml:space="preserve">Review I/S; begin work on results of operations </t>
  </si>
  <si>
    <t xml:space="preserve">Work on rate case data </t>
  </si>
  <si>
    <t>Work on rate case and surcharge</t>
  </si>
  <si>
    <t xml:space="preserve">Work on rate case </t>
  </si>
  <si>
    <t xml:space="preserve">Work on surchage; TCs to UTC staff; emails to UTC staff </t>
  </si>
  <si>
    <t xml:space="preserve">TC wWard; emails w/Rathbun on aff int and rate cases </t>
  </si>
  <si>
    <t>Respond to Qs on surcharge</t>
  </si>
  <si>
    <t>Draft letters to WUTC on affiliated int agr; review rate case material</t>
  </si>
  <si>
    <t xml:space="preserve">Followup on rate case items </t>
  </si>
  <si>
    <t xml:space="preserve">Review detailed P/L </t>
  </si>
  <si>
    <t xml:space="preserve">Review material for rate case </t>
  </si>
  <si>
    <t xml:space="preserve">TC wRathbun; work on rate case </t>
  </si>
  <si>
    <t>Work on surcharge and facilities charge</t>
  </si>
  <si>
    <t xml:space="preserve">Work on surcharge filing </t>
  </si>
  <si>
    <t xml:space="preserve">TC w/engineer on WSP; review docs for UTC filing </t>
  </si>
  <si>
    <t>Review email; check UTC mtg sched; reply to Rathbun</t>
  </si>
  <si>
    <t xml:space="preserve">Respond to Q on minutes and other documentation </t>
  </si>
  <si>
    <t xml:space="preserve">Exchange emails regarding tariff filing </t>
  </si>
  <si>
    <t>Work on tariff and finished and file letter, tariff, supporting doc</t>
  </si>
  <si>
    <t>Draft promissory note; TC w/Rathbun on note &amp; rate case</t>
  </si>
  <si>
    <t>Draft letters to WUTC on surchage; TC wUTC staff</t>
  </si>
  <si>
    <t>Draft responses to WUTC data requests</t>
  </si>
  <si>
    <t xml:space="preserve">Review rate design for irrigation; DR response to UTC; draft tariff sheet &amp; customer notice </t>
  </si>
  <si>
    <t>Emails wRathbun; work on tariff filing</t>
  </si>
  <si>
    <t xml:space="preserve">Work on issues for rate filing </t>
  </si>
  <si>
    <t>Finish compiling documents; file rate case</t>
  </si>
  <si>
    <t xml:space="preserve">Review DR; forward </t>
  </si>
  <si>
    <t>Research and respond to ADA questions</t>
  </si>
  <si>
    <t xml:space="preserve">Work on data request issues </t>
  </si>
  <si>
    <t>Review staff memo; TC wWhite; forward DRs</t>
  </si>
  <si>
    <t xml:space="preserve">Email Rathbun; TC White; forward DRs </t>
  </si>
  <si>
    <t xml:space="preserve">Emails; work on DRs </t>
  </si>
  <si>
    <t>Work on rate case and DRs</t>
  </si>
  <si>
    <t xml:space="preserve">Work on DRs; respond to Q on beginning work on well </t>
  </si>
  <si>
    <t>Follow up on discovery; TC w/Rathbun</t>
  </si>
  <si>
    <t xml:space="preserve">Work on DRs  </t>
  </si>
  <si>
    <t>Followup on DRs</t>
  </si>
  <si>
    <t>Work on DRs; exchange emails wRathbun</t>
  </si>
  <si>
    <t xml:space="preserve">Review DR issues </t>
  </si>
  <si>
    <t>Work on DRs</t>
  </si>
  <si>
    <t xml:space="preserve">Work on DRs and other followup issues </t>
  </si>
  <si>
    <t>TC wRathbun; edit responses to DRs</t>
  </si>
  <si>
    <t xml:space="preserve">Respond to UTC staff on waiver of monthly billing </t>
  </si>
  <si>
    <t xml:space="preserve">Draft waiver of bill frequency rule </t>
  </si>
  <si>
    <t xml:space="preserve">Review DRs; forward DRs; file waiver of billing rule </t>
  </si>
  <si>
    <t>Follow up on DRs</t>
  </si>
  <si>
    <t>Work on DR</t>
  </si>
  <si>
    <t xml:space="preserve">Review rate base items; email Mr. Clark </t>
  </si>
  <si>
    <t xml:space="preserve">Work on asset list and depr schedule </t>
  </si>
  <si>
    <t>Reivew DR information and depr sched issues</t>
  </si>
  <si>
    <t>Follow up on DRs; TC White; review DRs</t>
  </si>
  <si>
    <t>Review/edit DR respons; email Cedarbaum</t>
  </si>
  <si>
    <t>Review issues on prehearing conf; email client</t>
  </si>
  <si>
    <t>TC Rathbun re UTC procedures and issues</t>
  </si>
  <si>
    <t xml:space="preserve">Followup on DRs; TC White re status </t>
  </si>
  <si>
    <t>Follup on DRs</t>
  </si>
  <si>
    <t>Attend prehearing conferences on both cases</t>
  </si>
  <si>
    <t xml:space="preserve">Draft testimony for surcharge filing </t>
  </si>
  <si>
    <t xml:space="preserve">Draft testimony for rate case </t>
  </si>
  <si>
    <t xml:space="preserve">Work on testimony </t>
  </si>
  <si>
    <t>Review and forward DRs</t>
  </si>
  <si>
    <t>Review and edit DR response; email Rathbun</t>
  </si>
  <si>
    <t xml:space="preserve">Draft response to DR13; prep Annual Report </t>
  </si>
  <si>
    <t>Review material on building well; review DRs</t>
  </si>
  <si>
    <t xml:space="preserve">Additional response to DR 15, 7/13/11: </t>
  </si>
  <si>
    <t>June invoices</t>
  </si>
  <si>
    <t xml:space="preserve">All costs to UW-110220 per Mr. Finnigan </t>
  </si>
  <si>
    <t>July invoice 7/1-7/12</t>
  </si>
  <si>
    <t xml:space="preserve">11 months </t>
  </si>
  <si>
    <t xml:space="preserve">SBUTOTALS </t>
  </si>
  <si>
    <t>Average monthly cost to date</t>
  </si>
  <si>
    <t>Plus: 2 more months' average expenses to complete case</t>
  </si>
  <si>
    <t>Total estimated legal expense</t>
  </si>
  <si>
    <t xml:space="preserve">Less: 50% to domestic </t>
  </si>
  <si>
    <t xml:space="preserve">Capitalize and depreciate </t>
  </si>
  <si>
    <t>SP-28</t>
  </si>
  <si>
    <t xml:space="preserve">amounts totalled tie fairly closely to company's </t>
  </si>
  <si>
    <t xml:space="preserve">  estimate for UW-110107</t>
  </si>
  <si>
    <t>Conclusion: Staff will accept the company's original estimate of $10,000 total legal cost for UW-110220 in context with $7912 to date.  In the DR, the company estimates another $10,000 on top of amounts already incurred.  Staff</t>
  </si>
  <si>
    <t xml:space="preserve">  does not believe the case will run that much more as rate increases for irrigation do not appear likely as of 6/3/11.  Staff will make the same proforma adjustment as in the company's filing, $3334 per year for 3 years. </t>
  </si>
  <si>
    <t>Adjustment amount moved to SR-33 as restating adjustment</t>
  </si>
  <si>
    <t>more advantageous due to income tax effect per Cmickelson</t>
  </si>
  <si>
    <t>Will allow one year's depreciation exp</t>
  </si>
  <si>
    <t>SP-34</t>
  </si>
  <si>
    <t>Capitalize and Depreciate</t>
  </si>
  <si>
    <t xml:space="preserve">Accounting </t>
  </si>
  <si>
    <t xml:space="preserve">Asset Value </t>
  </si>
  <si>
    <t xml:space="preserve">Life </t>
  </si>
  <si>
    <t xml:space="preserve">Vendor </t>
  </si>
  <si>
    <t xml:space="preserve">Annual Expense </t>
  </si>
  <si>
    <t>TAK</t>
  </si>
  <si>
    <t xml:space="preserve">Quickbooks training </t>
  </si>
  <si>
    <t xml:space="preserve">CBS solutions </t>
  </si>
  <si>
    <t>To Sch 8 BEOY</t>
  </si>
  <si>
    <t xml:space="preserve">Legal Expense </t>
  </si>
  <si>
    <t xml:space="preserve">P/S Agr and WWA </t>
  </si>
  <si>
    <t xml:space="preserve">Finnigan </t>
  </si>
  <si>
    <t xml:space="preserve">Cascadia </t>
  </si>
  <si>
    <t>SP-22</t>
  </si>
  <si>
    <t xml:space="preserve">Contractual Operations </t>
  </si>
  <si>
    <t>HDR consulting and others ; largely P/S Agr</t>
  </si>
  <si>
    <t>SP-23</t>
  </si>
  <si>
    <t xml:space="preserve">Used and Useful Adjustment </t>
  </si>
  <si>
    <t>Current Irrigation Customers (added by Staff)</t>
  </si>
  <si>
    <t>Used and Useful percentage</t>
  </si>
  <si>
    <t>Not used since no phase 7 plant in p/s agreement</t>
  </si>
  <si>
    <t xml:space="preserve">Overall Used and Useful Percentage from Earlier Data Requests </t>
  </si>
  <si>
    <t xml:space="preserve">DR 17: </t>
  </si>
  <si>
    <t xml:space="preserve">2011 Irrigation Season Total Customers / Current Used and Useful Percentage </t>
  </si>
  <si>
    <t xml:space="preserve">Adjust out this percentage of irrigation plant to account for used and useful issues </t>
  </si>
  <si>
    <t xml:space="preserve">7/8/11 REVISED: Use Acreage currently under irrigation vis-à-vis potential acreage under irrigation to calculate used and useful percentage.  </t>
  </si>
  <si>
    <t>See Sch 31, Used Useful for details</t>
  </si>
  <si>
    <t>Acres Available</t>
  </si>
  <si>
    <t>Sub-total Acres</t>
  </si>
  <si>
    <t>Acres    Used</t>
  </si>
  <si>
    <t xml:space="preserve">Percent "Used and Useful" </t>
  </si>
  <si>
    <t xml:space="preserve">Less: Summit View Phase 7 </t>
  </si>
  <si>
    <t xml:space="preserve">Conclusion: staff will use the "used and useful acres" percentage rather than a percentage calculated on customer count. </t>
  </si>
  <si>
    <t xml:space="preserve">Less: Used and Useful Adj's </t>
  </si>
  <si>
    <t>SP-41</t>
  </si>
  <si>
    <t>Final Plant Amount</t>
  </si>
  <si>
    <t xml:space="preserve">Calculations for amount of debt for Sch 4, Capitalization </t>
  </si>
  <si>
    <t>Balance Sheet</t>
  </si>
  <si>
    <t>As reporting on Annual Rpt</t>
  </si>
  <si>
    <t>Rate Case Adjustment</t>
  </si>
  <si>
    <t>Adjusted 12/31/09</t>
  </si>
  <si>
    <t>ASSETS:</t>
  </si>
  <si>
    <t>Utility Plant</t>
  </si>
  <si>
    <t>Less: Acc Depr</t>
  </si>
  <si>
    <t>Less: Acc Amort</t>
  </si>
  <si>
    <t>Utility Plant Acquisition Adjustment</t>
  </si>
  <si>
    <t>Net Utility Plant (Add L1 thru L4)</t>
  </si>
  <si>
    <t>Special funds (Surcharges, Facility Charges)</t>
  </si>
  <si>
    <t>Cash</t>
  </si>
  <si>
    <t>Customer Accts Receivable</t>
  </si>
  <si>
    <t>Other Assets (Specify)</t>
  </si>
  <si>
    <t xml:space="preserve">Total Assets (Add L5 thru L9) </t>
  </si>
  <si>
    <t>EQUITY CAPITAL &amp; LIABILITIES</t>
  </si>
  <si>
    <t>Capital Stock Issued</t>
  </si>
  <si>
    <t>Other Paid-in Capital</t>
  </si>
  <si>
    <t>Retained Earnings</t>
  </si>
  <si>
    <t xml:space="preserve">$120,493 out of balance after addition of CIAC and including original $37073 out of balance </t>
  </si>
  <si>
    <t>Proprietary Capital</t>
  </si>
  <si>
    <t>Total Equity Capital (Add L11 thru L14)</t>
  </si>
  <si>
    <t>Long term debt                         Interest rate</t>
  </si>
  <si>
    <t>Debt to correspond with plant assets added since 100% financed</t>
  </si>
  <si>
    <t>Accounts Payable</t>
  </si>
  <si>
    <t>Current Debt</t>
  </si>
  <si>
    <t>Contributions in Aid of Construction (CIAC)</t>
  </si>
  <si>
    <t>Less: Accumulated Amortization of CIAC</t>
  </si>
  <si>
    <t xml:space="preserve">Other Liabilities (Specify)  Notes Payable </t>
  </si>
  <si>
    <t>Total Liabilities (Add L16 thru L21)</t>
  </si>
  <si>
    <t>Total Equity Capital &amp; Liabilities( Add L15 &amp; L22)</t>
  </si>
  <si>
    <t>difference bn assets &amp; liabilities</t>
  </si>
  <si>
    <t xml:space="preserve">As filed by company, does not balance </t>
  </si>
  <si>
    <t xml:space="preserve">Asset Adjustment </t>
  </si>
  <si>
    <t>Yearly Depr</t>
  </si>
  <si>
    <t>Acc Depr 1/1/09</t>
  </si>
  <si>
    <t>Acc Dep 12/31/09</t>
  </si>
  <si>
    <t>Net Plant Assets</t>
  </si>
  <si>
    <t xml:space="preserve">All Plant Assets as filed </t>
  </si>
  <si>
    <t xml:space="preserve">All Allowed Assets </t>
  </si>
  <si>
    <t xml:space="preserve">Should not be in p/s agreement because: </t>
  </si>
  <si>
    <t xml:space="preserve">Assets purchased outright by Summit View </t>
  </si>
  <si>
    <t>ECS site prep: Summit View has already paid for these items</t>
  </si>
  <si>
    <t>Lusk Pump: Summit View has already paid for these items</t>
  </si>
  <si>
    <t>Water System Plan (all but $5,000): Summit View has already paid for these items</t>
  </si>
  <si>
    <t xml:space="preserve">Adjustment for Water System Plan total cost </t>
  </si>
  <si>
    <t xml:space="preserve">Not material difference, probably related to WSP costs </t>
  </si>
  <si>
    <t xml:space="preserve">Conclusion: Amount on Balance sheet reconciles closely to "assets purchased outright by </t>
  </si>
  <si>
    <t xml:space="preserve"> Summit View."  Do not include them in asset adjustment amount. </t>
  </si>
  <si>
    <t xml:space="preserve">Summit View </t>
  </si>
  <si>
    <t>Modeling rate design using actual customers as of July 2011</t>
  </si>
  <si>
    <t xml:space="preserve">STAFF PROPOSED </t>
  </si>
  <si>
    <t xml:space="preserve">Conclusion: Savings from Acreage Adjustment are not material . Maintaining records </t>
  </si>
  <si>
    <t>(C )</t>
  </si>
  <si>
    <t>(J)</t>
  </si>
  <si>
    <t>(L)</t>
  </si>
  <si>
    <t>(M)</t>
  </si>
  <si>
    <t xml:space="preserve">regarding the acreage adjustment would be more costly than the savings to customers. </t>
  </si>
  <si>
    <t>Irrigated=1</t>
  </si>
  <si>
    <t>Fixed Charge:</t>
  </si>
  <si>
    <t xml:space="preserve">1st Half </t>
  </si>
  <si>
    <t>2nd Half</t>
  </si>
  <si>
    <t>ten day disc</t>
  </si>
  <si>
    <t>Non-Irrigated=0</t>
  </si>
  <si>
    <t>Rates Based on Acreage Only</t>
  </si>
  <si>
    <t>Rates Based on Adjusted Acreage</t>
  </si>
  <si>
    <t>Lot Size Counts</t>
  </si>
  <si>
    <t>Orig order</t>
  </si>
  <si>
    <t>Phase and lot #:</t>
  </si>
  <si>
    <t>Address:</t>
  </si>
  <si>
    <t>Customer Name:</t>
  </si>
  <si>
    <t>Lot Sq/Ft</t>
  </si>
  <si>
    <t>Total customers</t>
  </si>
  <si>
    <t>Irr/Non-Irr</t>
  </si>
  <si>
    <t>Acres Active:</t>
  </si>
  <si>
    <t>Acres</t>
  </si>
  <si>
    <t>Outlet Fee:</t>
  </si>
  <si>
    <t>Base / outlet fee</t>
  </si>
  <si>
    <t>Acreage fee</t>
  </si>
  <si>
    <t>Total This Customer</t>
  </si>
  <si>
    <t>Change from Current Rate</t>
  </si>
  <si>
    <t>.01-.5 ac</t>
  </si>
  <si>
    <t>.51-1 ac</t>
  </si>
  <si>
    <t>1.01-1.5 ac</t>
  </si>
  <si>
    <t>1.51-2.0 ac</t>
  </si>
  <si>
    <t>2.01-2.5 ac</t>
  </si>
  <si>
    <t>2.51-3.0 ac</t>
  </si>
  <si>
    <t>3.01-3.5 ac</t>
  </si>
  <si>
    <t>3.51-4.0 ac</t>
  </si>
  <si>
    <t>4.01-4.5 ac</t>
  </si>
  <si>
    <t>4.51-5.0 ac</t>
  </si>
  <si>
    <t>5.01 ac and up</t>
  </si>
  <si>
    <t>PHASE ONE</t>
  </si>
  <si>
    <t>BLOCK ONE</t>
  </si>
  <si>
    <t xml:space="preserve">LOT 1   </t>
  </si>
  <si>
    <t>17102 S Grandview Ln</t>
  </si>
  <si>
    <t>Eder, Jeremy</t>
  </si>
  <si>
    <t xml:space="preserve">LOT 2   </t>
  </si>
  <si>
    <t>16806 S Grandview Ln</t>
  </si>
  <si>
    <t>Herrin, Josh</t>
  </si>
  <si>
    <t xml:space="preserve">LOT 3   </t>
  </si>
  <si>
    <t>17002 S Grandview Ln</t>
  </si>
  <si>
    <t>Michel, John</t>
  </si>
  <si>
    <t xml:space="preserve">LOT 4   </t>
  </si>
  <si>
    <t>16504 S Grandview Ln</t>
  </si>
  <si>
    <t>Girvin, Don</t>
  </si>
  <si>
    <t xml:space="preserve">LOT 5  </t>
  </si>
  <si>
    <t>16102 S Grandview Ln</t>
  </si>
  <si>
    <t>Wight, David</t>
  </si>
  <si>
    <t xml:space="preserve">LOT 6 </t>
  </si>
  <si>
    <t>Carreno</t>
  </si>
  <si>
    <t xml:space="preserve">LOT 7   </t>
  </si>
  <si>
    <t>15604 S. Grandview Ln</t>
  </si>
  <si>
    <t>Santillie, Paul</t>
  </si>
  <si>
    <t xml:space="preserve">LOT 8 </t>
  </si>
  <si>
    <t>Pope</t>
  </si>
  <si>
    <t>BLOCK TWO</t>
  </si>
  <si>
    <t>Acreage Rate</t>
  </si>
  <si>
    <t xml:space="preserve">LOT 1    </t>
  </si>
  <si>
    <t>17115 S Grandview Ln</t>
  </si>
  <si>
    <t>Brockman, Randy</t>
  </si>
  <si>
    <t xml:space="preserve">LOT 2    </t>
  </si>
  <si>
    <t>16901 S Grandview Ln</t>
  </si>
  <si>
    <t>Wolf, Jerry</t>
  </si>
  <si>
    <t xml:space="preserve">LOT 3    </t>
  </si>
  <si>
    <t>16803 S Grandview Ln</t>
  </si>
  <si>
    <t>Hanson, Greg</t>
  </si>
  <si>
    <t xml:space="preserve">LOT 4    </t>
  </si>
  <si>
    <t>16601 S Grandview Ln</t>
  </si>
  <si>
    <t>Swindler, Fred</t>
  </si>
  <si>
    <t>16405 S Grandview Ln</t>
  </si>
  <si>
    <t>Samples, Matt</t>
  </si>
  <si>
    <t xml:space="preserve">LOT 6  </t>
  </si>
  <si>
    <t>16203 S Grandview Ln</t>
  </si>
  <si>
    <t>Schmitt, Lee</t>
  </si>
  <si>
    <t xml:space="preserve">LOT 7    </t>
  </si>
  <si>
    <t>16101 S Grandview Ln</t>
  </si>
  <si>
    <t>Currie, Thomas</t>
  </si>
  <si>
    <t xml:space="preserve">LOT 8    </t>
  </si>
  <si>
    <t>15703 S Grandview Ln</t>
  </si>
  <si>
    <t>Youngstrom, William</t>
  </si>
  <si>
    <t xml:space="preserve">LOT 9   </t>
  </si>
  <si>
    <t>15405 S Grandview Ln</t>
  </si>
  <si>
    <t>Hui, Peter</t>
  </si>
  <si>
    <t xml:space="preserve">LOT 10    </t>
  </si>
  <si>
    <t>15303 S Grandview Ln</t>
  </si>
  <si>
    <t>Chalfant, Gary</t>
  </si>
  <si>
    <t xml:space="preserve">LOT 11    </t>
  </si>
  <si>
    <t>15301 S Grandview Ln</t>
  </si>
  <si>
    <t>Carrier, Valerie</t>
  </si>
  <si>
    <t xml:space="preserve">LOT 12   </t>
  </si>
  <si>
    <t>15103 S Grandview Ln</t>
  </si>
  <si>
    <t>Raker, Joel</t>
  </si>
  <si>
    <t>PHASE TWO</t>
  </si>
  <si>
    <t xml:space="preserve">LOT 1 </t>
  </si>
  <si>
    <t xml:space="preserve">LOT 2  </t>
  </si>
  <si>
    <t>15004 Mountain Ridge</t>
  </si>
  <si>
    <t>Michel, Andrew</t>
  </si>
  <si>
    <t>15206 Mountain Ridge</t>
  </si>
  <si>
    <t>McAloon, James</t>
  </si>
  <si>
    <t>15308 Mountain Ridge</t>
  </si>
  <si>
    <t>Turner, Joe</t>
  </si>
  <si>
    <t xml:space="preserve">LOT 5 </t>
  </si>
  <si>
    <t xml:space="preserve">15618 Mountain Ridge </t>
  </si>
  <si>
    <t>Taylor, James</t>
  </si>
  <si>
    <t xml:space="preserve">LOT 7  </t>
  </si>
  <si>
    <t xml:space="preserve">15611 Mountain Ridge </t>
  </si>
  <si>
    <t>Downard, Dan</t>
  </si>
  <si>
    <t>15509 Mountain Ridge</t>
  </si>
  <si>
    <t>Dingfield, Joseph</t>
  </si>
  <si>
    <t xml:space="preserve">LOT 9  </t>
  </si>
  <si>
    <t>15307 Mountain Ridge</t>
  </si>
  <si>
    <t>Bently, Ryan</t>
  </si>
  <si>
    <t xml:space="preserve">LOT 10 </t>
  </si>
  <si>
    <t>15205 Mountain Ridge</t>
  </si>
  <si>
    <t>Tano, Dan</t>
  </si>
  <si>
    <t xml:space="preserve">LOT 11  </t>
  </si>
  <si>
    <t>15003 Mountain Ridge</t>
  </si>
  <si>
    <t>Sexton, Keith</t>
  </si>
  <si>
    <t>LOT 12</t>
  </si>
  <si>
    <t xml:space="preserve">14801 Mountain Ridge </t>
  </si>
  <si>
    <t>Jenkins, Joshua</t>
  </si>
  <si>
    <t>PHASE 3 &amp; 4</t>
  </si>
  <si>
    <r>
      <t xml:space="preserve">LOT 1  </t>
    </r>
    <r>
      <rPr>
        <i/>
        <sz val="10"/>
        <rFont val="Verdana"/>
        <family val="2"/>
      </rPr>
      <t>Frokaykel</t>
    </r>
    <r>
      <rPr>
        <sz val="10"/>
        <rFont val="Verdana"/>
        <family val="2"/>
      </rPr>
      <t xml:space="preserve">  </t>
    </r>
  </si>
  <si>
    <r>
      <t xml:space="preserve">LOT 2  </t>
    </r>
    <r>
      <rPr>
        <i/>
        <sz val="10"/>
        <rFont val="Verdana"/>
        <family val="2"/>
      </rPr>
      <t>Frokaykel</t>
    </r>
    <r>
      <rPr>
        <sz val="10"/>
        <rFont val="Verdana"/>
        <family val="2"/>
      </rPr>
      <t xml:space="preserve">  </t>
    </r>
  </si>
  <si>
    <r>
      <t xml:space="preserve">LOT 3  </t>
    </r>
    <r>
      <rPr>
        <i/>
        <sz val="10"/>
        <rFont val="Verdana"/>
        <family val="2"/>
      </rPr>
      <t>Frokaykel</t>
    </r>
  </si>
  <si>
    <r>
      <t xml:space="preserve">LOT 4  </t>
    </r>
    <r>
      <rPr>
        <i/>
        <sz val="10"/>
        <rFont val="Verdana"/>
        <family val="2"/>
      </rPr>
      <t>Frokaykel</t>
    </r>
  </si>
  <si>
    <r>
      <t xml:space="preserve">LOT 5  </t>
    </r>
    <r>
      <rPr>
        <i/>
        <sz val="10"/>
        <rFont val="Verdana"/>
        <family val="2"/>
      </rPr>
      <t>Frokaykel</t>
    </r>
  </si>
  <si>
    <t>83714 Summit View Dr</t>
  </si>
  <si>
    <t>Jackel, Henry</t>
  </si>
  <si>
    <t>84016 Summit View Dr</t>
  </si>
  <si>
    <t>Gentry, Shane</t>
  </si>
  <si>
    <r>
      <t xml:space="preserve">LOT 8  </t>
    </r>
    <r>
      <rPr>
        <i/>
        <sz val="10"/>
        <rFont val="Verdana"/>
        <family val="2"/>
      </rPr>
      <t>Frokaykel</t>
    </r>
  </si>
  <si>
    <t>84420 Summit View Dr</t>
  </si>
  <si>
    <t>Gardner, Jeff</t>
  </si>
  <si>
    <r>
      <t xml:space="preserve">LOT 10 </t>
    </r>
    <r>
      <rPr>
        <i/>
        <sz val="10"/>
        <rFont val="Verdana"/>
        <family val="2"/>
      </rPr>
      <t>Frokaykel</t>
    </r>
  </si>
  <si>
    <r>
      <t xml:space="preserve">LOT 11 </t>
    </r>
    <r>
      <rPr>
        <i/>
        <sz val="10"/>
        <rFont val="Verdana"/>
        <family val="2"/>
      </rPr>
      <t>Frokaykel</t>
    </r>
  </si>
  <si>
    <r>
      <t>LOT 12</t>
    </r>
    <r>
      <rPr>
        <i/>
        <sz val="10"/>
        <rFont val="Verdana"/>
        <family val="2"/>
      </rPr>
      <t xml:space="preserve"> Frokaykel</t>
    </r>
  </si>
  <si>
    <r>
      <t xml:space="preserve">LOT 13 </t>
    </r>
    <r>
      <rPr>
        <i/>
        <sz val="10"/>
        <rFont val="Verdana"/>
        <family val="2"/>
      </rPr>
      <t>Frokaykel</t>
    </r>
  </si>
  <si>
    <r>
      <t xml:space="preserve">LOT 14 </t>
    </r>
    <r>
      <rPr>
        <i/>
        <sz val="10"/>
        <rFont val="Verdana"/>
        <family val="2"/>
      </rPr>
      <t>Frokaykel</t>
    </r>
  </si>
  <si>
    <t xml:space="preserve">LOT 15   </t>
  </si>
  <si>
    <t>83572 Summit View Dr</t>
  </si>
  <si>
    <t>Fewel, Jared</t>
  </si>
  <si>
    <r>
      <t xml:space="preserve">LOT 16 </t>
    </r>
    <r>
      <rPr>
        <i/>
        <sz val="10"/>
        <rFont val="Verdana"/>
        <family val="2"/>
      </rPr>
      <t>Frokaykel</t>
    </r>
  </si>
  <si>
    <t xml:space="preserve">LOT 17  </t>
  </si>
  <si>
    <t>LOT NOT AVAILABLE</t>
  </si>
  <si>
    <t>Lot Not Available</t>
  </si>
  <si>
    <r>
      <t xml:space="preserve">LOT 18 </t>
    </r>
    <r>
      <rPr>
        <i/>
        <sz val="10"/>
        <rFont val="Verdana"/>
        <family val="2"/>
      </rPr>
      <t>Frokaykel</t>
    </r>
  </si>
  <si>
    <t xml:space="preserve">LOT 19 </t>
  </si>
  <si>
    <t>16025 Clearview Lp</t>
  </si>
  <si>
    <t>Ireland, James</t>
  </si>
  <si>
    <t xml:space="preserve">LOT 20 </t>
  </si>
  <si>
    <t>15923 Clearview Lp</t>
  </si>
  <si>
    <t>Elkins, Dan</t>
  </si>
  <si>
    <t xml:space="preserve">LOT 21 </t>
  </si>
  <si>
    <t>15821 Clearview Lp</t>
  </si>
  <si>
    <t>McClory, Rudd</t>
  </si>
  <si>
    <t xml:space="preserve">LOT 22 </t>
  </si>
  <si>
    <t>15719 Clearview Lp</t>
  </si>
  <si>
    <t>White, Vince</t>
  </si>
  <si>
    <t xml:space="preserve">LOT 23 </t>
  </si>
  <si>
    <t>15617 Clearview Lp</t>
  </si>
  <si>
    <t>Record, Dan</t>
  </si>
  <si>
    <t>LOT 24</t>
  </si>
  <si>
    <t>15517 Clearview Lp</t>
  </si>
  <si>
    <t>Cook, Robert</t>
  </si>
  <si>
    <t xml:space="preserve">LOT 25 </t>
  </si>
  <si>
    <t>15415 Clearview Lp</t>
  </si>
  <si>
    <t>King, Robert</t>
  </si>
  <si>
    <t xml:space="preserve">LOT 26 </t>
  </si>
  <si>
    <t>15313 Clearview Lp</t>
  </si>
  <si>
    <t>Piper, Gregory</t>
  </si>
  <si>
    <t xml:space="preserve">LOT 27 </t>
  </si>
  <si>
    <t>15211 Clearview Lp</t>
  </si>
  <si>
    <t>Phillips, John</t>
  </si>
  <si>
    <t xml:space="preserve">LOT 28 </t>
  </si>
  <si>
    <t>14907 Clearview Lp</t>
  </si>
  <si>
    <t>Caudill, David</t>
  </si>
  <si>
    <r>
      <t xml:space="preserve">LOT 29 </t>
    </r>
    <r>
      <rPr>
        <i/>
        <sz val="10"/>
        <rFont val="Verdana"/>
        <family val="2"/>
      </rPr>
      <t>Frokaykel</t>
    </r>
  </si>
  <si>
    <r>
      <t xml:space="preserve">LOT 30 </t>
    </r>
    <r>
      <rPr>
        <i/>
        <sz val="10"/>
        <rFont val="Verdana"/>
        <family val="2"/>
      </rPr>
      <t>Frokaykel</t>
    </r>
  </si>
  <si>
    <r>
      <t>LOT 31</t>
    </r>
    <r>
      <rPr>
        <i/>
        <sz val="10"/>
        <rFont val="Verdana"/>
        <family val="2"/>
      </rPr>
      <t xml:space="preserve"> Frokaykel</t>
    </r>
  </si>
  <si>
    <t>LOT 32</t>
  </si>
  <si>
    <t>14502 Ridgeview Ln</t>
  </si>
  <si>
    <t>Reinhardt, Jim</t>
  </si>
  <si>
    <t xml:space="preserve">LOT 33 </t>
  </si>
  <si>
    <t>83611 Summit View Dr</t>
  </si>
  <si>
    <t>Lane, JJ</t>
  </si>
  <si>
    <r>
      <t xml:space="preserve">LOT 34 </t>
    </r>
    <r>
      <rPr>
        <i/>
        <sz val="10"/>
        <rFont val="Verdana"/>
        <family val="2"/>
      </rPr>
      <t>Frokaykel</t>
    </r>
  </si>
  <si>
    <t xml:space="preserve">LOT 35 </t>
  </si>
  <si>
    <t>83005 Summit View Dr</t>
  </si>
  <si>
    <t>Heath, Richard</t>
  </si>
  <si>
    <r>
      <t xml:space="preserve">LOT 36 </t>
    </r>
    <r>
      <rPr>
        <i/>
        <sz val="10"/>
        <rFont val="Verdana"/>
        <family val="2"/>
      </rPr>
      <t>Frokaykel</t>
    </r>
  </si>
  <si>
    <r>
      <t xml:space="preserve">LOT 37 </t>
    </r>
    <r>
      <rPr>
        <i/>
        <sz val="10"/>
        <rFont val="Verdana"/>
        <family val="2"/>
      </rPr>
      <t>Frokaykel</t>
    </r>
  </si>
  <si>
    <r>
      <t xml:space="preserve">LOT 38 </t>
    </r>
    <r>
      <rPr>
        <i/>
        <sz val="10"/>
        <rFont val="Verdana"/>
        <family val="2"/>
      </rPr>
      <t>Frokaykel</t>
    </r>
  </si>
  <si>
    <r>
      <t xml:space="preserve">LOT 39 </t>
    </r>
    <r>
      <rPr>
        <i/>
        <sz val="10"/>
        <rFont val="Verdana"/>
        <family val="2"/>
      </rPr>
      <t>Frokaykel</t>
    </r>
  </si>
  <si>
    <r>
      <t xml:space="preserve">LOT 40 </t>
    </r>
    <r>
      <rPr>
        <i/>
        <sz val="10"/>
        <rFont val="Verdana"/>
        <family val="2"/>
      </rPr>
      <t>Frokaykel</t>
    </r>
  </si>
  <si>
    <t xml:space="preserve">LOT 41 </t>
  </si>
  <si>
    <t>15416 Clearview Lp</t>
  </si>
  <si>
    <t>Teller, Raymond</t>
  </si>
  <si>
    <t xml:space="preserve">LOT 42 </t>
  </si>
  <si>
    <t>(TCS Construction)</t>
  </si>
  <si>
    <r>
      <t xml:space="preserve">LOT 43 </t>
    </r>
    <r>
      <rPr>
        <i/>
        <sz val="10"/>
        <rFont val="Verdana"/>
        <family val="2"/>
      </rPr>
      <t>Frokaykel</t>
    </r>
  </si>
  <si>
    <r>
      <t xml:space="preserve">LOT 44 </t>
    </r>
    <r>
      <rPr>
        <i/>
        <sz val="10"/>
        <rFont val="Verdana"/>
        <family val="2"/>
      </rPr>
      <t>Frokaykel</t>
    </r>
  </si>
  <si>
    <t>BADGER VIEW ESTATES</t>
  </si>
  <si>
    <t xml:space="preserve">LOT 1  </t>
  </si>
  <si>
    <t>91101 Badger View Dr</t>
  </si>
  <si>
    <t>Steele, Michael</t>
  </si>
  <si>
    <t xml:space="preserve">LOT 2 </t>
  </si>
  <si>
    <t>90603 Badger View Dr</t>
  </si>
  <si>
    <t>Dixon, William</t>
  </si>
  <si>
    <t xml:space="preserve">LOT 3  </t>
  </si>
  <si>
    <t>90105 Badger View Dr</t>
  </si>
  <si>
    <t>Mendoza, Adell</t>
  </si>
  <si>
    <t xml:space="preserve">LOT 4 </t>
  </si>
  <si>
    <t>89607 Badger View Dr</t>
  </si>
  <si>
    <t>Smith, Tim</t>
  </si>
  <si>
    <t>89109 Badger View Dr</t>
  </si>
  <si>
    <t>Davis, Gary</t>
  </si>
  <si>
    <t>88611 Badger View Dr</t>
  </si>
  <si>
    <t>Vialpando, Dennis</t>
  </si>
  <si>
    <t>88113 Badger View Dr</t>
  </si>
  <si>
    <t>Bonin, Diane</t>
  </si>
  <si>
    <t xml:space="preserve">LOT 8  </t>
  </si>
  <si>
    <t>87515 Badger View Dr</t>
  </si>
  <si>
    <t xml:space="preserve">Brooks, Ryan </t>
  </si>
  <si>
    <t>86917 Badger View Dr</t>
  </si>
  <si>
    <t>Amos, Steve</t>
  </si>
  <si>
    <t>86221 Badger View Dr</t>
  </si>
  <si>
    <t>Rouse, Logan</t>
  </si>
  <si>
    <t xml:space="preserve">LOT 11 </t>
  </si>
  <si>
    <t>85523 Badger View Dr</t>
  </si>
  <si>
    <t>Isley, Wayne</t>
  </si>
  <si>
    <t xml:space="preserve">LOT 12 </t>
  </si>
  <si>
    <t>85125 Jenna Ln</t>
  </si>
  <si>
    <t>Chapman, Ronald</t>
  </si>
  <si>
    <t xml:space="preserve">LOT 13 </t>
  </si>
  <si>
    <t>84827 Jenna Ln</t>
  </si>
  <si>
    <t>Jantosik, David</t>
  </si>
  <si>
    <t xml:space="preserve">LOT 14 </t>
  </si>
  <si>
    <t>91102 Badger View Ln</t>
  </si>
  <si>
    <t>Grandemange, Dominique</t>
  </si>
  <si>
    <t xml:space="preserve">LOT 15 </t>
  </si>
  <si>
    <t>90704 Badger View Dr</t>
  </si>
  <si>
    <t>Valdez, Santiago</t>
  </si>
  <si>
    <t>LOT 16</t>
  </si>
  <si>
    <t>90106 Badger View Dr</t>
  </si>
  <si>
    <t>Powell, Don</t>
  </si>
  <si>
    <t xml:space="preserve">LOT 17 </t>
  </si>
  <si>
    <t>89608 Badger View Dr</t>
  </si>
  <si>
    <t>Fletcher, Tom</t>
  </si>
  <si>
    <t xml:space="preserve">LOT 18 </t>
  </si>
  <si>
    <t>89110 Badger View Dr</t>
  </si>
  <si>
    <t>Smith, David</t>
  </si>
  <si>
    <t>88512 Badger View Dr</t>
  </si>
  <si>
    <t>Barney, Craig</t>
  </si>
  <si>
    <t>LOT 20</t>
  </si>
  <si>
    <t>88014 Badger View Dr</t>
  </si>
  <si>
    <t>Payne, Ryan</t>
  </si>
  <si>
    <t>LOT 21</t>
  </si>
  <si>
    <t>87516 Badger View Dr</t>
  </si>
  <si>
    <t>87018 Badger View Dr</t>
  </si>
  <si>
    <t>Harmsen, Paul</t>
  </si>
  <si>
    <t>86520 Badger View Dr</t>
  </si>
  <si>
    <t>Rains, Dennis</t>
  </si>
  <si>
    <t xml:space="preserve">LOT 24 </t>
  </si>
  <si>
    <t>86022 Badger View Dr</t>
  </si>
  <si>
    <t>Shockley, Paul</t>
  </si>
  <si>
    <t>SUNRISE CANYON ESTATES</t>
  </si>
  <si>
    <t>LOT 1</t>
  </si>
  <si>
    <t>LOT 2</t>
  </si>
  <si>
    <t>72016 Sundown PR SE</t>
  </si>
  <si>
    <t>Gilbert, Jason</t>
  </si>
  <si>
    <t>LOT 3</t>
  </si>
  <si>
    <t>72602 Sundown PR SE</t>
  </si>
  <si>
    <t>Gurney, Ken</t>
  </si>
  <si>
    <t>LOT 5</t>
  </si>
  <si>
    <t>71421 Sundown PR SE</t>
  </si>
  <si>
    <t>Staley, Brian</t>
  </si>
  <si>
    <t>72015 Sundown PR</t>
  </si>
  <si>
    <t>Egli, Ken</t>
  </si>
  <si>
    <t xml:space="preserve">LOT 7 </t>
  </si>
  <si>
    <t>72609 Sundown PR</t>
  </si>
  <si>
    <t>Hickman, Ira</t>
  </si>
  <si>
    <t>pasture</t>
  </si>
  <si>
    <t>LOT 9</t>
  </si>
  <si>
    <t>LOT 11</t>
  </si>
  <si>
    <t>under construction</t>
  </si>
  <si>
    <t>Schneirla, Shaun</t>
  </si>
  <si>
    <t>PHASE 5</t>
  </si>
  <si>
    <t xml:space="preserve">Lot 1 </t>
  </si>
  <si>
    <t>15408 Grandview Ln.</t>
  </si>
  <si>
    <t xml:space="preserve">Lot 2 </t>
  </si>
  <si>
    <t>15210 Grandview Ln.</t>
  </si>
  <si>
    <t>Kraucunas, Ian</t>
  </si>
  <si>
    <t xml:space="preserve">Lot 3 </t>
  </si>
  <si>
    <t>15014 Grandview Ln.</t>
  </si>
  <si>
    <t xml:space="preserve">Lot 4 </t>
  </si>
  <si>
    <t>14618 Grandview Ln.</t>
  </si>
  <si>
    <t xml:space="preserve">Lot 5 </t>
  </si>
  <si>
    <t>13704 Grandview Ln.</t>
  </si>
  <si>
    <t xml:space="preserve">Lot 6 </t>
  </si>
  <si>
    <t>13506 Grandview Ln.</t>
  </si>
  <si>
    <t xml:space="preserve">Lot 7 </t>
  </si>
  <si>
    <t>13308 Grandview Ln.</t>
  </si>
  <si>
    <t>Anderson, Aaron</t>
  </si>
  <si>
    <t xml:space="preserve">Lot 8 </t>
  </si>
  <si>
    <t>13102 Grandview Ln.</t>
  </si>
  <si>
    <t xml:space="preserve">Lot 9 </t>
  </si>
  <si>
    <t>12904 Grandview Ln.</t>
  </si>
  <si>
    <t xml:space="preserve">Lot 10 </t>
  </si>
  <si>
    <t>12602 Grandview Ln.</t>
  </si>
  <si>
    <t xml:space="preserve">Lot 11 </t>
  </si>
  <si>
    <t>12508 Grandview Ln.</t>
  </si>
  <si>
    <t xml:space="preserve">Lot 12 </t>
  </si>
  <si>
    <t>12210 Grandview Ln.</t>
  </si>
  <si>
    <t xml:space="preserve">Lot 13 </t>
  </si>
  <si>
    <t>12012 Grandview Ln.</t>
  </si>
  <si>
    <t xml:space="preserve">Lot 14 </t>
  </si>
  <si>
    <t>11814 Grandview Ln.</t>
  </si>
  <si>
    <t xml:space="preserve">Lot 15 </t>
  </si>
  <si>
    <t>11616 Grandview Ln.</t>
  </si>
  <si>
    <t>Hesla, Alex</t>
  </si>
  <si>
    <t xml:space="preserve">Lot 16 </t>
  </si>
  <si>
    <t>11418 Grandview Ln.</t>
  </si>
  <si>
    <t>Hanson, Rustin</t>
  </si>
  <si>
    <t xml:space="preserve">Lot 17 </t>
  </si>
  <si>
    <t>11222 Grandview Ln.</t>
  </si>
  <si>
    <t xml:space="preserve">Lot 18 </t>
  </si>
  <si>
    <t>10902 Grandview Ln.</t>
  </si>
  <si>
    <t xml:space="preserve">Lot 19 </t>
  </si>
  <si>
    <t>10704 Grandview Ln.</t>
  </si>
  <si>
    <t>Ward, Samuel</t>
  </si>
  <si>
    <t xml:space="preserve">Lot 20 </t>
  </si>
  <si>
    <t>10506 Grandview Ln.</t>
  </si>
  <si>
    <t>DeCoria, Fred</t>
  </si>
  <si>
    <t xml:space="preserve">Lot 21 </t>
  </si>
  <si>
    <t>10308 Grandview Ln.</t>
  </si>
  <si>
    <t xml:space="preserve">Lot 22 </t>
  </si>
  <si>
    <t>10110 Grandview Ln.</t>
  </si>
  <si>
    <t>Helms, Bruce</t>
  </si>
  <si>
    <t xml:space="preserve">Lot 23  </t>
  </si>
  <si>
    <t>9912 Grandview Ln.</t>
  </si>
  <si>
    <t xml:space="preserve">Lot 24  </t>
  </si>
  <si>
    <t>9704 Grandview Ln.</t>
  </si>
  <si>
    <t>Stephens, Terry</t>
  </si>
  <si>
    <t xml:space="preserve">Lot 25  </t>
  </si>
  <si>
    <t>9406 Grandview Ln.</t>
  </si>
  <si>
    <t>Guthrie, Michael</t>
  </si>
  <si>
    <t xml:space="preserve">Lot 26  </t>
  </si>
  <si>
    <t>9208 Grandview Ln.</t>
  </si>
  <si>
    <t xml:space="preserve">Lot 27  </t>
  </si>
  <si>
    <t>9010 Grandview Ln.</t>
  </si>
  <si>
    <t xml:space="preserve">Lot 28  </t>
  </si>
  <si>
    <t>8912 Grandview Ln.</t>
  </si>
  <si>
    <t xml:space="preserve">Lot 29 </t>
  </si>
  <si>
    <t>81803 Sagebrush Rd.</t>
  </si>
  <si>
    <t xml:space="preserve">Lot 30 </t>
  </si>
  <si>
    <t>81403 Sagebrush Rd.</t>
  </si>
  <si>
    <t>Lot 31</t>
  </si>
  <si>
    <t xml:space="preserve"> 81402 Sagebrush Rd.</t>
  </si>
  <si>
    <t xml:space="preserve">Lot 32 </t>
  </si>
  <si>
    <t>81704 Sagebrush Rd.</t>
  </si>
  <si>
    <t xml:space="preserve">Lot 33 </t>
  </si>
  <si>
    <t>82906 Sagebrush Rd.</t>
  </si>
  <si>
    <t xml:space="preserve">Lot 34 </t>
  </si>
  <si>
    <t>82108 Sagebrush Rd.</t>
  </si>
  <si>
    <t xml:space="preserve">Lot 35 </t>
  </si>
  <si>
    <t>82401 Sagebrush Rd.</t>
  </si>
  <si>
    <t xml:space="preserve">Lot 36  </t>
  </si>
  <si>
    <t>8815 Grandview Ln.</t>
  </si>
  <si>
    <t>Kauer, Edward</t>
  </si>
  <si>
    <t xml:space="preserve">Lot 37  </t>
  </si>
  <si>
    <t>9011 Grandview Ln.</t>
  </si>
  <si>
    <t xml:space="preserve">Lot 38  </t>
  </si>
  <si>
    <t>9307 Grandview Ln.</t>
  </si>
  <si>
    <t>Rivera, Joe</t>
  </si>
  <si>
    <t xml:space="preserve">Lot 39  </t>
  </si>
  <si>
    <t>9505 Grandview Ln.</t>
  </si>
  <si>
    <t>Davis, Jason</t>
  </si>
  <si>
    <t xml:space="preserve">Lot 40  </t>
  </si>
  <si>
    <t>9703 Grandview Ln.</t>
  </si>
  <si>
    <t xml:space="preserve">Lot 41  </t>
  </si>
  <si>
    <t>9915 Grandview Ln.</t>
  </si>
  <si>
    <t>Houghan, Charles</t>
  </si>
  <si>
    <t xml:space="preserve">Lot 42 </t>
  </si>
  <si>
    <t>10111 Grandview Ln.</t>
  </si>
  <si>
    <t>Washburn, Don</t>
  </si>
  <si>
    <t xml:space="preserve">Lot 43 </t>
  </si>
  <si>
    <t>10309 Grandview Ln.</t>
  </si>
  <si>
    <t>Woehler, Andrew</t>
  </si>
  <si>
    <t xml:space="preserve">Lot 44 </t>
  </si>
  <si>
    <t>10507 Grandview Ln.</t>
  </si>
  <si>
    <t>Clark, James</t>
  </si>
  <si>
    <t xml:space="preserve">Lot 45 </t>
  </si>
  <si>
    <t>10705 Grandview Ln.</t>
  </si>
  <si>
    <t>Pearson, Benjamin</t>
  </si>
  <si>
    <t xml:space="preserve">Lot 46 </t>
  </si>
  <si>
    <t>10903 Grandview Ln.</t>
  </si>
  <si>
    <t xml:space="preserve">Lot 47 </t>
  </si>
  <si>
    <t>11221 Grandview Ln.</t>
  </si>
  <si>
    <t>Pfenning, Josh</t>
  </si>
  <si>
    <t xml:space="preserve">Lot 48 </t>
  </si>
  <si>
    <t>11419 Grandview Ln.</t>
  </si>
  <si>
    <t xml:space="preserve">Lot 49 </t>
  </si>
  <si>
    <t>11617 Grandview Ln.</t>
  </si>
  <si>
    <t>Newton, Alan</t>
  </si>
  <si>
    <t xml:space="preserve">Lot 50 </t>
  </si>
  <si>
    <t>11815 Grandview Ln.</t>
  </si>
  <si>
    <t>Maxson, Chris</t>
  </si>
  <si>
    <t xml:space="preserve">Lot 51 </t>
  </si>
  <si>
    <t>12013 Grandview Ln.</t>
  </si>
  <si>
    <t>Clark, Mike</t>
  </si>
  <si>
    <t xml:space="preserve">Lot 52 </t>
  </si>
  <si>
    <t>12211 Grandview Ln.</t>
  </si>
  <si>
    <t>Shaub, Kevin</t>
  </si>
  <si>
    <t xml:space="preserve">Lot 53 </t>
  </si>
  <si>
    <t>12409 Grandview Ln.</t>
  </si>
  <si>
    <t>Blount, James</t>
  </si>
  <si>
    <t xml:space="preserve">Lot 54 </t>
  </si>
  <si>
    <t>12607 Grandview Ln.</t>
  </si>
  <si>
    <t>Markham, Tim</t>
  </si>
  <si>
    <t xml:space="preserve">Lot 55 </t>
  </si>
  <si>
    <t>12805 Grandview Ln.</t>
  </si>
  <si>
    <t>Massey, Karen</t>
  </si>
  <si>
    <t xml:space="preserve">Lot 56 </t>
  </si>
  <si>
    <t>13003 Grandview Ln.</t>
  </si>
  <si>
    <t>Skiffington, Mark</t>
  </si>
  <si>
    <t xml:space="preserve">Lot 57 </t>
  </si>
  <si>
    <t>13201 Grandview Ln.</t>
  </si>
  <si>
    <t xml:space="preserve">Lot 58 </t>
  </si>
  <si>
    <t>13507 Grandview Ln.</t>
  </si>
  <si>
    <t xml:space="preserve">Lot 59 </t>
  </si>
  <si>
    <t>13705 Grandview Ln.</t>
  </si>
  <si>
    <t>Rodriquez/Interiano</t>
  </si>
  <si>
    <t xml:space="preserve">Lot 60 </t>
  </si>
  <si>
    <t>13903 Grandview Ln.</t>
  </si>
  <si>
    <t xml:space="preserve">Lot 61 </t>
  </si>
  <si>
    <t>14319 Grandview Ln.</t>
  </si>
  <si>
    <t xml:space="preserve">Lot 62 </t>
  </si>
  <si>
    <t>82202 Summit View Dr.</t>
  </si>
  <si>
    <t xml:space="preserve">Lot 63 </t>
  </si>
  <si>
    <t>82504 Summit View Dr.</t>
  </si>
  <si>
    <t xml:space="preserve">Lot 64 </t>
  </si>
  <si>
    <t>82708 Summit View Dr.</t>
  </si>
  <si>
    <t>PHASE 6</t>
  </si>
  <si>
    <t>86510 Summit View Dr.</t>
  </si>
  <si>
    <t>86612 Summit View Dr.</t>
  </si>
  <si>
    <t>86714 Summit View Dr.</t>
  </si>
  <si>
    <t>86816 Summit View Dr.</t>
  </si>
  <si>
    <t>86918 Summit View Dr.</t>
  </si>
  <si>
    <t>87020 Summit View Dr.</t>
  </si>
  <si>
    <t>87122 Summit View Dr.</t>
  </si>
  <si>
    <t>87324 Summit View Dr.</t>
  </si>
  <si>
    <t>87526 Summit View Ln.</t>
  </si>
  <si>
    <t>Pahlisch Homes</t>
  </si>
  <si>
    <t>87728 Summit View Ln.</t>
  </si>
  <si>
    <t>87930 Summit View Dr.</t>
  </si>
  <si>
    <t>88132 Summit View Dr.</t>
  </si>
  <si>
    <t>88334 Summit View Dr.</t>
  </si>
  <si>
    <t>88536 Summit View Dr.</t>
  </si>
  <si>
    <t>17640 Fairview Lp.</t>
  </si>
  <si>
    <t>17538 Fairview Lp.</t>
  </si>
  <si>
    <t>Pacheco, Darrell</t>
  </si>
  <si>
    <t>17436 Fairview Lp.</t>
  </si>
  <si>
    <t>Galbreath, Scott</t>
  </si>
  <si>
    <t>17334 Fairview Lp.</t>
  </si>
  <si>
    <t>Kelly, Dave</t>
  </si>
  <si>
    <t>17232 Fairview Lp.</t>
  </si>
  <si>
    <t>Rouse</t>
  </si>
  <si>
    <t>17130 Fairview Lp.</t>
  </si>
  <si>
    <t>Rodgers/Hanson</t>
  </si>
  <si>
    <t>17028 Fairview Lp.</t>
  </si>
  <si>
    <t>16926 Fairview Lp.</t>
  </si>
  <si>
    <t>Graves, Ryan</t>
  </si>
  <si>
    <t xml:space="preserve">Lot 23 </t>
  </si>
  <si>
    <t>16824 Fairview Lp.</t>
  </si>
  <si>
    <t>Robinson, Peter</t>
  </si>
  <si>
    <t xml:space="preserve">Lot 24 </t>
  </si>
  <si>
    <t>16722 Fairview Lp.</t>
  </si>
  <si>
    <t>Kirkpatrick, Pam</t>
  </si>
  <si>
    <t xml:space="preserve">Lot 25 </t>
  </si>
  <si>
    <t>16620 Fairview Lp.</t>
  </si>
  <si>
    <t>Cowgill, Malon</t>
  </si>
  <si>
    <t xml:space="preserve">Lot 26 </t>
  </si>
  <si>
    <t>16518 Fairview Lp.</t>
  </si>
  <si>
    <t>Madison</t>
  </si>
  <si>
    <t xml:space="preserve">Lot 27 </t>
  </si>
  <si>
    <t>16416 Fairview Lp.</t>
  </si>
  <si>
    <t xml:space="preserve">Lot 28 </t>
  </si>
  <si>
    <t>16314 Fairview Lp.</t>
  </si>
  <si>
    <t>16212 Fairview Lp.</t>
  </si>
  <si>
    <t>16210 Fairview Lp.</t>
  </si>
  <si>
    <t xml:space="preserve">Lot 31 </t>
  </si>
  <si>
    <t>16108 Fairview Lp.</t>
  </si>
  <si>
    <t>Darling, David</t>
  </si>
  <si>
    <t>16006 Fairview Lp.</t>
  </si>
  <si>
    <t>Carlson, Richard</t>
  </si>
  <si>
    <t>15904 Fairview Lp.</t>
  </si>
  <si>
    <t>87201 Summit View Dr.</t>
  </si>
  <si>
    <t>15702 Fairview Lp.</t>
  </si>
  <si>
    <t xml:space="preserve">Lot 36 </t>
  </si>
  <si>
    <t>15803 Fairview Lp.</t>
  </si>
  <si>
    <t>Burows, Brian</t>
  </si>
  <si>
    <t>Lot 37</t>
  </si>
  <si>
    <t>16107 Fariview Lp.</t>
  </si>
  <si>
    <t>Pattillo, Joseph</t>
  </si>
  <si>
    <t xml:space="preserve">Lot 38 </t>
  </si>
  <si>
    <t>16511 Fairview Lp.</t>
  </si>
  <si>
    <t>Solferino, Marco</t>
  </si>
  <si>
    <t xml:space="preserve">Lot 39 </t>
  </si>
  <si>
    <t>16723 Fairview Lp.</t>
  </si>
  <si>
    <t>McDonald</t>
  </si>
  <si>
    <t xml:space="preserve">Lot 40 </t>
  </si>
  <si>
    <t>16925 Fairview Lp.</t>
  </si>
  <si>
    <t>Coyne, Thomas</t>
  </si>
  <si>
    <t xml:space="preserve">Lot 41 </t>
  </si>
  <si>
    <t>17333 Fairview Lp.</t>
  </si>
  <si>
    <t>Knight, Mark</t>
  </si>
  <si>
    <t>17437 Fairview Lp.</t>
  </si>
  <si>
    <t>Pattillo, Michael</t>
  </si>
  <si>
    <t>17639 Fairview Lp.</t>
  </si>
  <si>
    <t>PHASE 7</t>
  </si>
  <si>
    <t>88702 Summit View Dr.</t>
  </si>
  <si>
    <t>88804 Summit View Dr.</t>
  </si>
  <si>
    <t>Lot size</t>
  </si>
  <si>
    <t>88906 Summit View Dr.</t>
  </si>
  <si>
    <t>89008 Summit View Dr.</t>
  </si>
  <si>
    <t>89110 Summit View Dr.</t>
  </si>
  <si>
    <t>89212 Summit View Dr.</t>
  </si>
  <si>
    <t>89314 Summit View Dr.</t>
  </si>
  <si>
    <t>89416 Summit View Dr.</t>
  </si>
  <si>
    <t>89518 Summit View Dr.</t>
  </si>
  <si>
    <t>89620 Summit View Dr.</t>
  </si>
  <si>
    <t>89722 Summit View Dr.</t>
  </si>
  <si>
    <t>89826 Summit View Dr.</t>
  </si>
  <si>
    <t>90028 Summit View Dr.</t>
  </si>
  <si>
    <t>90130 Summit View Dr.</t>
  </si>
  <si>
    <t>90344 Summit View Dr.</t>
  </si>
  <si>
    <t>90436 Summit View Dr.</t>
  </si>
  <si>
    <t xml:space="preserve">90502 Summit View Dr. </t>
  </si>
  <si>
    <t>90503 Summit View Dr.</t>
  </si>
  <si>
    <t>90437 Summit View Dr.</t>
  </si>
  <si>
    <t>Ramble, Alan</t>
  </si>
  <si>
    <t>90335 Summit View Dr.</t>
  </si>
  <si>
    <t>90233 Summit View Dr.</t>
  </si>
  <si>
    <t>90131 Summit View Dr.</t>
  </si>
  <si>
    <t>90029 Summit View Dr.</t>
  </si>
  <si>
    <t>89927 Summit View Dr.</t>
  </si>
  <si>
    <t>89825 Summit View Dr.</t>
  </si>
  <si>
    <t>89723 Summit View Dr.</t>
  </si>
  <si>
    <t>89621 Summit View Dr.</t>
  </si>
  <si>
    <t>89519 Summit View Dr.</t>
  </si>
  <si>
    <t>89417 Summit View Dr.</t>
  </si>
  <si>
    <t>89315 Summit View Dr.</t>
  </si>
  <si>
    <t>89213 Summit View Dr.</t>
  </si>
  <si>
    <t>89111 Summit View Dr.</t>
  </si>
  <si>
    <t>89009 Summit View Dr.</t>
  </si>
  <si>
    <t>88805 Summit View Dr.</t>
  </si>
  <si>
    <t>TOTALS:</t>
  </si>
  <si>
    <t xml:space="preserve">Revenue Generated </t>
  </si>
  <si>
    <t xml:space="preserve">Revenue Requirement </t>
  </si>
  <si>
    <t xml:space="preserve">Excess / (deficiency)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</si>
</sst>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  <numFmt numFmtId="167" formatCode="_(* #,##0_);_(* \(#,##0\);_(* &quot;-&quot;??_);_(@_)"/>
    <numFmt numFmtId="168" formatCode="#,##0.0000"/>
    <numFmt numFmtId="169" formatCode="0.000"/>
    <numFmt numFmtId="170" formatCode="mmmm\ d\,\ yyyy"/>
    <numFmt numFmtId="171" formatCode="[$-409]mmmm\ d\,\ yyyy;@"/>
    <numFmt numFmtId="172" formatCode="0.0%"/>
    <numFmt numFmtId="173" formatCode="_(&quot;$&quot;* #,##0_);_(&quot;$&quot;* \(#,##0\);_(&quot;$&quot;* &quot;-&quot;??_);_(@_)"/>
    <numFmt numFmtId="174" formatCode="#,##0.00;\-#,##0.00"/>
    <numFmt numFmtId="175" formatCode="mm/dd/yy;@"/>
    <numFmt numFmtId="176" formatCode="#,##0.0000000000_);\(#,##0.0000000000\)"/>
    <numFmt numFmtId="177" formatCode="0.00000"/>
    <numFmt numFmtId="178" formatCode="0.00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theme="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1"/>
      <name val="Times New Roman"/>
      <family val="1"/>
    </font>
    <font>
      <sz val="12"/>
      <color theme="0" tint="-0.249977111117893"/>
      <name val="Times New Roman"/>
      <family val="1"/>
    </font>
    <font>
      <sz val="12"/>
      <color indexed="48"/>
      <name val="Times New Roman"/>
      <family val="1"/>
    </font>
    <font>
      <b/>
      <sz val="9"/>
      <color indexed="81"/>
      <name val="Tahoma"/>
      <family val="2"/>
    </font>
    <font>
      <u val="singleAccounting"/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8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rgb="FF000000"/>
      <name val="Times New Roman"/>
      <family val="1"/>
    </font>
    <font>
      <u val="singleAccounting"/>
      <sz val="10"/>
      <color rgb="FF000000"/>
      <name val="Arial"/>
      <family val="2"/>
    </font>
    <font>
      <u val="singleAccounting"/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0"/>
      <name val="Times New Roman"/>
      <family val="1"/>
    </font>
    <font>
      <u val="singleAccounting"/>
      <sz val="12"/>
      <name val="Times New Roman"/>
      <family val="1"/>
    </font>
    <font>
      <b/>
      <u/>
      <sz val="12"/>
      <name val="Times New Roman"/>
      <family val="1"/>
    </font>
    <font>
      <sz val="12"/>
      <name val="Helv"/>
    </font>
    <font>
      <u/>
      <sz val="12"/>
      <name val="Times New Roman"/>
      <family val="1"/>
    </font>
    <font>
      <b/>
      <sz val="12"/>
      <color indexed="12"/>
      <name val="Times New Roman"/>
      <family val="1"/>
    </font>
    <font>
      <sz val="14"/>
      <name val="Times New Roman"/>
      <family val="1"/>
    </font>
    <font>
      <sz val="10"/>
      <name val="Verdana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Verdana"/>
      <family val="2"/>
    </font>
    <font>
      <b/>
      <sz val="14"/>
      <name val="Times New Roman"/>
      <family val="1"/>
    </font>
    <font>
      <i/>
      <sz val="10"/>
      <name val="Verdana"/>
      <family val="2"/>
    </font>
    <font>
      <b/>
      <i/>
      <sz val="12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i/>
      <sz val="10"/>
      <name val="Verdana"/>
      <family val="2"/>
    </font>
    <font>
      <sz val="10"/>
      <color indexed="48"/>
      <name val="Verdana"/>
      <family val="2"/>
    </font>
    <font>
      <b/>
      <sz val="10"/>
      <color indexed="48"/>
      <name val="Verdana"/>
      <family val="2"/>
    </font>
    <font>
      <i/>
      <sz val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indexed="57"/>
      <name val="Verdana"/>
      <family val="2"/>
    </font>
    <font>
      <b/>
      <sz val="12"/>
      <name val="Verdana"/>
      <family val="2"/>
    </font>
    <font>
      <b/>
      <sz val="16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38" fillId="0" borderId="0"/>
    <xf numFmtId="44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2" fillId="0" borderId="0"/>
  </cellStyleXfs>
  <cellXfs count="891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NumberFormat="1" applyFont="1" applyAlignment="1" applyProtection="1"/>
    <xf numFmtId="14" fontId="2" fillId="0" borderId="1" xfId="0" applyNumberFormat="1" applyFont="1" applyBorder="1" applyAlignment="1" applyProtection="1">
      <alignment horizontal="left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1" xfId="0" applyNumberFormat="1" applyFont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/>
      <protection hidden="1"/>
    </xf>
    <xf numFmtId="37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1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2" borderId="0" xfId="0" applyNumberFormat="1" applyFont="1" applyFill="1" applyAlignment="1" applyProtection="1">
      <alignment horizontal="center"/>
    </xf>
    <xf numFmtId="0" fontId="4" fillId="2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</xf>
    <xf numFmtId="0" fontId="2" fillId="2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/>
    <xf numFmtId="37" fontId="2" fillId="0" borderId="0" xfId="0" applyNumberFormat="1" applyFont="1" applyProtection="1"/>
    <xf numFmtId="0" fontId="2" fillId="0" borderId="0" xfId="0" applyNumberFormat="1" applyFont="1" applyFill="1" applyAlignment="1" applyProtection="1"/>
    <xf numFmtId="3" fontId="2" fillId="0" borderId="0" xfId="0" applyNumberFormat="1" applyFont="1" applyProtection="1"/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Border="1" applyProtection="1"/>
    <xf numFmtId="37" fontId="5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10" fontId="6" fillId="0" borderId="0" xfId="3" applyNumberFormat="1" applyFont="1" applyAlignment="1" applyProtection="1"/>
    <xf numFmtId="0" fontId="6" fillId="0" borderId="0" xfId="0" applyNumberFormat="1" applyFont="1" applyAlignment="1" applyProtection="1"/>
    <xf numFmtId="0" fontId="2" fillId="2" borderId="0" xfId="0" applyNumberFormat="1" applyFont="1" applyFill="1" applyAlignment="1" applyProtection="1"/>
    <xf numFmtId="3" fontId="2" fillId="0" borderId="0" xfId="0" applyNumberFormat="1" applyFont="1" applyFill="1" applyAlignment="1" applyProtection="1"/>
    <xf numFmtId="37" fontId="4" fillId="3" borderId="6" xfId="0" applyNumberFormat="1" applyFont="1" applyFill="1" applyBorder="1" applyAlignment="1" applyProtection="1">
      <alignment horizontal="center" vertical="center"/>
      <protection locked="0"/>
    </xf>
    <xf numFmtId="37" fontId="5" fillId="0" borderId="0" xfId="0" applyNumberFormat="1" applyFont="1" applyAlignment="1" applyProtection="1">
      <alignment horizontal="center"/>
    </xf>
    <xf numFmtId="164" fontId="2" fillId="0" borderId="7" xfId="0" applyNumberFormat="1" applyFont="1" applyBorder="1" applyProtection="1"/>
    <xf numFmtId="164" fontId="2" fillId="0" borderId="7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5" fontId="2" fillId="4" borderId="7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Protection="1"/>
    <xf numFmtId="164" fontId="6" fillId="0" borderId="0" xfId="0" applyNumberFormat="1" applyFont="1" applyBorder="1" applyProtection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 applyAlignment="1" applyProtection="1">
      <alignment horizontal="center"/>
    </xf>
    <xf numFmtId="3" fontId="2" fillId="0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Border="1" applyAlignment="1" applyProtection="1">
      <alignment horizontal="center"/>
    </xf>
    <xf numFmtId="10" fontId="2" fillId="0" borderId="0" xfId="0" applyNumberFormat="1" applyFont="1" applyBorder="1" applyAlignment="1" applyProtection="1"/>
    <xf numFmtId="10" fontId="2" fillId="0" borderId="0" xfId="0" applyNumberFormat="1" applyFont="1" applyFill="1" applyBorder="1" applyAlignment="1" applyProtection="1"/>
    <xf numFmtId="9" fontId="4" fillId="3" borderId="6" xfId="3" applyFont="1" applyFill="1" applyBorder="1" applyAlignment="1" applyProtection="1">
      <alignment horizontal="center" vertical="center"/>
      <protection locked="0"/>
    </xf>
    <xf numFmtId="9" fontId="2" fillId="5" borderId="8" xfId="3" applyFont="1" applyFill="1" applyBorder="1" applyAlignment="1" applyProtection="1">
      <alignment horizontal="center"/>
    </xf>
    <xf numFmtId="3" fontId="5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Protection="1"/>
    <xf numFmtId="164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Fill="1" applyBorder="1" applyProtection="1"/>
    <xf numFmtId="0" fontId="0" fillId="2" borderId="0" xfId="0" applyNumberFormat="1" applyFont="1" applyFill="1" applyAlignment="1" applyProtection="1"/>
    <xf numFmtId="166" fontId="4" fillId="3" borderId="6" xfId="3" applyNumberFormat="1" applyFont="1" applyFill="1" applyBorder="1" applyAlignment="1" applyProtection="1">
      <alignment horizontal="center" vertical="center"/>
      <protection locked="0"/>
    </xf>
    <xf numFmtId="166" fontId="2" fillId="5" borderId="8" xfId="0" applyNumberFormat="1" applyFont="1" applyFill="1" applyBorder="1" applyAlignment="1" applyProtection="1">
      <alignment horizontal="center"/>
    </xf>
    <xf numFmtId="0" fontId="0" fillId="0" borderId="0" xfId="0" applyNumberFormat="1" applyFont="1" applyAlignment="1" applyProtection="1"/>
    <xf numFmtId="3" fontId="7" fillId="0" borderId="0" xfId="0" applyNumberFormat="1" applyFont="1" applyFill="1" applyAlignment="1" applyProtection="1">
      <alignment horizontal="center"/>
    </xf>
    <xf numFmtId="44" fontId="6" fillId="0" borderId="0" xfId="2" applyNumberFormat="1" applyFont="1" applyAlignment="1" applyProtection="1"/>
    <xf numFmtId="37" fontId="2" fillId="0" borderId="0" xfId="0" applyNumberFormat="1" applyFont="1" applyFill="1" applyAlignment="1" applyProtection="1">
      <alignment horizontal="center"/>
    </xf>
    <xf numFmtId="44" fontId="6" fillId="0" borderId="0" xfId="2" applyFont="1" applyAlignment="1" applyProtection="1"/>
    <xf numFmtId="37" fontId="9" fillId="0" borderId="0" xfId="0" applyNumberFormat="1" applyFont="1" applyAlignment="1" applyProtection="1">
      <alignment horizontal="center"/>
    </xf>
    <xf numFmtId="0" fontId="2" fillId="0" borderId="0" xfId="0" applyFont="1" applyFill="1" applyProtection="1"/>
    <xf numFmtId="37" fontId="6" fillId="0" borderId="0" xfId="0" applyNumberFormat="1" applyFont="1" applyAlignment="1" applyProtection="1"/>
    <xf numFmtId="37" fontId="2" fillId="0" borderId="0" xfId="0" applyNumberFormat="1" applyFont="1" applyFill="1" applyAlignment="1" applyProtection="1"/>
    <xf numFmtId="5" fontId="2" fillId="0" borderId="7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Protection="1"/>
    <xf numFmtId="3" fontId="7" fillId="0" borderId="0" xfId="0" applyNumberFormat="1" applyFont="1" applyFill="1" applyBorder="1" applyAlignment="1" applyProtection="1">
      <alignment horizontal="center"/>
    </xf>
    <xf numFmtId="37" fontId="10" fillId="0" borderId="0" xfId="0" applyNumberFormat="1" applyFont="1" applyAlignment="1" applyProtection="1"/>
    <xf numFmtId="10" fontId="10" fillId="0" borderId="0" xfId="3" applyNumberFormat="1" applyFont="1" applyAlignment="1" applyProtection="1"/>
    <xf numFmtId="167" fontId="6" fillId="0" borderId="0" xfId="1" applyNumberFormat="1" applyFont="1" applyBorder="1" applyProtection="1"/>
    <xf numFmtId="3" fontId="2" fillId="0" borderId="0" xfId="0" applyNumberFormat="1" applyFont="1" applyFill="1" applyBorder="1" applyProtection="1"/>
    <xf numFmtId="3" fontId="7" fillId="0" borderId="0" xfId="0" applyNumberFormat="1" applyFont="1" applyFill="1" applyProtection="1"/>
    <xf numFmtId="5" fontId="2" fillId="0" borderId="7" xfId="0" applyNumberFormat="1" applyFont="1" applyFill="1" applyBorder="1" applyProtection="1"/>
    <xf numFmtId="5" fontId="2" fillId="0" borderId="7" xfId="0" applyNumberFormat="1" applyFont="1" applyFill="1" applyBorder="1" applyAlignment="1" applyProtection="1">
      <alignment horizontal="center"/>
    </xf>
    <xf numFmtId="5" fontId="2" fillId="0" borderId="0" xfId="0" applyNumberFormat="1" applyFont="1" applyFill="1" applyBorder="1" applyProtection="1"/>
    <xf numFmtId="5" fontId="7" fillId="0" borderId="7" xfId="0" applyNumberFormat="1" applyFont="1" applyFill="1" applyBorder="1" applyProtection="1"/>
    <xf numFmtId="5" fontId="7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Alignment="1" applyProtection="1">
      <alignment horizontal="center"/>
    </xf>
    <xf numFmtId="5" fontId="7" fillId="0" borderId="0" xfId="0" applyNumberFormat="1" applyFont="1" applyFill="1" applyProtection="1"/>
    <xf numFmtId="0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Protection="1"/>
    <xf numFmtId="37" fontId="6" fillId="0" borderId="0" xfId="0" applyNumberFormat="1" applyFont="1" applyProtection="1"/>
    <xf numFmtId="37" fontId="2" fillId="2" borderId="0" xfId="0" applyNumberFormat="1" applyFont="1" applyFill="1" applyProtection="1"/>
    <xf numFmtId="37" fontId="2" fillId="0" borderId="0" xfId="0" applyNumberFormat="1" applyFont="1" applyAlignment="1" applyProtection="1"/>
    <xf numFmtId="37" fontId="2" fillId="0" borderId="9" xfId="0" applyNumberFormat="1" applyFont="1" applyFill="1" applyBorder="1" applyAlignment="1" applyProtection="1"/>
    <xf numFmtId="164" fontId="2" fillId="0" borderId="7" xfId="0" applyNumberFormat="1" applyFont="1" applyFill="1" applyBorder="1" applyProtection="1"/>
    <xf numFmtId="164" fontId="2" fillId="0" borderId="7" xfId="0" applyNumberFormat="1" applyFont="1" applyFill="1" applyBorder="1" applyAlignment="1" applyProtection="1">
      <alignment horizontal="center"/>
    </xf>
    <xf numFmtId="10" fontId="7" fillId="0" borderId="0" xfId="3" applyNumberFormat="1" applyFont="1" applyFill="1" applyProtection="1"/>
    <xf numFmtId="10" fontId="2" fillId="0" borderId="0" xfId="0" applyNumberFormat="1" applyFont="1" applyFill="1" applyProtection="1"/>
    <xf numFmtId="10" fontId="2" fillId="0" borderId="0" xfId="0" applyNumberFormat="1" applyFont="1" applyFill="1" applyAlignment="1" applyProtection="1">
      <alignment horizontal="center"/>
    </xf>
    <xf numFmtId="10" fontId="2" fillId="0" borderId="0" xfId="0" applyNumberFormat="1" applyFont="1" applyFill="1" applyBorder="1" applyProtection="1"/>
    <xf numFmtId="10" fontId="7" fillId="4" borderId="0" xfId="0" applyNumberFormat="1" applyFont="1" applyFill="1" applyProtection="1"/>
    <xf numFmtId="10" fontId="7" fillId="0" borderId="0" xfId="0" applyNumberFormat="1" applyFont="1" applyFill="1" applyProtection="1"/>
    <xf numFmtId="10" fontId="6" fillId="0" borderId="0" xfId="3" applyNumberFormat="1" applyFont="1" applyBorder="1" applyProtection="1"/>
    <xf numFmtId="0" fontId="2" fillId="0" borderId="0" xfId="0" applyNumberFormat="1" applyFont="1" applyBorder="1" applyAlignment="1" applyProtection="1"/>
    <xf numFmtId="10" fontId="7" fillId="0" borderId="0" xfId="3" applyNumberFormat="1" applyFont="1" applyProtection="1"/>
    <xf numFmtId="37" fontId="7" fillId="0" borderId="0" xfId="0" applyNumberFormat="1" applyFont="1" applyAlignment="1" applyProtection="1">
      <protection locked="0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/>
      <protection locked="0"/>
    </xf>
    <xf numFmtId="37" fontId="2" fillId="0" borderId="0" xfId="0" applyNumberFormat="1" applyFont="1" applyBorder="1" applyAlignment="1" applyProtection="1">
      <alignment horizontal="center" wrapText="1"/>
    </xf>
    <xf numFmtId="37" fontId="3" fillId="0" borderId="0" xfId="0" applyNumberFormat="1" applyFont="1" applyBorder="1" applyAlignment="1" applyProtection="1">
      <alignment horizontal="center"/>
    </xf>
    <xf numFmtId="37" fontId="3" fillId="0" borderId="10" xfId="0" applyNumberFormat="1" applyFont="1" applyBorder="1" applyAlignment="1" applyProtection="1">
      <alignment horizontal="right"/>
      <protection locked="0"/>
    </xf>
    <xf numFmtId="37" fontId="3" fillId="0" borderId="10" xfId="0" applyNumberFormat="1" applyFont="1" applyBorder="1" applyAlignment="1" applyProtection="1">
      <alignment horizontal="center"/>
    </xf>
    <xf numFmtId="37" fontId="14" fillId="0" borderId="5" xfId="0" applyNumberFormat="1" applyFont="1" applyBorder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Alignment="1" applyProtection="1">
      <alignment horizontal="right"/>
      <protection locked="0"/>
    </xf>
    <xf numFmtId="37" fontId="2" fillId="0" borderId="7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Alignment="1" applyProtection="1">
      <alignment horizontal="right"/>
    </xf>
    <xf numFmtId="5" fontId="2" fillId="0" borderId="7" xfId="0" applyNumberFormat="1" applyFont="1" applyBorder="1" applyAlignment="1" applyProtection="1">
      <alignment horizontal="right"/>
    </xf>
    <xf numFmtId="5" fontId="2" fillId="0" borderId="7" xfId="0" applyNumberFormat="1" applyFont="1" applyFill="1" applyBorder="1" applyAlignment="1" applyProtection="1">
      <alignment horizontal="right"/>
    </xf>
    <xf numFmtId="5" fontId="2" fillId="0" borderId="0" xfId="0" applyNumberFormat="1" applyFont="1" applyAlignment="1" applyProtection="1">
      <alignment horizontal="right"/>
    </xf>
    <xf numFmtId="5" fontId="2" fillId="0" borderId="0" xfId="0" applyNumberFormat="1" applyFont="1" applyFill="1" applyAlignment="1" applyProtection="1">
      <alignment horizontal="right"/>
    </xf>
    <xf numFmtId="37" fontId="2" fillId="0" borderId="10" xfId="0" applyNumberFormat="1" applyFont="1" applyBorder="1" applyAlignment="1" applyProtection="1">
      <alignment horizontal="center"/>
    </xf>
    <xf numFmtId="10" fontId="2" fillId="0" borderId="0" xfId="0" applyNumberFormat="1" applyFont="1" applyFill="1" applyAlignment="1" applyProtection="1">
      <alignment horizontal="right"/>
    </xf>
    <xf numFmtId="37" fontId="7" fillId="0" borderId="0" xfId="0" applyNumberFormat="1" applyFont="1" applyProtection="1"/>
    <xf numFmtId="37" fontId="7" fillId="0" borderId="0" xfId="0" applyNumberFormat="1" applyFont="1" applyAlignment="1" applyProtection="1"/>
    <xf numFmtId="37" fontId="7" fillId="0" borderId="0" xfId="0" applyNumberFormat="1" applyFont="1" applyAlignment="1" applyProtection="1">
      <alignment horizontal="center"/>
    </xf>
    <xf numFmtId="37" fontId="7" fillId="0" borderId="0" xfId="0" applyNumberFormat="1" applyFont="1" applyBorder="1" applyAlignment="1" applyProtection="1">
      <alignment horizontal="center" wrapText="1"/>
    </xf>
    <xf numFmtId="37" fontId="3" fillId="0" borderId="10" xfId="0" applyNumberFormat="1" applyFont="1" applyBorder="1" applyAlignment="1" applyProtection="1">
      <alignment horizontal="right"/>
    </xf>
    <xf numFmtId="37" fontId="14" fillId="0" borderId="4" xfId="0" applyNumberFormat="1" applyFont="1" applyBorder="1" applyAlignment="1" applyProtection="1">
      <alignment horizontal="center"/>
    </xf>
    <xf numFmtId="37" fontId="3" fillId="6" borderId="3" xfId="0" applyNumberFormat="1" applyFont="1" applyFill="1" applyBorder="1" applyAlignment="1" applyProtection="1">
      <alignment horizontal="center"/>
    </xf>
    <xf numFmtId="37" fontId="3" fillId="6" borderId="5" xfId="0" applyNumberFormat="1" applyFont="1" applyFill="1" applyBorder="1" applyAlignment="1" applyProtection="1">
      <alignment horizontal="center"/>
    </xf>
    <xf numFmtId="37" fontId="3" fillId="0" borderId="5" xfId="0" applyNumberFormat="1" applyFont="1" applyBorder="1" applyAlignment="1" applyProtection="1">
      <alignment horizontal="center"/>
    </xf>
    <xf numFmtId="9" fontId="15" fillId="0" borderId="0" xfId="3" applyFont="1" applyBorder="1" applyAlignment="1" applyProtection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7" fillId="0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/>
    <xf numFmtId="37" fontId="2" fillId="6" borderId="0" xfId="0" applyNumberFormat="1" applyFont="1" applyFill="1" applyBorder="1" applyProtection="1"/>
    <xf numFmtId="37" fontId="7" fillId="0" borderId="0" xfId="0" applyNumberFormat="1" applyFont="1" applyFill="1" applyBorder="1" applyProtection="1"/>
    <xf numFmtId="37" fontId="7" fillId="0" borderId="0" xfId="3" applyNumberFormat="1" applyFont="1" applyBorder="1" applyProtection="1"/>
    <xf numFmtId="37" fontId="2" fillId="0" borderId="0" xfId="0" applyNumberFormat="1" applyFont="1" applyFill="1" applyBorder="1" applyAlignment="1" applyProtection="1"/>
    <xf numFmtId="0" fontId="2" fillId="0" borderId="0" xfId="0" applyFont="1" applyProtection="1"/>
    <xf numFmtId="14" fontId="2" fillId="0" borderId="0" xfId="0" applyNumberFormat="1" applyFont="1" applyAlignment="1" applyProtection="1">
      <alignment horizontal="right"/>
    </xf>
    <xf numFmtId="0" fontId="16" fillId="0" borderId="0" xfId="0" applyFont="1" applyProtection="1"/>
    <xf numFmtId="14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2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37" fontId="2" fillId="0" borderId="0" xfId="3" applyNumberFormat="1" applyFont="1" applyFill="1" applyBorder="1" applyProtection="1"/>
    <xf numFmtId="0" fontId="2" fillId="0" borderId="2" xfId="0" applyFont="1" applyBorder="1" applyAlignment="1" applyProtection="1">
      <alignment horizontal="center"/>
    </xf>
    <xf numFmtId="10" fontId="2" fillId="0" borderId="0" xfId="3" applyNumberFormat="1" applyFont="1" applyFill="1" applyBorder="1" applyProtection="1"/>
    <xf numFmtId="37" fontId="2" fillId="0" borderId="11" xfId="3" applyNumberFormat="1" applyFont="1" applyFill="1" applyBorder="1" applyProtection="1"/>
    <xf numFmtId="168" fontId="2" fillId="0" borderId="0" xfId="0" applyNumberFormat="1" applyFont="1" applyFill="1" applyBorder="1" applyProtection="1"/>
    <xf numFmtId="10" fontId="2" fillId="0" borderId="0" xfId="0" applyNumberFormat="1" applyFont="1" applyProtection="1"/>
    <xf numFmtId="37" fontId="2" fillId="0" borderId="5" xfId="3" applyNumberFormat="1" applyFont="1" applyFill="1" applyBorder="1" applyProtection="1"/>
    <xf numFmtId="168" fontId="2" fillId="0" borderId="0" xfId="0" applyNumberFormat="1" applyFont="1" applyBorder="1" applyProtection="1"/>
    <xf numFmtId="14" fontId="2" fillId="0" borderId="0" xfId="0" applyNumberFormat="1" applyFont="1" applyAlignment="1" applyProtection="1"/>
    <xf numFmtId="14" fontId="2" fillId="0" borderId="0" xfId="0" applyNumberFormat="1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5" fontId="2" fillId="0" borderId="0" xfId="0" applyNumberFormat="1" applyFont="1" applyFill="1" applyAlignment="1" applyProtection="1"/>
    <xf numFmtId="0" fontId="2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/>
    </xf>
    <xf numFmtId="10" fontId="2" fillId="0" borderId="0" xfId="0" applyNumberFormat="1" applyFont="1" applyFill="1" applyAlignment="1" applyProtection="1"/>
    <xf numFmtId="5" fontId="2" fillId="0" borderId="12" xfId="0" applyNumberFormat="1" applyFont="1" applyFill="1" applyBorder="1" applyAlignment="1" applyProtection="1"/>
    <xf numFmtId="5" fontId="2" fillId="0" borderId="13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0" fontId="2" fillId="0" borderId="0" xfId="3" applyNumberFormat="1" applyFont="1" applyAlignment="1" applyProtection="1"/>
    <xf numFmtId="0" fontId="2" fillId="0" borderId="0" xfId="0" applyNumberFormat="1" applyFont="1" applyAlignment="1" applyProtection="1">
      <alignment horizontal="right"/>
    </xf>
    <xf numFmtId="10" fontId="2" fillId="0" borderId="0" xfId="0" applyNumberFormat="1" applyFont="1" applyAlignment="1" applyProtection="1"/>
    <xf numFmtId="0" fontId="6" fillId="0" borderId="0" xfId="0" applyNumberFormat="1" applyFont="1" applyAlignment="1" applyProtection="1">
      <alignment horizontal="right"/>
    </xf>
    <xf numFmtId="5" fontId="2" fillId="0" borderId="14" xfId="0" applyNumberFormat="1" applyFont="1" applyFill="1" applyBorder="1" applyAlignment="1" applyProtection="1"/>
    <xf numFmtId="0" fontId="0" fillId="0" borderId="0" xfId="0" applyNumberFormat="1" applyFont="1" applyAlignment="1" applyProtection="1">
      <protection locked="0"/>
    </xf>
    <xf numFmtId="0" fontId="8" fillId="0" borderId="0" xfId="0" applyNumberFormat="1" applyFont="1" applyAlignment="1" applyProtection="1"/>
    <xf numFmtId="5" fontId="2" fillId="0" borderId="12" xfId="0" applyNumberFormat="1" applyFont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5" fontId="7" fillId="0" borderId="0" xfId="0" applyNumberFormat="1" applyFont="1" applyFill="1" applyBorder="1" applyAlignment="1" applyProtection="1"/>
    <xf numFmtId="5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169" fontId="2" fillId="0" borderId="0" xfId="0" applyNumberFormat="1" applyFont="1" applyFill="1" applyBorder="1" applyAlignment="1" applyProtection="1"/>
    <xf numFmtId="7" fontId="2" fillId="0" borderId="0" xfId="0" applyNumberFormat="1" applyFont="1" applyFill="1" applyBorder="1" applyAlignment="1" applyProtection="1"/>
    <xf numFmtId="5" fontId="2" fillId="0" borderId="0" xfId="0" applyNumberFormat="1" applyFont="1" applyAlignment="1" applyProtection="1"/>
    <xf numFmtId="7" fontId="2" fillId="0" borderId="0" xfId="0" applyNumberFormat="1" applyFont="1" applyAlignment="1" applyProtection="1"/>
    <xf numFmtId="37" fontId="2" fillId="7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wrapText="1"/>
    </xf>
    <xf numFmtId="37" fontId="2" fillId="0" borderId="1" xfId="0" applyNumberFormat="1" applyFont="1" applyBorder="1" applyAlignment="1" applyProtection="1">
      <alignment horizontal="center"/>
    </xf>
    <xf numFmtId="170" fontId="2" fillId="0" borderId="1" xfId="0" applyNumberFormat="1" applyFont="1" applyBorder="1" applyAlignment="1" applyProtection="1">
      <alignment horizontal="center"/>
    </xf>
    <xf numFmtId="170" fontId="2" fillId="0" borderId="0" xfId="0" applyNumberFormat="1" applyFont="1" applyFill="1" applyBorder="1" applyAlignment="1" applyProtection="1">
      <alignment horizontal="center"/>
    </xf>
    <xf numFmtId="37" fontId="7" fillId="7" borderId="1" xfId="0" applyNumberFormat="1" applyFont="1" applyFill="1" applyBorder="1" applyAlignment="1" applyProtection="1">
      <alignment horizontal="center"/>
    </xf>
    <xf numFmtId="37" fontId="2" fillId="0" borderId="9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/>
    </xf>
    <xf numFmtId="37" fontId="7" fillId="7" borderId="0" xfId="0" applyNumberFormat="1" applyFont="1" applyFill="1" applyBorder="1" applyAlignment="1" applyProtection="1">
      <alignment horizontal="center"/>
    </xf>
    <xf numFmtId="37" fontId="2" fillId="0" borderId="9" xfId="0" applyNumberFormat="1" applyFont="1" applyBorder="1" applyAlignment="1" applyProtection="1"/>
    <xf numFmtId="37" fontId="2" fillId="5" borderId="0" xfId="0" applyNumberFormat="1" applyFont="1" applyFill="1" applyBorder="1" applyAlignment="1" applyProtection="1"/>
    <xf numFmtId="37" fontId="2" fillId="7" borderId="0" xfId="0" applyNumberFormat="1" applyFont="1" applyFill="1" applyBorder="1" applyAlignment="1" applyProtection="1"/>
    <xf numFmtId="37" fontId="2" fillId="0" borderId="15" xfId="0" applyNumberFormat="1" applyFont="1" applyBorder="1" applyAlignment="1" applyProtection="1"/>
    <xf numFmtId="37" fontId="2" fillId="0" borderId="13" xfId="0" applyNumberFormat="1" applyFont="1" applyBorder="1" applyAlignment="1" applyProtection="1"/>
    <xf numFmtId="37" fontId="2" fillId="7" borderId="13" xfId="0" applyNumberFormat="1" applyFont="1" applyFill="1" applyBorder="1" applyAlignment="1" applyProtection="1"/>
    <xf numFmtId="37" fontId="2" fillId="0" borderId="2" xfId="0" applyNumberFormat="1" applyFont="1" applyBorder="1" applyAlignment="1" applyProtection="1"/>
    <xf numFmtId="37" fontId="2" fillId="8" borderId="0" xfId="0" applyNumberFormat="1" applyFont="1" applyFill="1" applyBorder="1" applyAlignment="1" applyProtection="1"/>
    <xf numFmtId="37" fontId="2" fillId="8" borderId="0" xfId="0" applyNumberFormat="1" applyFont="1" applyFill="1" applyBorder="1" applyAlignment="1" applyProtection="1">
      <alignment horizontal="center"/>
    </xf>
    <xf numFmtId="37" fontId="2" fillId="0" borderId="1" xfId="0" applyNumberFormat="1" applyFont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/>
    <xf numFmtId="37" fontId="2" fillId="0" borderId="13" xfId="0" applyNumberFormat="1" applyFont="1" applyFill="1" applyBorder="1" applyAlignment="1" applyProtection="1"/>
    <xf numFmtId="37" fontId="2" fillId="5" borderId="13" xfId="0" applyNumberFormat="1" applyFont="1" applyFill="1" applyBorder="1" applyAlignment="1" applyProtection="1"/>
    <xf numFmtId="37" fontId="2" fillId="9" borderId="0" xfId="0" applyNumberFormat="1" applyFont="1" applyFill="1" applyBorder="1" applyAlignment="1" applyProtection="1"/>
    <xf numFmtId="37" fontId="2" fillId="0" borderId="12" xfId="0" applyNumberFormat="1" applyFont="1" applyFill="1" applyBorder="1" applyAlignment="1" applyProtection="1"/>
    <xf numFmtId="0" fontId="3" fillId="0" borderId="0" xfId="4" applyNumberFormat="1" applyFont="1" applyFill="1" applyBorder="1" applyAlignment="1" applyProtection="1">
      <alignment horizontal="center"/>
      <protection hidden="1"/>
    </xf>
    <xf numFmtId="171" fontId="3" fillId="0" borderId="0" xfId="4" applyNumberFormat="1" applyFont="1" applyFill="1" applyBorder="1" applyAlignment="1" applyProtection="1">
      <alignment horizontal="left"/>
      <protection hidden="1"/>
    </xf>
    <xf numFmtId="38" fontId="3" fillId="0" borderId="0" xfId="4" applyNumberFormat="1" applyFont="1" applyFill="1" applyBorder="1" applyAlignment="1" applyProtection="1">
      <protection hidden="1"/>
    </xf>
    <xf numFmtId="0" fontId="3" fillId="0" borderId="0" xfId="4" applyNumberFormat="1" applyFont="1" applyFill="1" applyBorder="1" applyAlignment="1" applyProtection="1">
      <protection hidden="1"/>
    </xf>
    <xf numFmtId="38" fontId="3" fillId="0" borderId="0" xfId="4" applyNumberFormat="1" applyFont="1" applyFill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4" applyNumberFormat="1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0" fontId="6" fillId="0" borderId="13" xfId="0" applyNumberFormat="1" applyFont="1" applyBorder="1" applyAlignment="1" applyProtection="1">
      <protection locked="0"/>
    </xf>
    <xf numFmtId="0" fontId="6" fillId="0" borderId="13" xfId="0" applyNumberFormat="1" applyFont="1" applyBorder="1" applyAlignment="1" applyProtection="1">
      <alignment horizontal="center"/>
      <protection locked="0"/>
    </xf>
    <xf numFmtId="0" fontId="6" fillId="0" borderId="17" xfId="0" applyNumberFormat="1" applyFont="1" applyBorder="1" applyAlignment="1" applyProtection="1">
      <protection locked="0"/>
    </xf>
    <xf numFmtId="0" fontId="3" fillId="0" borderId="0" xfId="0" applyFont="1" applyFill="1" applyBorder="1"/>
    <xf numFmtId="0" fontId="6" fillId="0" borderId="18" xfId="0" applyNumberFormat="1" applyFont="1" applyBorder="1" applyAlignment="1" applyProtection="1">
      <protection locked="0"/>
    </xf>
    <xf numFmtId="44" fontId="6" fillId="0" borderId="0" xfId="2" applyFont="1" applyBorder="1" applyAlignment="1" applyProtection="1">
      <protection locked="0"/>
    </xf>
    <xf numFmtId="0" fontId="6" fillId="0" borderId="0" xfId="0" applyNumberFormat="1" applyFont="1" applyBorder="1" applyAlignment="1" applyProtection="1">
      <protection locked="0"/>
    </xf>
    <xf numFmtId="44" fontId="6" fillId="0" borderId="0" xfId="5" applyFont="1" applyBorder="1" applyAlignment="1" applyProtection="1">
      <protection locked="0"/>
    </xf>
    <xf numFmtId="44" fontId="6" fillId="0" borderId="19" xfId="0" applyNumberFormat="1" applyFont="1" applyBorder="1" applyAlignment="1" applyProtection="1">
      <protection locked="0"/>
    </xf>
    <xf numFmtId="0" fontId="14" fillId="0" borderId="0" xfId="0" applyFont="1" applyFill="1" applyBorder="1" applyAlignment="1">
      <alignment horizontal="center"/>
    </xf>
    <xf numFmtId="0" fontId="6" fillId="0" borderId="18" xfId="0" applyNumberFormat="1" applyFont="1" applyBorder="1" applyAlignment="1" applyProtection="1">
      <alignment wrapText="1"/>
      <protection locked="0"/>
    </xf>
    <xf numFmtId="44" fontId="6" fillId="0" borderId="0" xfId="2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 applyProtection="1">
      <alignment wrapText="1"/>
      <protection locked="0"/>
    </xf>
    <xf numFmtId="0" fontId="6" fillId="0" borderId="0" xfId="4" applyNumberFormat="1" applyFont="1" applyFill="1" applyBorder="1" applyAlignment="1" applyProtection="1">
      <protection locked="0"/>
    </xf>
    <xf numFmtId="44" fontId="18" fillId="0" borderId="0" xfId="5" applyFont="1" applyBorder="1" applyAlignment="1" applyProtection="1">
      <protection locked="0"/>
    </xf>
    <xf numFmtId="44" fontId="6" fillId="0" borderId="0" xfId="0" applyNumberFormat="1" applyFont="1" applyBorder="1" applyAlignment="1" applyProtection="1">
      <protection locked="0"/>
    </xf>
    <xf numFmtId="44" fontId="18" fillId="0" borderId="19" xfId="0" applyNumberFormat="1" applyFont="1" applyBorder="1" applyAlignment="1" applyProtection="1">
      <protection locked="0"/>
    </xf>
    <xf numFmtId="0" fontId="14" fillId="0" borderId="0" xfId="0" applyFont="1" applyFill="1" applyBorder="1"/>
    <xf numFmtId="44" fontId="6" fillId="0" borderId="0" xfId="0" applyNumberFormat="1" applyFont="1" applyFill="1" applyBorder="1" applyAlignment="1" applyProtection="1">
      <protection locked="0"/>
    </xf>
    <xf numFmtId="172" fontId="6" fillId="0" borderId="0" xfId="3" applyNumberFormat="1" applyFont="1" applyBorder="1" applyAlignment="1" applyProtection="1">
      <protection locked="0"/>
    </xf>
    <xf numFmtId="172" fontId="3" fillId="0" borderId="0" xfId="3" applyNumberFormat="1" applyFont="1" applyFill="1" applyBorder="1" applyAlignment="1" applyProtection="1">
      <protection locked="0"/>
    </xf>
    <xf numFmtId="0" fontId="6" fillId="0" borderId="19" xfId="0" applyNumberFormat="1" applyFont="1" applyBorder="1" applyAlignment="1" applyProtection="1">
      <protection locked="0"/>
    </xf>
    <xf numFmtId="44" fontId="3" fillId="0" borderId="0" xfId="6" applyFont="1" applyFill="1" applyBorder="1"/>
    <xf numFmtId="1" fontId="6" fillId="10" borderId="0" xfId="0" applyNumberFormat="1" applyFont="1" applyFill="1" applyBorder="1" applyAlignment="1" applyProtection="1">
      <protection locked="0"/>
    </xf>
    <xf numFmtId="0" fontId="6" fillId="10" borderId="0" xfId="0" applyNumberFormat="1" applyFont="1" applyFill="1" applyBorder="1" applyAlignment="1" applyProtection="1">
      <protection locked="0"/>
    </xf>
    <xf numFmtId="9" fontId="6" fillId="0" borderId="0" xfId="3" applyFont="1" applyBorder="1" applyAlignment="1" applyProtection="1">
      <protection locked="0"/>
    </xf>
    <xf numFmtId="0" fontId="6" fillId="0" borderId="20" xfId="0" applyNumberFormat="1" applyFont="1" applyBorder="1" applyAlignment="1" applyProtection="1">
      <protection locked="0"/>
    </xf>
    <xf numFmtId="0" fontId="6" fillId="0" borderId="21" xfId="0" applyNumberFormat="1" applyFont="1" applyBorder="1" applyAlignment="1" applyProtection="1">
      <protection locked="0"/>
    </xf>
    <xf numFmtId="0" fontId="6" fillId="0" borderId="22" xfId="0" applyNumberFormat="1" applyFont="1" applyBorder="1" applyAlignment="1" applyProtection="1"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37" fontId="2" fillId="0" borderId="16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7" xfId="0" applyNumberFormat="1" applyFont="1" applyBorder="1" applyAlignment="1" applyProtection="1">
      <alignment horizontal="center"/>
    </xf>
    <xf numFmtId="37" fontId="2" fillId="0" borderId="18" xfId="0" applyNumberFormat="1" applyFont="1" applyBorder="1" applyAlignment="1" applyProtection="1">
      <alignment horizontal="left"/>
    </xf>
    <xf numFmtId="37" fontId="2" fillId="0" borderId="19" xfId="0" applyNumberFormat="1" applyFont="1" applyBorder="1" applyAlignment="1" applyProtection="1">
      <alignment horizontal="center"/>
    </xf>
    <xf numFmtId="37" fontId="7" fillId="0" borderId="18" xfId="0" applyNumberFormat="1" applyFont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7" fontId="2" fillId="0" borderId="0" xfId="0" applyNumberFormat="1" applyFont="1" applyBorder="1" applyAlignment="1" applyProtection="1">
      <alignment horizontal="left"/>
    </xf>
    <xf numFmtId="37" fontId="2" fillId="0" borderId="18" xfId="0" applyNumberFormat="1" applyFont="1" applyBorder="1" applyAlignment="1" applyProtection="1">
      <alignment horizontal="center"/>
    </xf>
    <xf numFmtId="0" fontId="3" fillId="10" borderId="0" xfId="0" applyFont="1" applyFill="1" applyBorder="1"/>
    <xf numFmtId="37" fontId="7" fillId="0" borderId="18" xfId="0" applyNumberFormat="1" applyFont="1" applyBorder="1" applyAlignment="1" applyProtection="1">
      <alignment horizontal="center"/>
    </xf>
    <xf numFmtId="37" fontId="6" fillId="0" borderId="18" xfId="0" applyNumberFormat="1" applyFont="1" applyBorder="1" applyAlignment="1" applyProtection="1">
      <alignment horizontal="center"/>
    </xf>
    <xf numFmtId="0" fontId="3" fillId="0" borderId="18" xfId="4" applyNumberFormat="1" applyFont="1" applyFill="1" applyBorder="1" applyAlignment="1" applyProtection="1">
      <protection locked="0"/>
    </xf>
    <xf numFmtId="37" fontId="3" fillId="11" borderId="0" xfId="4" applyNumberFormat="1" applyFont="1" applyFill="1" applyBorder="1" applyAlignment="1" applyProtection="1">
      <protection locked="0"/>
    </xf>
    <xf numFmtId="37" fontId="2" fillId="11" borderId="0" xfId="0" applyNumberFormat="1" applyFont="1" applyFill="1" applyBorder="1" applyAlignment="1" applyProtection="1">
      <alignment horizontal="center"/>
    </xf>
    <xf numFmtId="0" fontId="20" fillId="0" borderId="18" xfId="0" applyFont="1" applyFill="1" applyBorder="1" applyAlignment="1">
      <alignment horizontal="left"/>
    </xf>
    <xf numFmtId="0" fontId="6" fillId="0" borderId="19" xfId="0" applyFont="1" applyFill="1" applyBorder="1"/>
    <xf numFmtId="0" fontId="6" fillId="0" borderId="20" xfId="0" applyFont="1" applyFill="1" applyBorder="1" applyAlignment="1">
      <alignment horizontal="left"/>
    </xf>
    <xf numFmtId="37" fontId="6" fillId="0" borderId="21" xfId="0" applyNumberFormat="1" applyFont="1" applyFill="1" applyBorder="1" applyAlignment="1">
      <alignment horizontal="left"/>
    </xf>
    <xf numFmtId="0" fontId="3" fillId="0" borderId="21" xfId="4" applyNumberFormat="1" applyFont="1" applyFill="1" applyBorder="1" applyAlignment="1" applyProtection="1">
      <protection locked="0"/>
    </xf>
    <xf numFmtId="0" fontId="6" fillId="0" borderId="21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37" fontId="2" fillId="0" borderId="0" xfId="0" applyNumberFormat="1" applyFont="1" applyFill="1" applyBorder="1" applyProtection="1">
      <protection locked="0"/>
    </xf>
    <xf numFmtId="4" fontId="3" fillId="0" borderId="19" xfId="0" applyNumberFormat="1" applyFont="1" applyFill="1" applyBorder="1"/>
    <xf numFmtId="37" fontId="2" fillId="10" borderId="0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21" xfId="0" applyFont="1" applyFill="1" applyBorder="1"/>
    <xf numFmtId="4" fontId="3" fillId="0" borderId="22" xfId="0" applyNumberFormat="1" applyFont="1" applyFill="1" applyBorder="1"/>
    <xf numFmtId="4" fontId="3" fillId="0" borderId="0" xfId="0" applyNumberFormat="1" applyFont="1" applyFill="1" applyBorder="1"/>
    <xf numFmtId="0" fontId="3" fillId="0" borderId="13" xfId="0" applyFont="1" applyFill="1" applyBorder="1"/>
    <xf numFmtId="4" fontId="3" fillId="0" borderId="13" xfId="0" applyNumberFormat="1" applyFont="1" applyFill="1" applyBorder="1"/>
    <xf numFmtId="0" fontId="3" fillId="0" borderId="17" xfId="0" applyNumberFormat="1" applyFont="1" applyFill="1" applyBorder="1" applyAlignment="1" applyProtection="1">
      <protection locked="0"/>
    </xf>
    <xf numFmtId="0" fontId="3" fillId="0" borderId="19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/>
    <xf numFmtId="44" fontId="3" fillId="0" borderId="0" xfId="2" applyFont="1" applyFill="1" applyBorder="1"/>
    <xf numFmtId="0" fontId="3" fillId="10" borderId="18" xfId="0" applyFont="1" applyFill="1" applyBorder="1" applyAlignment="1">
      <alignment horizontal="left"/>
    </xf>
    <xf numFmtId="44" fontId="3" fillId="0" borderId="1" xfId="2" applyFont="1" applyFill="1" applyBorder="1"/>
    <xf numFmtId="173" fontId="3" fillId="0" borderId="0" xfId="2" applyNumberFormat="1" applyFont="1" applyFill="1" applyBorder="1"/>
    <xf numFmtId="173" fontId="14" fillId="0" borderId="0" xfId="2" applyNumberFormat="1" applyFont="1" applyFill="1" applyBorder="1"/>
    <xf numFmtId="3" fontId="3" fillId="0" borderId="0" xfId="0" applyNumberFormat="1" applyFont="1" applyFill="1" applyBorder="1"/>
    <xf numFmtId="173" fontId="3" fillId="12" borderId="0" xfId="2" applyNumberFormat="1" applyFont="1" applyFill="1" applyBorder="1"/>
    <xf numFmtId="173" fontId="3" fillId="0" borderId="1" xfId="2" applyNumberFormat="1" applyFont="1" applyFill="1" applyBorder="1"/>
    <xf numFmtId="173" fontId="14" fillId="0" borderId="0" xfId="4" applyNumberFormat="1" applyFont="1" applyFill="1" applyBorder="1" applyAlignment="1" applyProtection="1">
      <protection locked="0"/>
    </xf>
    <xf numFmtId="3" fontId="21" fillId="0" borderId="0" xfId="4" applyNumberFormat="1" applyFont="1" applyFill="1" applyBorder="1" applyAlignment="1" applyProtection="1">
      <protection locked="0"/>
    </xf>
    <xf numFmtId="173" fontId="3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protection locked="0"/>
    </xf>
    <xf numFmtId="0" fontId="22" fillId="0" borderId="0" xfId="4" applyNumberFormat="1" applyFont="1" applyFill="1" applyBorder="1" applyAlignment="1" applyProtection="1">
      <protection locked="0"/>
    </xf>
    <xf numFmtId="173" fontId="3" fillId="10" borderId="0" xfId="2" applyNumberFormat="1" applyFont="1" applyFill="1" applyBorder="1"/>
    <xf numFmtId="37" fontId="2" fillId="10" borderId="0" xfId="0" applyNumberFormat="1" applyFont="1" applyFill="1" applyBorder="1" applyAlignment="1" applyProtection="1">
      <alignment horizontal="center"/>
    </xf>
    <xf numFmtId="49" fontId="23" fillId="0" borderId="18" xfId="0" applyNumberFormat="1" applyFont="1" applyBorder="1"/>
    <xf numFmtId="174" fontId="23" fillId="0" borderId="0" xfId="0" applyNumberFormat="1" applyFont="1" applyBorder="1"/>
    <xf numFmtId="0" fontId="3" fillId="0" borderId="20" xfId="4" applyNumberFormat="1" applyFont="1" applyFill="1" applyBorder="1" applyAlignment="1" applyProtection="1">
      <protection locked="0"/>
    </xf>
    <xf numFmtId="0" fontId="3" fillId="0" borderId="22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/>
    </xf>
    <xf numFmtId="0" fontId="14" fillId="13" borderId="16" xfId="0" applyFont="1" applyFill="1" applyBorder="1" applyAlignment="1">
      <alignment horizontal="left"/>
    </xf>
    <xf numFmtId="44" fontId="3" fillId="0" borderId="17" xfId="6" applyFont="1" applyFill="1" applyBorder="1"/>
    <xf numFmtId="173" fontId="2" fillId="0" borderId="0" xfId="2" applyNumberFormat="1" applyFont="1" applyBorder="1" applyProtection="1"/>
    <xf numFmtId="44" fontId="3" fillId="0" borderId="19" xfId="6" applyFont="1" applyFill="1" applyBorder="1"/>
    <xf numFmtId="39" fontId="3" fillId="0" borderId="0" xfId="0" applyNumberFormat="1" applyFont="1" applyFill="1" applyBorder="1"/>
    <xf numFmtId="0" fontId="14" fillId="0" borderId="18" xfId="0" applyFont="1" applyFill="1" applyBorder="1" applyAlignment="1">
      <alignment horizontal="left"/>
    </xf>
    <xf numFmtId="49" fontId="24" fillId="0" borderId="18" xfId="7" applyNumberFormat="1" applyFont="1" applyBorder="1"/>
    <xf numFmtId="44" fontId="25" fillId="0" borderId="0" xfId="2" applyFont="1" applyBorder="1" applyAlignment="1">
      <alignment horizontal="right"/>
    </xf>
    <xf numFmtId="39" fontId="26" fillId="12" borderId="0" xfId="1" applyNumberFormat="1" applyFont="1" applyFill="1" applyBorder="1" applyAlignment="1">
      <alignment horizontal="right"/>
    </xf>
    <xf numFmtId="38" fontId="3" fillId="0" borderId="0" xfId="4" applyNumberFormat="1" applyFont="1" applyFill="1" applyBorder="1" applyAlignment="1" applyProtection="1">
      <protection locked="0"/>
    </xf>
    <xf numFmtId="174" fontId="23" fillId="0" borderId="0" xfId="7" applyNumberFormat="1" applyFont="1" applyBorder="1"/>
    <xf numFmtId="44" fontId="27" fillId="0" borderId="0" xfId="2" applyFont="1" applyBorder="1" applyAlignment="1">
      <alignment horizontal="right"/>
    </xf>
    <xf numFmtId="44" fontId="28" fillId="14" borderId="0" xfId="2" applyFont="1" applyFill="1" applyBorder="1" applyAlignment="1">
      <alignment horizontal="right"/>
    </xf>
    <xf numFmtId="44" fontId="6" fillId="0" borderId="0" xfId="2" applyFont="1" applyFill="1" applyBorder="1"/>
    <xf numFmtId="44" fontId="6" fillId="0" borderId="0" xfId="2" applyFont="1" applyFill="1" applyBorder="1" applyAlignment="1">
      <alignment horizontal="right"/>
    </xf>
    <xf numFmtId="0" fontId="20" fillId="10" borderId="18" xfId="0" applyFont="1" applyFill="1" applyBorder="1" applyAlignment="1">
      <alignment horizontal="left"/>
    </xf>
    <xf numFmtId="44" fontId="3" fillId="10" borderId="0" xfId="2" applyFont="1" applyFill="1" applyBorder="1"/>
    <xf numFmtId="44" fontId="3" fillId="0" borderId="0" xfId="2" applyFont="1" applyFill="1" applyBorder="1" applyAlignment="1">
      <alignment horizontal="right"/>
    </xf>
    <xf numFmtId="173" fontId="29" fillId="0" borderId="0" xfId="0" applyNumberFormat="1" applyFont="1" applyFill="1" applyBorder="1"/>
    <xf numFmtId="0" fontId="14" fillId="0" borderId="18" xfId="4" applyNumberFormat="1" applyFont="1" applyFill="1" applyBorder="1" applyAlignment="1" applyProtection="1">
      <protection locked="0"/>
    </xf>
    <xf numFmtId="44" fontId="3" fillId="0" borderId="0" xfId="4" applyNumberFormat="1" applyFont="1" applyFill="1" applyBorder="1" applyAlignment="1" applyProtection="1">
      <protection locked="0"/>
    </xf>
    <xf numFmtId="0" fontId="3" fillId="0" borderId="19" xfId="0" applyFont="1" applyFill="1" applyBorder="1"/>
    <xf numFmtId="0" fontId="3" fillId="10" borderId="18" xfId="4" applyNumberFormat="1" applyFont="1" applyFill="1" applyBorder="1" applyAlignment="1" applyProtection="1">
      <alignment horizontal="center"/>
      <protection locked="0"/>
    </xf>
    <xf numFmtId="38" fontId="3" fillId="10" borderId="0" xfId="4" applyNumberFormat="1" applyFont="1" applyFill="1" applyBorder="1" applyAlignment="1" applyProtection="1">
      <alignment horizontal="center"/>
      <protection locked="0"/>
    </xf>
    <xf numFmtId="0" fontId="3" fillId="10" borderId="0" xfId="4" applyNumberFormat="1" applyFont="1" applyFill="1" applyBorder="1" applyAlignment="1" applyProtection="1">
      <alignment horizontal="center"/>
      <protection locked="0"/>
    </xf>
    <xf numFmtId="0" fontId="3" fillId="0" borderId="18" xfId="4" applyNumberFormat="1" applyFont="1" applyFill="1" applyBorder="1" applyAlignment="1" applyProtection="1">
      <alignment wrapText="1"/>
      <protection locked="0"/>
    </xf>
    <xf numFmtId="44" fontId="3" fillId="0" borderId="0" xfId="2" applyFont="1" applyFill="1" applyBorder="1" applyAlignment="1" applyProtection="1">
      <alignment wrapText="1"/>
      <protection locked="0"/>
    </xf>
    <xf numFmtId="38" fontId="3" fillId="0" borderId="0" xfId="4" applyNumberFormat="1" applyFont="1" applyFill="1" applyBorder="1" applyAlignment="1" applyProtection="1">
      <alignment wrapText="1"/>
      <protection locked="0"/>
    </xf>
    <xf numFmtId="173" fontId="3" fillId="0" borderId="0" xfId="2" applyNumberFormat="1" applyFont="1" applyFill="1" applyBorder="1" applyAlignment="1" applyProtection="1">
      <protection locked="0"/>
    </xf>
    <xf numFmtId="44" fontId="3" fillId="0" borderId="0" xfId="2" applyFont="1" applyFill="1" applyBorder="1" applyAlignment="1" applyProtection="1">
      <protection locked="0"/>
    </xf>
    <xf numFmtId="172" fontId="14" fillId="0" borderId="0" xfId="3" applyNumberFormat="1" applyFont="1" applyFill="1" applyBorder="1" applyAlignment="1" applyProtection="1">
      <protection locked="0"/>
    </xf>
    <xf numFmtId="173" fontId="3" fillId="10" borderId="0" xfId="2" applyNumberFormat="1" applyFont="1" applyFill="1" applyBorder="1" applyAlignment="1" applyProtection="1">
      <protection locked="0"/>
    </xf>
    <xf numFmtId="38" fontId="3" fillId="10" borderId="0" xfId="4" applyNumberFormat="1" applyFont="1" applyFill="1" applyBorder="1" applyAlignment="1" applyProtection="1">
      <protection locked="0"/>
    </xf>
    <xf numFmtId="44" fontId="14" fillId="0" borderId="19" xfId="0" applyNumberFormat="1" applyFont="1" applyFill="1" applyBorder="1"/>
    <xf numFmtId="0" fontId="3" fillId="0" borderId="18" xfId="0" applyNumberFormat="1" applyFont="1" applyFill="1" applyBorder="1" applyAlignment="1" applyProtection="1">
      <alignment horizontal="left"/>
      <protection locked="0"/>
    </xf>
    <xf numFmtId="0" fontId="3" fillId="10" borderId="0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173" fontId="3" fillId="0" borderId="0" xfId="0" applyNumberFormat="1" applyFont="1" applyFill="1" applyBorder="1" applyAlignment="1"/>
    <xf numFmtId="44" fontId="3" fillId="0" borderId="19" xfId="0" applyNumberFormat="1" applyFont="1" applyFill="1" applyBorder="1"/>
    <xf numFmtId="38" fontId="2" fillId="10" borderId="0" xfId="0" applyNumberFormat="1" applyFont="1" applyFill="1" applyBorder="1" applyAlignment="1" applyProtection="1">
      <protection locked="0"/>
    </xf>
    <xf numFmtId="0" fontId="3" fillId="0" borderId="21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>
      <alignment horizontal="left"/>
    </xf>
    <xf numFmtId="173" fontId="3" fillId="0" borderId="13" xfId="2" applyNumberFormat="1" applyFont="1" applyFill="1" applyBorder="1"/>
    <xf numFmtId="0" fontId="3" fillId="0" borderId="13" xfId="0" applyFont="1" applyFill="1" applyBorder="1" applyAlignment="1">
      <alignment horizontal="center" wrapText="1"/>
    </xf>
    <xf numFmtId="173" fontId="3" fillId="0" borderId="0" xfId="0" applyNumberFormat="1" applyFont="1" applyFill="1" applyBorder="1"/>
    <xf numFmtId="0" fontId="3" fillId="0" borderId="19" xfId="4" applyNumberFormat="1" applyFont="1" applyFill="1" applyBorder="1" applyAlignment="1" applyProtection="1">
      <protection locked="0"/>
    </xf>
    <xf numFmtId="0" fontId="3" fillId="14" borderId="19" xfId="0" applyNumberFormat="1" applyFont="1" applyFill="1" applyBorder="1" applyAlignment="1" applyProtection="1">
      <protection locked="0"/>
    </xf>
    <xf numFmtId="0" fontId="22" fillId="0" borderId="18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0" fillId="0" borderId="18" xfId="0" applyFont="1" applyFill="1" applyBorder="1" applyAlignment="1">
      <alignment horizontal="left"/>
    </xf>
    <xf numFmtId="14" fontId="30" fillId="0" borderId="0" xfId="0" applyNumberFormat="1" applyFont="1" applyFill="1" applyBorder="1" applyAlignment="1">
      <alignment horizontal="left"/>
    </xf>
    <xf numFmtId="44" fontId="31" fillId="0" borderId="0" xfId="2" applyFont="1" applyFill="1" applyBorder="1" applyAlignment="1">
      <alignment horizontal="left"/>
    </xf>
    <xf numFmtId="4" fontId="30" fillId="0" borderId="0" xfId="0" applyNumberFormat="1" applyFont="1" applyFill="1" applyBorder="1" applyAlignment="1">
      <alignment horizontal="left" wrapText="1"/>
    </xf>
    <xf numFmtId="44" fontId="6" fillId="0" borderId="0" xfId="2" applyFont="1" applyFill="1" applyBorder="1" applyAlignment="1">
      <alignment horizontal="left"/>
    </xf>
    <xf numFmtId="44" fontId="20" fillId="0" borderId="0" xfId="2" applyFont="1" applyFill="1" applyBorder="1"/>
    <xf numFmtId="44" fontId="3" fillId="14" borderId="19" xfId="0" applyNumberFormat="1" applyFont="1" applyFill="1" applyBorder="1" applyAlignment="1" applyProtection="1">
      <protection locked="0"/>
    </xf>
    <xf numFmtId="165" fontId="30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4" fontId="14" fillId="0" borderId="0" xfId="2" applyFont="1" applyFill="1" applyBorder="1"/>
    <xf numFmtId="14" fontId="30" fillId="0" borderId="0" xfId="0" applyNumberFormat="1" applyFont="1" applyFill="1" applyBorder="1" applyAlignment="1" applyProtection="1">
      <alignment horizontal="left"/>
      <protection locked="0"/>
    </xf>
    <xf numFmtId="44" fontId="31" fillId="0" borderId="0" xfId="2" applyFont="1" applyFill="1" applyBorder="1" applyAlignment="1" applyProtection="1">
      <alignment horizontal="left"/>
      <protection locked="0"/>
    </xf>
    <xf numFmtId="0" fontId="30" fillId="0" borderId="0" xfId="0" applyNumberFormat="1" applyFont="1" applyFill="1" applyBorder="1" applyAlignment="1" applyProtection="1">
      <alignment horizontal="left" wrapText="1"/>
      <protection locked="0"/>
    </xf>
    <xf numFmtId="44" fontId="6" fillId="0" borderId="0" xfId="2" applyFont="1" applyFill="1" applyBorder="1" applyAlignment="1" applyProtection="1">
      <alignment horizontal="left"/>
      <protection locked="0"/>
    </xf>
    <xf numFmtId="44" fontId="6" fillId="0" borderId="0" xfId="2" applyFont="1" applyFill="1" applyBorder="1" applyAlignment="1" applyProtection="1">
      <protection locked="0"/>
    </xf>
    <xf numFmtId="0" fontId="30" fillId="0" borderId="0" xfId="0" applyFont="1" applyFill="1" applyBorder="1" applyAlignment="1">
      <alignment horizontal="left"/>
    </xf>
    <xf numFmtId="0" fontId="2" fillId="0" borderId="19" xfId="0" applyFont="1" applyFill="1" applyBorder="1"/>
    <xf numFmtId="0" fontId="2" fillId="0" borderId="0" xfId="0" applyFont="1" applyFill="1" applyBorder="1"/>
    <xf numFmtId="44" fontId="2" fillId="0" borderId="19" xfId="0" applyNumberFormat="1" applyFont="1" applyFill="1" applyBorder="1"/>
    <xf numFmtId="44" fontId="2" fillId="0" borderId="0" xfId="0" applyNumberFormat="1" applyFont="1" applyFill="1" applyBorder="1"/>
    <xf numFmtId="3" fontId="2" fillId="0" borderId="0" xfId="0" applyNumberFormat="1" applyFont="1" applyFill="1" applyBorder="1"/>
    <xf numFmtId="10" fontId="2" fillId="0" borderId="0" xfId="0" applyNumberFormat="1" applyFont="1" applyFill="1" applyBorder="1"/>
    <xf numFmtId="44" fontId="2" fillId="14" borderId="19" xfId="0" applyNumberFormat="1" applyFont="1" applyFill="1" applyBorder="1"/>
    <xf numFmtId="4" fontId="2" fillId="0" borderId="0" xfId="0" applyNumberFormat="1" applyFont="1" applyFill="1" applyBorder="1"/>
    <xf numFmtId="0" fontId="3" fillId="0" borderId="0" xfId="4" applyNumberFormat="1" applyFont="1" applyFill="1" applyBorder="1" applyAlignment="1" applyProtection="1">
      <alignment horizontal="center"/>
      <protection locked="0"/>
    </xf>
    <xf numFmtId="44" fontId="30" fillId="0" borderId="0" xfId="2" applyFont="1" applyFill="1" applyBorder="1" applyAlignment="1">
      <alignment horizontal="left"/>
    </xf>
    <xf numFmtId="0" fontId="7" fillId="0" borderId="19" xfId="0" applyFont="1" applyFill="1" applyBorder="1"/>
    <xf numFmtId="3" fontId="7" fillId="0" borderId="0" xfId="0" applyNumberFormat="1" applyFont="1" applyFill="1" applyBorder="1"/>
    <xf numFmtId="44" fontId="3" fillId="14" borderId="19" xfId="4" applyNumberFormat="1" applyFont="1" applyFill="1" applyBorder="1" applyAlignment="1" applyProtection="1">
      <protection locked="0"/>
    </xf>
    <xf numFmtId="10" fontId="30" fillId="0" borderId="0" xfId="3" applyNumberFormat="1" applyFont="1" applyFill="1" applyBorder="1" applyAlignment="1">
      <alignment horizontal="left"/>
    </xf>
    <xf numFmtId="38" fontId="30" fillId="0" borderId="0" xfId="4" applyNumberFormat="1" applyFont="1" applyFill="1" applyBorder="1" applyAlignment="1" applyProtection="1">
      <alignment horizontal="left"/>
      <protection locked="0"/>
    </xf>
    <xf numFmtId="0" fontId="31" fillId="0" borderId="18" xfId="4" applyNumberFormat="1" applyFont="1" applyFill="1" applyBorder="1" applyAlignment="1" applyProtection="1">
      <alignment horizontal="left"/>
      <protection locked="0"/>
    </xf>
    <xf numFmtId="38" fontId="31" fillId="0" borderId="0" xfId="4" applyNumberFormat="1" applyFont="1" applyFill="1" applyBorder="1" applyAlignment="1" applyProtection="1">
      <alignment horizontal="left"/>
      <protection locked="0"/>
    </xf>
    <xf numFmtId="44" fontId="3" fillId="0" borderId="0" xfId="2" applyFont="1" applyFill="1" applyBorder="1" applyAlignment="1" applyProtection="1">
      <alignment horizontal="left"/>
      <protection locked="0"/>
    </xf>
    <xf numFmtId="44" fontId="3" fillId="0" borderId="19" xfId="2" applyFont="1" applyFill="1" applyBorder="1" applyAlignment="1" applyProtection="1">
      <alignment horizontal="left"/>
      <protection locked="0"/>
    </xf>
    <xf numFmtId="38" fontId="2" fillId="0" borderId="0" xfId="4" applyNumberFormat="1" applyFont="1" applyFill="1" applyBorder="1" applyAlignment="1" applyProtection="1">
      <alignment horizontal="left"/>
      <protection locked="0"/>
    </xf>
    <xf numFmtId="44" fontId="3" fillId="12" borderId="0" xfId="2" applyFont="1" applyFill="1" applyBorder="1" applyAlignment="1" applyProtection="1">
      <alignment horizontal="left"/>
      <protection locked="0"/>
    </xf>
    <xf numFmtId="17" fontId="2" fillId="0" borderId="18" xfId="0" applyNumberFormat="1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44" fontId="2" fillId="0" borderId="0" xfId="2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center" wrapText="1"/>
    </xf>
    <xf numFmtId="44" fontId="2" fillId="0" borderId="0" xfId="0" applyNumberFormat="1" applyFont="1" applyFill="1" applyBorder="1" applyAlignment="1">
      <alignment horizontal="right"/>
    </xf>
    <xf numFmtId="44" fontId="2" fillId="0" borderId="0" xfId="0" applyNumberFormat="1" applyFont="1" applyFill="1" applyBorder="1" applyAlignment="1">
      <alignment horizontal="center"/>
    </xf>
    <xf numFmtId="43" fontId="2" fillId="0" borderId="19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center" wrapText="1"/>
    </xf>
    <xf numFmtId="17" fontId="2" fillId="0" borderId="20" xfId="0" applyNumberFormat="1" applyFont="1" applyFill="1" applyBorder="1" applyAlignment="1">
      <alignment horizontal="center"/>
    </xf>
    <xf numFmtId="39" fontId="2" fillId="0" borderId="21" xfId="0" applyNumberFormat="1" applyFont="1" applyFill="1" applyBorder="1" applyAlignment="1">
      <alignment horizontal="center"/>
    </xf>
    <xf numFmtId="44" fontId="2" fillId="0" borderId="21" xfId="2" applyFont="1" applyFill="1" applyBorder="1" applyAlignment="1">
      <alignment horizontal="right"/>
    </xf>
    <xf numFmtId="44" fontId="6" fillId="0" borderId="21" xfId="0" applyNumberFormat="1" applyFont="1" applyFill="1" applyBorder="1" applyAlignment="1">
      <alignment horizontal="center" wrapText="1"/>
    </xf>
    <xf numFmtId="44" fontId="2" fillId="0" borderId="21" xfId="0" applyNumberFormat="1" applyFont="1" applyFill="1" applyBorder="1" applyAlignment="1">
      <alignment horizontal="right"/>
    </xf>
    <xf numFmtId="44" fontId="2" fillId="10" borderId="21" xfId="0" applyNumberFormat="1" applyFont="1" applyFill="1" applyBorder="1" applyAlignment="1">
      <alignment horizontal="center"/>
    </xf>
    <xf numFmtId="37" fontId="2" fillId="10" borderId="21" xfId="0" applyNumberFormat="1" applyFont="1" applyFill="1" applyBorder="1" applyAlignment="1" applyProtection="1">
      <alignment horizontal="center"/>
    </xf>
    <xf numFmtId="44" fontId="2" fillId="0" borderId="22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center" wrapText="1"/>
    </xf>
    <xf numFmtId="3" fontId="7" fillId="0" borderId="16" xfId="0" applyNumberFormat="1" applyFont="1" applyFill="1" applyBorder="1" applyAlignment="1" applyProtection="1"/>
    <xf numFmtId="37" fontId="2" fillId="0" borderId="13" xfId="0" applyNumberFormat="1" applyFont="1" applyBorder="1" applyProtection="1"/>
    <xf numFmtId="44" fontId="2" fillId="0" borderId="13" xfId="2" applyFont="1" applyFill="1" applyBorder="1" applyAlignment="1">
      <alignment horizontal="right"/>
    </xf>
    <xf numFmtId="44" fontId="6" fillId="0" borderId="13" xfId="0" applyNumberFormat="1" applyFont="1" applyFill="1" applyBorder="1" applyAlignment="1">
      <alignment horizontal="center" wrapText="1"/>
    </xf>
    <xf numFmtId="44" fontId="2" fillId="0" borderId="13" xfId="0" applyNumberFormat="1" applyFont="1" applyFill="1" applyBorder="1" applyAlignment="1">
      <alignment horizontal="right"/>
    </xf>
    <xf numFmtId="44" fontId="2" fillId="0" borderId="17" xfId="0" applyNumberFormat="1" applyFont="1" applyFill="1" applyBorder="1" applyAlignment="1">
      <alignment horizontal="center"/>
    </xf>
    <xf numFmtId="44" fontId="2" fillId="0" borderId="19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left"/>
    </xf>
    <xf numFmtId="49" fontId="32" fillId="0" borderId="18" xfId="7" applyNumberFormat="1" applyFont="1" applyBorder="1"/>
    <xf numFmtId="49" fontId="33" fillId="0" borderId="0" xfId="7" applyNumberFormat="1" applyFont="1" applyBorder="1"/>
    <xf numFmtId="44" fontId="34" fillId="0" borderId="0" xfId="2" applyFont="1" applyFill="1" applyBorder="1"/>
    <xf numFmtId="174" fontId="34" fillId="0" borderId="0" xfId="7" applyNumberFormat="1" applyFont="1" applyBorder="1" applyAlignment="1">
      <alignment wrapText="1"/>
    </xf>
    <xf numFmtId="44" fontId="3" fillId="0" borderId="0" xfId="0" applyNumberFormat="1" applyFont="1" applyFill="1" applyBorder="1" applyAlignment="1">
      <alignment horizontal="left" wrapText="1"/>
    </xf>
    <xf numFmtId="174" fontId="34" fillId="0" borderId="0" xfId="7" applyNumberFormat="1" applyFont="1" applyBorder="1"/>
    <xf numFmtId="174" fontId="33" fillId="0" borderId="0" xfId="7" applyNumberFormat="1" applyFont="1" applyBorder="1"/>
    <xf numFmtId="44" fontId="3" fillId="10" borderId="0" xfId="4" applyNumberFormat="1" applyFont="1" applyFill="1" applyBorder="1" applyAlignment="1" applyProtection="1">
      <protection locked="0"/>
    </xf>
    <xf numFmtId="37" fontId="2" fillId="10" borderId="19" xfId="0" applyNumberFormat="1" applyFont="1" applyFill="1" applyBorder="1" applyAlignment="1" applyProtection="1">
      <alignment horizontal="center"/>
    </xf>
    <xf numFmtId="49" fontId="32" fillId="0" borderId="20" xfId="7" applyNumberFormat="1" applyFont="1" applyBorder="1"/>
    <xf numFmtId="44" fontId="34" fillId="0" borderId="21" xfId="2" applyFont="1" applyFill="1" applyBorder="1"/>
    <xf numFmtId="44" fontId="6" fillId="0" borderId="21" xfId="0" applyNumberFormat="1" applyFont="1" applyFill="1" applyBorder="1" applyAlignment="1">
      <alignment horizontal="left" wrapText="1"/>
    </xf>
    <xf numFmtId="44" fontId="3" fillId="12" borderId="21" xfId="2" applyFont="1" applyFill="1" applyBorder="1" applyAlignment="1" applyProtection="1">
      <protection locked="0"/>
    </xf>
    <xf numFmtId="0" fontId="3" fillId="0" borderId="22" xfId="4" applyNumberFormat="1" applyFont="1" applyFill="1" applyBorder="1" applyAlignment="1" applyProtection="1">
      <protection locked="0"/>
    </xf>
    <xf numFmtId="174" fontId="33" fillId="0" borderId="0" xfId="7" applyNumberFormat="1" applyFont="1"/>
    <xf numFmtId="17" fontId="2" fillId="0" borderId="16" xfId="0" applyNumberFormat="1" applyFont="1" applyFill="1" applyBorder="1" applyAlignment="1">
      <alignment horizontal="left"/>
    </xf>
    <xf numFmtId="39" fontId="2" fillId="0" borderId="13" xfId="0" applyNumberFormat="1" applyFont="1" applyFill="1" applyBorder="1" applyAlignment="1">
      <alignment horizontal="right"/>
    </xf>
    <xf numFmtId="44" fontId="2" fillId="0" borderId="13" xfId="2" applyFont="1" applyFill="1" applyBorder="1"/>
    <xf numFmtId="44" fontId="6" fillId="0" borderId="13" xfId="0" applyNumberFormat="1" applyFont="1" applyFill="1" applyBorder="1"/>
    <xf numFmtId="44" fontId="2" fillId="0" borderId="17" xfId="0" applyNumberFormat="1" applyFont="1" applyFill="1" applyBorder="1"/>
    <xf numFmtId="17" fontId="20" fillId="0" borderId="0" xfId="0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17" fontId="6" fillId="0" borderId="18" xfId="0" applyNumberFormat="1" applyFont="1" applyFill="1" applyBorder="1" applyAlignment="1">
      <alignment horizontal="left"/>
    </xf>
    <xf numFmtId="39" fontId="6" fillId="0" borderId="0" xfId="0" applyNumberFormat="1" applyFont="1" applyFill="1" applyBorder="1" applyAlignment="1">
      <alignment horizontal="right"/>
    </xf>
    <xf numFmtId="17" fontId="2" fillId="0" borderId="18" xfId="0" applyNumberFormat="1" applyFont="1" applyFill="1" applyBorder="1" applyAlignment="1">
      <alignment horizontal="left"/>
    </xf>
    <xf numFmtId="44" fontId="2" fillId="0" borderId="0" xfId="2" applyFont="1" applyFill="1" applyBorder="1"/>
    <xf numFmtId="17" fontId="2" fillId="0" borderId="0" xfId="0" applyNumberFormat="1" applyFont="1" applyFill="1" applyBorder="1" applyAlignment="1">
      <alignment horizontal="left"/>
    </xf>
    <xf numFmtId="9" fontId="3" fillId="0" borderId="0" xfId="3" applyFont="1" applyFill="1" applyBorder="1" applyAlignment="1" applyProtection="1">
      <protection locked="0"/>
    </xf>
    <xf numFmtId="37" fontId="2" fillId="0" borderId="0" xfId="0" applyNumberFormat="1" applyFont="1" applyFill="1" applyBorder="1" applyAlignment="1">
      <alignment horizontal="right"/>
    </xf>
    <xf numFmtId="9" fontId="2" fillId="0" borderId="19" xfId="3" applyFont="1" applyFill="1" applyBorder="1"/>
    <xf numFmtId="0" fontId="3" fillId="0" borderId="1" xfId="4" applyNumberFormat="1" applyFont="1" applyFill="1" applyBorder="1" applyAlignment="1" applyProtection="1">
      <protection locked="0"/>
    </xf>
    <xf numFmtId="37" fontId="2" fillId="0" borderId="1" xfId="0" applyNumberFormat="1" applyFont="1" applyFill="1" applyBorder="1" applyAlignment="1">
      <alignment horizontal="right"/>
    </xf>
    <xf numFmtId="38" fontId="3" fillId="0" borderId="18" xfId="4" applyNumberFormat="1" applyFont="1" applyFill="1" applyBorder="1" applyAlignment="1" applyProtection="1">
      <alignment wrapText="1"/>
      <protection locked="0"/>
    </xf>
    <xf numFmtId="17" fontId="2" fillId="0" borderId="20" xfId="0" applyNumberFormat="1" applyFont="1" applyFill="1" applyBorder="1" applyAlignment="1">
      <alignment horizontal="left"/>
    </xf>
    <xf numFmtId="37" fontId="2" fillId="2" borderId="21" xfId="0" applyNumberFormat="1" applyFont="1" applyFill="1" applyBorder="1" applyAlignment="1">
      <alignment horizontal="right"/>
    </xf>
    <xf numFmtId="37" fontId="2" fillId="2" borderId="22" xfId="0" applyNumberFormat="1" applyFont="1" applyFill="1" applyBorder="1" applyAlignment="1" applyProtection="1">
      <alignment horizontal="center"/>
    </xf>
    <xf numFmtId="173" fontId="3" fillId="0" borderId="0" xfId="0" applyNumberFormat="1" applyFont="1" applyFill="1" applyBorder="1" applyAlignment="1" applyProtection="1">
      <protection locked="0"/>
    </xf>
    <xf numFmtId="0" fontId="35" fillId="0" borderId="16" xfId="0" applyFont="1" applyFill="1" applyBorder="1" applyAlignment="1">
      <alignment horizontal="left"/>
    </xf>
    <xf numFmtId="0" fontId="6" fillId="0" borderId="13" xfId="0" applyFont="1" applyFill="1" applyBorder="1"/>
    <xf numFmtId="0" fontId="6" fillId="0" borderId="17" xfId="0" applyFont="1" applyFill="1" applyBorder="1"/>
    <xf numFmtId="0" fontId="6" fillId="0" borderId="18" xfId="0" applyFont="1" applyFill="1" applyBorder="1" applyAlignment="1">
      <alignment horizontal="left"/>
    </xf>
    <xf numFmtId="173" fontId="6" fillId="0" borderId="0" xfId="5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173" fontId="6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3" fontId="6" fillId="10" borderId="21" xfId="0" applyNumberFormat="1" applyFont="1" applyFill="1" applyBorder="1" applyAlignment="1">
      <alignment horizontal="left"/>
    </xf>
    <xf numFmtId="0" fontId="20" fillId="0" borderId="16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173" fontId="6" fillId="0" borderId="0" xfId="2" applyNumberFormat="1" applyFont="1" applyFill="1" applyBorder="1" applyAlignment="1">
      <alignment horizontal="left"/>
    </xf>
    <xf numFmtId="5" fontId="20" fillId="10" borderId="0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left"/>
    </xf>
    <xf numFmtId="173" fontId="3" fillId="0" borderId="1" xfId="2" applyNumberFormat="1" applyFont="1" applyFill="1" applyBorder="1" applyAlignment="1" applyProtection="1">
      <protection locked="0"/>
    </xf>
    <xf numFmtId="173" fontId="3" fillId="10" borderId="0" xfId="4" applyNumberFormat="1" applyFont="1" applyFill="1" applyBorder="1" applyAlignment="1" applyProtection="1">
      <protection locked="0"/>
    </xf>
    <xf numFmtId="173" fontId="2" fillId="0" borderId="0" xfId="0" applyNumberFormat="1" applyFont="1" applyFill="1" applyBorder="1" applyAlignment="1">
      <alignment horizontal="center"/>
    </xf>
    <xf numFmtId="44" fontId="2" fillId="0" borderId="19" xfId="0" applyNumberFormat="1" applyFont="1" applyFill="1" applyBorder="1" applyAlignment="1">
      <alignment horizontal="right"/>
    </xf>
    <xf numFmtId="173" fontId="2" fillId="0" borderId="21" xfId="0" applyNumberFormat="1" applyFont="1" applyFill="1" applyBorder="1" applyAlignment="1">
      <alignment horizontal="center"/>
    </xf>
    <xf numFmtId="44" fontId="2" fillId="0" borderId="21" xfId="0" applyNumberFormat="1" applyFont="1" applyFill="1" applyBorder="1" applyAlignment="1">
      <alignment horizontal="center" wrapText="1"/>
    </xf>
    <xf numFmtId="17" fontId="2" fillId="0" borderId="0" xfId="0" applyNumberFormat="1" applyFont="1" applyFill="1" applyBorder="1" applyAlignment="1">
      <alignment horizontal="center"/>
    </xf>
    <xf numFmtId="49" fontId="32" fillId="0" borderId="0" xfId="7" applyNumberFormat="1" applyFont="1"/>
    <xf numFmtId="49" fontId="33" fillId="0" borderId="0" xfId="7" applyNumberFormat="1" applyFont="1"/>
    <xf numFmtId="174" fontId="33" fillId="0" borderId="0" xfId="7" applyNumberFormat="1" applyFont="1" applyFill="1"/>
    <xf numFmtId="0" fontId="7" fillId="0" borderId="16" xfId="0" applyFont="1" applyFill="1" applyBorder="1" applyProtection="1"/>
    <xf numFmtId="39" fontId="2" fillId="0" borderId="13" xfId="0" applyNumberFormat="1" applyFont="1" applyFill="1" applyBorder="1" applyAlignment="1">
      <alignment horizontal="center"/>
    </xf>
    <xf numFmtId="44" fontId="2" fillId="0" borderId="13" xfId="0" applyNumberFormat="1" applyFont="1" applyFill="1" applyBorder="1" applyAlignment="1">
      <alignment horizontal="center" wrapText="1"/>
    </xf>
    <xf numFmtId="44" fontId="2" fillId="0" borderId="17" xfId="0" applyNumberFormat="1" applyFont="1" applyFill="1" applyBorder="1" applyAlignment="1">
      <alignment horizontal="right"/>
    </xf>
    <xf numFmtId="3" fontId="2" fillId="7" borderId="18" xfId="8" applyNumberFormat="1" applyFont="1" applyFill="1" applyBorder="1" applyAlignment="1"/>
    <xf numFmtId="173" fontId="2" fillId="0" borderId="0" xfId="2" applyNumberFormat="1" applyFont="1" applyFill="1" applyBorder="1"/>
    <xf numFmtId="173" fontId="2" fillId="0" borderId="1" xfId="2" applyNumberFormat="1" applyFont="1" applyFill="1" applyBorder="1"/>
    <xf numFmtId="44" fontId="2" fillId="0" borderId="1" xfId="2" applyFont="1" applyFill="1" applyBorder="1" applyAlignment="1">
      <alignment horizontal="right"/>
    </xf>
    <xf numFmtId="44" fontId="2" fillId="2" borderId="0" xfId="2" applyFont="1" applyFill="1" applyBorder="1" applyAlignment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17" fontId="35" fillId="0" borderId="16" xfId="0" applyNumberFormat="1" applyFont="1" applyFill="1" applyBorder="1" applyAlignment="1">
      <alignment horizontal="left"/>
    </xf>
    <xf numFmtId="37" fontId="2" fillId="0" borderId="0" xfId="8" applyNumberFormat="1" applyFont="1" applyFill="1" applyBorder="1"/>
    <xf numFmtId="173" fontId="2" fillId="0" borderId="0" xfId="2" applyNumberFormat="1" applyFont="1" applyFill="1" applyBorder="1" applyAlignment="1">
      <alignment horizontal="right"/>
    </xf>
    <xf numFmtId="173" fontId="2" fillId="0" borderId="0" xfId="0" applyNumberFormat="1" applyFont="1" applyFill="1" applyBorder="1" applyAlignment="1">
      <alignment horizontal="center" wrapText="1"/>
    </xf>
    <xf numFmtId="44" fontId="2" fillId="0" borderId="19" xfId="0" applyNumberFormat="1" applyFont="1" applyFill="1" applyBorder="1" applyAlignment="1">
      <alignment horizontal="center" wrapText="1"/>
    </xf>
    <xf numFmtId="0" fontId="2" fillId="7" borderId="18" xfId="8" applyFont="1" applyFill="1" applyBorder="1"/>
    <xf numFmtId="37" fontId="3" fillId="0" borderId="0" xfId="4" applyNumberFormat="1" applyFont="1" applyFill="1" applyBorder="1" applyAlignment="1" applyProtection="1">
      <protection locked="0"/>
    </xf>
    <xf numFmtId="0" fontId="3" fillId="0" borderId="19" xfId="4" applyNumberFormat="1" applyFont="1" applyFill="1" applyBorder="1" applyAlignment="1" applyProtection="1">
      <alignment wrapText="1"/>
      <protection locked="0"/>
    </xf>
    <xf numFmtId="17" fontId="6" fillId="0" borderId="0" xfId="0" applyNumberFormat="1" applyFont="1" applyFill="1" applyBorder="1" applyAlignment="1">
      <alignment horizontal="left" wrapText="1"/>
    </xf>
    <xf numFmtId="37" fontId="2" fillId="0" borderId="1" xfId="8" applyNumberFormat="1" applyFont="1" applyFill="1" applyBorder="1"/>
    <xf numFmtId="173" fontId="36" fillId="0" borderId="0" xfId="2" applyNumberFormat="1" applyFont="1" applyFill="1" applyBorder="1"/>
    <xf numFmtId="173" fontId="36" fillId="0" borderId="0" xfId="0" applyNumberFormat="1" applyFont="1" applyFill="1" applyBorder="1" applyAlignment="1">
      <alignment horizontal="center" wrapText="1"/>
    </xf>
    <xf numFmtId="173" fontId="20" fillId="0" borderId="0" xfId="0" applyNumberFormat="1" applyFont="1" applyFill="1" applyBorder="1" applyAlignment="1">
      <alignment horizontal="left"/>
    </xf>
    <xf numFmtId="173" fontId="2" fillId="10" borderId="0" xfId="2" applyNumberFormat="1" applyFont="1" applyFill="1" applyBorder="1"/>
    <xf numFmtId="39" fontId="2" fillId="0" borderId="21" xfId="0" applyNumberFormat="1" applyFont="1" applyFill="1" applyBorder="1" applyAlignment="1">
      <alignment horizontal="right"/>
    </xf>
    <xf numFmtId="44" fontId="2" fillId="0" borderId="21" xfId="2" applyFont="1" applyFill="1" applyBorder="1"/>
    <xf numFmtId="44" fontId="2" fillId="0" borderId="21" xfId="0" applyNumberFormat="1" applyFont="1" applyFill="1" applyBorder="1"/>
    <xf numFmtId="44" fontId="2" fillId="0" borderId="22" xfId="0" applyNumberFormat="1" applyFont="1" applyFill="1" applyBorder="1"/>
    <xf numFmtId="17" fontId="37" fillId="0" borderId="16" xfId="0" applyNumberFormat="1" applyFont="1" applyFill="1" applyBorder="1" applyAlignment="1">
      <alignment horizontal="left"/>
    </xf>
    <xf numFmtId="44" fontId="2" fillId="0" borderId="13" xfId="0" applyNumberFormat="1" applyFont="1" applyFill="1" applyBorder="1"/>
    <xf numFmtId="17" fontId="2" fillId="0" borderId="13" xfId="0" applyNumberFormat="1" applyFont="1" applyFill="1" applyBorder="1" applyAlignment="1">
      <alignment horizontal="left"/>
    </xf>
    <xf numFmtId="44" fontId="3" fillId="0" borderId="0" xfId="4" applyNumberFormat="1" applyFont="1" applyFill="1" applyBorder="1" applyAlignment="1" applyProtection="1">
      <alignment horizontal="center"/>
      <protection locked="0"/>
    </xf>
    <xf numFmtId="43" fontId="2" fillId="0" borderId="0" xfId="1" applyFont="1" applyFill="1" applyBorder="1" applyAlignment="1">
      <alignment horizontal="left"/>
    </xf>
    <xf numFmtId="17" fontId="6" fillId="0" borderId="20" xfId="0" applyNumberFormat="1" applyFont="1" applyFill="1" applyBorder="1" applyAlignment="1">
      <alignment horizontal="left"/>
    </xf>
    <xf numFmtId="173" fontId="2" fillId="2" borderId="21" xfId="2" applyNumberFormat="1" applyFont="1" applyFill="1" applyBorder="1" applyAlignment="1">
      <alignment horizontal="right"/>
    </xf>
    <xf numFmtId="37" fontId="2" fillId="2" borderId="21" xfId="0" applyNumberFormat="1" applyFont="1" applyFill="1" applyBorder="1" applyAlignment="1" applyProtection="1">
      <alignment horizontal="center"/>
    </xf>
    <xf numFmtId="0" fontId="2" fillId="0" borderId="21" xfId="0" applyFont="1" applyFill="1" applyBorder="1"/>
    <xf numFmtId="0" fontId="2" fillId="0" borderId="22" xfId="0" applyFont="1" applyFill="1" applyBorder="1"/>
    <xf numFmtId="17" fontId="6" fillId="0" borderId="0" xfId="0" applyNumberFormat="1" applyFont="1" applyFill="1" applyBorder="1" applyAlignment="1">
      <alignment horizontal="left"/>
    </xf>
    <xf numFmtId="17" fontId="6" fillId="0" borderId="16" xfId="0" applyNumberFormat="1" applyFont="1" applyFill="1" applyBorder="1" applyAlignment="1">
      <alignment horizontal="left"/>
    </xf>
    <xf numFmtId="173" fontId="2" fillId="0" borderId="13" xfId="2" applyNumberFormat="1" applyFont="1" applyFill="1" applyBorder="1" applyAlignment="1">
      <alignment horizontal="right"/>
    </xf>
    <xf numFmtId="37" fontId="2" fillId="0" borderId="13" xfId="0" applyNumberFormat="1" applyFont="1" applyFill="1" applyBorder="1" applyAlignment="1" applyProtection="1">
      <alignment horizontal="center"/>
    </xf>
    <xf numFmtId="0" fontId="14" fillId="0" borderId="18" xfId="9" applyFont="1" applyFill="1" applyBorder="1" applyAlignment="1" applyProtection="1">
      <alignment horizontal="left"/>
      <protection locked="0"/>
    </xf>
    <xf numFmtId="0" fontId="2" fillId="0" borderId="0" xfId="9" applyFont="1" applyFill="1" applyBorder="1" applyAlignment="1" applyProtection="1">
      <alignment horizontal="left"/>
      <protection locked="0"/>
    </xf>
    <xf numFmtId="0" fontId="8" fillId="0" borderId="0" xfId="0" applyNumberFormat="1" applyFont="1" applyBorder="1" applyAlignment="1" applyProtection="1">
      <alignment wrapText="1"/>
      <protection locked="0"/>
    </xf>
    <xf numFmtId="0" fontId="2" fillId="0" borderId="19" xfId="9" applyFont="1" applyFill="1" applyBorder="1" applyAlignment="1">
      <alignment horizontal="center"/>
    </xf>
    <xf numFmtId="173" fontId="2" fillId="0" borderId="0" xfId="10" applyNumberFormat="1" applyFont="1" applyFill="1" applyBorder="1" applyAlignment="1">
      <alignment horizontal="center"/>
    </xf>
    <xf numFmtId="0" fontId="3" fillId="0" borderId="18" xfId="9" applyFont="1" applyFill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protection locked="0"/>
    </xf>
    <xf numFmtId="0" fontId="3" fillId="0" borderId="18" xfId="9" applyFont="1" applyFill="1" applyBorder="1" applyAlignment="1" applyProtection="1">
      <alignment horizontal="left" wrapText="1"/>
      <protection locked="0"/>
    </xf>
    <xf numFmtId="0" fontId="39" fillId="0" borderId="0" xfId="0" applyNumberFormat="1" applyFont="1" applyBorder="1" applyAlignment="1" applyProtection="1">
      <protection locked="0"/>
    </xf>
    <xf numFmtId="0" fontId="2" fillId="0" borderId="18" xfId="9" applyFont="1" applyFill="1" applyBorder="1" applyAlignment="1" applyProtection="1">
      <alignment horizontal="left"/>
      <protection locked="0"/>
    </xf>
    <xf numFmtId="0" fontId="40" fillId="0" borderId="18" xfId="9" applyFont="1" applyFill="1" applyBorder="1" applyAlignment="1" applyProtection="1">
      <alignment horizontal="left"/>
      <protection locked="0"/>
    </xf>
    <xf numFmtId="17" fontId="3" fillId="0" borderId="18" xfId="0" applyNumberFormat="1" applyFont="1" applyFill="1" applyBorder="1" applyAlignment="1">
      <alignment horizontal="left"/>
    </xf>
    <xf numFmtId="17" fontId="6" fillId="0" borderId="18" xfId="0" applyNumberFormat="1" applyFont="1" applyFill="1" applyBorder="1" applyAlignment="1">
      <alignment horizontal="left" wrapText="1"/>
    </xf>
    <xf numFmtId="175" fontId="3" fillId="0" borderId="0" xfId="4" applyNumberFormat="1" applyFont="1" applyFill="1" applyBorder="1" applyAlignment="1" applyProtection="1">
      <protection locked="0"/>
    </xf>
    <xf numFmtId="38" fontId="3" fillId="0" borderId="19" xfId="4" applyNumberFormat="1" applyFont="1" applyFill="1" applyBorder="1" applyAlignment="1" applyProtection="1">
      <protection locked="0"/>
    </xf>
    <xf numFmtId="173" fontId="2" fillId="0" borderId="21" xfId="2" applyNumberFormat="1" applyFont="1" applyFill="1" applyBorder="1" applyAlignment="1">
      <alignment horizontal="right"/>
    </xf>
    <xf numFmtId="37" fontId="2" fillId="0" borderId="21" xfId="0" applyNumberFormat="1" applyFont="1" applyFill="1" applyBorder="1" applyAlignment="1" applyProtection="1">
      <alignment horizontal="center"/>
    </xf>
    <xf numFmtId="17" fontId="20" fillId="0" borderId="16" xfId="0" applyNumberFormat="1" applyFont="1" applyFill="1" applyBorder="1" applyAlignment="1">
      <alignment horizontal="left"/>
    </xf>
    <xf numFmtId="39" fontId="6" fillId="0" borderId="13" xfId="0" applyNumberFormat="1" applyFont="1" applyFill="1" applyBorder="1" applyAlignment="1">
      <alignment horizontal="right"/>
    </xf>
    <xf numFmtId="44" fontId="6" fillId="0" borderId="17" xfId="0" applyNumberFormat="1" applyFont="1" applyFill="1" applyBorder="1"/>
    <xf numFmtId="0" fontId="6" fillId="0" borderId="18" xfId="4" applyNumberFormat="1" applyFont="1" applyFill="1" applyBorder="1" applyAlignment="1" applyProtection="1">
      <protection locked="0"/>
    </xf>
    <xf numFmtId="173" fontId="6" fillId="0" borderId="0" xfId="2" applyNumberFormat="1" applyFont="1" applyFill="1" applyBorder="1" applyAlignment="1" applyProtection="1">
      <protection locked="0"/>
    </xf>
    <xf numFmtId="38" fontId="6" fillId="0" borderId="0" xfId="4" applyNumberFormat="1" applyFont="1" applyFill="1" applyBorder="1" applyAlignment="1" applyProtection="1">
      <protection locked="0"/>
    </xf>
    <xf numFmtId="38" fontId="6" fillId="0" borderId="19" xfId="4" applyNumberFormat="1" applyFont="1" applyFill="1" applyBorder="1" applyAlignment="1" applyProtection="1">
      <protection locked="0"/>
    </xf>
    <xf numFmtId="173" fontId="6" fillId="0" borderId="0" xfId="2" applyNumberFormat="1" applyFont="1" applyFill="1" applyBorder="1" applyAlignment="1">
      <alignment horizontal="center"/>
    </xf>
    <xf numFmtId="38" fontId="6" fillId="0" borderId="1" xfId="4" applyNumberFormat="1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left" wrapText="1"/>
    </xf>
    <xf numFmtId="164" fontId="6" fillId="0" borderId="19" xfId="0" applyNumberFormat="1" applyFont="1" applyFill="1" applyBorder="1" applyAlignment="1"/>
    <xf numFmtId="0" fontId="2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0" fontId="6" fillId="0" borderId="18" xfId="0" applyFont="1" applyFill="1" applyBorder="1"/>
    <xf numFmtId="173" fontId="6" fillId="2" borderId="1" xfId="2" applyNumberFormat="1" applyFont="1" applyFill="1" applyBorder="1" applyAlignment="1">
      <alignment horizontal="left"/>
    </xf>
    <xf numFmtId="164" fontId="6" fillId="0" borderId="19" xfId="0" applyNumberFormat="1" applyFont="1" applyFill="1" applyBorder="1"/>
    <xf numFmtId="38" fontId="3" fillId="0" borderId="21" xfId="4" applyNumberFormat="1" applyFont="1" applyFill="1" applyBorder="1" applyAlignment="1" applyProtection="1">
      <protection locked="0"/>
    </xf>
    <xf numFmtId="38" fontId="3" fillId="0" borderId="22" xfId="4" applyNumberFormat="1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0" fontId="22" fillId="0" borderId="16" xfId="4" applyNumberFormat="1" applyFont="1" applyFill="1" applyBorder="1" applyAlignment="1" applyProtection="1">
      <protection locked="0"/>
    </xf>
    <xf numFmtId="38" fontId="3" fillId="0" borderId="13" xfId="4" applyNumberFormat="1" applyFont="1" applyFill="1" applyBorder="1" applyAlignment="1" applyProtection="1">
      <protection locked="0"/>
    </xf>
    <xf numFmtId="0" fontId="3" fillId="0" borderId="13" xfId="4" applyNumberFormat="1" applyFont="1" applyFill="1" applyBorder="1" applyAlignment="1" applyProtection="1">
      <protection locked="0"/>
    </xf>
    <xf numFmtId="0" fontId="3" fillId="0" borderId="17" xfId="4" applyNumberFormat="1" applyFont="1" applyFill="1" applyBorder="1" applyAlignment="1" applyProtection="1">
      <protection locked="0"/>
    </xf>
    <xf numFmtId="37" fontId="3" fillId="10" borderId="0" xfId="4" applyNumberFormat="1" applyFont="1" applyFill="1" applyBorder="1" applyAlignment="1" applyProtection="1">
      <protection locked="0"/>
    </xf>
    <xf numFmtId="0" fontId="3" fillId="10" borderId="10" xfId="4" applyNumberFormat="1" applyFont="1" applyFill="1" applyBorder="1" applyAlignment="1" applyProtection="1">
      <alignment horizontal="center"/>
      <protection locked="0"/>
    </xf>
    <xf numFmtId="38" fontId="3" fillId="10" borderId="10" xfId="4" applyNumberFormat="1" applyFont="1" applyFill="1" applyBorder="1" applyAlignment="1" applyProtection="1">
      <alignment horizontal="center"/>
      <protection locked="0"/>
    </xf>
    <xf numFmtId="167" fontId="3" fillId="0" borderId="19" xfId="1" applyNumberFormat="1" applyFont="1" applyFill="1" applyBorder="1" applyAlignment="1" applyProtection="1">
      <protection locked="0"/>
    </xf>
    <xf numFmtId="38" fontId="3" fillId="0" borderId="1" xfId="4" applyNumberFormat="1" applyFont="1" applyFill="1" applyBorder="1" applyAlignment="1" applyProtection="1">
      <protection locked="0"/>
    </xf>
    <xf numFmtId="167" fontId="21" fillId="0" borderId="19" xfId="1" applyNumberFormat="1" applyFont="1" applyFill="1" applyBorder="1" applyAlignment="1" applyProtection="1">
      <protection locked="0"/>
    </xf>
    <xf numFmtId="173" fontId="3" fillId="0" borderId="21" xfId="2" applyNumberFormat="1" applyFont="1" applyFill="1" applyBorder="1" applyAlignment="1" applyProtection="1">
      <protection locked="0"/>
    </xf>
    <xf numFmtId="172" fontId="14" fillId="0" borderId="21" xfId="3" applyNumberFormat="1" applyFont="1" applyFill="1" applyBorder="1" applyAlignment="1" applyProtection="1">
      <protection locked="0"/>
    </xf>
    <xf numFmtId="173" fontId="3" fillId="0" borderId="13" xfId="2" applyNumberFormat="1" applyFont="1" applyFill="1" applyBorder="1" applyAlignment="1" applyProtection="1">
      <protection locked="0"/>
    </xf>
    <xf numFmtId="38" fontId="3" fillId="0" borderId="17" xfId="4" applyNumberFormat="1" applyFont="1" applyFill="1" applyBorder="1" applyAlignment="1" applyProtection="1">
      <protection locked="0"/>
    </xf>
    <xf numFmtId="38" fontId="3" fillId="10" borderId="21" xfId="4" applyNumberFormat="1" applyFont="1" applyFill="1" applyBorder="1" applyAlignment="1" applyProtection="1">
      <protection locked="0"/>
    </xf>
    <xf numFmtId="0" fontId="3" fillId="0" borderId="16" xfId="4" applyNumberFormat="1" applyFont="1" applyFill="1" applyBorder="1" applyAlignment="1" applyProtection="1">
      <protection locked="0"/>
    </xf>
    <xf numFmtId="38" fontId="14" fillId="0" borderId="0" xfId="4" applyNumberFormat="1" applyFont="1" applyFill="1" applyBorder="1" applyAlignment="1" applyProtection="1">
      <alignment wrapText="1"/>
      <protection locked="0"/>
    </xf>
    <xf numFmtId="37" fontId="2" fillId="0" borderId="0" xfId="0" applyNumberFormat="1" applyFont="1" applyFill="1" applyBorder="1" applyAlignment="1" applyProtection="1">
      <alignment horizontal="center" wrapText="1"/>
    </xf>
    <xf numFmtId="0" fontId="3" fillId="0" borderId="0" xfId="4" applyNumberFormat="1" applyFont="1" applyFill="1" applyBorder="1" applyAlignment="1" applyProtection="1">
      <alignment wrapText="1"/>
      <protection locked="0"/>
    </xf>
    <xf numFmtId="9" fontId="3" fillId="0" borderId="19" xfId="3" applyFont="1" applyFill="1" applyBorder="1" applyAlignment="1" applyProtection="1">
      <protection locked="0"/>
    </xf>
    <xf numFmtId="38" fontId="14" fillId="0" borderId="0" xfId="4" applyNumberFormat="1" applyFont="1" applyFill="1" applyBorder="1" applyAlignment="1" applyProtection="1">
      <protection locked="0"/>
    </xf>
    <xf numFmtId="0" fontId="14" fillId="0" borderId="0" xfId="4" applyNumberFormat="1" applyFont="1" applyFill="1" applyBorder="1" applyAlignment="1" applyProtection="1">
      <protection locked="0"/>
    </xf>
    <xf numFmtId="37" fontId="2" fillId="0" borderId="0" xfId="0" applyNumberFormat="1" applyFont="1" applyFill="1" applyBorder="1" applyAlignment="1" applyProtection="1">
      <alignment horizontal="left"/>
    </xf>
    <xf numFmtId="0" fontId="21" fillId="0" borderId="0" xfId="4" applyNumberFormat="1" applyFont="1" applyFill="1" applyBorder="1" applyAlignment="1" applyProtection="1">
      <protection locked="0"/>
    </xf>
    <xf numFmtId="172" fontId="3" fillId="15" borderId="0" xfId="3" applyNumberFormat="1" applyFont="1" applyFill="1" applyBorder="1" applyAlignment="1" applyProtection="1">
      <protection locked="0"/>
    </xf>
    <xf numFmtId="37" fontId="2" fillId="10" borderId="1" xfId="0" applyNumberFormat="1" applyFont="1" applyFill="1" applyBorder="1" applyAlignment="1" applyProtection="1">
      <alignment horizontal="center"/>
    </xf>
    <xf numFmtId="176" fontId="3" fillId="0" borderId="18" xfId="4" applyNumberFormat="1" applyFont="1" applyFill="1" applyBorder="1" applyAlignment="1" applyProtection="1">
      <protection locked="0"/>
    </xf>
    <xf numFmtId="38" fontId="3" fillId="0" borderId="0" xfId="4" applyNumberFormat="1" applyFont="1" applyFill="1" applyBorder="1" applyAlignment="1" applyProtection="1">
      <alignment horizontal="center"/>
      <protection locked="0"/>
    </xf>
    <xf numFmtId="1" fontId="3" fillId="0" borderId="0" xfId="2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</xf>
    <xf numFmtId="2" fontId="3" fillId="0" borderId="0" xfId="2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172" fontId="3" fillId="15" borderId="0" xfId="3" applyNumberFormat="1" applyFont="1" applyFill="1" applyBorder="1" applyAlignment="1" applyProtection="1">
      <alignment horizontal="center"/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1" xfId="4" applyNumberFormat="1" applyFont="1" applyFill="1" applyBorder="1" applyAlignment="1" applyProtection="1">
      <protection locked="0"/>
    </xf>
    <xf numFmtId="172" fontId="3" fillId="0" borderId="21" xfId="3" applyNumberFormat="1" applyFont="1" applyFill="1" applyBorder="1" applyAlignment="1" applyProtection="1">
      <alignment horizontal="center"/>
      <protection locked="0"/>
    </xf>
    <xf numFmtId="2" fontId="3" fillId="0" borderId="0" xfId="4" applyNumberFormat="1" applyFont="1" applyFill="1" applyBorder="1" applyAlignment="1" applyProtection="1">
      <protection locked="0"/>
    </xf>
    <xf numFmtId="0" fontId="3" fillId="10" borderId="0" xfId="0" applyFont="1" applyFill="1" applyBorder="1" applyAlignment="1">
      <alignment vertical="center"/>
    </xf>
    <xf numFmtId="37" fontId="3" fillId="11" borderId="0" xfId="4" applyNumberFormat="1" applyFont="1" applyFill="1" applyBorder="1" applyAlignment="1" applyProtection="1">
      <alignment horizontal="center"/>
      <protection locked="0"/>
    </xf>
    <xf numFmtId="0" fontId="3" fillId="10" borderId="23" xfId="0" applyNumberFormat="1" applyFont="1" applyFill="1" applyBorder="1" applyAlignment="1" applyProtection="1">
      <protection locked="0"/>
    </xf>
    <xf numFmtId="175" fontId="3" fillId="10" borderId="24" xfId="4" applyNumberFormat="1" applyFont="1" applyFill="1" applyBorder="1" applyAlignment="1" applyProtection="1">
      <protection locked="0"/>
    </xf>
    <xf numFmtId="38" fontId="3" fillId="10" borderId="24" xfId="4" applyNumberFormat="1" applyFont="1" applyFill="1" applyBorder="1" applyAlignment="1" applyProtection="1">
      <protection locked="0"/>
    </xf>
    <xf numFmtId="38" fontId="3" fillId="11" borderId="24" xfId="4" applyNumberFormat="1" applyFont="1" applyFill="1" applyBorder="1" applyAlignment="1" applyProtection="1">
      <protection locked="0"/>
    </xf>
    <xf numFmtId="0" fontId="3" fillId="10" borderId="24" xfId="4" applyNumberFormat="1" applyFont="1" applyFill="1" applyBorder="1" applyAlignment="1" applyProtection="1">
      <alignment wrapText="1"/>
      <protection locked="0"/>
    </xf>
    <xf numFmtId="0" fontId="3" fillId="10" borderId="24" xfId="4" applyNumberFormat="1" applyFont="1" applyFill="1" applyBorder="1" applyAlignment="1" applyProtection="1">
      <protection locked="0"/>
    </xf>
    <xf numFmtId="0" fontId="3" fillId="10" borderId="25" xfId="4" applyNumberFormat="1" applyFont="1" applyFill="1" applyBorder="1" applyAlignment="1" applyProtection="1">
      <protection locked="0"/>
    </xf>
    <xf numFmtId="0" fontId="14" fillId="10" borderId="18" xfId="0" applyNumberFormat="1" applyFont="1" applyFill="1" applyBorder="1" applyAlignment="1" applyProtection="1">
      <protection locked="0"/>
    </xf>
    <xf numFmtId="175" fontId="3" fillId="10" borderId="0" xfId="4" applyNumberFormat="1" applyFont="1" applyFill="1" applyBorder="1" applyAlignment="1" applyProtection="1">
      <protection locked="0"/>
    </xf>
    <xf numFmtId="38" fontId="3" fillId="11" borderId="0" xfId="4" applyNumberFormat="1" applyFont="1" applyFill="1" applyBorder="1" applyAlignment="1" applyProtection="1">
      <protection locked="0"/>
    </xf>
    <xf numFmtId="0" fontId="3" fillId="10" borderId="0" xfId="4" applyNumberFormat="1" applyFont="1" applyFill="1" applyBorder="1" applyAlignment="1" applyProtection="1">
      <alignment wrapText="1"/>
      <protection locked="0"/>
    </xf>
    <xf numFmtId="0" fontId="3" fillId="10" borderId="0" xfId="4" applyNumberFormat="1" applyFont="1" applyFill="1" applyBorder="1" applyAlignment="1" applyProtection="1">
      <protection locked="0"/>
    </xf>
    <xf numFmtId="0" fontId="3" fillId="10" borderId="19" xfId="4" applyNumberFormat="1" applyFont="1" applyFill="1" applyBorder="1" applyAlignment="1" applyProtection="1">
      <protection locked="0"/>
    </xf>
    <xf numFmtId="1" fontId="3" fillId="0" borderId="18" xfId="4" applyNumberFormat="1" applyFont="1" applyFill="1" applyBorder="1" applyAlignment="1" applyProtection="1">
      <alignment horizontal="center"/>
      <protection locked="0"/>
    </xf>
    <xf numFmtId="175" fontId="2" fillId="0" borderId="0" xfId="0" applyNumberFormat="1" applyFont="1" applyFill="1" applyBorder="1"/>
    <xf numFmtId="44" fontId="3" fillId="11" borderId="0" xfId="2" applyFont="1" applyFill="1" applyBorder="1" applyAlignment="1" applyProtection="1">
      <protection locked="0"/>
    </xf>
    <xf numFmtId="44" fontId="3" fillId="0" borderId="19" xfId="4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>
      <alignment horizontal="center"/>
    </xf>
    <xf numFmtId="14" fontId="2" fillId="0" borderId="0" xfId="0" applyNumberFormat="1" applyFont="1" applyFill="1" applyBorder="1"/>
    <xf numFmtId="44" fontId="2" fillId="0" borderId="0" xfId="2" applyFont="1" applyFill="1" applyBorder="1" applyAlignment="1">
      <alignment horizontal="center" wrapText="1"/>
    </xf>
    <xf numFmtId="44" fontId="2" fillId="0" borderId="0" xfId="2" applyFont="1" applyFill="1" applyBorder="1" applyAlignment="1">
      <alignment horizontal="center"/>
    </xf>
    <xf numFmtId="0" fontId="2" fillId="0" borderId="19" xfId="11" applyFont="1" applyFill="1" applyBorder="1" applyAlignment="1">
      <alignment horizontal="center"/>
    </xf>
    <xf numFmtId="175" fontId="2" fillId="0" borderId="0" xfId="2" applyNumberFormat="1" applyFont="1" applyFill="1" applyBorder="1"/>
    <xf numFmtId="4" fontId="2" fillId="0" borderId="19" xfId="11" applyNumberFormat="1" applyFont="1" applyFill="1" applyBorder="1" applyAlignment="1">
      <alignment horizontal="center"/>
    </xf>
    <xf numFmtId="10" fontId="2" fillId="0" borderId="19" xfId="11" applyNumberFormat="1" applyFont="1" applyFill="1" applyBorder="1" applyAlignment="1">
      <alignment horizontal="center"/>
    </xf>
    <xf numFmtId="175" fontId="2" fillId="11" borderId="0" xfId="2" applyNumberFormat="1" applyFont="1" applyFill="1" applyBorder="1"/>
    <xf numFmtId="175" fontId="3" fillId="0" borderId="0" xfId="2" applyNumberFormat="1" applyFont="1" applyFill="1" applyBorder="1" applyAlignment="1" applyProtection="1">
      <protection locked="0"/>
    </xf>
    <xf numFmtId="44" fontId="41" fillId="0" borderId="0" xfId="2" applyFont="1" applyFill="1" applyBorder="1" applyAlignment="1" applyProtection="1">
      <protection locked="0"/>
    </xf>
    <xf numFmtId="175" fontId="3" fillId="11" borderId="0" xfId="4" applyNumberFormat="1" applyFont="1" applyFill="1" applyBorder="1" applyAlignment="1" applyProtection="1">
      <protection locked="0"/>
    </xf>
    <xf numFmtId="4" fontId="3" fillId="0" borderId="0" xfId="4" applyNumberFormat="1" applyFont="1" applyFill="1" applyBorder="1" applyAlignment="1" applyProtection="1">
      <protection locked="0"/>
    </xf>
    <xf numFmtId="4" fontId="3" fillId="0" borderId="0" xfId="2" applyNumberFormat="1" applyFont="1" applyFill="1" applyBorder="1" applyAlignment="1" applyProtection="1">
      <protection locked="0"/>
    </xf>
    <xf numFmtId="4" fontId="3" fillId="11" borderId="0" xfId="2" applyNumberFormat="1" applyFont="1" applyFill="1" applyBorder="1" applyAlignment="1" applyProtection="1">
      <protection locked="0"/>
    </xf>
    <xf numFmtId="0" fontId="3" fillId="0" borderId="18" xfId="4" applyNumberFormat="1" applyFont="1" applyFill="1" applyBorder="1" applyAlignment="1" applyProtection="1">
      <alignment horizontal="center"/>
      <protection locked="0"/>
    </xf>
    <xf numFmtId="4" fontId="3" fillId="11" borderId="0" xfId="4" applyNumberFormat="1" applyFont="1" applyFill="1" applyBorder="1" applyAlignment="1" applyProtection="1">
      <protection locked="0"/>
    </xf>
    <xf numFmtId="0" fontId="14" fillId="11" borderId="18" xfId="4" applyNumberFormat="1" applyFont="1" applyFill="1" applyBorder="1" applyAlignment="1" applyProtection="1">
      <protection locked="0"/>
    </xf>
    <xf numFmtId="0" fontId="3" fillId="11" borderId="18" xfId="4" applyNumberFormat="1" applyFont="1" applyFill="1" applyBorder="1" applyAlignment="1" applyProtection="1">
      <protection locked="0"/>
    </xf>
    <xf numFmtId="44" fontId="14" fillId="12" borderId="0" xfId="2" applyFont="1" applyFill="1" applyBorder="1" applyAlignment="1" applyProtection="1">
      <protection locked="0"/>
    </xf>
    <xf numFmtId="4" fontId="14" fillId="13" borderId="0" xfId="4" applyNumberFormat="1" applyFont="1" applyFill="1" applyBorder="1" applyAlignment="1" applyProtection="1">
      <protection locked="0"/>
    </xf>
    <xf numFmtId="4" fontId="14" fillId="0" borderId="0" xfId="4" applyNumberFormat="1" applyFont="1" applyFill="1" applyBorder="1" applyAlignment="1" applyProtection="1">
      <protection locked="0"/>
    </xf>
    <xf numFmtId="44" fontId="3" fillId="12" borderId="0" xfId="2" applyFont="1" applyFill="1" applyBorder="1" applyAlignment="1" applyProtection="1">
      <protection locked="0"/>
    </xf>
    <xf numFmtId="4" fontId="3" fillId="10" borderId="0" xfId="4" applyNumberFormat="1" applyFont="1" applyFill="1" applyBorder="1" applyAlignment="1" applyProtection="1">
      <protection locked="0"/>
    </xf>
    <xf numFmtId="4" fontId="3" fillId="13" borderId="0" xfId="4" applyNumberFormat="1" applyFont="1" applyFill="1" applyBorder="1" applyAlignment="1" applyProtection="1">
      <protection locked="0"/>
    </xf>
    <xf numFmtId="175" fontId="3" fillId="0" borderId="21" xfId="4" applyNumberFormat="1" applyFont="1" applyFill="1" applyBorder="1" applyAlignment="1" applyProtection="1">
      <protection locked="0"/>
    </xf>
    <xf numFmtId="4" fontId="3" fillId="0" borderId="21" xfId="4" applyNumberFormat="1" applyFont="1" applyFill="1" applyBorder="1" applyAlignment="1" applyProtection="1">
      <protection locked="0"/>
    </xf>
    <xf numFmtId="0" fontId="14" fillId="0" borderId="16" xfId="4" applyNumberFormat="1" applyFont="1" applyFill="1" applyBorder="1" applyAlignment="1" applyProtection="1">
      <protection locked="0"/>
    </xf>
    <xf numFmtId="175" fontId="3" fillId="0" borderId="13" xfId="4" applyNumberFormat="1" applyFont="1" applyFill="1" applyBorder="1" applyAlignment="1" applyProtection="1">
      <protection locked="0"/>
    </xf>
    <xf numFmtId="167" fontId="3" fillId="0" borderId="0" xfId="1" applyNumberFormat="1" applyFont="1" applyFill="1" applyBorder="1" applyAlignment="1" applyProtection="1">
      <protection locked="0"/>
    </xf>
    <xf numFmtId="38" fontId="3" fillId="2" borderId="0" xfId="4" applyNumberFormat="1" applyFont="1" applyFill="1" applyBorder="1" applyAlignment="1" applyProtection="1">
      <protection locked="0"/>
    </xf>
    <xf numFmtId="4" fontId="3" fillId="0" borderId="17" xfId="4" applyNumberFormat="1" applyFont="1" applyFill="1" applyBorder="1" applyAlignment="1" applyProtection="1">
      <protection locked="0"/>
    </xf>
    <xf numFmtId="4" fontId="3" fillId="0" borderId="19" xfId="4" applyNumberFormat="1" applyFont="1" applyFill="1" applyBorder="1" applyAlignment="1" applyProtection="1">
      <protection locked="0"/>
    </xf>
    <xf numFmtId="3" fontId="3" fillId="12" borderId="0" xfId="4" applyNumberFormat="1" applyFont="1" applyFill="1" applyBorder="1" applyAlignment="1" applyProtection="1">
      <protection locked="0"/>
    </xf>
    <xf numFmtId="1" fontId="3" fillId="0" borderId="0" xfId="4" applyNumberFormat="1" applyFont="1" applyFill="1" applyBorder="1" applyAlignment="1" applyProtection="1">
      <protection locked="0"/>
    </xf>
    <xf numFmtId="173" fontId="3" fillId="12" borderId="1" xfId="2" applyNumberFormat="1" applyFont="1" applyFill="1" applyBorder="1" applyAlignment="1" applyProtection="1">
      <protection locked="0"/>
    </xf>
    <xf numFmtId="173" fontId="3" fillId="16" borderId="0" xfId="2" applyNumberFormat="1" applyFont="1" applyFill="1" applyBorder="1" applyAlignment="1" applyProtection="1">
      <protection locked="0"/>
    </xf>
    <xf numFmtId="4" fontId="3" fillId="16" borderId="19" xfId="4" applyNumberFormat="1" applyFont="1" applyFill="1" applyBorder="1" applyAlignment="1" applyProtection="1">
      <protection locked="0"/>
    </xf>
    <xf numFmtId="1" fontId="3" fillId="10" borderId="0" xfId="4" applyNumberFormat="1" applyFont="1" applyFill="1" applyBorder="1" applyAlignment="1" applyProtection="1">
      <protection locked="0"/>
    </xf>
    <xf numFmtId="4" fontId="3" fillId="10" borderId="19" xfId="4" applyNumberFormat="1" applyFont="1" applyFill="1" applyBorder="1" applyAlignment="1" applyProtection="1">
      <protection locked="0"/>
    </xf>
    <xf numFmtId="173" fontId="3" fillId="12" borderId="0" xfId="2" applyNumberFormat="1" applyFont="1" applyFill="1" applyBorder="1" applyAlignment="1" applyProtection="1">
      <protection locked="0"/>
    </xf>
    <xf numFmtId="37" fontId="3" fillId="0" borderId="0" xfId="2" applyNumberFormat="1" applyFont="1" applyFill="1" applyBorder="1" applyAlignment="1" applyProtection="1">
      <protection locked="0"/>
    </xf>
    <xf numFmtId="173" fontId="29" fillId="12" borderId="0" xfId="2" applyNumberFormat="1" applyFont="1" applyFill="1" applyBorder="1" applyAlignment="1" applyProtection="1">
      <alignment horizontal="left"/>
      <protection locked="0"/>
    </xf>
    <xf numFmtId="173" fontId="29" fillId="0" borderId="0" xfId="2" applyNumberFormat="1" applyFont="1" applyFill="1" applyBorder="1" applyAlignment="1" applyProtection="1">
      <protection locked="0"/>
    </xf>
    <xf numFmtId="37" fontId="3" fillId="10" borderId="0" xfId="2" applyNumberFormat="1" applyFont="1" applyFill="1" applyBorder="1" applyAlignment="1" applyProtection="1">
      <protection locked="0"/>
    </xf>
    <xf numFmtId="173" fontId="29" fillId="12" borderId="0" xfId="2" applyNumberFormat="1" applyFont="1" applyFill="1" applyBorder="1" applyAlignment="1" applyProtection="1">
      <protection locked="0"/>
    </xf>
    <xf numFmtId="173" fontId="3" fillId="10" borderId="21" xfId="2" applyNumberFormat="1" applyFont="1" applyFill="1" applyBorder="1" applyAlignment="1" applyProtection="1">
      <protection locked="0"/>
    </xf>
    <xf numFmtId="175" fontId="14" fillId="10" borderId="21" xfId="4" applyNumberFormat="1" applyFont="1" applyFill="1" applyBorder="1" applyAlignment="1" applyProtection="1">
      <protection locked="0"/>
    </xf>
    <xf numFmtId="4" fontId="3" fillId="0" borderId="22" xfId="4" applyNumberFormat="1" applyFont="1" applyFill="1" applyBorder="1" applyAlignment="1" applyProtection="1">
      <protection locked="0"/>
    </xf>
    <xf numFmtId="4" fontId="3" fillId="0" borderId="13" xfId="4" applyNumberFormat="1" applyFont="1" applyFill="1" applyBorder="1" applyAlignment="1" applyProtection="1">
      <protection locked="0"/>
    </xf>
    <xf numFmtId="0" fontId="3" fillId="17" borderId="0" xfId="4" applyNumberFormat="1" applyFont="1" applyFill="1" applyBorder="1" applyAlignment="1" applyProtection="1">
      <alignment wrapText="1"/>
      <protection locked="0"/>
    </xf>
    <xf numFmtId="0" fontId="3" fillId="0" borderId="19" xfId="4" applyNumberFormat="1" applyFont="1" applyFill="1" applyBorder="1" applyAlignment="1" applyProtection="1">
      <alignment horizontal="center" wrapText="1"/>
      <protection locked="0"/>
    </xf>
    <xf numFmtId="0" fontId="3" fillId="17" borderId="0" xfId="4" applyNumberFormat="1" applyFont="1" applyFill="1" applyBorder="1" applyAlignment="1" applyProtection="1">
      <protection locked="0"/>
    </xf>
    <xf numFmtId="9" fontId="3" fillId="0" borderId="19" xfId="3" applyFont="1" applyFill="1" applyBorder="1" applyAlignment="1" applyProtection="1">
      <alignment wrapText="1"/>
      <protection locked="0"/>
    </xf>
    <xf numFmtId="172" fontId="3" fillId="0" borderId="19" xfId="3" applyNumberFormat="1" applyFont="1" applyFill="1" applyBorder="1" applyAlignment="1" applyProtection="1">
      <protection locked="0"/>
    </xf>
    <xf numFmtId="0" fontId="3" fillId="0" borderId="18" xfId="4" applyNumberFormat="1" applyFont="1" applyFill="1" applyBorder="1" applyAlignment="1" applyProtection="1">
      <alignment horizontal="right"/>
      <protection locked="0"/>
    </xf>
    <xf numFmtId="172" fontId="3" fillId="10" borderId="19" xfId="3" applyNumberFormat="1" applyFont="1" applyFill="1" applyBorder="1" applyAlignment="1" applyProtection="1">
      <protection locked="0"/>
    </xf>
    <xf numFmtId="0" fontId="14" fillId="13" borderId="18" xfId="4" applyNumberFormat="1" applyFont="1" applyFill="1" applyBorder="1" applyAlignment="1" applyProtection="1">
      <protection locked="0"/>
    </xf>
    <xf numFmtId="175" fontId="3" fillId="13" borderId="0" xfId="4" applyNumberFormat="1" applyFont="1" applyFill="1" applyBorder="1" applyAlignment="1" applyProtection="1">
      <protection locked="0"/>
    </xf>
    <xf numFmtId="38" fontId="3" fillId="13" borderId="0" xfId="4" applyNumberFormat="1" applyFont="1" applyFill="1" applyBorder="1" applyAlignment="1" applyProtection="1">
      <protection locked="0"/>
    </xf>
    <xf numFmtId="172" fontId="3" fillId="13" borderId="19" xfId="3" applyNumberFormat="1" applyFont="1" applyFill="1" applyBorder="1" applyAlignment="1" applyProtection="1">
      <protection locked="0"/>
    </xf>
    <xf numFmtId="43" fontId="42" fillId="15" borderId="0" xfId="1" applyFont="1" applyFill="1" applyBorder="1" applyAlignment="1">
      <alignment horizontal="center" wrapText="1"/>
    </xf>
    <xf numFmtId="43" fontId="42" fillId="18" borderId="0" xfId="1" applyFont="1" applyFill="1" applyBorder="1" applyAlignment="1">
      <alignment horizontal="center" wrapText="1"/>
    </xf>
    <xf numFmtId="175" fontId="14" fillId="0" borderId="0" xfId="4" applyNumberFormat="1" applyFont="1" applyFill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0" fillId="0" borderId="19" xfId="0" applyNumberFormat="1" applyFont="1" applyBorder="1" applyAlignment="1" applyProtection="1">
      <protection locked="0"/>
    </xf>
    <xf numFmtId="175" fontId="2" fillId="0" borderId="0" xfId="0" applyNumberFormat="1" applyFont="1" applyBorder="1" applyAlignment="1" applyProtection="1">
      <alignment horizontal="center"/>
    </xf>
    <xf numFmtId="37" fontId="6" fillId="0" borderId="18" xfId="0" applyNumberFormat="1" applyFont="1" applyBorder="1" applyAlignment="1" applyProtection="1"/>
    <xf numFmtId="167" fontId="3" fillId="10" borderId="0" xfId="1" applyNumberFormat="1" applyFont="1" applyFill="1" applyBorder="1" applyAlignment="1" applyProtection="1">
      <protection locked="0"/>
    </xf>
    <xf numFmtId="1" fontId="3" fillId="10" borderId="0" xfId="4" applyNumberFormat="1" applyFont="1" applyFill="1" applyBorder="1" applyAlignment="1" applyProtection="1">
      <alignment horizontal="center"/>
      <protection locked="0"/>
    </xf>
    <xf numFmtId="0" fontId="35" fillId="0" borderId="18" xfId="4" applyNumberFormat="1" applyFont="1" applyFill="1" applyBorder="1" applyAlignment="1" applyProtection="1">
      <protection locked="0"/>
    </xf>
    <xf numFmtId="37" fontId="6" fillId="0" borderId="20" xfId="0" applyNumberFormat="1" applyFont="1" applyBorder="1" applyAlignment="1" applyProtection="1"/>
    <xf numFmtId="167" fontId="3" fillId="0" borderId="21" xfId="1" applyNumberFormat="1" applyFont="1" applyFill="1" applyBorder="1" applyAlignment="1" applyProtection="1">
      <protection locked="0"/>
    </xf>
    <xf numFmtId="1" fontId="3" fillId="0" borderId="21" xfId="4" applyNumberFormat="1" applyFont="1" applyFill="1" applyBorder="1" applyAlignment="1" applyProtection="1">
      <protection locked="0"/>
    </xf>
    <xf numFmtId="0" fontId="43" fillId="0" borderId="18" xfId="0" applyFont="1" applyBorder="1"/>
    <xf numFmtId="167" fontId="19" fillId="0" borderId="0" xfId="12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9" fontId="19" fillId="0" borderId="0" xfId="13" applyFont="1" applyBorder="1" applyAlignment="1">
      <alignment horizontal="center" wrapText="1"/>
    </xf>
    <xf numFmtId="167" fontId="19" fillId="0" borderId="0" xfId="0" applyNumberFormat="1" applyFont="1" applyBorder="1" applyAlignment="1">
      <alignment horizontal="center" wrapText="1"/>
    </xf>
    <xf numFmtId="173" fontId="0" fillId="0" borderId="0" xfId="0" applyNumberFormat="1" applyBorder="1"/>
    <xf numFmtId="173" fontId="19" fillId="0" borderId="19" xfId="0" applyNumberFormat="1" applyFont="1" applyBorder="1" applyAlignment="1">
      <alignment horizontal="center" wrapText="1"/>
    </xf>
    <xf numFmtId="0" fontId="44" fillId="0" borderId="18" xfId="0" applyFont="1" applyBorder="1"/>
    <xf numFmtId="0" fontId="0" fillId="0" borderId="10" xfId="0" applyBorder="1" applyAlignment="1">
      <alignment horizontal="center"/>
    </xf>
    <xf numFmtId="9" fontId="0" fillId="0" borderId="10" xfId="13" applyFont="1" applyBorder="1" applyAlignment="1">
      <alignment horizontal="center"/>
    </xf>
    <xf numFmtId="0" fontId="0" fillId="0" borderId="10" xfId="0" applyBorder="1"/>
    <xf numFmtId="0" fontId="0" fillId="0" borderId="26" xfId="0" applyBorder="1"/>
    <xf numFmtId="0" fontId="45" fillId="0" borderId="18" xfId="0" applyFont="1" applyBorder="1"/>
    <xf numFmtId="173" fontId="0" fillId="0" borderId="0" xfId="6" applyNumberFormat="1" applyFont="1" applyBorder="1"/>
    <xf numFmtId="173" fontId="0" fillId="10" borderId="0" xfId="6" applyNumberFormat="1" applyFont="1" applyFill="1" applyBorder="1"/>
    <xf numFmtId="9" fontId="0" fillId="0" borderId="0" xfId="13" applyFont="1" applyFill="1" applyBorder="1"/>
    <xf numFmtId="173" fontId="0" fillId="0" borderId="19" xfId="6" applyNumberFormat="1" applyFont="1" applyBorder="1"/>
    <xf numFmtId="9" fontId="0" fillId="0" borderId="0" xfId="13" applyFont="1" applyBorder="1"/>
    <xf numFmtId="173" fontId="0" fillId="0" borderId="21" xfId="6" applyNumberFormat="1" applyFont="1" applyBorder="1"/>
    <xf numFmtId="9" fontId="0" fillId="0" borderId="21" xfId="13" applyFont="1" applyBorder="1"/>
    <xf numFmtId="173" fontId="0" fillId="0" borderId="22" xfId="6" applyNumberFormat="1" applyFont="1" applyBorder="1"/>
    <xf numFmtId="173" fontId="0" fillId="0" borderId="27" xfId="6" applyNumberFormat="1" applyFont="1" applyBorder="1"/>
    <xf numFmtId="173" fontId="46" fillId="0" borderId="27" xfId="6" applyNumberFormat="1" applyFont="1" applyBorder="1"/>
    <xf numFmtId="9" fontId="0" fillId="0" borderId="27" xfId="13" applyFont="1" applyBorder="1"/>
    <xf numFmtId="173" fontId="0" fillId="0" borderId="28" xfId="6" applyNumberFormat="1" applyFont="1" applyBorder="1"/>
    <xf numFmtId="173" fontId="47" fillId="0" borderId="0" xfId="6" applyNumberFormat="1" applyFont="1" applyBorder="1"/>
    <xf numFmtId="173" fontId="19" fillId="0" borderId="19" xfId="6" applyNumberFormat="1" applyFont="1" applyBorder="1" applyAlignment="1">
      <alignment wrapText="1"/>
    </xf>
    <xf numFmtId="0" fontId="48" fillId="0" borderId="18" xfId="0" applyFont="1" applyBorder="1"/>
    <xf numFmtId="173" fontId="0" fillId="0" borderId="0" xfId="6" applyNumberFormat="1" applyFont="1" applyFill="1" applyBorder="1"/>
    <xf numFmtId="10" fontId="0" fillId="0" borderId="0" xfId="13" applyNumberFormat="1" applyFont="1" applyBorder="1"/>
    <xf numFmtId="173" fontId="0" fillId="0" borderId="21" xfId="13" applyNumberFormat="1" applyFont="1" applyBorder="1"/>
    <xf numFmtId="173" fontId="0" fillId="0" borderId="0" xfId="13" applyNumberFormat="1" applyFont="1" applyBorder="1"/>
    <xf numFmtId="0" fontId="0" fillId="0" borderId="0" xfId="0" applyBorder="1"/>
    <xf numFmtId="0" fontId="0" fillId="0" borderId="19" xfId="0" applyBorder="1"/>
    <xf numFmtId="0" fontId="43" fillId="0" borderId="20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173" fontId="0" fillId="0" borderId="21" xfId="0" applyNumberFormat="1" applyBorder="1" applyAlignment="1">
      <alignment wrapText="1"/>
    </xf>
    <xf numFmtId="0" fontId="0" fillId="0" borderId="21" xfId="0" applyBorder="1" applyAlignment="1">
      <alignment wrapText="1"/>
    </xf>
    <xf numFmtId="43" fontId="0" fillId="0" borderId="21" xfId="12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18" xfId="0" applyBorder="1"/>
    <xf numFmtId="0" fontId="43" fillId="0" borderId="8" xfId="0" applyFont="1" applyBorder="1"/>
    <xf numFmtId="0" fontId="19" fillId="0" borderId="10" xfId="0" applyFont="1" applyBorder="1" applyAlignment="1">
      <alignment horizontal="center" wrapText="1"/>
    </xf>
    <xf numFmtId="9" fontId="19" fillId="0" borderId="10" xfId="13" applyFont="1" applyBorder="1" applyAlignment="1">
      <alignment horizontal="center" wrapText="1"/>
    </xf>
    <xf numFmtId="167" fontId="0" fillId="0" borderId="0" xfId="12" applyNumberFormat="1" applyFont="1" applyBorder="1"/>
    <xf numFmtId="167" fontId="0" fillId="0" borderId="0" xfId="0" applyNumberFormat="1" applyBorder="1"/>
    <xf numFmtId="167" fontId="0" fillId="10" borderId="0" xfId="12" applyNumberFormat="1" applyFont="1" applyFill="1" applyBorder="1"/>
    <xf numFmtId="0" fontId="6" fillId="0" borderId="18" xfId="8" applyNumberFormat="1" applyFont="1" applyBorder="1" applyAlignment="1" applyProtection="1">
      <alignment horizontal="left"/>
      <protection locked="0"/>
    </xf>
    <xf numFmtId="173" fontId="6" fillId="0" borderId="0" xfId="14" applyNumberFormat="1" applyFont="1" applyBorder="1" applyAlignment="1" applyProtection="1">
      <protection locked="0"/>
    </xf>
    <xf numFmtId="0" fontId="6" fillId="0" borderId="0" xfId="8" applyNumberFormat="1" applyFont="1" applyBorder="1" applyAlignment="1" applyProtection="1">
      <protection locked="0"/>
    </xf>
    <xf numFmtId="173" fontId="6" fillId="0" borderId="1" xfId="14" applyNumberFormat="1" applyFont="1" applyBorder="1" applyAlignment="1" applyProtection="1">
      <protection locked="0"/>
    </xf>
    <xf numFmtId="0" fontId="6" fillId="0" borderId="0" xfId="8" applyNumberFormat="1" applyFont="1" applyBorder="1" applyAlignment="1" applyProtection="1">
      <alignment wrapText="1"/>
      <protection locked="0"/>
    </xf>
    <xf numFmtId="173" fontId="6" fillId="0" borderId="0" xfId="0" applyNumberFormat="1" applyFont="1" applyBorder="1"/>
    <xf numFmtId="0" fontId="30" fillId="0" borderId="18" xfId="0" applyFont="1" applyBorder="1"/>
    <xf numFmtId="173" fontId="6" fillId="0" borderId="0" xfId="14" applyNumberFormat="1" applyFont="1" applyFill="1" applyBorder="1" applyAlignment="1" applyProtection="1">
      <protection locked="0"/>
    </xf>
    <xf numFmtId="9" fontId="8" fillId="0" borderId="0" xfId="13" applyFont="1" applyBorder="1" applyAlignment="1">
      <alignment wrapText="1"/>
    </xf>
    <xf numFmtId="0" fontId="19" fillId="0" borderId="26" xfId="0" applyFont="1" applyFill="1" applyBorder="1" applyAlignment="1">
      <alignment horizontal="center" wrapText="1"/>
    </xf>
    <xf numFmtId="167" fontId="0" fillId="0" borderId="19" xfId="12" applyNumberFormat="1" applyFont="1" applyBorder="1"/>
    <xf numFmtId="167" fontId="0" fillId="0" borderId="19" xfId="0" applyNumberFormat="1" applyBorder="1"/>
    <xf numFmtId="0" fontId="43" fillId="0" borderId="20" xfId="0" applyFont="1" applyBorder="1"/>
    <xf numFmtId="0" fontId="8" fillId="0" borderId="0" xfId="0" applyNumberFormat="1" applyFont="1" applyAlignment="1" applyProtection="1">
      <protection locked="0"/>
    </xf>
    <xf numFmtId="0" fontId="49" fillId="0" borderId="0" xfId="15" applyFont="1" applyAlignment="1">
      <alignment horizontal="center"/>
    </xf>
    <xf numFmtId="0" fontId="42" fillId="0" borderId="0" xfId="15" applyAlignment="1">
      <alignment horizontal="center"/>
    </xf>
    <xf numFmtId="0" fontId="6" fillId="0" borderId="0" xfId="0" applyNumberFormat="1" applyFont="1" applyAlignment="1" applyProtection="1">
      <protection locked="0"/>
    </xf>
    <xf numFmtId="0" fontId="42" fillId="0" borderId="0" xfId="15"/>
    <xf numFmtId="0" fontId="50" fillId="0" borderId="0" xfId="0" applyNumberFormat="1" applyFont="1" applyAlignment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Font="1" applyAlignment="1" applyProtection="1">
      <alignment horizontal="center"/>
      <protection locked="0"/>
    </xf>
    <xf numFmtId="0" fontId="42" fillId="0" borderId="0" xfId="15" applyFont="1" applyAlignment="1">
      <alignment horizontal="center"/>
    </xf>
    <xf numFmtId="0" fontId="42" fillId="0" borderId="0" xfId="15" applyAlignment="1">
      <alignment horizontal="center"/>
    </xf>
    <xf numFmtId="0" fontId="41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  <protection locked="0"/>
    </xf>
    <xf numFmtId="0" fontId="51" fillId="0" borderId="0" xfId="15" applyFont="1"/>
    <xf numFmtId="177" fontId="42" fillId="0" borderId="0" xfId="15" applyNumberFormat="1"/>
    <xf numFmtId="8" fontId="52" fillId="7" borderId="11" xfId="15" applyNumberFormat="1" applyFont="1" applyFill="1" applyBorder="1" applyAlignment="1">
      <alignment horizontal="center"/>
    </xf>
    <xf numFmtId="0" fontId="42" fillId="0" borderId="29" xfId="15" applyBorder="1" applyAlignment="1"/>
    <xf numFmtId="0" fontId="53" fillId="7" borderId="9" xfId="15" applyFont="1" applyFill="1" applyBorder="1" applyAlignment="1">
      <alignment horizontal="center"/>
    </xf>
    <xf numFmtId="0" fontId="54" fillId="7" borderId="0" xfId="15" applyFont="1" applyFill="1" applyBorder="1" applyAlignment="1">
      <alignment horizontal="center" wrapText="1"/>
    </xf>
    <xf numFmtId="0" fontId="54" fillId="0" borderId="0" xfId="15" applyFont="1"/>
    <xf numFmtId="165" fontId="54" fillId="0" borderId="0" xfId="15" applyNumberFormat="1" applyFont="1"/>
    <xf numFmtId="0" fontId="42" fillId="0" borderId="14" xfId="15" applyBorder="1" applyAlignment="1"/>
    <xf numFmtId="0" fontId="42" fillId="0" borderId="30" xfId="15" applyBorder="1" applyAlignment="1"/>
    <xf numFmtId="6" fontId="54" fillId="7" borderId="31" xfId="15" applyNumberFormat="1" applyFont="1" applyFill="1" applyBorder="1" applyAlignment="1">
      <alignment horizontal="center"/>
    </xf>
    <xf numFmtId="6" fontId="54" fillId="7" borderId="0" xfId="15" applyNumberFormat="1" applyFont="1" applyFill="1" applyBorder="1" applyAlignment="1">
      <alignment horizontal="center" wrapText="1"/>
    </xf>
    <xf numFmtId="0" fontId="20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54" fillId="0" borderId="0" xfId="15" applyFont="1" applyAlignment="1">
      <alignment horizontal="center" wrapText="1"/>
    </xf>
    <xf numFmtId="0" fontId="54" fillId="0" borderId="0" xfId="15" applyFont="1" applyAlignment="1">
      <alignment horizontal="left" wrapText="1"/>
    </xf>
    <xf numFmtId="177" fontId="54" fillId="0" borderId="0" xfId="15" applyNumberFormat="1" applyFont="1" applyAlignment="1">
      <alignment horizontal="center" wrapText="1"/>
    </xf>
    <xf numFmtId="0" fontId="54" fillId="7" borderId="0" xfId="15" applyFont="1" applyFill="1" applyAlignment="1">
      <alignment horizontal="center" wrapText="1"/>
    </xf>
    <xf numFmtId="0" fontId="42" fillId="0" borderId="0" xfId="15" applyAlignment="1">
      <alignment wrapText="1"/>
    </xf>
    <xf numFmtId="0" fontId="6" fillId="0" borderId="0" xfId="0" applyNumberFormat="1" applyFont="1" applyAlignment="1" applyProtection="1">
      <alignment wrapText="1"/>
      <protection locked="0"/>
    </xf>
    <xf numFmtId="0" fontId="20" fillId="0" borderId="0" xfId="0" applyNumberFormat="1" applyFont="1" applyAlignment="1" applyProtection="1">
      <alignment wrapText="1"/>
      <protection locked="0"/>
    </xf>
    <xf numFmtId="0" fontId="54" fillId="0" borderId="0" xfId="15" applyFont="1" applyAlignment="1">
      <alignment horizontal="left"/>
    </xf>
    <xf numFmtId="0" fontId="55" fillId="7" borderId="0" xfId="15" applyFont="1" applyFill="1" applyBorder="1" applyAlignment="1"/>
    <xf numFmtId="44" fontId="6" fillId="0" borderId="0" xfId="0" applyNumberFormat="1" applyFont="1" applyAlignment="1" applyProtection="1">
      <protection locked="0"/>
    </xf>
    <xf numFmtId="0" fontId="56" fillId="0" borderId="0" xfId="15" applyFont="1"/>
    <xf numFmtId="0" fontId="56" fillId="0" borderId="0" xfId="15" applyFont="1" applyAlignment="1">
      <alignment horizontal="left"/>
    </xf>
    <xf numFmtId="0" fontId="42" fillId="7" borderId="0" xfId="15" applyFill="1"/>
    <xf numFmtId="0" fontId="42" fillId="0" borderId="0" xfId="15" applyAlignment="1">
      <alignment horizontal="left"/>
    </xf>
    <xf numFmtId="165" fontId="42" fillId="0" borderId="0" xfId="15" applyNumberFormat="1"/>
    <xf numFmtId="178" fontId="42" fillId="0" borderId="0" xfId="15" applyNumberFormat="1" applyAlignment="1">
      <alignment horizontal="center"/>
    </xf>
    <xf numFmtId="177" fontId="42" fillId="0" borderId="0" xfId="15" applyNumberFormat="1" applyFont="1"/>
    <xf numFmtId="165" fontId="42" fillId="0" borderId="0" xfId="15" applyNumberFormat="1" applyAlignment="1">
      <alignment horizontal="center"/>
    </xf>
    <xf numFmtId="165" fontId="42" fillId="7" borderId="0" xfId="15" applyNumberFormat="1" applyFont="1" applyFill="1" applyAlignment="1">
      <alignment horizontal="center"/>
    </xf>
    <xf numFmtId="165" fontId="42" fillId="7" borderId="0" xfId="15" applyNumberFormat="1" applyFill="1"/>
    <xf numFmtId="165" fontId="57" fillId="0" borderId="0" xfId="15" applyNumberFormat="1" applyFont="1"/>
    <xf numFmtId="44" fontId="6" fillId="0" borderId="0" xfId="5" applyFont="1" applyAlignment="1" applyProtection="1">
      <protection locked="0"/>
    </xf>
    <xf numFmtId="165" fontId="42" fillId="0" borderId="0" xfId="15" applyNumberFormat="1" applyFont="1"/>
    <xf numFmtId="14" fontId="42" fillId="0" borderId="0" xfId="15" applyNumberFormat="1"/>
    <xf numFmtId="177" fontId="42" fillId="0" borderId="0" xfId="15" applyNumberFormat="1" applyFont="1" applyBorder="1"/>
    <xf numFmtId="165" fontId="42" fillId="0" borderId="0" xfId="15" applyNumberFormat="1" applyBorder="1" applyAlignment="1">
      <alignment horizontal="center"/>
    </xf>
    <xf numFmtId="165" fontId="42" fillId="7" borderId="0" xfId="15" applyNumberFormat="1" applyFill="1" applyBorder="1"/>
    <xf numFmtId="178" fontId="54" fillId="0" borderId="0" xfId="15" applyNumberFormat="1" applyFont="1" applyAlignment="1">
      <alignment horizontal="center"/>
    </xf>
    <xf numFmtId="177" fontId="54" fillId="0" borderId="14" xfId="15" applyNumberFormat="1" applyFont="1" applyBorder="1"/>
    <xf numFmtId="165" fontId="42" fillId="0" borderId="14" xfId="15" applyNumberFormat="1" applyBorder="1" applyAlignment="1">
      <alignment horizontal="center"/>
    </xf>
    <xf numFmtId="165" fontId="42" fillId="7" borderId="14" xfId="15" applyNumberFormat="1" applyFill="1" applyBorder="1" applyAlignment="1">
      <alignment horizontal="center"/>
    </xf>
    <xf numFmtId="165" fontId="54" fillId="7" borderId="14" xfId="15" applyNumberFormat="1" applyFont="1" applyFill="1" applyBorder="1"/>
    <xf numFmtId="165" fontId="54" fillId="7" borderId="0" xfId="15" applyNumberFormat="1" applyFont="1" applyFill="1" applyBorder="1"/>
    <xf numFmtId="0" fontId="56" fillId="0" borderId="0" xfId="15" applyFont="1" applyAlignment="1">
      <alignment horizontal="center"/>
    </xf>
    <xf numFmtId="165" fontId="42" fillId="7" borderId="0" xfId="15" applyNumberFormat="1" applyFill="1" applyAlignment="1">
      <alignment horizontal="center"/>
    </xf>
    <xf numFmtId="165" fontId="54" fillId="7" borderId="0" xfId="15" applyNumberFormat="1" applyFont="1" applyFill="1"/>
    <xf numFmtId="0" fontId="57" fillId="0" borderId="0" xfId="15" applyFont="1"/>
    <xf numFmtId="0" fontId="54" fillId="0" borderId="0" xfId="15" applyFont="1" applyAlignment="1">
      <alignment horizontal="center"/>
    </xf>
    <xf numFmtId="177" fontId="54" fillId="0" borderId="0" xfId="15" applyNumberFormat="1" applyFont="1" applyAlignment="1">
      <alignment horizontal="center"/>
    </xf>
    <xf numFmtId="0" fontId="54" fillId="7" borderId="0" xfId="15" applyFont="1" applyFill="1" applyAlignment="1">
      <alignment horizontal="center"/>
    </xf>
    <xf numFmtId="178" fontId="42" fillId="0" borderId="0" xfId="15" applyNumberFormat="1"/>
    <xf numFmtId="0" fontId="42" fillId="0" borderId="14" xfId="15" applyBorder="1" applyAlignment="1">
      <alignment horizontal="center"/>
    </xf>
    <xf numFmtId="2" fontId="54" fillId="0" borderId="14" xfId="15" applyNumberFormat="1" applyFont="1" applyBorder="1"/>
    <xf numFmtId="0" fontId="42" fillId="10" borderId="0" xfId="15" applyFill="1"/>
    <xf numFmtId="0" fontId="42" fillId="10" borderId="0" xfId="15" applyFont="1" applyFill="1" applyAlignment="1">
      <alignment horizontal="left"/>
    </xf>
    <xf numFmtId="0" fontId="42" fillId="10" borderId="0" xfId="15" applyFill="1" applyAlignment="1">
      <alignment horizontal="center"/>
    </xf>
    <xf numFmtId="178" fontId="42" fillId="10" borderId="0" xfId="15" applyNumberFormat="1" applyFill="1" applyAlignment="1">
      <alignment horizontal="center"/>
    </xf>
    <xf numFmtId="177" fontId="42" fillId="10" borderId="0" xfId="15" applyNumberFormat="1" applyFont="1" applyFill="1"/>
    <xf numFmtId="165" fontId="42" fillId="10" borderId="0" xfId="15" applyNumberFormat="1" applyFill="1" applyAlignment="1">
      <alignment horizontal="center"/>
    </xf>
    <xf numFmtId="165" fontId="42" fillId="10" borderId="0" xfId="15" applyNumberFormat="1" applyFont="1" applyFill="1" applyAlignment="1">
      <alignment horizontal="center"/>
    </xf>
    <xf numFmtId="165" fontId="42" fillId="10" borderId="0" xfId="15" applyNumberFormat="1" applyFill="1"/>
    <xf numFmtId="165" fontId="42" fillId="10" borderId="0" xfId="15" applyNumberFormat="1" applyFont="1" applyFill="1"/>
    <xf numFmtId="165" fontId="58" fillId="7" borderId="14" xfId="15" applyNumberFormat="1" applyFont="1" applyFill="1" applyBorder="1"/>
    <xf numFmtId="165" fontId="58" fillId="7" borderId="0" xfId="15" applyNumberFormat="1" applyFont="1" applyFill="1" applyBorder="1"/>
    <xf numFmtId="178" fontId="42" fillId="19" borderId="0" xfId="15" applyNumberFormat="1" applyFill="1" applyAlignment="1">
      <alignment horizontal="center"/>
    </xf>
    <xf numFmtId="0" fontId="54" fillId="0" borderId="14" xfId="15" applyNumberFormat="1" applyFont="1" applyBorder="1" applyAlignment="1">
      <alignment horizontal="right"/>
    </xf>
    <xf numFmtId="0" fontId="54" fillId="0" borderId="14" xfId="15" applyFont="1" applyBorder="1" applyAlignment="1">
      <alignment horizontal="center"/>
    </xf>
    <xf numFmtId="165" fontId="54" fillId="7" borderId="14" xfId="15" applyNumberFormat="1" applyFont="1" applyFill="1" applyBorder="1" applyAlignment="1">
      <alignment horizontal="center"/>
    </xf>
    <xf numFmtId="2" fontId="42" fillId="0" borderId="0" xfId="15" applyNumberFormat="1" applyFont="1"/>
    <xf numFmtId="0" fontId="42" fillId="0" borderId="0" xfId="15" applyFont="1"/>
    <xf numFmtId="0" fontId="42" fillId="0" borderId="0" xfId="15" applyFont="1" applyAlignment="1">
      <alignment horizontal="left"/>
    </xf>
    <xf numFmtId="0" fontId="42" fillId="0" borderId="14" xfId="15" applyBorder="1"/>
    <xf numFmtId="165" fontId="42" fillId="7" borderId="14" xfId="15" applyNumberFormat="1" applyFill="1" applyBorder="1"/>
    <xf numFmtId="178" fontId="42" fillId="0" borderId="0" xfId="15" applyNumberFormat="1" applyAlignment="1">
      <alignment horizontal="left"/>
    </xf>
    <xf numFmtId="0" fontId="54" fillId="0" borderId="14" xfId="15" applyFont="1" applyBorder="1"/>
    <xf numFmtId="0" fontId="59" fillId="0" borderId="0" xfId="15" applyFont="1" applyFill="1"/>
    <xf numFmtId="0" fontId="42" fillId="0" borderId="0" xfId="15" applyFill="1" applyAlignment="1">
      <alignment horizontal="left"/>
    </xf>
    <xf numFmtId="0" fontId="42" fillId="0" borderId="0" xfId="15" applyFill="1" applyAlignment="1">
      <alignment horizontal="center"/>
    </xf>
    <xf numFmtId="178" fontId="60" fillId="0" borderId="0" xfId="15" applyNumberFormat="1" applyFont="1" applyFill="1"/>
    <xf numFmtId="178" fontId="61" fillId="0" borderId="0" xfId="15" applyNumberFormat="1" applyFont="1" applyFill="1" applyAlignment="1">
      <alignment horizontal="center"/>
    </xf>
    <xf numFmtId="0" fontId="62" fillId="0" borderId="0" xfId="15" applyFont="1"/>
    <xf numFmtId="0" fontId="63" fillId="0" borderId="0" xfId="15" applyFont="1" applyFill="1"/>
    <xf numFmtId="0" fontId="42" fillId="0" borderId="0" xfId="15" applyFill="1"/>
    <xf numFmtId="165" fontId="63" fillId="7" borderId="0" xfId="15" applyNumberFormat="1" applyFont="1" applyFill="1" applyAlignment="1"/>
    <xf numFmtId="0" fontId="63" fillId="7" borderId="0" xfId="15" applyFont="1" applyFill="1" applyAlignment="1"/>
    <xf numFmtId="0" fontId="56" fillId="7" borderId="0" xfId="15" applyFont="1" applyFill="1"/>
    <xf numFmtId="0" fontId="42" fillId="7" borderId="0" xfId="15" applyFill="1" applyAlignment="1">
      <alignment horizontal="left"/>
    </xf>
    <xf numFmtId="178" fontId="42" fillId="7" borderId="0" xfId="15" applyNumberFormat="1" applyFill="1" applyAlignment="1">
      <alignment horizontal="center"/>
    </xf>
    <xf numFmtId="2" fontId="42" fillId="7" borderId="0" xfId="15" applyNumberFormat="1" applyFill="1" applyAlignment="1">
      <alignment horizontal="center"/>
    </xf>
    <xf numFmtId="0" fontId="42" fillId="7" borderId="0" xfId="15" applyFill="1" applyAlignment="1">
      <alignment horizontal="center"/>
    </xf>
    <xf numFmtId="0" fontId="6" fillId="0" borderId="1" xfId="0" applyNumberFormat="1" applyFont="1" applyBorder="1" applyAlignment="1" applyProtection="1">
      <protection locked="0"/>
    </xf>
    <xf numFmtId="0" fontId="64" fillId="0" borderId="0" xfId="0" applyNumberFormat="1" applyFont="1" applyAlignment="1" applyProtection="1">
      <protection locked="0"/>
    </xf>
    <xf numFmtId="168" fontId="57" fillId="0" borderId="0" xfId="15" applyNumberFormat="1" applyFont="1"/>
    <xf numFmtId="44" fontId="50" fillId="0" borderId="0" xfId="0" applyNumberFormat="1" applyFont="1" applyAlignment="1" applyProtection="1">
      <protection locked="0"/>
    </xf>
    <xf numFmtId="37" fontId="6" fillId="0" borderId="0" xfId="0" applyNumberFormat="1" applyFont="1" applyAlignment="1" applyProtection="1">
      <protection locked="0"/>
    </xf>
    <xf numFmtId="44" fontId="64" fillId="0" borderId="0" xfId="5" applyFont="1" applyAlignment="1" applyProtection="1">
      <protection locked="0"/>
    </xf>
    <xf numFmtId="44" fontId="64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horizontal="center" wrapText="1"/>
      <protection locked="0"/>
    </xf>
    <xf numFmtId="0" fontId="0" fillId="0" borderId="2" xfId="0" applyNumberFormat="1" applyFont="1" applyBorder="1" applyAlignment="1" applyProtection="1">
      <alignment horizontal="center"/>
      <protection locked="0"/>
    </xf>
  </cellXfs>
  <cellStyles count="16">
    <cellStyle name="Comma" xfId="1" builtinId="3"/>
    <cellStyle name="Comma 2" xfId="12"/>
    <cellStyle name="Currency" xfId="2" builtinId="4"/>
    <cellStyle name="Currency 2" xfId="6"/>
    <cellStyle name="Currency 2 2" xfId="10"/>
    <cellStyle name="Currency 3" xfId="5"/>
    <cellStyle name="Currency 6" xfId="14"/>
    <cellStyle name="Normal" xfId="0" builtinId="0"/>
    <cellStyle name="Normal 10" xfId="8"/>
    <cellStyle name="Normal 11" xfId="7"/>
    <cellStyle name="Normal 12" xfId="15"/>
    <cellStyle name="Normal 2" xfId="4"/>
    <cellStyle name="Normal 7" xfId="11"/>
    <cellStyle name="Normal_DEPN2K" xfId="9"/>
    <cellStyle name="Percent" xfId="3" builtinId="5"/>
    <cellStyle name="Percent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296</xdr:row>
      <xdr:rowOff>154781</xdr:rowOff>
    </xdr:from>
    <xdr:to>
      <xdr:col>4</xdr:col>
      <xdr:colOff>500063</xdr:colOff>
      <xdr:row>298</xdr:row>
      <xdr:rowOff>0</xdr:rowOff>
    </xdr:to>
    <xdr:cxnSp macro="">
      <xdr:nvCxnSpPr>
        <xdr:cNvPr id="2" name="Straight Arrow Connector 1"/>
        <xdr:cNvCxnSpPr/>
      </xdr:nvCxnSpPr>
      <xdr:spPr>
        <a:xfrm flipV="1">
          <a:off x="3783806" y="63153131"/>
          <a:ext cx="488157" cy="2452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773907</xdr:colOff>
      <xdr:row>277</xdr:row>
      <xdr:rowOff>190501</xdr:rowOff>
    </xdr:from>
    <xdr:to>
      <xdr:col>4</xdr:col>
      <xdr:colOff>488156</xdr:colOff>
      <xdr:row>282</xdr:row>
      <xdr:rowOff>83345</xdr:rowOff>
    </xdr:to>
    <xdr:cxnSp macro="">
      <xdr:nvCxnSpPr>
        <xdr:cNvPr id="3" name="Straight Arrow Connector 2"/>
        <xdr:cNvCxnSpPr/>
      </xdr:nvCxnSpPr>
      <xdr:spPr>
        <a:xfrm rot="5400000" flipH="1" flipV="1">
          <a:off x="3375422" y="58691861"/>
          <a:ext cx="892969" cy="876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2273300</xdr:colOff>
      <xdr:row>63</xdr:row>
      <xdr:rowOff>12700</xdr:rowOff>
    </xdr:from>
    <xdr:to>
      <xdr:col>7</xdr:col>
      <xdr:colOff>381000</xdr:colOff>
      <xdr:row>68</xdr:row>
      <xdr:rowOff>88900</xdr:rowOff>
    </xdr:to>
    <xdr:cxnSp macro="">
      <xdr:nvCxnSpPr>
        <xdr:cNvPr id="4" name="Straight Arrow Connector 3"/>
        <xdr:cNvCxnSpPr/>
      </xdr:nvCxnSpPr>
      <xdr:spPr>
        <a:xfrm>
          <a:off x="7073900" y="12376150"/>
          <a:ext cx="1736725" cy="1028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1016000</xdr:colOff>
      <xdr:row>66</xdr:row>
      <xdr:rowOff>50800</xdr:rowOff>
    </xdr:from>
    <xdr:to>
      <xdr:col>7</xdr:col>
      <xdr:colOff>228600</xdr:colOff>
      <xdr:row>68</xdr:row>
      <xdr:rowOff>114300</xdr:rowOff>
    </xdr:to>
    <xdr:cxnSp macro="">
      <xdr:nvCxnSpPr>
        <xdr:cNvPr id="5" name="Straight Arrow Connector 4"/>
        <xdr:cNvCxnSpPr/>
      </xdr:nvCxnSpPr>
      <xdr:spPr>
        <a:xfrm flipV="1">
          <a:off x="4787900" y="12985750"/>
          <a:ext cx="3870325" cy="44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1016000</xdr:colOff>
      <xdr:row>67</xdr:row>
      <xdr:rowOff>88900</xdr:rowOff>
    </xdr:from>
    <xdr:to>
      <xdr:col>7</xdr:col>
      <xdr:colOff>482600</xdr:colOff>
      <xdr:row>67</xdr:row>
      <xdr:rowOff>127000</xdr:rowOff>
    </xdr:to>
    <xdr:cxnSp macro="">
      <xdr:nvCxnSpPr>
        <xdr:cNvPr id="6" name="Straight Arrow Connector 5"/>
        <xdr:cNvCxnSpPr/>
      </xdr:nvCxnSpPr>
      <xdr:spPr>
        <a:xfrm flipV="1">
          <a:off x="4787900" y="13214350"/>
          <a:ext cx="41243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76200</xdr:rowOff>
    </xdr:from>
    <xdr:to>
      <xdr:col>7</xdr:col>
      <xdr:colOff>419100</xdr:colOff>
      <xdr:row>72</xdr:row>
      <xdr:rowOff>114300</xdr:rowOff>
    </xdr:to>
    <xdr:cxnSp macro="">
      <xdr:nvCxnSpPr>
        <xdr:cNvPr id="7" name="Straight Arrow Connector 6"/>
        <xdr:cNvCxnSpPr/>
      </xdr:nvCxnSpPr>
      <xdr:spPr>
        <a:xfrm flipV="1">
          <a:off x="4800600" y="13582650"/>
          <a:ext cx="40481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82</xdr:row>
      <xdr:rowOff>114300</xdr:rowOff>
    </xdr:from>
    <xdr:to>
      <xdr:col>3</xdr:col>
      <xdr:colOff>558800</xdr:colOff>
      <xdr:row>90</xdr:row>
      <xdr:rowOff>0</xdr:rowOff>
    </xdr:to>
    <xdr:sp macro="" textlink="">
      <xdr:nvSpPr>
        <xdr:cNvPr id="8" name="Bent Arrow 7"/>
        <xdr:cNvSpPr/>
      </xdr:nvSpPr>
      <xdr:spPr>
        <a:xfrm>
          <a:off x="2838450" y="16135350"/>
          <a:ext cx="330200" cy="144780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2108200</xdr:colOff>
      <xdr:row>358</xdr:row>
      <xdr:rowOff>127000</xdr:rowOff>
    </xdr:from>
    <xdr:to>
      <xdr:col>6</xdr:col>
      <xdr:colOff>292100</xdr:colOff>
      <xdr:row>365</xdr:row>
      <xdr:rowOff>38100</xdr:rowOff>
    </xdr:to>
    <xdr:cxnSp macro="">
      <xdr:nvCxnSpPr>
        <xdr:cNvPr id="9" name="Straight Arrow Connector 8"/>
        <xdr:cNvCxnSpPr/>
      </xdr:nvCxnSpPr>
      <xdr:spPr>
        <a:xfrm flipV="1">
          <a:off x="6908800" y="76336525"/>
          <a:ext cx="717550" cy="1311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s%20from%20GRCW%20(10)%20UW-110220%20Summit%20View%20Irrig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WATER/Company%20Filings/Summit%20View%20Water%20Works/2011/UW-110220%20Irrigation/Staff%20Workpapers/GRCW%20(9)%20UW-110220%20Summit%20View%20Irrig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Output"/>
      <sheetName val="Sch 31 Used Useful Ac"/>
      <sheetName val="Sch 1 ADJs"/>
      <sheetName val="Sch 2.1 Co Restating"/>
      <sheetName val="Sch 2.2 Co ProForma"/>
      <sheetName val="PFIS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BEOY"/>
      <sheetName val="Sch 9 DEPN"/>
      <sheetName val="Sch 9.1 ORIG DEPN"/>
      <sheetName val="Sch 10 CIAC + ACQ"/>
      <sheetName val="Sch 11.1 Metered Rate Design"/>
      <sheetName val="Sch 11.2 Data"/>
      <sheetName val="Sch 12 Crossover"/>
      <sheetName val="Sch 13 Worksheet Cal Adjs"/>
      <sheetName val="Sch 14 Service Lives"/>
      <sheetName val="Sch 15 Ratios"/>
      <sheetName val="Calculator"/>
      <sheetName val="Factors"/>
      <sheetName val="Sch 16 Exp Xwalk"/>
      <sheetName val="Sch 17 CIAC "/>
      <sheetName val="Sheet1"/>
      <sheetName val="Sch 18 CMPower"/>
      <sheetName val="Sch19 Customers "/>
      <sheetName val="Sch 20 Acreage"/>
      <sheetName val="Sch 21 InitialDeprAlloc"/>
      <sheetName val="Sch22 Water Rights"/>
      <sheetName val="Sch23DomWaterUse"/>
      <sheetName val="Sch24crops"/>
      <sheetName val="Sch 25 Acreage"/>
      <sheetName val="Sch 26 Asset summary"/>
      <sheetName val="Sch 26.1 Asset detail"/>
      <sheetName val="Sch 27 Acreage DR 17 IncomeMod"/>
      <sheetName val="Sch 28 Unmetered Rate Design"/>
      <sheetName val="S28.1 Unmeterd design p house a"/>
      <sheetName val="Sch 29 Customer Avgs"/>
      <sheetName val="Sch29.1 Cust Avgs p House adj"/>
      <sheetName val="Sch 30 Adj BalSht"/>
    </sheetNames>
    <sheetDataSet>
      <sheetData sheetId="0">
        <row r="4">
          <cell r="B4" t="str">
            <v xml:space="preserve">Summit View Waterworks, LLC </v>
          </cell>
        </row>
        <row r="5">
          <cell r="B5" t="str">
            <v>UW-110220</v>
          </cell>
        </row>
        <row r="6">
          <cell r="B6" t="str">
            <v>For the test period ending December 31, 2009</v>
          </cell>
        </row>
        <row r="10">
          <cell r="B10">
            <v>39814</v>
          </cell>
        </row>
        <row r="11">
          <cell r="B11">
            <v>40178</v>
          </cell>
        </row>
        <row r="17">
          <cell r="B17" t="str">
            <v>Pro Forma Income Statement (Results of Operations)</v>
          </cell>
        </row>
        <row r="18">
          <cell r="B18" t="str">
            <v>Summary of Adjustments</v>
          </cell>
        </row>
        <row r="21">
          <cell r="B21" t="str">
            <v>Staff Restating Adjustments</v>
          </cell>
        </row>
        <row r="25">
          <cell r="B25" t="str">
            <v>Revenue Requirement Calculation</v>
          </cell>
        </row>
        <row r="26">
          <cell r="B26" t="str">
            <v>Interest Synchronization Adjustments</v>
          </cell>
        </row>
        <row r="27">
          <cell r="B27" t="str">
            <v>Beginning End of Year</v>
          </cell>
        </row>
        <row r="33">
          <cell r="B33" t="str">
            <v>Worksheet Calculation Adjustments</v>
          </cell>
        </row>
      </sheetData>
      <sheetData sheetId="1">
        <row r="6">
          <cell r="AL6">
            <v>0.15</v>
          </cell>
          <cell r="AO6">
            <v>0.14194999999999999</v>
          </cell>
        </row>
        <row r="7">
          <cell r="E7">
            <v>24739</v>
          </cell>
        </row>
        <row r="8">
          <cell r="E8">
            <v>32316</v>
          </cell>
        </row>
        <row r="9">
          <cell r="B9">
            <v>88</v>
          </cell>
        </row>
        <row r="10">
          <cell r="B10">
            <v>0</v>
          </cell>
        </row>
        <row r="11">
          <cell r="B11">
            <v>65</v>
          </cell>
        </row>
        <row r="12">
          <cell r="E12">
            <v>40500</v>
          </cell>
        </row>
        <row r="16">
          <cell r="E16">
            <v>19459</v>
          </cell>
        </row>
        <row r="19">
          <cell r="E19">
            <v>10572</v>
          </cell>
        </row>
        <row r="20">
          <cell r="E20">
            <v>983</v>
          </cell>
        </row>
        <row r="21">
          <cell r="E21">
            <v>8069</v>
          </cell>
        </row>
        <row r="23">
          <cell r="E23">
            <v>3329</v>
          </cell>
        </row>
        <row r="25">
          <cell r="E25">
            <v>7969</v>
          </cell>
        </row>
        <row r="27">
          <cell r="E27">
            <v>5535</v>
          </cell>
        </row>
        <row r="28">
          <cell r="E28">
            <v>3266</v>
          </cell>
        </row>
        <row r="29">
          <cell r="E29">
            <v>2738</v>
          </cell>
        </row>
        <row r="32">
          <cell r="E32">
            <v>404</v>
          </cell>
        </row>
        <row r="33">
          <cell r="E33">
            <v>3448</v>
          </cell>
        </row>
        <row r="34">
          <cell r="E34">
            <v>0</v>
          </cell>
        </row>
        <row r="35">
          <cell r="E35">
            <v>7023</v>
          </cell>
        </row>
        <row r="36">
          <cell r="E36">
            <v>8080</v>
          </cell>
        </row>
        <row r="37">
          <cell r="E37">
            <v>3125</v>
          </cell>
        </row>
        <row r="39">
          <cell r="E39">
            <v>2238</v>
          </cell>
        </row>
        <row r="40">
          <cell r="E40">
            <v>406</v>
          </cell>
        </row>
        <row r="52">
          <cell r="E52">
            <v>1577785</v>
          </cell>
        </row>
        <row r="53">
          <cell r="E53">
            <v>-158106</v>
          </cell>
        </row>
        <row r="55">
          <cell r="E55">
            <v>-31500</v>
          </cell>
        </row>
      </sheetData>
      <sheetData sheetId="2"/>
      <sheetData sheetId="3">
        <row r="11">
          <cell r="F11">
            <v>206.97882920110186</v>
          </cell>
          <cell r="G11">
            <v>206.97882920110192</v>
          </cell>
          <cell r="H11">
            <v>131.72646464646465</v>
          </cell>
        </row>
        <row r="13">
          <cell r="G13">
            <v>-19.635215794306706</v>
          </cell>
          <cell r="H13">
            <v>131.72646464646465</v>
          </cell>
        </row>
      </sheetData>
      <sheetData sheetId="4">
        <row r="11">
          <cell r="C11">
            <v>0</v>
          </cell>
          <cell r="D11">
            <v>0</v>
          </cell>
          <cell r="G11">
            <v>0</v>
          </cell>
          <cell r="H11">
            <v>21261</v>
          </cell>
        </row>
        <row r="12">
          <cell r="C12">
            <v>0</v>
          </cell>
          <cell r="D12">
            <v>-32316</v>
          </cell>
          <cell r="G12">
            <v>0</v>
          </cell>
          <cell r="H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</row>
        <row r="16">
          <cell r="C16">
            <v>-40500</v>
          </cell>
          <cell r="D16">
            <v>-40500</v>
          </cell>
          <cell r="G16">
            <v>0</v>
          </cell>
          <cell r="H16">
            <v>0</v>
          </cell>
        </row>
        <row r="20">
          <cell r="C20">
            <v>-15029.579536423842</v>
          </cell>
          <cell r="D20">
            <v>-14634.769536423843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</row>
        <row r="23">
          <cell r="C23">
            <v>15298</v>
          </cell>
          <cell r="D23">
            <v>-10572</v>
          </cell>
          <cell r="G23">
            <v>3517</v>
          </cell>
          <cell r="H23">
            <v>22160.813481094094</v>
          </cell>
        </row>
        <row r="24">
          <cell r="C24">
            <v>0</v>
          </cell>
          <cell r="D24">
            <v>-983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-7076.1250000000009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-2746.0438161571856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-13322.75</v>
          </cell>
          <cell r="G28">
            <v>0</v>
          </cell>
          <cell r="H28">
            <v>1582.2750000000001</v>
          </cell>
        </row>
        <row r="29">
          <cell r="C29">
            <v>0</v>
          </cell>
          <cell r="D29">
            <v>-7596.28</v>
          </cell>
          <cell r="G29">
            <v>0</v>
          </cell>
          <cell r="H29">
            <v>632.37799999999993</v>
          </cell>
        </row>
        <row r="30">
          <cell r="C30">
            <v>0</v>
          </cell>
          <cell r="D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-2680.6278026905829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-1633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-1301.7673600000001</v>
          </cell>
          <cell r="G33">
            <v>0</v>
          </cell>
          <cell r="H33">
            <v>0</v>
          </cell>
        </row>
        <row r="34">
          <cell r="C34">
            <v>47.004100000000001</v>
          </cell>
          <cell r="D34">
            <v>47.004100000000001</v>
          </cell>
          <cell r="G34">
            <v>40.395900000000005</v>
          </cell>
          <cell r="H34">
            <v>40.395900000000005</v>
          </cell>
        </row>
        <row r="35">
          <cell r="C35">
            <v>0</v>
          </cell>
          <cell r="D35">
            <v>0</v>
          </cell>
          <cell r="G35">
            <v>3334</v>
          </cell>
          <cell r="H35">
            <v>3845.8333333333335</v>
          </cell>
        </row>
        <row r="36">
          <cell r="C36">
            <v>0</v>
          </cell>
          <cell r="D36">
            <v>-202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-2470.75</v>
          </cell>
          <cell r="G37">
            <v>0</v>
          </cell>
          <cell r="H37">
            <v>98.258522727272776</v>
          </cell>
        </row>
        <row r="38">
          <cell r="C38">
            <v>37.108499999999999</v>
          </cell>
          <cell r="D38">
            <v>37.108499999999999</v>
          </cell>
          <cell r="G38">
            <v>31.891500000000001</v>
          </cell>
          <cell r="H38">
            <v>31.891500000000001</v>
          </cell>
        </row>
        <row r="39">
          <cell r="C39">
            <v>0</v>
          </cell>
          <cell r="D39">
            <v>-4543.0000000000009</v>
          </cell>
          <cell r="G39">
            <v>0</v>
          </cell>
          <cell r="H39">
            <v>0</v>
          </cell>
        </row>
        <row r="40">
          <cell r="D40">
            <v>-3491.3917473333331</v>
          </cell>
          <cell r="G40">
            <v>0</v>
          </cell>
          <cell r="H40">
            <v>1372.2548333333334</v>
          </cell>
        </row>
        <row r="41">
          <cell r="C41">
            <v>-255.70404999999892</v>
          </cell>
          <cell r="D41">
            <v>-255.70404999999892</v>
          </cell>
          <cell r="G41">
            <v>-555.95595000000048</v>
          </cell>
          <cell r="H41">
            <v>-555.95595000000048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</row>
        <row r="43">
          <cell r="C43">
            <v>-1707.3346490066228</v>
          </cell>
          <cell r="D43">
            <v>-1728.5321748109682</v>
          </cell>
          <cell r="G43">
            <v>21.197525804345446</v>
          </cell>
          <cell r="H43">
            <v>0</v>
          </cell>
        </row>
        <row r="44">
          <cell r="C44">
            <v>0</v>
          </cell>
          <cell r="D44">
            <v>-406</v>
          </cell>
          <cell r="G44">
            <v>0</v>
          </cell>
          <cell r="H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  <cell r="H45">
            <v>0</v>
          </cell>
        </row>
        <row r="49">
          <cell r="C49">
            <v>0</v>
          </cell>
          <cell r="D49">
            <v>0</v>
          </cell>
          <cell r="H49">
            <v>6632.111183745279</v>
          </cell>
        </row>
        <row r="50">
          <cell r="C50">
            <v>0</v>
          </cell>
          <cell r="D50">
            <v>0</v>
          </cell>
          <cell r="H50">
            <v>-2202.6940375226109</v>
          </cell>
        </row>
        <row r="56">
          <cell r="D56">
            <v>-1444175.9351948765</v>
          </cell>
          <cell r="H56">
            <v>6331.4174999999996</v>
          </cell>
        </row>
        <row r="57">
          <cell r="D57">
            <v>145863.69983764371</v>
          </cell>
          <cell r="H57">
            <v>-1372.2548333333334</v>
          </cell>
        </row>
        <row r="58">
          <cell r="D58">
            <v>0</v>
          </cell>
          <cell r="H58">
            <v>0</v>
          </cell>
        </row>
        <row r="59">
          <cell r="D59">
            <v>31500</v>
          </cell>
          <cell r="H59">
            <v>0</v>
          </cell>
        </row>
        <row r="60">
          <cell r="D60">
            <v>0</v>
          </cell>
          <cell r="H60">
            <v>0</v>
          </cell>
        </row>
        <row r="64">
          <cell r="C64">
            <v>-65</v>
          </cell>
          <cell r="D64">
            <v>-65</v>
          </cell>
          <cell r="G64">
            <v>0</v>
          </cell>
          <cell r="H64">
            <v>27</v>
          </cell>
        </row>
      </sheetData>
      <sheetData sheetId="5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-40500</v>
          </cell>
        </row>
        <row r="20">
          <cell r="C20">
            <v>-15029.579536423842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15298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47.004100000000001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37.108499999999999</v>
          </cell>
        </row>
        <row r="39">
          <cell r="C39">
            <v>0</v>
          </cell>
        </row>
        <row r="40">
          <cell r="C40">
            <v>35461</v>
          </cell>
        </row>
        <row r="41">
          <cell r="C41">
            <v>-255.70404999999892</v>
          </cell>
        </row>
        <row r="42">
          <cell r="C42">
            <v>0</v>
          </cell>
        </row>
        <row r="43">
          <cell r="C43">
            <v>-1707.3346490066228</v>
          </cell>
        </row>
        <row r="44">
          <cell r="C44">
            <v>0</v>
          </cell>
        </row>
        <row r="45">
          <cell r="C45">
            <v>0</v>
          </cell>
        </row>
        <row r="49">
          <cell r="C49">
            <v>0</v>
          </cell>
        </row>
        <row r="50">
          <cell r="C50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4">
          <cell r="C64">
            <v>-65</v>
          </cell>
        </row>
      </sheetData>
      <sheetData sheetId="6"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3517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40.395900000000005</v>
          </cell>
        </row>
        <row r="35">
          <cell r="C35">
            <v>3334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31.891500000000001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-555.95595000000048</v>
          </cell>
        </row>
        <row r="42">
          <cell r="C42">
            <v>0</v>
          </cell>
        </row>
        <row r="43">
          <cell r="C43">
            <v>21.197525804345446</v>
          </cell>
        </row>
        <row r="44">
          <cell r="C44">
            <v>0</v>
          </cell>
        </row>
        <row r="45">
          <cell r="C45">
            <v>0</v>
          </cell>
        </row>
        <row r="49">
          <cell r="C49">
            <v>0</v>
          </cell>
          <cell r="AM49">
            <v>0</v>
          </cell>
        </row>
        <row r="50">
          <cell r="C50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4">
          <cell r="C64">
            <v>0</v>
          </cell>
        </row>
      </sheetData>
      <sheetData sheetId="7">
        <row r="8">
          <cell r="B8" t="str">
            <v>REVENUES</v>
          </cell>
        </row>
        <row r="9">
          <cell r="B9" t="str">
            <v xml:space="preserve">Un-Metered Sales / Irrigation </v>
          </cell>
          <cell r="C9">
            <v>24739</v>
          </cell>
          <cell r="F9">
            <v>24739</v>
          </cell>
          <cell r="I9">
            <v>46000</v>
          </cell>
        </row>
        <row r="10">
          <cell r="B10" t="str">
            <v xml:space="preserve">Metered Sales / Domestic </v>
          </cell>
          <cell r="C10">
            <v>32316</v>
          </cell>
          <cell r="F10">
            <v>0</v>
          </cell>
          <cell r="I10">
            <v>0</v>
          </cell>
          <cell r="Q10" t="str">
            <v>Staff</v>
          </cell>
        </row>
        <row r="11">
          <cell r="B11" t="str">
            <v>Ready-to-Serve</v>
          </cell>
          <cell r="C11">
            <v>0</v>
          </cell>
          <cell r="F11">
            <v>0</v>
          </cell>
          <cell r="I11">
            <v>0</v>
          </cell>
        </row>
        <row r="12">
          <cell r="B12" t="str">
            <v>Fire Protection / Irrigation</v>
          </cell>
          <cell r="C12">
            <v>0</v>
          </cell>
          <cell r="F12">
            <v>0</v>
          </cell>
        </row>
        <row r="13">
          <cell r="B13" t="str">
            <v>Jobbing</v>
          </cell>
          <cell r="C13">
            <v>0</v>
          </cell>
          <cell r="Q13" t="str">
            <v>Actual Weighted Average Cost of Capital</v>
          </cell>
        </row>
        <row r="14">
          <cell r="B14" t="str">
            <v>Other Income, Ancillary Charges (Hookup Charges)</v>
          </cell>
        </row>
        <row r="15">
          <cell r="B15" t="str">
            <v>OPERATING REVENUE</v>
          </cell>
          <cell r="L15">
            <v>61517.84385013525</v>
          </cell>
        </row>
        <row r="17">
          <cell r="B17" t="str">
            <v>EXPENSES</v>
          </cell>
        </row>
        <row r="18">
          <cell r="B18" t="str">
            <v xml:space="preserve">Salary and Wages - Employees  </v>
          </cell>
          <cell r="C18">
            <v>19459</v>
          </cell>
          <cell r="F18">
            <v>4824.2304635761575</v>
          </cell>
        </row>
        <row r="19">
          <cell r="B19" t="str">
            <v>Salary and Wages - Officers</v>
          </cell>
          <cell r="C19">
            <v>0</v>
          </cell>
          <cell r="F19">
            <v>0</v>
          </cell>
        </row>
        <row r="20">
          <cell r="B20" t="str">
            <v>Employee Pensions and Benefits</v>
          </cell>
          <cell r="C20">
            <v>0</v>
          </cell>
        </row>
        <row r="21">
          <cell r="B21" t="str">
            <v>Purchased Power/Water</v>
          </cell>
        </row>
        <row r="22">
          <cell r="B22" t="str">
            <v>Chemicals &amp; Testing</v>
          </cell>
        </row>
        <row r="23">
          <cell r="B23" t="str">
            <v>Material &amp; Supplies</v>
          </cell>
        </row>
        <row r="24">
          <cell r="B24" t="str">
            <v>Contractual Engineer</v>
          </cell>
        </row>
        <row r="25">
          <cell r="B25" t="str">
            <v>Contractual Accounting</v>
          </cell>
        </row>
        <row r="26">
          <cell r="B26" t="str">
            <v>Contractual Legal</v>
          </cell>
        </row>
        <row r="27">
          <cell r="B27" t="str">
            <v>Contractual Operations</v>
          </cell>
        </row>
        <row r="28">
          <cell r="B28" t="str">
            <v>Jobbing</v>
          </cell>
          <cell r="C28">
            <v>0</v>
          </cell>
        </row>
        <row r="29">
          <cell r="B29" t="str">
            <v>Rental of Building, Property, and Equipment</v>
          </cell>
        </row>
        <row r="30">
          <cell r="B30" t="str">
            <v>Transportation</v>
          </cell>
        </row>
        <row r="31">
          <cell r="B31" t="str">
            <v>Insurance - Vehicle, General Liability, Workman's Comp.</v>
          </cell>
        </row>
        <row r="32">
          <cell r="B32" t="str">
            <v>Regulatory Commission Expenses - Fees</v>
          </cell>
          <cell r="C32">
            <v>0</v>
          </cell>
        </row>
        <row r="33">
          <cell r="B33" t="str">
            <v>Regulatory Commission Expenses - Amort. Rate Case</v>
          </cell>
        </row>
        <row r="34">
          <cell r="B34" t="str">
            <v>Travel, Education, CCR, and Public Relations</v>
          </cell>
        </row>
        <row r="35">
          <cell r="B35" t="str">
            <v>Office, Postage, Phone, and Bank Charges</v>
          </cell>
        </row>
        <row r="36">
          <cell r="B36" t="str">
            <v>Bad Debt</v>
          </cell>
          <cell r="C36">
            <v>0</v>
          </cell>
        </row>
        <row r="37">
          <cell r="B37" t="str">
            <v>Repairs</v>
          </cell>
        </row>
        <row r="38">
          <cell r="B38" t="str">
            <v>Net Depreciation/Amortization</v>
          </cell>
        </row>
        <row r="39">
          <cell r="B39" t="str">
            <v>Utility Excise Tax</v>
          </cell>
          <cell r="C39">
            <v>3125</v>
          </cell>
        </row>
        <row r="40">
          <cell r="B40" t="str">
            <v>Property Tax</v>
          </cell>
        </row>
        <row r="41">
          <cell r="B41" t="str">
            <v xml:space="preserve">Payroll Tax  </v>
          </cell>
        </row>
        <row r="42">
          <cell r="B42" t="str">
            <v>Other Taxes &amp; Licenses (DOH/PWB/ESD/DOE)</v>
          </cell>
        </row>
        <row r="43">
          <cell r="B43" t="str">
            <v>Miscellaneous</v>
          </cell>
        </row>
        <row r="44">
          <cell r="B44" t="str">
            <v>OPERATING EXPENSES</v>
          </cell>
        </row>
        <row r="46">
          <cell r="B46" t="str">
            <v>Operating Incom before Taxes</v>
          </cell>
          <cell r="I46">
            <v>-8052.5157330721267</v>
          </cell>
        </row>
        <row r="47">
          <cell r="B47" t="str">
            <v>Interest Expense</v>
          </cell>
          <cell r="F47">
            <v>0</v>
          </cell>
          <cell r="I47">
            <v>6632.111183745279</v>
          </cell>
        </row>
        <row r="48">
          <cell r="B48" t="str">
            <v>Fed Income Tax - 15%</v>
          </cell>
          <cell r="F48">
            <v>0</v>
          </cell>
        </row>
        <row r="49">
          <cell r="B49" t="str">
            <v>TOTAL OPERATING EXPENSE</v>
          </cell>
        </row>
        <row r="50">
          <cell r="B50" t="str">
            <v>NET INCOME (LOSS)</v>
          </cell>
          <cell r="I50">
            <v>-12481.932879294793</v>
          </cell>
        </row>
        <row r="51">
          <cell r="B51" t="str">
            <v>NET OPERATING INCOME</v>
          </cell>
          <cell r="I51">
            <v>-5849.8216955495154</v>
          </cell>
        </row>
        <row r="53">
          <cell r="B53" t="str">
            <v>RATE BASE</v>
          </cell>
        </row>
        <row r="54">
          <cell r="B54" t="str">
            <v>Utility Plant in Service (UPIS)</v>
          </cell>
        </row>
        <row r="55">
          <cell r="B55" t="str">
            <v xml:space="preserve">    Accumulated Depreciation</v>
          </cell>
        </row>
        <row r="56">
          <cell r="B56" t="str">
            <v>Acquisition Adjustment</v>
          </cell>
        </row>
        <row r="57">
          <cell r="B57" t="str">
            <v>Contributions In Aid of Construction (CIAC) Plant in Service</v>
          </cell>
        </row>
        <row r="58">
          <cell r="B58" t="str">
            <v xml:space="preserve">    Accumulated Amortization</v>
          </cell>
        </row>
        <row r="59">
          <cell r="B59" t="str">
            <v>NET RATE BASE</v>
          </cell>
          <cell r="I59">
            <v>126325.92730943387</v>
          </cell>
        </row>
        <row r="61">
          <cell r="B61" t="str">
            <v>Rate of Return</v>
          </cell>
        </row>
        <row r="62">
          <cell r="B62" t="str">
            <v>Customer Count</v>
          </cell>
        </row>
      </sheetData>
      <sheetData sheetId="8">
        <row r="11">
          <cell r="C11">
            <v>0</v>
          </cell>
        </row>
        <row r="12">
          <cell r="C12">
            <v>-32316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-40500</v>
          </cell>
        </row>
        <row r="20">
          <cell r="C20">
            <v>-14634.769536423843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-10572</v>
          </cell>
        </row>
        <row r="24">
          <cell r="C24">
            <v>-983</v>
          </cell>
        </row>
        <row r="25">
          <cell r="C25">
            <v>-7076.1250000000009</v>
          </cell>
        </row>
        <row r="26">
          <cell r="C26">
            <v>0</v>
          </cell>
        </row>
        <row r="27">
          <cell r="C27">
            <v>-2746.0438161571856</v>
          </cell>
        </row>
        <row r="28">
          <cell r="C28">
            <v>-13322.75</v>
          </cell>
        </row>
        <row r="29">
          <cell r="C29">
            <v>-7596.28</v>
          </cell>
        </row>
        <row r="30">
          <cell r="C30">
            <v>0</v>
          </cell>
        </row>
        <row r="31">
          <cell r="C31">
            <v>-2680.6278026905829</v>
          </cell>
        </row>
        <row r="32">
          <cell r="C32">
            <v>-1633</v>
          </cell>
        </row>
        <row r="33">
          <cell r="C33">
            <v>-1301.7673600000001</v>
          </cell>
        </row>
        <row r="34">
          <cell r="C34">
            <v>47.004100000000001</v>
          </cell>
        </row>
        <row r="35">
          <cell r="C35">
            <v>0</v>
          </cell>
        </row>
        <row r="36">
          <cell r="C36">
            <v>-202</v>
          </cell>
        </row>
        <row r="37">
          <cell r="C37">
            <v>-2470.75</v>
          </cell>
        </row>
        <row r="38">
          <cell r="C38">
            <v>37.108499999999999</v>
          </cell>
        </row>
        <row r="39">
          <cell r="C39">
            <v>-4543.0000000000009</v>
          </cell>
        </row>
        <row r="40">
          <cell r="C40">
            <v>-3491.3917473333331</v>
          </cell>
        </row>
        <row r="41">
          <cell r="C41">
            <v>-255.70404999999892</v>
          </cell>
        </row>
        <row r="42">
          <cell r="C42">
            <v>0</v>
          </cell>
        </row>
        <row r="43">
          <cell r="C43">
            <v>-1728.5321748109682</v>
          </cell>
        </row>
        <row r="44">
          <cell r="C44">
            <v>-406</v>
          </cell>
        </row>
        <row r="45">
          <cell r="C45">
            <v>0</v>
          </cell>
        </row>
        <row r="49">
          <cell r="C49">
            <v>0</v>
          </cell>
        </row>
        <row r="50">
          <cell r="C50">
            <v>0</v>
          </cell>
        </row>
        <row r="56">
          <cell r="C56">
            <v>-1444175.9351948765</v>
          </cell>
        </row>
        <row r="57">
          <cell r="C57">
            <v>145863.69983764371</v>
          </cell>
        </row>
        <row r="58">
          <cell r="C58">
            <v>0</v>
          </cell>
        </row>
        <row r="59">
          <cell r="C59">
            <v>31500</v>
          </cell>
        </row>
        <row r="60">
          <cell r="C60">
            <v>0</v>
          </cell>
        </row>
        <row r="64">
          <cell r="C64">
            <v>-65</v>
          </cell>
        </row>
      </sheetData>
      <sheetData sheetId="9">
        <row r="11">
          <cell r="C11">
            <v>21261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22160.813481094094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1582.2750000000001</v>
          </cell>
        </row>
        <row r="29">
          <cell r="C29">
            <v>632.37799999999993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40.395900000000005</v>
          </cell>
        </row>
        <row r="35">
          <cell r="C35">
            <v>3845.8333333333335</v>
          </cell>
        </row>
        <row r="36">
          <cell r="C36">
            <v>0</v>
          </cell>
        </row>
        <row r="37">
          <cell r="C37">
            <v>98.258522727272776</v>
          </cell>
        </row>
        <row r="38">
          <cell r="C38">
            <v>31.891500000000001</v>
          </cell>
        </row>
        <row r="39">
          <cell r="C39">
            <v>0</v>
          </cell>
        </row>
        <row r="40">
          <cell r="C40">
            <v>1372.2548333333334</v>
          </cell>
        </row>
        <row r="41">
          <cell r="C41">
            <v>-555.95595000000048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9">
          <cell r="C49">
            <v>6632.111183745279</v>
          </cell>
        </row>
        <row r="50">
          <cell r="C50">
            <v>-2202.6940375226109</v>
          </cell>
          <cell r="E50">
            <v>-2202.6940375226109</v>
          </cell>
        </row>
        <row r="56">
          <cell r="C56">
            <v>6331.4174999999996</v>
          </cell>
        </row>
        <row r="57">
          <cell r="C57">
            <v>-1372.2548333333334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4">
          <cell r="C64">
            <v>27</v>
          </cell>
        </row>
      </sheetData>
      <sheetData sheetId="10">
        <row r="9">
          <cell r="K9" t="str">
            <v>2009</v>
          </cell>
        </row>
        <row r="46">
          <cell r="I46">
            <v>5.2500000000000005E-2</v>
          </cell>
          <cell r="K46">
            <v>2.1000000000000005E-2</v>
          </cell>
        </row>
        <row r="48">
          <cell r="G48">
            <v>0</v>
          </cell>
        </row>
        <row r="52">
          <cell r="I52">
            <v>5.2499999999999998E-2</v>
          </cell>
          <cell r="K52">
            <v>9.2999999999999999E-2</v>
          </cell>
        </row>
      </sheetData>
      <sheetData sheetId="11">
        <row r="12">
          <cell r="D12">
            <v>1.9E-3</v>
          </cell>
          <cell r="G12">
            <v>29.483903315256981</v>
          </cell>
        </row>
        <row r="13">
          <cell r="G13">
            <v>0</v>
          </cell>
        </row>
        <row r="14">
          <cell r="D14">
            <v>1.5E-3</v>
          </cell>
          <cell r="G14">
            <v>23.276765775202882</v>
          </cell>
        </row>
        <row r="15">
          <cell r="D15">
            <v>5.0290000000000015E-2</v>
          </cell>
          <cell r="G15">
            <v>780.39236722330213</v>
          </cell>
        </row>
        <row r="21">
          <cell r="D21">
            <v>0.15</v>
          </cell>
        </row>
        <row r="23">
          <cell r="G23">
            <v>2202.7036220732239</v>
          </cell>
          <cell r="I23">
            <v>0.15</v>
          </cell>
        </row>
        <row r="25">
          <cell r="I25">
            <v>0.1419465</v>
          </cell>
        </row>
        <row r="27">
          <cell r="E27">
            <v>0.80435999999999996</v>
          </cell>
          <cell r="G27">
            <v>12481.932879294793</v>
          </cell>
        </row>
        <row r="33">
          <cell r="C33">
            <v>50000</v>
          </cell>
          <cell r="F33">
            <v>0.15</v>
          </cell>
        </row>
        <row r="34">
          <cell r="B34">
            <v>50000</v>
          </cell>
          <cell r="C34">
            <v>75000</v>
          </cell>
          <cell r="D34">
            <v>7500</v>
          </cell>
          <cell r="F34">
            <v>0.25</v>
          </cell>
          <cell r="G34">
            <v>50000</v>
          </cell>
        </row>
        <row r="35">
          <cell r="B35">
            <v>75000</v>
          </cell>
          <cell r="C35">
            <v>100000</v>
          </cell>
          <cell r="D35">
            <v>13750</v>
          </cell>
          <cell r="F35">
            <v>0.34</v>
          </cell>
          <cell r="G35">
            <v>75000</v>
          </cell>
        </row>
        <row r="36">
          <cell r="B36">
            <v>100000</v>
          </cell>
          <cell r="C36">
            <v>335000</v>
          </cell>
          <cell r="D36">
            <v>22250</v>
          </cell>
          <cell r="F36">
            <v>0.39</v>
          </cell>
          <cell r="G36">
            <v>100000</v>
          </cell>
        </row>
        <row r="37">
          <cell r="B37">
            <v>335000</v>
          </cell>
          <cell r="C37">
            <v>10000000</v>
          </cell>
          <cell r="D37">
            <v>113900</v>
          </cell>
          <cell r="F37">
            <v>0.34</v>
          </cell>
          <cell r="G37">
            <v>335000</v>
          </cell>
        </row>
        <row r="38">
          <cell r="B38">
            <v>10000000</v>
          </cell>
          <cell r="C38">
            <v>15000000</v>
          </cell>
          <cell r="D38">
            <v>3400000</v>
          </cell>
          <cell r="F38">
            <v>0.35</v>
          </cell>
          <cell r="G38">
            <v>10000000</v>
          </cell>
        </row>
        <row r="39">
          <cell r="B39">
            <v>15000000</v>
          </cell>
          <cell r="C39">
            <v>18333333</v>
          </cell>
          <cell r="D39">
            <v>5150000</v>
          </cell>
          <cell r="F39">
            <v>0.38</v>
          </cell>
          <cell r="G39">
            <v>15000000</v>
          </cell>
        </row>
        <row r="40">
          <cell r="B40">
            <v>18333333</v>
          </cell>
          <cell r="F40">
            <v>0.35</v>
          </cell>
        </row>
      </sheetData>
      <sheetData sheetId="12">
        <row r="12">
          <cell r="E12">
            <v>6632.1111837452781</v>
          </cell>
        </row>
        <row r="19">
          <cell r="E19">
            <v>15517.843850135254</v>
          </cell>
        </row>
      </sheetData>
      <sheetData sheetId="13">
        <row r="12">
          <cell r="E12">
            <v>5.2500000000000005E-2</v>
          </cell>
        </row>
      </sheetData>
      <sheetData sheetId="14">
        <row r="10">
          <cell r="C10">
            <v>190021.07929999998</v>
          </cell>
          <cell r="E10">
            <v>190021.07929999998</v>
          </cell>
          <cell r="I10">
            <v>0</v>
          </cell>
        </row>
        <row r="11">
          <cell r="C11">
            <v>-14148.208779055205</v>
          </cell>
          <cell r="E11">
            <v>-18736.817031721879</v>
          </cell>
          <cell r="I11">
            <v>2294.3041263333362</v>
          </cell>
        </row>
        <row r="12">
          <cell r="E12">
            <v>0</v>
          </cell>
          <cell r="I12">
            <v>0</v>
          </cell>
        </row>
        <row r="13">
          <cell r="E13">
            <v>0</v>
          </cell>
          <cell r="I13">
            <v>0</v>
          </cell>
        </row>
        <row r="14">
          <cell r="E14">
            <v>0</v>
          </cell>
          <cell r="I14">
            <v>0</v>
          </cell>
        </row>
        <row r="15">
          <cell r="E15">
            <v>0</v>
          </cell>
          <cell r="I15">
            <v>0</v>
          </cell>
        </row>
      </sheetData>
      <sheetData sheetId="15">
        <row r="16">
          <cell r="E16">
            <v>190021.07929999998</v>
          </cell>
          <cell r="K16">
            <v>0</v>
          </cell>
          <cell r="N16">
            <v>4588.6082526666669</v>
          </cell>
          <cell r="T16">
            <v>14148.208779055205</v>
          </cell>
          <cell r="U16">
            <v>18736.817031721879</v>
          </cell>
        </row>
        <row r="17">
          <cell r="D17">
            <v>0</v>
          </cell>
          <cell r="E17">
            <v>0</v>
          </cell>
        </row>
        <row r="18">
          <cell r="D18">
            <v>2009</v>
          </cell>
          <cell r="E18">
            <v>0</v>
          </cell>
        </row>
        <row r="19">
          <cell r="D19">
            <v>2009</v>
          </cell>
          <cell r="E19">
            <v>0</v>
          </cell>
        </row>
        <row r="20">
          <cell r="D20">
            <v>2009</v>
          </cell>
          <cell r="E20">
            <v>0</v>
          </cell>
        </row>
        <row r="21">
          <cell r="D21">
            <v>2009</v>
          </cell>
          <cell r="E21">
            <v>0</v>
          </cell>
        </row>
        <row r="22">
          <cell r="D22">
            <v>2009</v>
          </cell>
          <cell r="E22">
            <v>0</v>
          </cell>
        </row>
        <row r="23">
          <cell r="D23">
            <v>2009</v>
          </cell>
          <cell r="E23">
            <v>0</v>
          </cell>
        </row>
        <row r="24">
          <cell r="D24">
            <v>2009</v>
          </cell>
          <cell r="E24">
            <v>0</v>
          </cell>
          <cell r="BE24" t="str">
            <v>Collection and Impounding Reservoirs (50)</v>
          </cell>
          <cell r="BF24">
            <v>50</v>
          </cell>
        </row>
        <row r="25">
          <cell r="D25">
            <v>2009</v>
          </cell>
          <cell r="E25">
            <v>0</v>
          </cell>
          <cell r="BE25" t="str">
            <v>Communication Equipment (10)</v>
          </cell>
          <cell r="BF25">
            <v>10</v>
          </cell>
          <cell r="BG25">
            <v>0.1</v>
          </cell>
        </row>
        <row r="26">
          <cell r="D26">
            <v>2009</v>
          </cell>
          <cell r="E26">
            <v>0</v>
          </cell>
          <cell r="BE26" t="str">
            <v>Computers or Peripheral Office Equipment (5)</v>
          </cell>
          <cell r="BF26">
            <v>5</v>
          </cell>
        </row>
        <row r="27">
          <cell r="D27">
            <v>2009</v>
          </cell>
          <cell r="E27">
            <v>0</v>
          </cell>
          <cell r="BE27" t="str">
            <v>Distribution Reservoirs and Tanks (30)</v>
          </cell>
          <cell r="BF27">
            <v>30</v>
          </cell>
        </row>
        <row r="28">
          <cell r="D28">
            <v>2009</v>
          </cell>
          <cell r="E28">
            <v>0</v>
          </cell>
          <cell r="BE28" t="str">
            <v>Fire Mains (50)</v>
          </cell>
          <cell r="BF28">
            <v>50</v>
          </cell>
        </row>
        <row r="29">
          <cell r="D29">
            <v>2009</v>
          </cell>
          <cell r="E29">
            <v>0</v>
          </cell>
          <cell r="BE29" t="str">
            <v>Franchises (Life)</v>
          </cell>
          <cell r="BF29">
            <v>9.9999999999999901E+299</v>
          </cell>
        </row>
        <row r="30">
          <cell r="D30">
            <v>2009</v>
          </cell>
          <cell r="E30">
            <v>0</v>
          </cell>
          <cell r="BE30" t="str">
            <v>Hydrants (40)</v>
          </cell>
          <cell r="BF30">
            <v>40</v>
          </cell>
          <cell r="BG30">
            <v>0.05</v>
          </cell>
        </row>
        <row r="31">
          <cell r="D31">
            <v>2008</v>
          </cell>
          <cell r="E31">
            <v>0</v>
          </cell>
          <cell r="BE31" t="str">
            <v>Infiltration Galleries and Tunnels (25)</v>
          </cell>
          <cell r="BF31">
            <v>25</v>
          </cell>
        </row>
        <row r="32">
          <cell r="D32">
            <v>2008</v>
          </cell>
          <cell r="E32">
            <v>0</v>
          </cell>
          <cell r="BE32" t="str">
            <v>Laboratory Equipment (15)</v>
          </cell>
          <cell r="BF32">
            <v>15</v>
          </cell>
        </row>
        <row r="33">
          <cell r="D33">
            <v>2008</v>
          </cell>
          <cell r="E33">
            <v>0</v>
          </cell>
          <cell r="BE33" t="str">
            <v>Lake, River and Other Intakes (35)</v>
          </cell>
          <cell r="BF33">
            <v>35</v>
          </cell>
        </row>
        <row r="34">
          <cell r="D34">
            <v>2008</v>
          </cell>
          <cell r="E34">
            <v>0</v>
          </cell>
          <cell r="BE34" t="str">
            <v>Land and Water Rights (Life)</v>
          </cell>
          <cell r="BF34">
            <v>9.9999999999999901E+299</v>
          </cell>
        </row>
        <row r="35">
          <cell r="D35">
            <v>2008</v>
          </cell>
          <cell r="E35">
            <v>0</v>
          </cell>
          <cell r="BE35" t="str">
            <v>Meter Installations (40)</v>
          </cell>
          <cell r="BF35">
            <v>40</v>
          </cell>
        </row>
        <row r="36">
          <cell r="D36">
            <v>2008</v>
          </cell>
          <cell r="E36">
            <v>0</v>
          </cell>
          <cell r="BE36" t="str">
            <v>Meters (20)</v>
          </cell>
          <cell r="BF36">
            <v>20</v>
          </cell>
          <cell r="BG36">
            <v>0.1</v>
          </cell>
        </row>
        <row r="37">
          <cell r="D37">
            <v>2008</v>
          </cell>
          <cell r="E37">
            <v>0</v>
          </cell>
          <cell r="BE37" t="str">
            <v>Miscellaneous Equipment (10)</v>
          </cell>
          <cell r="BF37">
            <v>10</v>
          </cell>
          <cell r="BG37">
            <v>0.1</v>
          </cell>
        </row>
        <row r="38">
          <cell r="D38">
            <v>2008</v>
          </cell>
          <cell r="E38">
            <v>0</v>
          </cell>
          <cell r="BE38" t="str">
            <v>Office Furniture and Equipment (20)</v>
          </cell>
          <cell r="BF38">
            <v>20</v>
          </cell>
          <cell r="BG38">
            <v>0.05</v>
          </cell>
        </row>
        <row r="39">
          <cell r="D39">
            <v>2008</v>
          </cell>
          <cell r="E39">
            <v>0</v>
          </cell>
          <cell r="BE39" t="str">
            <v>Organization (Life)</v>
          </cell>
          <cell r="BF39">
            <v>9.9999999999999901E+299</v>
          </cell>
        </row>
        <row r="40">
          <cell r="D40">
            <v>2008</v>
          </cell>
          <cell r="E40">
            <v>0</v>
          </cell>
          <cell r="BE40" t="str">
            <v>Other Plant - General (40)</v>
          </cell>
          <cell r="BF40">
            <v>40</v>
          </cell>
        </row>
        <row r="41">
          <cell r="D41">
            <v>2008</v>
          </cell>
          <cell r="E41">
            <v>0</v>
          </cell>
          <cell r="BE41" t="str">
            <v>Other Plant Assets (10)</v>
          </cell>
          <cell r="BF41">
            <v>10</v>
          </cell>
          <cell r="BG41">
            <v>0.1</v>
          </cell>
        </row>
        <row r="42">
          <cell r="D42">
            <v>2008</v>
          </cell>
          <cell r="E42">
            <v>0</v>
          </cell>
          <cell r="BE42" t="str">
            <v>Other Pumping Plant (25)</v>
          </cell>
          <cell r="BF42">
            <v>25</v>
          </cell>
        </row>
        <row r="43">
          <cell r="D43">
            <v>2008</v>
          </cell>
          <cell r="E43">
            <v>0</v>
          </cell>
          <cell r="BE43" t="str">
            <v>Power Generation Equipment (10)</v>
          </cell>
          <cell r="BF43">
            <v>10</v>
          </cell>
        </row>
        <row r="44">
          <cell r="D44">
            <v>2008</v>
          </cell>
          <cell r="E44">
            <v>0</v>
          </cell>
          <cell r="BE44" t="str">
            <v>Power Operated Equipment (10)</v>
          </cell>
          <cell r="BF44">
            <v>10</v>
          </cell>
          <cell r="BG44">
            <v>0.1</v>
          </cell>
        </row>
        <row r="45">
          <cell r="D45">
            <v>2008</v>
          </cell>
          <cell r="E45">
            <v>0</v>
          </cell>
          <cell r="BE45" t="str">
            <v>Pumping Equipment (20)</v>
          </cell>
          <cell r="BF45">
            <v>20</v>
          </cell>
        </row>
        <row r="46">
          <cell r="D46">
            <v>0</v>
          </cell>
          <cell r="E46">
            <v>0</v>
          </cell>
          <cell r="BE46" t="str">
            <v>Service Connections (30)</v>
          </cell>
          <cell r="BF46">
            <v>30</v>
          </cell>
        </row>
        <row r="47">
          <cell r="D47">
            <v>2008</v>
          </cell>
          <cell r="E47">
            <v>0</v>
          </cell>
          <cell r="BE47" t="str">
            <v>Stores and Equipment (20)</v>
          </cell>
          <cell r="BF47">
            <v>20</v>
          </cell>
        </row>
        <row r="48">
          <cell r="D48">
            <v>2008</v>
          </cell>
          <cell r="E48">
            <v>0</v>
          </cell>
          <cell r="BE48" t="str">
            <v>Structures and Improvements - General Plant (35)</v>
          </cell>
          <cell r="BF48">
            <v>35</v>
          </cell>
        </row>
        <row r="49">
          <cell r="D49">
            <v>2008</v>
          </cell>
          <cell r="E49">
            <v>0</v>
          </cell>
          <cell r="BE49" t="str">
            <v>Structures and Improvements - Pumping Plant (35)</v>
          </cell>
          <cell r="BF49">
            <v>35</v>
          </cell>
        </row>
        <row r="50">
          <cell r="D50">
            <v>2008</v>
          </cell>
          <cell r="E50">
            <v>0</v>
          </cell>
          <cell r="BE50" t="str">
            <v>Structures and Improvements - Supply Plant (35)</v>
          </cell>
          <cell r="BF50">
            <v>35</v>
          </cell>
        </row>
        <row r="51">
          <cell r="D51">
            <v>2008</v>
          </cell>
          <cell r="E51">
            <v>0</v>
          </cell>
          <cell r="BE51" t="str">
            <v>Structures and Improvements - Trans. And Dist. Plant (35)</v>
          </cell>
          <cell r="BF51">
            <v>35</v>
          </cell>
        </row>
        <row r="52">
          <cell r="D52">
            <v>2008</v>
          </cell>
          <cell r="E52">
            <v>0</v>
          </cell>
          <cell r="BE52" t="str">
            <v>Structures and Improvements - Treatment Plant (35)</v>
          </cell>
          <cell r="BF52">
            <v>35</v>
          </cell>
        </row>
        <row r="53">
          <cell r="D53">
            <v>2008</v>
          </cell>
          <cell r="E53">
            <v>0</v>
          </cell>
          <cell r="BE53" t="str">
            <v>Supply Mains (50)</v>
          </cell>
          <cell r="BF53">
            <v>50</v>
          </cell>
        </row>
        <row r="54">
          <cell r="D54">
            <v>2008</v>
          </cell>
          <cell r="E54">
            <v>0</v>
          </cell>
          <cell r="BE54" t="str">
            <v>Tools, Shop and Garage Equipment (15)</v>
          </cell>
          <cell r="BF54">
            <v>15</v>
          </cell>
          <cell r="BG54">
            <v>0.05</v>
          </cell>
        </row>
        <row r="55">
          <cell r="D55">
            <v>2008</v>
          </cell>
          <cell r="E55">
            <v>0</v>
          </cell>
          <cell r="BE55" t="str">
            <v>Transmission and Distribution Mains (50)</v>
          </cell>
          <cell r="BF55">
            <v>50</v>
          </cell>
        </row>
        <row r="56">
          <cell r="D56">
            <v>2008</v>
          </cell>
          <cell r="E56">
            <v>0</v>
          </cell>
          <cell r="BE56" t="str">
            <v>Transportation Equipment (7)</v>
          </cell>
          <cell r="BF56">
            <v>7</v>
          </cell>
          <cell r="BG56">
            <v>0.1</v>
          </cell>
        </row>
        <row r="57">
          <cell r="D57">
            <v>2008</v>
          </cell>
          <cell r="E57">
            <v>0</v>
          </cell>
          <cell r="BE57" t="str">
            <v>Water System Plan (6)</v>
          </cell>
          <cell r="BF57">
            <v>6</v>
          </cell>
          <cell r="BG57">
            <v>0.1</v>
          </cell>
        </row>
        <row r="58">
          <cell r="D58">
            <v>2008</v>
          </cell>
          <cell r="E58">
            <v>0</v>
          </cell>
          <cell r="BE58" t="str">
            <v>Water Treatment Equipment (20)</v>
          </cell>
          <cell r="BF58">
            <v>20</v>
          </cell>
        </row>
        <row r="59">
          <cell r="D59">
            <v>2008</v>
          </cell>
          <cell r="E59">
            <v>0</v>
          </cell>
          <cell r="BE59" t="str">
            <v>Wells and Springs (25)</v>
          </cell>
          <cell r="BF59">
            <v>25</v>
          </cell>
        </row>
        <row r="60">
          <cell r="D60">
            <v>2008</v>
          </cell>
          <cell r="E60">
            <v>0</v>
          </cell>
        </row>
        <row r="61">
          <cell r="D61">
            <v>2008</v>
          </cell>
          <cell r="E61">
            <v>0</v>
          </cell>
        </row>
        <row r="62">
          <cell r="D62">
            <v>2008</v>
          </cell>
          <cell r="E62">
            <v>0</v>
          </cell>
        </row>
        <row r="63">
          <cell r="D63">
            <v>2008</v>
          </cell>
          <cell r="E63">
            <v>0</v>
          </cell>
        </row>
        <row r="64">
          <cell r="D64">
            <v>2008</v>
          </cell>
          <cell r="E64">
            <v>0</v>
          </cell>
        </row>
        <row r="65">
          <cell r="D65">
            <v>2008</v>
          </cell>
          <cell r="E65">
            <v>0</v>
          </cell>
        </row>
        <row r="66">
          <cell r="D66">
            <v>2008</v>
          </cell>
          <cell r="E66">
            <v>0</v>
          </cell>
        </row>
        <row r="67">
          <cell r="D67">
            <v>0</v>
          </cell>
          <cell r="E67">
            <v>0</v>
          </cell>
        </row>
        <row r="68">
          <cell r="D68">
            <v>2005</v>
          </cell>
          <cell r="E68">
            <v>0</v>
          </cell>
        </row>
        <row r="69">
          <cell r="D69">
            <v>2005</v>
          </cell>
          <cell r="E69">
            <v>0</v>
          </cell>
        </row>
        <row r="70">
          <cell r="D70">
            <v>2005</v>
          </cell>
          <cell r="E70">
            <v>0</v>
          </cell>
        </row>
        <row r="71">
          <cell r="D71">
            <v>2005</v>
          </cell>
          <cell r="E71">
            <v>0</v>
          </cell>
        </row>
        <row r="72">
          <cell r="D72">
            <v>2005</v>
          </cell>
          <cell r="E72">
            <v>0</v>
          </cell>
        </row>
        <row r="73">
          <cell r="D73">
            <v>2005</v>
          </cell>
          <cell r="E73">
            <v>0</v>
          </cell>
        </row>
        <row r="74">
          <cell r="D74">
            <v>0</v>
          </cell>
          <cell r="E74">
            <v>0</v>
          </cell>
        </row>
        <row r="75">
          <cell r="D75">
            <v>2005</v>
          </cell>
          <cell r="E75">
            <v>0</v>
          </cell>
        </row>
        <row r="76">
          <cell r="D76">
            <v>2005</v>
          </cell>
          <cell r="E76">
            <v>0</v>
          </cell>
        </row>
        <row r="77">
          <cell r="D77">
            <v>2005</v>
          </cell>
          <cell r="E77">
            <v>0</v>
          </cell>
        </row>
        <row r="78">
          <cell r="D78">
            <v>2005</v>
          </cell>
          <cell r="E78">
            <v>0</v>
          </cell>
        </row>
        <row r="79">
          <cell r="D79">
            <v>2005</v>
          </cell>
          <cell r="E79">
            <v>0</v>
          </cell>
        </row>
        <row r="80">
          <cell r="D80">
            <v>0</v>
          </cell>
          <cell r="E80">
            <v>0</v>
          </cell>
        </row>
        <row r="81">
          <cell r="D81">
            <v>0</v>
          </cell>
          <cell r="E81">
            <v>0</v>
          </cell>
        </row>
        <row r="82">
          <cell r="D82">
            <v>0</v>
          </cell>
          <cell r="E82">
            <v>0</v>
          </cell>
        </row>
        <row r="83">
          <cell r="D83">
            <v>0</v>
          </cell>
          <cell r="E83">
            <v>0</v>
          </cell>
        </row>
        <row r="84">
          <cell r="D84">
            <v>0</v>
          </cell>
          <cell r="E84">
            <v>0</v>
          </cell>
        </row>
        <row r="85">
          <cell r="D85">
            <v>0</v>
          </cell>
          <cell r="E85">
            <v>0</v>
          </cell>
        </row>
        <row r="86">
          <cell r="D86">
            <v>0</v>
          </cell>
          <cell r="E86">
            <v>0</v>
          </cell>
        </row>
        <row r="87">
          <cell r="D87">
            <v>0</v>
          </cell>
          <cell r="E87">
            <v>0</v>
          </cell>
        </row>
        <row r="88">
          <cell r="D88">
            <v>0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0</v>
          </cell>
          <cell r="E91">
            <v>0</v>
          </cell>
        </row>
        <row r="92">
          <cell r="D92">
            <v>2009</v>
          </cell>
          <cell r="E92">
            <v>0</v>
          </cell>
        </row>
        <row r="93">
          <cell r="D93">
            <v>2009</v>
          </cell>
          <cell r="E93">
            <v>0</v>
          </cell>
        </row>
        <row r="94">
          <cell r="D94">
            <v>2009</v>
          </cell>
          <cell r="E94">
            <v>0</v>
          </cell>
        </row>
        <row r="95">
          <cell r="D95">
            <v>2009</v>
          </cell>
          <cell r="E95">
            <v>0</v>
          </cell>
        </row>
        <row r="96">
          <cell r="D96">
            <v>2009</v>
          </cell>
          <cell r="E96">
            <v>0</v>
          </cell>
        </row>
        <row r="97">
          <cell r="D97">
            <v>2009</v>
          </cell>
          <cell r="E97">
            <v>0</v>
          </cell>
        </row>
        <row r="98">
          <cell r="D98">
            <v>2009</v>
          </cell>
          <cell r="E98">
            <v>0</v>
          </cell>
        </row>
        <row r="99">
          <cell r="D99">
            <v>2009</v>
          </cell>
          <cell r="E99">
            <v>0</v>
          </cell>
        </row>
        <row r="100">
          <cell r="D100">
            <v>2009</v>
          </cell>
          <cell r="E100">
            <v>0</v>
          </cell>
        </row>
        <row r="101">
          <cell r="D101">
            <v>2009</v>
          </cell>
          <cell r="E101">
            <v>0</v>
          </cell>
        </row>
        <row r="102">
          <cell r="D102">
            <v>2009</v>
          </cell>
          <cell r="E102">
            <v>0</v>
          </cell>
        </row>
        <row r="103">
          <cell r="D103">
            <v>2009</v>
          </cell>
          <cell r="E103">
            <v>0</v>
          </cell>
        </row>
        <row r="104">
          <cell r="D104">
            <v>2009</v>
          </cell>
          <cell r="E104">
            <v>0</v>
          </cell>
        </row>
        <row r="105">
          <cell r="D105">
            <v>2009</v>
          </cell>
          <cell r="E105">
            <v>0</v>
          </cell>
        </row>
        <row r="106">
          <cell r="D106">
            <v>2009</v>
          </cell>
          <cell r="E106">
            <v>0</v>
          </cell>
        </row>
        <row r="107">
          <cell r="D107">
            <v>2008</v>
          </cell>
          <cell r="E107">
            <v>0</v>
          </cell>
        </row>
        <row r="108">
          <cell r="D108">
            <v>2008</v>
          </cell>
          <cell r="E108">
            <v>0</v>
          </cell>
        </row>
        <row r="109">
          <cell r="D109">
            <v>2008</v>
          </cell>
          <cell r="E109">
            <v>0</v>
          </cell>
        </row>
        <row r="110">
          <cell r="D110">
            <v>2008</v>
          </cell>
          <cell r="E110">
            <v>0</v>
          </cell>
        </row>
        <row r="111">
          <cell r="D111">
            <v>2008</v>
          </cell>
          <cell r="E111">
            <v>0</v>
          </cell>
        </row>
        <row r="112">
          <cell r="D112">
            <v>2008</v>
          </cell>
          <cell r="E112">
            <v>0</v>
          </cell>
        </row>
        <row r="113">
          <cell r="D113">
            <v>2008</v>
          </cell>
          <cell r="E113">
            <v>0</v>
          </cell>
        </row>
        <row r="114">
          <cell r="D114">
            <v>2008</v>
          </cell>
          <cell r="E114">
            <v>0</v>
          </cell>
        </row>
        <row r="115">
          <cell r="D115">
            <v>0</v>
          </cell>
          <cell r="E115">
            <v>0</v>
          </cell>
        </row>
        <row r="116">
          <cell r="D116">
            <v>0</v>
          </cell>
          <cell r="E116">
            <v>0</v>
          </cell>
        </row>
        <row r="117">
          <cell r="D117">
            <v>2008</v>
          </cell>
          <cell r="E117">
            <v>0</v>
          </cell>
        </row>
        <row r="118">
          <cell r="D118">
            <v>2008</v>
          </cell>
          <cell r="E118">
            <v>0</v>
          </cell>
        </row>
        <row r="119">
          <cell r="D119">
            <v>2008</v>
          </cell>
          <cell r="E119">
            <v>0</v>
          </cell>
        </row>
        <row r="120">
          <cell r="D120">
            <v>2008</v>
          </cell>
          <cell r="E120">
            <v>0</v>
          </cell>
        </row>
        <row r="121">
          <cell r="D121">
            <v>2008</v>
          </cell>
          <cell r="E121">
            <v>0</v>
          </cell>
        </row>
        <row r="122">
          <cell r="D122">
            <v>2008</v>
          </cell>
          <cell r="E122">
            <v>0</v>
          </cell>
        </row>
        <row r="123">
          <cell r="D123">
            <v>2008</v>
          </cell>
          <cell r="E123">
            <v>0</v>
          </cell>
        </row>
        <row r="124">
          <cell r="D124">
            <v>2008</v>
          </cell>
          <cell r="E124">
            <v>0</v>
          </cell>
        </row>
        <row r="125">
          <cell r="D125">
            <v>2008</v>
          </cell>
          <cell r="E125">
            <v>0</v>
          </cell>
        </row>
        <row r="126">
          <cell r="D126">
            <v>2008</v>
          </cell>
          <cell r="E126">
            <v>0</v>
          </cell>
        </row>
        <row r="127">
          <cell r="D127">
            <v>2008</v>
          </cell>
          <cell r="E127">
            <v>0</v>
          </cell>
        </row>
        <row r="128">
          <cell r="D128">
            <v>2008</v>
          </cell>
          <cell r="E128">
            <v>0</v>
          </cell>
        </row>
        <row r="129">
          <cell r="D129">
            <v>2008</v>
          </cell>
          <cell r="E129">
            <v>0</v>
          </cell>
        </row>
        <row r="130">
          <cell r="D130">
            <v>2008</v>
          </cell>
          <cell r="E130">
            <v>0</v>
          </cell>
        </row>
        <row r="131">
          <cell r="D131">
            <v>2008</v>
          </cell>
          <cell r="E131">
            <v>0</v>
          </cell>
        </row>
        <row r="132">
          <cell r="D132">
            <v>2008</v>
          </cell>
          <cell r="E132">
            <v>0</v>
          </cell>
        </row>
        <row r="133">
          <cell r="D133">
            <v>2008</v>
          </cell>
          <cell r="E133">
            <v>0</v>
          </cell>
        </row>
        <row r="134">
          <cell r="D134">
            <v>2008</v>
          </cell>
          <cell r="E134">
            <v>0</v>
          </cell>
        </row>
        <row r="135">
          <cell r="D135">
            <v>2008</v>
          </cell>
          <cell r="E135">
            <v>0</v>
          </cell>
        </row>
        <row r="136">
          <cell r="D136">
            <v>0</v>
          </cell>
          <cell r="E136">
            <v>0</v>
          </cell>
        </row>
        <row r="137">
          <cell r="D137">
            <v>2008</v>
          </cell>
          <cell r="E137">
            <v>0</v>
          </cell>
        </row>
        <row r="138">
          <cell r="D138">
            <v>2008</v>
          </cell>
          <cell r="E138">
            <v>0</v>
          </cell>
        </row>
        <row r="139">
          <cell r="D139">
            <v>2008</v>
          </cell>
          <cell r="E139">
            <v>0</v>
          </cell>
        </row>
        <row r="140">
          <cell r="D140">
            <v>2008</v>
          </cell>
          <cell r="E140">
            <v>0</v>
          </cell>
        </row>
        <row r="141">
          <cell r="D141">
            <v>2008</v>
          </cell>
          <cell r="E141">
            <v>0</v>
          </cell>
        </row>
        <row r="142">
          <cell r="D142">
            <v>2008</v>
          </cell>
          <cell r="E142">
            <v>0</v>
          </cell>
        </row>
        <row r="143">
          <cell r="D143">
            <v>2008</v>
          </cell>
          <cell r="E143">
            <v>0</v>
          </cell>
        </row>
        <row r="144">
          <cell r="D144">
            <v>0</v>
          </cell>
          <cell r="E144">
            <v>0</v>
          </cell>
        </row>
        <row r="145">
          <cell r="D145">
            <v>2005</v>
          </cell>
          <cell r="E145">
            <v>22131.58</v>
          </cell>
        </row>
        <row r="146">
          <cell r="D146">
            <v>0</v>
          </cell>
          <cell r="E146">
            <v>0</v>
          </cell>
        </row>
        <row r="147">
          <cell r="D147">
            <v>2005</v>
          </cell>
          <cell r="E147">
            <v>19504</v>
          </cell>
        </row>
        <row r="148">
          <cell r="D148">
            <v>0</v>
          </cell>
          <cell r="E148">
            <v>0</v>
          </cell>
        </row>
        <row r="149">
          <cell r="D149">
            <v>2005</v>
          </cell>
          <cell r="E149">
            <v>2750</v>
          </cell>
        </row>
        <row r="150">
          <cell r="D150">
            <v>0</v>
          </cell>
          <cell r="E150">
            <v>0</v>
          </cell>
        </row>
        <row r="151">
          <cell r="D151">
            <v>2005</v>
          </cell>
          <cell r="E151">
            <v>12690</v>
          </cell>
        </row>
        <row r="152">
          <cell r="D152">
            <v>2005</v>
          </cell>
          <cell r="E152">
            <v>17370</v>
          </cell>
        </row>
        <row r="153">
          <cell r="D153">
            <v>2005</v>
          </cell>
          <cell r="E153">
            <v>1715</v>
          </cell>
        </row>
        <row r="154">
          <cell r="D154">
            <v>2005</v>
          </cell>
          <cell r="E154">
            <v>300</v>
          </cell>
        </row>
        <row r="155">
          <cell r="D155">
            <v>2005</v>
          </cell>
          <cell r="E155">
            <v>525</v>
          </cell>
        </row>
        <row r="156">
          <cell r="D156">
            <v>2005</v>
          </cell>
          <cell r="E156">
            <v>2705.8</v>
          </cell>
        </row>
        <row r="157">
          <cell r="D157">
            <v>0</v>
          </cell>
          <cell r="E157">
            <v>0</v>
          </cell>
        </row>
        <row r="158">
          <cell r="D158">
            <v>2005</v>
          </cell>
          <cell r="E158">
            <v>18750</v>
          </cell>
        </row>
        <row r="159">
          <cell r="D159">
            <v>2005</v>
          </cell>
          <cell r="E159">
            <v>24225</v>
          </cell>
        </row>
        <row r="160">
          <cell r="D160">
            <v>2005</v>
          </cell>
          <cell r="E160">
            <v>1375</v>
          </cell>
        </row>
        <row r="161">
          <cell r="D161">
            <v>2005</v>
          </cell>
          <cell r="E161">
            <v>650</v>
          </cell>
        </row>
        <row r="162">
          <cell r="D162">
            <v>2005</v>
          </cell>
          <cell r="E162">
            <v>1515</v>
          </cell>
        </row>
        <row r="163">
          <cell r="D163">
            <v>2005</v>
          </cell>
          <cell r="E163">
            <v>350</v>
          </cell>
        </row>
        <row r="164">
          <cell r="D164">
            <v>2005</v>
          </cell>
          <cell r="E164">
            <v>3889.7950000000001</v>
          </cell>
        </row>
        <row r="165">
          <cell r="D165">
            <v>0</v>
          </cell>
          <cell r="E165">
            <v>0</v>
          </cell>
        </row>
        <row r="166">
          <cell r="D166">
            <v>2005</v>
          </cell>
          <cell r="E166">
            <v>12750</v>
          </cell>
        </row>
        <row r="167">
          <cell r="D167">
            <v>2005</v>
          </cell>
          <cell r="E167">
            <v>5115</v>
          </cell>
        </row>
        <row r="168">
          <cell r="D168">
            <v>2005</v>
          </cell>
          <cell r="E168">
            <v>1102.5</v>
          </cell>
        </row>
        <row r="169">
          <cell r="D169">
            <v>2005</v>
          </cell>
          <cell r="E169">
            <v>1950</v>
          </cell>
        </row>
        <row r="170">
          <cell r="D170">
            <v>2005</v>
          </cell>
          <cell r="E170">
            <v>11615</v>
          </cell>
        </row>
        <row r="171">
          <cell r="D171">
            <v>2005</v>
          </cell>
          <cell r="E171">
            <v>1750</v>
          </cell>
        </row>
        <row r="172">
          <cell r="D172">
            <v>2005</v>
          </cell>
          <cell r="E172">
            <v>3329.6</v>
          </cell>
        </row>
        <row r="173">
          <cell r="D173">
            <v>2005</v>
          </cell>
          <cell r="E173">
            <v>3121.8043000000002</v>
          </cell>
        </row>
        <row r="174">
          <cell r="D174">
            <v>0</v>
          </cell>
          <cell r="E174">
            <v>0</v>
          </cell>
        </row>
        <row r="175">
          <cell r="D175">
            <v>2005</v>
          </cell>
          <cell r="E175">
            <v>0</v>
          </cell>
        </row>
        <row r="176">
          <cell r="D176">
            <v>2005</v>
          </cell>
          <cell r="E176">
            <v>0</v>
          </cell>
        </row>
        <row r="177">
          <cell r="D177">
            <v>2005</v>
          </cell>
          <cell r="E177">
            <v>0</v>
          </cell>
        </row>
        <row r="178">
          <cell r="D178">
            <v>2005</v>
          </cell>
          <cell r="E178">
            <v>0</v>
          </cell>
        </row>
        <row r="179">
          <cell r="D179">
            <v>2005</v>
          </cell>
          <cell r="E179">
            <v>0</v>
          </cell>
        </row>
        <row r="180">
          <cell r="D180">
            <v>2005</v>
          </cell>
          <cell r="E180">
            <v>0</v>
          </cell>
        </row>
        <row r="181">
          <cell r="D181">
            <v>0</v>
          </cell>
          <cell r="E181">
            <v>0</v>
          </cell>
        </row>
        <row r="182">
          <cell r="D182">
            <v>2005</v>
          </cell>
          <cell r="E182">
            <v>18841</v>
          </cell>
        </row>
        <row r="183">
          <cell r="D183">
            <v>0</v>
          </cell>
          <cell r="E183">
            <v>0</v>
          </cell>
        </row>
        <row r="184">
          <cell r="D184">
            <v>0</v>
          </cell>
          <cell r="E184">
            <v>0</v>
          </cell>
        </row>
        <row r="185">
          <cell r="D185">
            <v>0</v>
          </cell>
          <cell r="E185">
            <v>0</v>
          </cell>
        </row>
        <row r="186">
          <cell r="D186">
            <v>0</v>
          </cell>
          <cell r="E186">
            <v>0</v>
          </cell>
        </row>
        <row r="187">
          <cell r="D187">
            <v>0</v>
          </cell>
          <cell r="E187">
            <v>0</v>
          </cell>
        </row>
        <row r="188">
          <cell r="D188">
            <v>0</v>
          </cell>
          <cell r="E188">
            <v>0</v>
          </cell>
        </row>
        <row r="189">
          <cell r="D189">
            <v>0</v>
          </cell>
          <cell r="E189">
            <v>0</v>
          </cell>
        </row>
        <row r="190">
          <cell r="D190">
            <v>2008</v>
          </cell>
          <cell r="E190">
            <v>0</v>
          </cell>
        </row>
        <row r="191">
          <cell r="D191">
            <v>0</v>
          </cell>
          <cell r="E191">
            <v>0</v>
          </cell>
        </row>
        <row r="192">
          <cell r="D192">
            <v>0</v>
          </cell>
          <cell r="E192">
            <v>0</v>
          </cell>
        </row>
        <row r="193">
          <cell r="D193">
            <v>0</v>
          </cell>
          <cell r="E193">
            <v>0</v>
          </cell>
        </row>
        <row r="194">
          <cell r="D194">
            <v>0</v>
          </cell>
          <cell r="E194">
            <v>0</v>
          </cell>
        </row>
        <row r="195">
          <cell r="D195">
            <v>0</v>
          </cell>
          <cell r="E195">
            <v>0</v>
          </cell>
        </row>
        <row r="196">
          <cell r="D196">
            <v>0</v>
          </cell>
          <cell r="E196">
            <v>0</v>
          </cell>
        </row>
        <row r="197">
          <cell r="D197">
            <v>0</v>
          </cell>
          <cell r="E197">
            <v>0</v>
          </cell>
        </row>
        <row r="198">
          <cell r="D198">
            <v>0</v>
          </cell>
          <cell r="E198">
            <v>0</v>
          </cell>
        </row>
        <row r="199">
          <cell r="D199">
            <v>0</v>
          </cell>
          <cell r="E199">
            <v>0</v>
          </cell>
        </row>
        <row r="200">
          <cell r="D200">
            <v>0</v>
          </cell>
          <cell r="E200">
            <v>0</v>
          </cell>
        </row>
        <row r="201">
          <cell r="D201">
            <v>0</v>
          </cell>
          <cell r="E201">
            <v>0</v>
          </cell>
        </row>
        <row r="202">
          <cell r="D202">
            <v>2008</v>
          </cell>
          <cell r="E202">
            <v>0</v>
          </cell>
        </row>
        <row r="203">
          <cell r="D203">
            <v>2008</v>
          </cell>
          <cell r="E203">
            <v>0</v>
          </cell>
        </row>
        <row r="204">
          <cell r="D204">
            <v>2008</v>
          </cell>
          <cell r="E204">
            <v>0</v>
          </cell>
        </row>
        <row r="205">
          <cell r="D205">
            <v>2008</v>
          </cell>
          <cell r="E205">
            <v>0</v>
          </cell>
        </row>
        <row r="206">
          <cell r="D206">
            <v>2008</v>
          </cell>
          <cell r="E206">
            <v>0</v>
          </cell>
        </row>
        <row r="207">
          <cell r="D207">
            <v>2008</v>
          </cell>
          <cell r="E207">
            <v>0</v>
          </cell>
        </row>
        <row r="208">
          <cell r="D208">
            <v>0</v>
          </cell>
          <cell r="E208">
            <v>0</v>
          </cell>
        </row>
        <row r="209">
          <cell r="D209">
            <v>0</v>
          </cell>
          <cell r="E209">
            <v>0</v>
          </cell>
        </row>
        <row r="210">
          <cell r="D210">
            <v>2008</v>
          </cell>
          <cell r="E210">
            <v>0</v>
          </cell>
        </row>
        <row r="211">
          <cell r="D211">
            <v>2008</v>
          </cell>
          <cell r="E211">
            <v>0</v>
          </cell>
        </row>
        <row r="212">
          <cell r="D212">
            <v>2008</v>
          </cell>
          <cell r="E212">
            <v>0</v>
          </cell>
        </row>
        <row r="213">
          <cell r="D213">
            <v>2008</v>
          </cell>
          <cell r="E213">
            <v>0</v>
          </cell>
        </row>
        <row r="214">
          <cell r="D214">
            <v>2008</v>
          </cell>
          <cell r="E214">
            <v>0</v>
          </cell>
        </row>
        <row r="215">
          <cell r="D215">
            <v>2008</v>
          </cell>
          <cell r="E215">
            <v>0</v>
          </cell>
        </row>
        <row r="216">
          <cell r="D216">
            <v>0</v>
          </cell>
          <cell r="E216">
            <v>0</v>
          </cell>
        </row>
        <row r="217">
          <cell r="D217">
            <v>2006</v>
          </cell>
          <cell r="E217">
            <v>0</v>
          </cell>
        </row>
        <row r="218">
          <cell r="D218">
            <v>0</v>
          </cell>
          <cell r="E218">
            <v>0</v>
          </cell>
        </row>
        <row r="219">
          <cell r="D219">
            <v>2006</v>
          </cell>
          <cell r="E219">
            <v>0</v>
          </cell>
        </row>
        <row r="220">
          <cell r="D220">
            <v>2006</v>
          </cell>
          <cell r="E220">
            <v>0</v>
          </cell>
        </row>
        <row r="221">
          <cell r="D221">
            <v>0</v>
          </cell>
          <cell r="E221">
            <v>0</v>
          </cell>
        </row>
        <row r="222">
          <cell r="D222">
            <v>2005</v>
          </cell>
          <cell r="E222">
            <v>0</v>
          </cell>
        </row>
        <row r="223">
          <cell r="D223">
            <v>2005</v>
          </cell>
          <cell r="E223">
            <v>0</v>
          </cell>
        </row>
        <row r="224">
          <cell r="D224">
            <v>2005</v>
          </cell>
          <cell r="E224">
            <v>0</v>
          </cell>
        </row>
        <row r="225">
          <cell r="D225">
            <v>2005</v>
          </cell>
          <cell r="E225">
            <v>0</v>
          </cell>
        </row>
        <row r="226">
          <cell r="D226">
            <v>2005</v>
          </cell>
          <cell r="E226">
            <v>0</v>
          </cell>
        </row>
        <row r="227">
          <cell r="D227">
            <v>2005</v>
          </cell>
          <cell r="E227">
            <v>0</v>
          </cell>
        </row>
        <row r="228">
          <cell r="D228">
            <v>2006</v>
          </cell>
          <cell r="E228">
            <v>0</v>
          </cell>
        </row>
        <row r="229">
          <cell r="D229">
            <v>2006</v>
          </cell>
          <cell r="E229">
            <v>0</v>
          </cell>
        </row>
        <row r="230">
          <cell r="D230">
            <v>2006</v>
          </cell>
          <cell r="E230">
            <v>0</v>
          </cell>
        </row>
        <row r="231">
          <cell r="D231">
            <v>0</v>
          </cell>
          <cell r="E231">
            <v>0</v>
          </cell>
        </row>
        <row r="232">
          <cell r="D232">
            <v>0</v>
          </cell>
          <cell r="E232">
            <v>0</v>
          </cell>
        </row>
        <row r="233">
          <cell r="D233">
            <v>0</v>
          </cell>
          <cell r="E233">
            <v>0</v>
          </cell>
        </row>
        <row r="234">
          <cell r="D234">
            <v>0</v>
          </cell>
          <cell r="E234">
            <v>0</v>
          </cell>
        </row>
        <row r="235">
          <cell r="D235">
            <v>0</v>
          </cell>
          <cell r="E235">
            <v>0</v>
          </cell>
        </row>
        <row r="236">
          <cell r="D236">
            <v>0</v>
          </cell>
          <cell r="E236">
            <v>0</v>
          </cell>
        </row>
        <row r="237">
          <cell r="D237">
            <v>0</v>
          </cell>
          <cell r="E237">
            <v>0</v>
          </cell>
        </row>
        <row r="238">
          <cell r="D238">
            <v>0</v>
          </cell>
          <cell r="E238">
            <v>0</v>
          </cell>
        </row>
        <row r="239">
          <cell r="D239">
            <v>0</v>
          </cell>
          <cell r="E239">
            <v>0</v>
          </cell>
        </row>
        <row r="240">
          <cell r="D240">
            <v>0</v>
          </cell>
          <cell r="E240">
            <v>0</v>
          </cell>
        </row>
        <row r="241">
          <cell r="D241">
            <v>0</v>
          </cell>
          <cell r="E241">
            <v>0</v>
          </cell>
        </row>
        <row r="242">
          <cell r="D242">
            <v>0</v>
          </cell>
          <cell r="E242">
            <v>0</v>
          </cell>
        </row>
        <row r="243">
          <cell r="D243">
            <v>0</v>
          </cell>
          <cell r="E243">
            <v>0</v>
          </cell>
        </row>
        <row r="244">
          <cell r="D244">
            <v>0</v>
          </cell>
          <cell r="E244">
            <v>0</v>
          </cell>
        </row>
        <row r="245">
          <cell r="D245">
            <v>0</v>
          </cell>
          <cell r="E245">
            <v>0</v>
          </cell>
        </row>
        <row r="246">
          <cell r="D246">
            <v>0</v>
          </cell>
          <cell r="E246">
            <v>0</v>
          </cell>
        </row>
        <row r="247">
          <cell r="D247">
            <v>0</v>
          </cell>
          <cell r="E247">
            <v>0</v>
          </cell>
        </row>
        <row r="248">
          <cell r="D248">
            <v>0</v>
          </cell>
          <cell r="E248">
            <v>0</v>
          </cell>
        </row>
        <row r="249">
          <cell r="D249">
            <v>0</v>
          </cell>
          <cell r="E249">
            <v>0</v>
          </cell>
        </row>
        <row r="250">
          <cell r="D250">
            <v>0</v>
          </cell>
          <cell r="E250">
            <v>0</v>
          </cell>
        </row>
        <row r="251">
          <cell r="D251">
            <v>0</v>
          </cell>
          <cell r="E251">
            <v>0</v>
          </cell>
        </row>
        <row r="252">
          <cell r="D252">
            <v>0</v>
          </cell>
          <cell r="E252">
            <v>0</v>
          </cell>
        </row>
        <row r="253">
          <cell r="D253">
            <v>0</v>
          </cell>
          <cell r="E253">
            <v>0</v>
          </cell>
        </row>
        <row r="254">
          <cell r="D254">
            <v>0</v>
          </cell>
          <cell r="E254">
            <v>0</v>
          </cell>
        </row>
        <row r="255">
          <cell r="D255">
            <v>0</v>
          </cell>
          <cell r="E255">
            <v>0</v>
          </cell>
        </row>
        <row r="256">
          <cell r="D256">
            <v>0</v>
          </cell>
          <cell r="E256">
            <v>0</v>
          </cell>
        </row>
        <row r="257">
          <cell r="D257">
            <v>0</v>
          </cell>
          <cell r="E257">
            <v>0</v>
          </cell>
        </row>
        <row r="258">
          <cell r="D258">
            <v>0</v>
          </cell>
          <cell r="E258">
            <v>0</v>
          </cell>
        </row>
        <row r="259">
          <cell r="D259">
            <v>0</v>
          </cell>
          <cell r="E259">
            <v>0</v>
          </cell>
        </row>
        <row r="260">
          <cell r="D260">
            <v>0</v>
          </cell>
          <cell r="E260">
            <v>0</v>
          </cell>
        </row>
        <row r="261">
          <cell r="D261">
            <v>0</v>
          </cell>
          <cell r="E261">
            <v>0</v>
          </cell>
        </row>
        <row r="262">
          <cell r="D262">
            <v>0</v>
          </cell>
          <cell r="E262">
            <v>0</v>
          </cell>
        </row>
        <row r="263">
          <cell r="D263">
            <v>0</v>
          </cell>
          <cell r="E263">
            <v>0</v>
          </cell>
        </row>
        <row r="264">
          <cell r="D264">
            <v>0</v>
          </cell>
          <cell r="E264">
            <v>0</v>
          </cell>
        </row>
        <row r="265">
          <cell r="D265">
            <v>0</v>
          </cell>
          <cell r="E265">
            <v>0</v>
          </cell>
        </row>
        <row r="266">
          <cell r="D266">
            <v>0</v>
          </cell>
          <cell r="E266">
            <v>0</v>
          </cell>
        </row>
        <row r="267">
          <cell r="D267">
            <v>0</v>
          </cell>
          <cell r="E267">
            <v>0</v>
          </cell>
        </row>
        <row r="268">
          <cell r="D268">
            <v>0</v>
          </cell>
          <cell r="E268">
            <v>0</v>
          </cell>
        </row>
        <row r="269">
          <cell r="D269">
            <v>0</v>
          </cell>
          <cell r="E269">
            <v>0</v>
          </cell>
        </row>
        <row r="270">
          <cell r="D270">
            <v>0</v>
          </cell>
          <cell r="E270">
            <v>0</v>
          </cell>
        </row>
        <row r="271">
          <cell r="D271">
            <v>0</v>
          </cell>
          <cell r="E271">
            <v>0</v>
          </cell>
        </row>
        <row r="272">
          <cell r="D272">
            <v>0</v>
          </cell>
          <cell r="E272">
            <v>0</v>
          </cell>
        </row>
        <row r="273">
          <cell r="D273">
            <v>0</v>
          </cell>
          <cell r="E273">
            <v>0</v>
          </cell>
        </row>
        <row r="274">
          <cell r="D274">
            <v>0</v>
          </cell>
          <cell r="E274">
            <v>0</v>
          </cell>
        </row>
        <row r="275">
          <cell r="D275">
            <v>0</v>
          </cell>
          <cell r="E275">
            <v>0</v>
          </cell>
        </row>
        <row r="276">
          <cell r="D276">
            <v>0</v>
          </cell>
          <cell r="E276">
            <v>0</v>
          </cell>
        </row>
        <row r="277">
          <cell r="D277">
            <v>0</v>
          </cell>
          <cell r="E277">
            <v>0</v>
          </cell>
        </row>
        <row r="278">
          <cell r="D278">
            <v>0</v>
          </cell>
          <cell r="E278">
            <v>0</v>
          </cell>
        </row>
        <row r="279">
          <cell r="D279">
            <v>0</v>
          </cell>
          <cell r="E279">
            <v>0</v>
          </cell>
        </row>
        <row r="280">
          <cell r="D280">
            <v>0</v>
          </cell>
          <cell r="E280">
            <v>0</v>
          </cell>
        </row>
        <row r="281">
          <cell r="D281">
            <v>0</v>
          </cell>
          <cell r="E281">
            <v>0</v>
          </cell>
        </row>
        <row r="282">
          <cell r="D282">
            <v>0</v>
          </cell>
          <cell r="E282">
            <v>0</v>
          </cell>
        </row>
        <row r="283">
          <cell r="D283">
            <v>0</v>
          </cell>
          <cell r="E283">
            <v>0</v>
          </cell>
        </row>
        <row r="284">
          <cell r="D284">
            <v>0</v>
          </cell>
          <cell r="E284">
            <v>0</v>
          </cell>
        </row>
        <row r="285">
          <cell r="D285">
            <v>0</v>
          </cell>
          <cell r="E285">
            <v>0</v>
          </cell>
        </row>
        <row r="286">
          <cell r="D286">
            <v>0</v>
          </cell>
          <cell r="E286">
            <v>0</v>
          </cell>
        </row>
        <row r="287">
          <cell r="D287">
            <v>0</v>
          </cell>
          <cell r="E287">
            <v>0</v>
          </cell>
        </row>
        <row r="288">
          <cell r="D288">
            <v>0</v>
          </cell>
          <cell r="E288">
            <v>0</v>
          </cell>
        </row>
        <row r="289">
          <cell r="D289">
            <v>0</v>
          </cell>
          <cell r="E289">
            <v>0</v>
          </cell>
        </row>
        <row r="290">
          <cell r="D290">
            <v>0</v>
          </cell>
          <cell r="E290">
            <v>0</v>
          </cell>
        </row>
        <row r="291">
          <cell r="D291">
            <v>0</v>
          </cell>
          <cell r="E291">
            <v>0</v>
          </cell>
        </row>
        <row r="292">
          <cell r="D292">
            <v>0</v>
          </cell>
          <cell r="E292">
            <v>0</v>
          </cell>
        </row>
        <row r="293">
          <cell r="D293">
            <v>0</v>
          </cell>
          <cell r="E293">
            <v>0</v>
          </cell>
        </row>
        <row r="294">
          <cell r="D294">
            <v>0</v>
          </cell>
          <cell r="E294">
            <v>0</v>
          </cell>
        </row>
        <row r="295">
          <cell r="D295">
            <v>0</v>
          </cell>
          <cell r="E295">
            <v>0</v>
          </cell>
        </row>
        <row r="296">
          <cell r="D296">
            <v>0</v>
          </cell>
          <cell r="E296">
            <v>0</v>
          </cell>
        </row>
        <row r="297">
          <cell r="D297">
            <v>0</v>
          </cell>
          <cell r="E297">
            <v>0</v>
          </cell>
        </row>
        <row r="298">
          <cell r="D298">
            <v>0</v>
          </cell>
          <cell r="E298">
            <v>0</v>
          </cell>
        </row>
        <row r="299">
          <cell r="D299">
            <v>0</v>
          </cell>
          <cell r="E299">
            <v>0</v>
          </cell>
        </row>
        <row r="300">
          <cell r="D300">
            <v>0</v>
          </cell>
          <cell r="E300">
            <v>0</v>
          </cell>
        </row>
        <row r="301">
          <cell r="D301">
            <v>0</v>
          </cell>
          <cell r="E301">
            <v>0</v>
          </cell>
        </row>
        <row r="302">
          <cell r="D302">
            <v>0</v>
          </cell>
          <cell r="E302">
            <v>0</v>
          </cell>
        </row>
        <row r="303">
          <cell r="D303">
            <v>0</v>
          </cell>
          <cell r="E303">
            <v>0</v>
          </cell>
        </row>
        <row r="304">
          <cell r="D304">
            <v>0</v>
          </cell>
          <cell r="E304">
            <v>0</v>
          </cell>
        </row>
        <row r="305">
          <cell r="D305">
            <v>0</v>
          </cell>
          <cell r="E305">
            <v>0</v>
          </cell>
        </row>
        <row r="306">
          <cell r="D306">
            <v>0</v>
          </cell>
          <cell r="E306">
            <v>0</v>
          </cell>
        </row>
        <row r="307">
          <cell r="D307">
            <v>0</v>
          </cell>
          <cell r="E307">
            <v>0</v>
          </cell>
        </row>
        <row r="308">
          <cell r="D308">
            <v>0</v>
          </cell>
          <cell r="E308">
            <v>0</v>
          </cell>
        </row>
        <row r="309">
          <cell r="D309">
            <v>0</v>
          </cell>
          <cell r="E309">
            <v>0</v>
          </cell>
        </row>
        <row r="310">
          <cell r="D310">
            <v>0</v>
          </cell>
          <cell r="E310">
            <v>0</v>
          </cell>
        </row>
        <row r="311">
          <cell r="D311">
            <v>0</v>
          </cell>
          <cell r="E311">
            <v>0</v>
          </cell>
        </row>
        <row r="312">
          <cell r="D312">
            <v>0</v>
          </cell>
          <cell r="E312">
            <v>0</v>
          </cell>
        </row>
        <row r="313">
          <cell r="D313">
            <v>0</v>
          </cell>
          <cell r="E313">
            <v>0</v>
          </cell>
        </row>
        <row r="314">
          <cell r="D314">
            <v>0</v>
          </cell>
          <cell r="E314">
            <v>0</v>
          </cell>
        </row>
        <row r="315">
          <cell r="D315">
            <v>0</v>
          </cell>
          <cell r="E315">
            <v>0</v>
          </cell>
        </row>
        <row r="316">
          <cell r="D316">
            <v>0</v>
          </cell>
          <cell r="E316">
            <v>0</v>
          </cell>
        </row>
        <row r="317">
          <cell r="D317">
            <v>0</v>
          </cell>
          <cell r="E317">
            <v>0</v>
          </cell>
        </row>
        <row r="318">
          <cell r="D318">
            <v>0</v>
          </cell>
          <cell r="E318">
            <v>0</v>
          </cell>
        </row>
        <row r="319">
          <cell r="D319">
            <v>0</v>
          </cell>
          <cell r="E319">
            <v>0</v>
          </cell>
        </row>
        <row r="320">
          <cell r="D320">
            <v>0</v>
          </cell>
          <cell r="E320">
            <v>0</v>
          </cell>
        </row>
        <row r="321">
          <cell r="D321">
            <v>0</v>
          </cell>
          <cell r="E321">
            <v>0</v>
          </cell>
        </row>
        <row r="322">
          <cell r="D322">
            <v>0</v>
          </cell>
          <cell r="E322">
            <v>0</v>
          </cell>
        </row>
        <row r="323">
          <cell r="D323">
            <v>0</v>
          </cell>
          <cell r="E323">
            <v>0</v>
          </cell>
        </row>
        <row r="324">
          <cell r="D324">
            <v>0</v>
          </cell>
          <cell r="E324">
            <v>0</v>
          </cell>
        </row>
        <row r="325">
          <cell r="D325">
            <v>0</v>
          </cell>
          <cell r="E325">
            <v>0</v>
          </cell>
        </row>
        <row r="326">
          <cell r="D326">
            <v>0</v>
          </cell>
          <cell r="E326">
            <v>0</v>
          </cell>
        </row>
        <row r="327">
          <cell r="D327">
            <v>0</v>
          </cell>
          <cell r="E327">
            <v>0</v>
          </cell>
        </row>
        <row r="328">
          <cell r="D328">
            <v>0</v>
          </cell>
          <cell r="E328">
            <v>0</v>
          </cell>
        </row>
        <row r="329">
          <cell r="D329">
            <v>0</v>
          </cell>
          <cell r="E329">
            <v>0</v>
          </cell>
        </row>
        <row r="330">
          <cell r="D330">
            <v>0</v>
          </cell>
          <cell r="E330">
            <v>0</v>
          </cell>
        </row>
        <row r="331">
          <cell r="D331">
            <v>0</v>
          </cell>
          <cell r="E331">
            <v>0</v>
          </cell>
        </row>
        <row r="332">
          <cell r="D332">
            <v>0</v>
          </cell>
          <cell r="E332">
            <v>0</v>
          </cell>
        </row>
        <row r="333">
          <cell r="D333">
            <v>0</v>
          </cell>
          <cell r="E333">
            <v>0</v>
          </cell>
        </row>
        <row r="334">
          <cell r="D334">
            <v>0</v>
          </cell>
          <cell r="E334">
            <v>0</v>
          </cell>
        </row>
        <row r="335">
          <cell r="D335">
            <v>0</v>
          </cell>
          <cell r="E335">
            <v>0</v>
          </cell>
        </row>
        <row r="336">
          <cell r="D336">
            <v>0</v>
          </cell>
          <cell r="E336">
            <v>0</v>
          </cell>
        </row>
        <row r="337">
          <cell r="D337">
            <v>0</v>
          </cell>
          <cell r="E337">
            <v>0</v>
          </cell>
        </row>
        <row r="338">
          <cell r="D338">
            <v>0</v>
          </cell>
          <cell r="E338">
            <v>0</v>
          </cell>
        </row>
        <row r="339">
          <cell r="D339">
            <v>0</v>
          </cell>
          <cell r="E339">
            <v>0</v>
          </cell>
        </row>
        <row r="340">
          <cell r="D340">
            <v>0</v>
          </cell>
          <cell r="E340">
            <v>0</v>
          </cell>
        </row>
        <row r="341">
          <cell r="D341">
            <v>0</v>
          </cell>
          <cell r="E341">
            <v>0</v>
          </cell>
        </row>
        <row r="342">
          <cell r="D342">
            <v>0</v>
          </cell>
          <cell r="E342">
            <v>0</v>
          </cell>
        </row>
        <row r="343">
          <cell r="D343">
            <v>0</v>
          </cell>
          <cell r="E343">
            <v>0</v>
          </cell>
        </row>
        <row r="344">
          <cell r="D344">
            <v>0</v>
          </cell>
          <cell r="E344">
            <v>0</v>
          </cell>
        </row>
        <row r="345">
          <cell r="D345">
            <v>0</v>
          </cell>
          <cell r="E345">
            <v>0</v>
          </cell>
        </row>
        <row r="346">
          <cell r="D346">
            <v>0</v>
          </cell>
          <cell r="E346">
            <v>0</v>
          </cell>
        </row>
        <row r="347">
          <cell r="D347">
            <v>0</v>
          </cell>
          <cell r="E347">
            <v>0</v>
          </cell>
        </row>
        <row r="348">
          <cell r="D348">
            <v>0</v>
          </cell>
          <cell r="E348">
            <v>0</v>
          </cell>
        </row>
        <row r="349">
          <cell r="D349">
            <v>0</v>
          </cell>
          <cell r="E349">
            <v>0</v>
          </cell>
        </row>
        <row r="350">
          <cell r="D350">
            <v>0</v>
          </cell>
          <cell r="E350">
            <v>0</v>
          </cell>
        </row>
        <row r="351">
          <cell r="D351">
            <v>0</v>
          </cell>
          <cell r="E351">
            <v>0</v>
          </cell>
        </row>
        <row r="352">
          <cell r="D352">
            <v>0</v>
          </cell>
          <cell r="E352">
            <v>0</v>
          </cell>
        </row>
        <row r="353">
          <cell r="D353">
            <v>0</v>
          </cell>
          <cell r="E353">
            <v>0</v>
          </cell>
        </row>
        <row r="354">
          <cell r="D354">
            <v>0</v>
          </cell>
          <cell r="E354">
            <v>0</v>
          </cell>
        </row>
        <row r="355">
          <cell r="D355">
            <v>0</v>
          </cell>
          <cell r="E355">
            <v>0</v>
          </cell>
        </row>
        <row r="356">
          <cell r="D356">
            <v>0</v>
          </cell>
          <cell r="E356">
            <v>0</v>
          </cell>
        </row>
        <row r="357">
          <cell r="D357">
            <v>0</v>
          </cell>
          <cell r="E357">
            <v>0</v>
          </cell>
        </row>
        <row r="358">
          <cell r="D358">
            <v>0</v>
          </cell>
          <cell r="E358">
            <v>0</v>
          </cell>
        </row>
        <row r="359">
          <cell r="D359">
            <v>0</v>
          </cell>
          <cell r="E359">
            <v>0</v>
          </cell>
        </row>
        <row r="360">
          <cell r="D360">
            <v>0</v>
          </cell>
          <cell r="E360">
            <v>0</v>
          </cell>
        </row>
        <row r="361">
          <cell r="D361">
            <v>0</v>
          </cell>
          <cell r="E361">
            <v>0</v>
          </cell>
        </row>
        <row r="362">
          <cell r="D362">
            <v>0</v>
          </cell>
          <cell r="E362">
            <v>0</v>
          </cell>
        </row>
        <row r="363">
          <cell r="D363">
            <v>0</v>
          </cell>
          <cell r="E363">
            <v>0</v>
          </cell>
        </row>
        <row r="364">
          <cell r="D364">
            <v>0</v>
          </cell>
          <cell r="E364">
            <v>0</v>
          </cell>
        </row>
        <row r="365">
          <cell r="D365">
            <v>0</v>
          </cell>
          <cell r="E365">
            <v>0</v>
          </cell>
        </row>
        <row r="366">
          <cell r="D366">
            <v>0</v>
          </cell>
          <cell r="E366">
            <v>0</v>
          </cell>
        </row>
        <row r="367">
          <cell r="D367">
            <v>0</v>
          </cell>
          <cell r="E367">
            <v>0</v>
          </cell>
        </row>
        <row r="368">
          <cell r="D368">
            <v>0</v>
          </cell>
          <cell r="E368">
            <v>0</v>
          </cell>
        </row>
        <row r="369">
          <cell r="D369">
            <v>0</v>
          </cell>
          <cell r="E369">
            <v>0</v>
          </cell>
        </row>
        <row r="370">
          <cell r="D370">
            <v>0</v>
          </cell>
          <cell r="E370">
            <v>0</v>
          </cell>
        </row>
        <row r="371">
          <cell r="D371">
            <v>0</v>
          </cell>
          <cell r="E371">
            <v>0</v>
          </cell>
        </row>
        <row r="372">
          <cell r="D372">
            <v>0</v>
          </cell>
          <cell r="E372">
            <v>0</v>
          </cell>
        </row>
        <row r="373">
          <cell r="D373">
            <v>0</v>
          </cell>
          <cell r="E373">
            <v>0</v>
          </cell>
        </row>
        <row r="374">
          <cell r="D374">
            <v>0</v>
          </cell>
          <cell r="E374">
            <v>0</v>
          </cell>
        </row>
        <row r="375">
          <cell r="D375">
            <v>0</v>
          </cell>
          <cell r="E375">
            <v>0</v>
          </cell>
        </row>
        <row r="376">
          <cell r="D376">
            <v>0</v>
          </cell>
          <cell r="E376">
            <v>0</v>
          </cell>
        </row>
        <row r="377">
          <cell r="D377">
            <v>0</v>
          </cell>
          <cell r="E377">
            <v>0</v>
          </cell>
        </row>
        <row r="378">
          <cell r="D378">
            <v>0</v>
          </cell>
          <cell r="E378">
            <v>0</v>
          </cell>
        </row>
        <row r="379">
          <cell r="D379">
            <v>0</v>
          </cell>
          <cell r="E379">
            <v>0</v>
          </cell>
        </row>
        <row r="380">
          <cell r="D380">
            <v>0</v>
          </cell>
          <cell r="E380">
            <v>0</v>
          </cell>
        </row>
        <row r="381">
          <cell r="D381">
            <v>0</v>
          </cell>
          <cell r="E381">
            <v>0</v>
          </cell>
        </row>
        <row r="382">
          <cell r="D382">
            <v>0</v>
          </cell>
          <cell r="E382">
            <v>0</v>
          </cell>
        </row>
        <row r="383">
          <cell r="D383">
            <v>0</v>
          </cell>
          <cell r="E383">
            <v>0</v>
          </cell>
        </row>
        <row r="384">
          <cell r="D384">
            <v>0</v>
          </cell>
          <cell r="E384">
            <v>0</v>
          </cell>
        </row>
        <row r="385">
          <cell r="D385">
            <v>0</v>
          </cell>
          <cell r="E385">
            <v>0</v>
          </cell>
        </row>
        <row r="386">
          <cell r="D386">
            <v>0</v>
          </cell>
          <cell r="E386">
            <v>0</v>
          </cell>
        </row>
        <row r="387">
          <cell r="D387">
            <v>0</v>
          </cell>
          <cell r="E387">
            <v>0</v>
          </cell>
        </row>
        <row r="388">
          <cell r="D388">
            <v>0</v>
          </cell>
          <cell r="E388">
            <v>0</v>
          </cell>
        </row>
        <row r="389">
          <cell r="D389">
            <v>0</v>
          </cell>
          <cell r="E389">
            <v>0</v>
          </cell>
        </row>
        <row r="390">
          <cell r="D390">
            <v>0</v>
          </cell>
          <cell r="E390">
            <v>0</v>
          </cell>
        </row>
        <row r="391">
          <cell r="D391">
            <v>0</v>
          </cell>
          <cell r="E391">
            <v>0</v>
          </cell>
        </row>
        <row r="392">
          <cell r="D392">
            <v>0</v>
          </cell>
          <cell r="E392">
            <v>0</v>
          </cell>
        </row>
        <row r="393">
          <cell r="D393">
            <v>0</v>
          </cell>
          <cell r="E393">
            <v>0</v>
          </cell>
        </row>
        <row r="394">
          <cell r="D394">
            <v>0</v>
          </cell>
          <cell r="E394">
            <v>0</v>
          </cell>
        </row>
        <row r="395">
          <cell r="D395">
            <v>0</v>
          </cell>
          <cell r="E395">
            <v>0</v>
          </cell>
        </row>
        <row r="396">
          <cell r="D396">
            <v>0</v>
          </cell>
          <cell r="E396">
            <v>0</v>
          </cell>
        </row>
        <row r="397">
          <cell r="D397">
            <v>0</v>
          </cell>
          <cell r="E397">
            <v>0</v>
          </cell>
        </row>
        <row r="398">
          <cell r="D398">
            <v>0</v>
          </cell>
          <cell r="E398">
            <v>0</v>
          </cell>
        </row>
        <row r="399">
          <cell r="D399">
            <v>0</v>
          </cell>
          <cell r="E399">
            <v>0</v>
          </cell>
        </row>
        <row r="400">
          <cell r="D400">
            <v>0</v>
          </cell>
          <cell r="E400">
            <v>0</v>
          </cell>
        </row>
        <row r="401">
          <cell r="D401">
            <v>0</v>
          </cell>
          <cell r="E401">
            <v>0</v>
          </cell>
        </row>
        <row r="402">
          <cell r="D402">
            <v>0</v>
          </cell>
          <cell r="E402">
            <v>0</v>
          </cell>
        </row>
        <row r="403">
          <cell r="D403">
            <v>0</v>
          </cell>
          <cell r="E403">
            <v>0</v>
          </cell>
        </row>
        <row r="404">
          <cell r="D404">
            <v>0</v>
          </cell>
          <cell r="E404">
            <v>0</v>
          </cell>
        </row>
        <row r="405">
          <cell r="D405">
            <v>0</v>
          </cell>
          <cell r="E405">
            <v>0</v>
          </cell>
        </row>
        <row r="406">
          <cell r="D406">
            <v>0</v>
          </cell>
          <cell r="E406">
            <v>0</v>
          </cell>
        </row>
        <row r="407">
          <cell r="D407">
            <v>0</v>
          </cell>
          <cell r="E407">
            <v>0</v>
          </cell>
        </row>
        <row r="408">
          <cell r="D408">
            <v>0</v>
          </cell>
          <cell r="E408">
            <v>0</v>
          </cell>
        </row>
        <row r="409">
          <cell r="D409">
            <v>0</v>
          </cell>
          <cell r="E409">
            <v>0</v>
          </cell>
        </row>
        <row r="410">
          <cell r="D410">
            <v>0</v>
          </cell>
          <cell r="E410">
            <v>0</v>
          </cell>
        </row>
        <row r="411">
          <cell r="D411">
            <v>0</v>
          </cell>
          <cell r="E411">
            <v>0</v>
          </cell>
        </row>
        <row r="412">
          <cell r="D412">
            <v>0</v>
          </cell>
          <cell r="E412">
            <v>0</v>
          </cell>
        </row>
        <row r="413">
          <cell r="D413">
            <v>0</v>
          </cell>
          <cell r="E413">
            <v>0</v>
          </cell>
        </row>
        <row r="414">
          <cell r="D414">
            <v>0</v>
          </cell>
          <cell r="E414">
            <v>0</v>
          </cell>
        </row>
        <row r="415">
          <cell r="D415">
            <v>0</v>
          </cell>
          <cell r="E415">
            <v>0</v>
          </cell>
        </row>
        <row r="416">
          <cell r="D416">
            <v>0</v>
          </cell>
          <cell r="E416">
            <v>0</v>
          </cell>
        </row>
        <row r="417">
          <cell r="D417">
            <v>0</v>
          </cell>
          <cell r="E417">
            <v>0</v>
          </cell>
        </row>
        <row r="418">
          <cell r="D418">
            <v>0</v>
          </cell>
          <cell r="E418">
            <v>0</v>
          </cell>
        </row>
        <row r="419">
          <cell r="D419">
            <v>0</v>
          </cell>
          <cell r="E419">
            <v>0</v>
          </cell>
        </row>
        <row r="420">
          <cell r="D420">
            <v>0</v>
          </cell>
          <cell r="E420">
            <v>0</v>
          </cell>
        </row>
        <row r="421">
          <cell r="D421">
            <v>0</v>
          </cell>
          <cell r="E421">
            <v>0</v>
          </cell>
        </row>
        <row r="422">
          <cell r="D422">
            <v>0</v>
          </cell>
          <cell r="E422">
            <v>0</v>
          </cell>
        </row>
        <row r="423">
          <cell r="D423">
            <v>0</v>
          </cell>
          <cell r="E423">
            <v>0</v>
          </cell>
        </row>
        <row r="424">
          <cell r="D424">
            <v>0</v>
          </cell>
          <cell r="E424">
            <v>0</v>
          </cell>
        </row>
        <row r="425">
          <cell r="D425">
            <v>0</v>
          </cell>
          <cell r="E425">
            <v>0</v>
          </cell>
        </row>
        <row r="426">
          <cell r="D426">
            <v>0</v>
          </cell>
          <cell r="E426">
            <v>0</v>
          </cell>
        </row>
        <row r="427">
          <cell r="D427">
            <v>0</v>
          </cell>
          <cell r="E427">
            <v>0</v>
          </cell>
        </row>
        <row r="428">
          <cell r="D428">
            <v>0</v>
          </cell>
          <cell r="E428">
            <v>0</v>
          </cell>
        </row>
        <row r="429">
          <cell r="D429">
            <v>0</v>
          </cell>
          <cell r="E429">
            <v>0</v>
          </cell>
        </row>
        <row r="430">
          <cell r="D430">
            <v>0</v>
          </cell>
          <cell r="E430">
            <v>0</v>
          </cell>
        </row>
        <row r="431">
          <cell r="D431">
            <v>0</v>
          </cell>
          <cell r="E431">
            <v>0</v>
          </cell>
        </row>
        <row r="432">
          <cell r="D432">
            <v>0</v>
          </cell>
          <cell r="E432">
            <v>0</v>
          </cell>
        </row>
        <row r="433">
          <cell r="D433">
            <v>0</v>
          </cell>
          <cell r="E433">
            <v>0</v>
          </cell>
        </row>
        <row r="434">
          <cell r="D434">
            <v>0</v>
          </cell>
          <cell r="E434">
            <v>0</v>
          </cell>
        </row>
        <row r="435">
          <cell r="D435">
            <v>0</v>
          </cell>
          <cell r="E435">
            <v>0</v>
          </cell>
        </row>
        <row r="436">
          <cell r="D436">
            <v>0</v>
          </cell>
          <cell r="E436">
            <v>0</v>
          </cell>
        </row>
        <row r="437">
          <cell r="D437">
            <v>0</v>
          </cell>
          <cell r="E437">
            <v>0</v>
          </cell>
        </row>
        <row r="438">
          <cell r="D438">
            <v>0</v>
          </cell>
          <cell r="E438">
            <v>0</v>
          </cell>
        </row>
        <row r="439">
          <cell r="D439">
            <v>0</v>
          </cell>
          <cell r="E439">
            <v>0</v>
          </cell>
        </row>
        <row r="440">
          <cell r="D440">
            <v>0</v>
          </cell>
          <cell r="E440">
            <v>0</v>
          </cell>
        </row>
        <row r="441">
          <cell r="D441">
            <v>0</v>
          </cell>
          <cell r="E441">
            <v>0</v>
          </cell>
        </row>
        <row r="442">
          <cell r="D442">
            <v>0</v>
          </cell>
          <cell r="E442">
            <v>0</v>
          </cell>
        </row>
        <row r="443">
          <cell r="D443">
            <v>0</v>
          </cell>
          <cell r="E443">
            <v>0</v>
          </cell>
        </row>
        <row r="444">
          <cell r="D444">
            <v>0</v>
          </cell>
          <cell r="E444">
            <v>0</v>
          </cell>
        </row>
        <row r="445">
          <cell r="D445">
            <v>0</v>
          </cell>
          <cell r="E445">
            <v>0</v>
          </cell>
        </row>
        <row r="446">
          <cell r="D446">
            <v>0</v>
          </cell>
          <cell r="E446">
            <v>0</v>
          </cell>
        </row>
        <row r="447">
          <cell r="D447">
            <v>0</v>
          </cell>
          <cell r="E447">
            <v>0</v>
          </cell>
        </row>
        <row r="448">
          <cell r="D448">
            <v>0</v>
          </cell>
          <cell r="E448">
            <v>0</v>
          </cell>
        </row>
        <row r="449">
          <cell r="D449">
            <v>0</v>
          </cell>
          <cell r="E449">
            <v>0</v>
          </cell>
        </row>
        <row r="450">
          <cell r="D450">
            <v>0</v>
          </cell>
          <cell r="E450">
            <v>0</v>
          </cell>
        </row>
        <row r="451">
          <cell r="D451">
            <v>0</v>
          </cell>
          <cell r="E451">
            <v>0</v>
          </cell>
        </row>
        <row r="452">
          <cell r="D452">
            <v>0</v>
          </cell>
          <cell r="E452">
            <v>0</v>
          </cell>
        </row>
        <row r="453">
          <cell r="D453">
            <v>0</v>
          </cell>
          <cell r="E453">
            <v>0</v>
          </cell>
        </row>
        <row r="454">
          <cell r="D454">
            <v>0</v>
          </cell>
          <cell r="E454">
            <v>0</v>
          </cell>
        </row>
        <row r="455">
          <cell r="D455">
            <v>0</v>
          </cell>
          <cell r="E455">
            <v>0</v>
          </cell>
        </row>
        <row r="456">
          <cell r="D456">
            <v>0</v>
          </cell>
          <cell r="E456">
            <v>0</v>
          </cell>
        </row>
        <row r="457">
          <cell r="D457">
            <v>0</v>
          </cell>
          <cell r="E457">
            <v>0</v>
          </cell>
        </row>
        <row r="458">
          <cell r="D458">
            <v>0</v>
          </cell>
          <cell r="E458">
            <v>0</v>
          </cell>
        </row>
        <row r="459">
          <cell r="D459">
            <v>0</v>
          </cell>
          <cell r="E459">
            <v>0</v>
          </cell>
        </row>
        <row r="460">
          <cell r="D460">
            <v>0</v>
          </cell>
          <cell r="E460">
            <v>0</v>
          </cell>
        </row>
        <row r="461">
          <cell r="D461">
            <v>0</v>
          </cell>
          <cell r="E461">
            <v>0</v>
          </cell>
        </row>
        <row r="462">
          <cell r="D462">
            <v>0</v>
          </cell>
          <cell r="E462">
            <v>0</v>
          </cell>
        </row>
        <row r="463">
          <cell r="D463">
            <v>0</v>
          </cell>
          <cell r="E463">
            <v>0</v>
          </cell>
        </row>
        <row r="464">
          <cell r="D464">
            <v>0</v>
          </cell>
          <cell r="E464">
            <v>0</v>
          </cell>
        </row>
        <row r="465">
          <cell r="D465">
            <v>0</v>
          </cell>
          <cell r="E465">
            <v>0</v>
          </cell>
        </row>
        <row r="466">
          <cell r="D466">
            <v>0</v>
          </cell>
          <cell r="E466">
            <v>0</v>
          </cell>
        </row>
        <row r="467">
          <cell r="D467">
            <v>0</v>
          </cell>
          <cell r="E467">
            <v>0</v>
          </cell>
        </row>
        <row r="468">
          <cell r="D468">
            <v>0</v>
          </cell>
          <cell r="E468">
            <v>0</v>
          </cell>
        </row>
        <row r="469">
          <cell r="D469">
            <v>0</v>
          </cell>
          <cell r="E469">
            <v>0</v>
          </cell>
        </row>
        <row r="470">
          <cell r="D470">
            <v>0</v>
          </cell>
          <cell r="E470">
            <v>0</v>
          </cell>
        </row>
        <row r="471">
          <cell r="D471">
            <v>0</v>
          </cell>
          <cell r="E471">
            <v>0</v>
          </cell>
        </row>
        <row r="472">
          <cell r="D472">
            <v>0</v>
          </cell>
          <cell r="E472">
            <v>0</v>
          </cell>
        </row>
        <row r="473">
          <cell r="D473">
            <v>0</v>
          </cell>
          <cell r="E473">
            <v>0</v>
          </cell>
        </row>
        <row r="474">
          <cell r="D474">
            <v>0</v>
          </cell>
          <cell r="E474">
            <v>0</v>
          </cell>
        </row>
        <row r="475">
          <cell r="D475">
            <v>0</v>
          </cell>
          <cell r="E475">
            <v>0</v>
          </cell>
        </row>
        <row r="476">
          <cell r="D476">
            <v>0</v>
          </cell>
          <cell r="E476">
            <v>0</v>
          </cell>
        </row>
        <row r="477">
          <cell r="D477">
            <v>0</v>
          </cell>
          <cell r="E477">
            <v>0</v>
          </cell>
        </row>
        <row r="478">
          <cell r="D478">
            <v>0</v>
          </cell>
          <cell r="E478">
            <v>0</v>
          </cell>
        </row>
        <row r="479">
          <cell r="D479">
            <v>0</v>
          </cell>
          <cell r="E479">
            <v>0</v>
          </cell>
        </row>
        <row r="480">
          <cell r="D480">
            <v>0</v>
          </cell>
          <cell r="E480">
            <v>0</v>
          </cell>
        </row>
        <row r="481">
          <cell r="D481">
            <v>0</v>
          </cell>
          <cell r="E481">
            <v>0</v>
          </cell>
        </row>
        <row r="482">
          <cell r="D482">
            <v>0</v>
          </cell>
          <cell r="E482">
            <v>0</v>
          </cell>
        </row>
        <row r="483">
          <cell r="D483">
            <v>0</v>
          </cell>
          <cell r="E483">
            <v>0</v>
          </cell>
        </row>
        <row r="484">
          <cell r="D484">
            <v>0</v>
          </cell>
          <cell r="E484">
            <v>0</v>
          </cell>
        </row>
        <row r="485">
          <cell r="D485">
            <v>0</v>
          </cell>
          <cell r="E485">
            <v>0</v>
          </cell>
        </row>
        <row r="486">
          <cell r="D486">
            <v>0</v>
          </cell>
          <cell r="E486">
            <v>0</v>
          </cell>
        </row>
        <row r="487">
          <cell r="D487">
            <v>0</v>
          </cell>
          <cell r="E487">
            <v>0</v>
          </cell>
        </row>
        <row r="488">
          <cell r="D488">
            <v>0</v>
          </cell>
          <cell r="E488">
            <v>0</v>
          </cell>
        </row>
        <row r="489">
          <cell r="D489">
            <v>0</v>
          </cell>
          <cell r="E489">
            <v>0</v>
          </cell>
        </row>
        <row r="490">
          <cell r="D490">
            <v>0</v>
          </cell>
          <cell r="E490">
            <v>0</v>
          </cell>
        </row>
        <row r="491">
          <cell r="D491">
            <v>0</v>
          </cell>
          <cell r="E491">
            <v>0</v>
          </cell>
        </row>
        <row r="492">
          <cell r="D492">
            <v>0</v>
          </cell>
          <cell r="E492">
            <v>0</v>
          </cell>
        </row>
        <row r="493">
          <cell r="D493">
            <v>0</v>
          </cell>
          <cell r="E493">
            <v>0</v>
          </cell>
        </row>
        <row r="494">
          <cell r="D494">
            <v>0</v>
          </cell>
          <cell r="E494">
            <v>0</v>
          </cell>
        </row>
        <row r="495">
          <cell r="D495">
            <v>0</v>
          </cell>
          <cell r="E495">
            <v>0</v>
          </cell>
        </row>
        <row r="496">
          <cell r="D496">
            <v>0</v>
          </cell>
          <cell r="E496">
            <v>0</v>
          </cell>
        </row>
        <row r="497">
          <cell r="D497">
            <v>0</v>
          </cell>
          <cell r="E497">
            <v>0</v>
          </cell>
        </row>
        <row r="498">
          <cell r="D498">
            <v>0</v>
          </cell>
          <cell r="E498">
            <v>0</v>
          </cell>
        </row>
        <row r="499">
          <cell r="D499">
            <v>0</v>
          </cell>
          <cell r="E499">
            <v>0</v>
          </cell>
        </row>
        <row r="500">
          <cell r="D500">
            <v>0</v>
          </cell>
          <cell r="E500">
            <v>0</v>
          </cell>
        </row>
        <row r="501">
          <cell r="D501">
            <v>0</v>
          </cell>
          <cell r="E501">
            <v>0</v>
          </cell>
        </row>
        <row r="502">
          <cell r="D502">
            <v>0</v>
          </cell>
          <cell r="E502">
            <v>0</v>
          </cell>
        </row>
        <row r="503">
          <cell r="D503">
            <v>0</v>
          </cell>
          <cell r="E503">
            <v>0</v>
          </cell>
        </row>
        <row r="504">
          <cell r="D504">
            <v>0</v>
          </cell>
          <cell r="E504">
            <v>0</v>
          </cell>
        </row>
        <row r="505">
          <cell r="D505">
            <v>0</v>
          </cell>
          <cell r="E505">
            <v>0</v>
          </cell>
        </row>
        <row r="506">
          <cell r="D506">
            <v>0</v>
          </cell>
          <cell r="E506">
            <v>0</v>
          </cell>
        </row>
        <row r="507">
          <cell r="D507">
            <v>0</v>
          </cell>
          <cell r="E507">
            <v>0</v>
          </cell>
        </row>
        <row r="508">
          <cell r="D508">
            <v>0</v>
          </cell>
          <cell r="E508">
            <v>0</v>
          </cell>
        </row>
        <row r="509">
          <cell r="D509">
            <v>0</v>
          </cell>
          <cell r="E509">
            <v>0</v>
          </cell>
        </row>
        <row r="510">
          <cell r="D510">
            <v>0</v>
          </cell>
          <cell r="E510">
            <v>0</v>
          </cell>
        </row>
        <row r="511">
          <cell r="D511">
            <v>0</v>
          </cell>
          <cell r="E511">
            <v>0</v>
          </cell>
        </row>
        <row r="512">
          <cell r="D512">
            <v>0</v>
          </cell>
          <cell r="E512">
            <v>0</v>
          </cell>
        </row>
        <row r="513">
          <cell r="D513">
            <v>0</v>
          </cell>
          <cell r="E513">
            <v>0</v>
          </cell>
        </row>
        <row r="514">
          <cell r="D514">
            <v>0</v>
          </cell>
          <cell r="E514">
            <v>0</v>
          </cell>
        </row>
        <row r="515">
          <cell r="D515">
            <v>0</v>
          </cell>
          <cell r="E515">
            <v>0</v>
          </cell>
        </row>
        <row r="516">
          <cell r="D516">
            <v>0</v>
          </cell>
          <cell r="E516">
            <v>0</v>
          </cell>
        </row>
        <row r="517">
          <cell r="D517">
            <v>0</v>
          </cell>
          <cell r="E517">
            <v>0</v>
          </cell>
        </row>
        <row r="518">
          <cell r="D518">
            <v>0</v>
          </cell>
          <cell r="E518">
            <v>0</v>
          </cell>
        </row>
      </sheetData>
      <sheetData sheetId="16"/>
      <sheetData sheetId="17">
        <row r="11">
          <cell r="E11">
            <v>0</v>
          </cell>
          <cell r="K11">
            <v>0</v>
          </cell>
          <cell r="T11">
            <v>0</v>
          </cell>
          <cell r="U11">
            <v>0</v>
          </cell>
          <cell r="AK11">
            <v>0</v>
          </cell>
          <cell r="AQ11">
            <v>0</v>
          </cell>
          <cell r="AZ11">
            <v>0</v>
          </cell>
          <cell r="BA11">
            <v>0</v>
          </cell>
        </row>
        <row r="12">
          <cell r="D12">
            <v>0</v>
          </cell>
          <cell r="E12">
            <v>0</v>
          </cell>
          <cell r="AJ12">
            <v>0</v>
          </cell>
          <cell r="AK12">
            <v>0</v>
          </cell>
        </row>
        <row r="13">
          <cell r="D13">
            <v>0</v>
          </cell>
          <cell r="E13">
            <v>0</v>
          </cell>
          <cell r="AJ13">
            <v>0</v>
          </cell>
          <cell r="AK13">
            <v>0</v>
          </cell>
        </row>
        <row r="14">
          <cell r="D14">
            <v>0</v>
          </cell>
          <cell r="E14">
            <v>0</v>
          </cell>
          <cell r="AJ14">
            <v>0</v>
          </cell>
          <cell r="AK14">
            <v>0</v>
          </cell>
        </row>
        <row r="15">
          <cell r="D15">
            <v>0</v>
          </cell>
          <cell r="E15">
            <v>0</v>
          </cell>
          <cell r="AJ15">
            <v>0</v>
          </cell>
          <cell r="AK15">
            <v>0</v>
          </cell>
        </row>
        <row r="16">
          <cell r="D16">
            <v>0</v>
          </cell>
          <cell r="E16">
            <v>0</v>
          </cell>
          <cell r="AJ16">
            <v>0</v>
          </cell>
          <cell r="AK16">
            <v>0</v>
          </cell>
        </row>
        <row r="17">
          <cell r="D17">
            <v>0</v>
          </cell>
          <cell r="E17">
            <v>0</v>
          </cell>
          <cell r="AJ17">
            <v>0</v>
          </cell>
          <cell r="AK17">
            <v>0</v>
          </cell>
        </row>
        <row r="18">
          <cell r="D18">
            <v>0</v>
          </cell>
          <cell r="E18">
            <v>0</v>
          </cell>
          <cell r="AJ18">
            <v>0</v>
          </cell>
          <cell r="AK18">
            <v>0</v>
          </cell>
        </row>
        <row r="19">
          <cell r="D19">
            <v>0</v>
          </cell>
          <cell r="E19">
            <v>0</v>
          </cell>
          <cell r="AJ19">
            <v>0</v>
          </cell>
          <cell r="AK19">
            <v>0</v>
          </cell>
        </row>
        <row r="20">
          <cell r="D20">
            <v>0</v>
          </cell>
          <cell r="E20">
            <v>0</v>
          </cell>
          <cell r="AJ20">
            <v>0</v>
          </cell>
          <cell r="AK20">
            <v>0</v>
          </cell>
        </row>
        <row r="21">
          <cell r="D21">
            <v>0</v>
          </cell>
          <cell r="E21">
            <v>0</v>
          </cell>
          <cell r="AJ21">
            <v>0</v>
          </cell>
          <cell r="AK21">
            <v>0</v>
          </cell>
        </row>
        <row r="22">
          <cell r="D22">
            <v>0</v>
          </cell>
          <cell r="E22">
            <v>0</v>
          </cell>
          <cell r="AJ22">
            <v>0</v>
          </cell>
          <cell r="AK22">
            <v>0</v>
          </cell>
        </row>
        <row r="23">
          <cell r="D23">
            <v>0</v>
          </cell>
          <cell r="E23">
            <v>0</v>
          </cell>
          <cell r="AJ23">
            <v>0</v>
          </cell>
          <cell r="AK23">
            <v>0</v>
          </cell>
        </row>
        <row r="24">
          <cell r="D24">
            <v>0</v>
          </cell>
          <cell r="E24">
            <v>0</v>
          </cell>
          <cell r="AJ24">
            <v>0</v>
          </cell>
          <cell r="AK24">
            <v>0</v>
          </cell>
        </row>
        <row r="25">
          <cell r="D25">
            <v>0</v>
          </cell>
          <cell r="E25">
            <v>0</v>
          </cell>
          <cell r="AJ25">
            <v>0</v>
          </cell>
          <cell r="AK25">
            <v>0</v>
          </cell>
        </row>
        <row r="26">
          <cell r="D26">
            <v>0</v>
          </cell>
          <cell r="E26">
            <v>0</v>
          </cell>
          <cell r="AJ26">
            <v>0</v>
          </cell>
          <cell r="AK26">
            <v>0</v>
          </cell>
        </row>
        <row r="27">
          <cell r="D27">
            <v>0</v>
          </cell>
          <cell r="E27">
            <v>0</v>
          </cell>
          <cell r="AJ27">
            <v>0</v>
          </cell>
          <cell r="AK27">
            <v>0</v>
          </cell>
        </row>
        <row r="28">
          <cell r="D28">
            <v>0</v>
          </cell>
          <cell r="E28">
            <v>0</v>
          </cell>
          <cell r="AJ28">
            <v>0</v>
          </cell>
          <cell r="AK28">
            <v>0</v>
          </cell>
        </row>
        <row r="29">
          <cell r="D29">
            <v>0</v>
          </cell>
          <cell r="E29">
            <v>0</v>
          </cell>
          <cell r="AJ29">
            <v>0</v>
          </cell>
          <cell r="AK29">
            <v>0</v>
          </cell>
        </row>
        <row r="30">
          <cell r="D30">
            <v>0</v>
          </cell>
          <cell r="E30">
            <v>0</v>
          </cell>
          <cell r="AJ30">
            <v>0</v>
          </cell>
          <cell r="AK30">
            <v>0</v>
          </cell>
        </row>
        <row r="31">
          <cell r="D31">
            <v>0</v>
          </cell>
          <cell r="E31">
            <v>0</v>
          </cell>
          <cell r="AJ31">
            <v>0</v>
          </cell>
          <cell r="AK31">
            <v>0</v>
          </cell>
        </row>
        <row r="32">
          <cell r="D32">
            <v>0</v>
          </cell>
          <cell r="E32">
            <v>0</v>
          </cell>
          <cell r="AJ32">
            <v>0</v>
          </cell>
          <cell r="AK32">
            <v>0</v>
          </cell>
        </row>
        <row r="33">
          <cell r="D33">
            <v>0</v>
          </cell>
          <cell r="E33">
            <v>0</v>
          </cell>
          <cell r="AJ33">
            <v>0</v>
          </cell>
          <cell r="AK33">
            <v>0</v>
          </cell>
        </row>
        <row r="34">
          <cell r="D34">
            <v>0</v>
          </cell>
          <cell r="E34">
            <v>0</v>
          </cell>
          <cell r="AJ34">
            <v>0</v>
          </cell>
          <cell r="AK34">
            <v>0</v>
          </cell>
        </row>
        <row r="35">
          <cell r="D35">
            <v>0</v>
          </cell>
          <cell r="E35">
            <v>0</v>
          </cell>
          <cell r="AJ35">
            <v>0</v>
          </cell>
          <cell r="AK35">
            <v>0</v>
          </cell>
        </row>
        <row r="36">
          <cell r="D36">
            <v>0</v>
          </cell>
          <cell r="E36">
            <v>0</v>
          </cell>
          <cell r="AJ36">
            <v>0</v>
          </cell>
          <cell r="AK36">
            <v>0</v>
          </cell>
        </row>
        <row r="37">
          <cell r="D37">
            <v>0</v>
          </cell>
          <cell r="E37">
            <v>0</v>
          </cell>
          <cell r="AJ37">
            <v>0</v>
          </cell>
          <cell r="AK37">
            <v>0</v>
          </cell>
        </row>
        <row r="38">
          <cell r="D38">
            <v>0</v>
          </cell>
          <cell r="E38">
            <v>0</v>
          </cell>
          <cell r="AJ38">
            <v>0</v>
          </cell>
          <cell r="AK38">
            <v>0</v>
          </cell>
        </row>
        <row r="39">
          <cell r="D39">
            <v>0</v>
          </cell>
          <cell r="E39">
            <v>0</v>
          </cell>
          <cell r="AJ39">
            <v>0</v>
          </cell>
          <cell r="AK39">
            <v>0</v>
          </cell>
        </row>
        <row r="40">
          <cell r="D40">
            <v>0</v>
          </cell>
          <cell r="E40">
            <v>0</v>
          </cell>
          <cell r="AJ40">
            <v>0</v>
          </cell>
          <cell r="AK40">
            <v>0</v>
          </cell>
        </row>
        <row r="41">
          <cell r="D41">
            <v>0</v>
          </cell>
          <cell r="E41">
            <v>0</v>
          </cell>
          <cell r="AJ41">
            <v>0</v>
          </cell>
          <cell r="AK41">
            <v>0</v>
          </cell>
        </row>
        <row r="42">
          <cell r="D42">
            <v>0</v>
          </cell>
          <cell r="E42">
            <v>0</v>
          </cell>
          <cell r="AJ42">
            <v>0</v>
          </cell>
          <cell r="AK42">
            <v>0</v>
          </cell>
        </row>
        <row r="43">
          <cell r="D43">
            <v>0</v>
          </cell>
          <cell r="E43">
            <v>0</v>
          </cell>
          <cell r="AJ43">
            <v>0</v>
          </cell>
          <cell r="AK43">
            <v>0</v>
          </cell>
        </row>
        <row r="44">
          <cell r="D44">
            <v>0</v>
          </cell>
          <cell r="E44">
            <v>0</v>
          </cell>
          <cell r="AJ44">
            <v>0</v>
          </cell>
          <cell r="AK44">
            <v>0</v>
          </cell>
        </row>
        <row r="45">
          <cell r="D45">
            <v>0</v>
          </cell>
          <cell r="E45">
            <v>0</v>
          </cell>
          <cell r="AJ45">
            <v>0</v>
          </cell>
          <cell r="AK45">
            <v>0</v>
          </cell>
        </row>
        <row r="46">
          <cell r="D46">
            <v>0</v>
          </cell>
          <cell r="E46">
            <v>0</v>
          </cell>
          <cell r="AJ46">
            <v>0</v>
          </cell>
          <cell r="AK46">
            <v>0</v>
          </cell>
        </row>
        <row r="47">
          <cell r="D47">
            <v>0</v>
          </cell>
          <cell r="E47">
            <v>0</v>
          </cell>
          <cell r="AJ47">
            <v>0</v>
          </cell>
          <cell r="AK47">
            <v>0</v>
          </cell>
        </row>
        <row r="48">
          <cell r="D48">
            <v>0</v>
          </cell>
          <cell r="E48">
            <v>0</v>
          </cell>
          <cell r="AJ48">
            <v>0</v>
          </cell>
          <cell r="AK48">
            <v>0</v>
          </cell>
        </row>
        <row r="49">
          <cell r="D49">
            <v>0</v>
          </cell>
          <cell r="E49">
            <v>0</v>
          </cell>
          <cell r="AJ49">
            <v>0</v>
          </cell>
          <cell r="AK49">
            <v>0</v>
          </cell>
        </row>
        <row r="50">
          <cell r="D50">
            <v>0</v>
          </cell>
          <cell r="E50">
            <v>0</v>
          </cell>
          <cell r="AJ50">
            <v>0</v>
          </cell>
          <cell r="AK50">
            <v>0</v>
          </cell>
        </row>
        <row r="51">
          <cell r="D51">
            <v>0</v>
          </cell>
          <cell r="E51">
            <v>0</v>
          </cell>
          <cell r="AJ51">
            <v>0</v>
          </cell>
          <cell r="AK51">
            <v>0</v>
          </cell>
        </row>
        <row r="52">
          <cell r="D52">
            <v>0</v>
          </cell>
          <cell r="E52">
            <v>0</v>
          </cell>
          <cell r="AJ52">
            <v>0</v>
          </cell>
          <cell r="AK52">
            <v>0</v>
          </cell>
        </row>
        <row r="53">
          <cell r="D53">
            <v>0</v>
          </cell>
          <cell r="E53">
            <v>0</v>
          </cell>
          <cell r="AJ53">
            <v>0</v>
          </cell>
          <cell r="AK53">
            <v>0</v>
          </cell>
        </row>
        <row r="54">
          <cell r="D54">
            <v>0</v>
          </cell>
          <cell r="E54">
            <v>0</v>
          </cell>
          <cell r="AJ54">
            <v>0</v>
          </cell>
          <cell r="AK54">
            <v>0</v>
          </cell>
        </row>
        <row r="55">
          <cell r="D55">
            <v>0</v>
          </cell>
          <cell r="E55">
            <v>0</v>
          </cell>
          <cell r="AJ55">
            <v>0</v>
          </cell>
          <cell r="AK55">
            <v>0</v>
          </cell>
        </row>
        <row r="56">
          <cell r="D56">
            <v>0</v>
          </cell>
          <cell r="E56">
            <v>0</v>
          </cell>
          <cell r="AJ56">
            <v>0</v>
          </cell>
          <cell r="AK56">
            <v>0</v>
          </cell>
        </row>
        <row r="57">
          <cell r="D57">
            <v>0</v>
          </cell>
          <cell r="E57">
            <v>0</v>
          </cell>
          <cell r="AJ57">
            <v>0</v>
          </cell>
          <cell r="AK57">
            <v>0</v>
          </cell>
        </row>
        <row r="58">
          <cell r="D58">
            <v>0</v>
          </cell>
          <cell r="E58">
            <v>0</v>
          </cell>
          <cell r="AJ58">
            <v>0</v>
          </cell>
          <cell r="AK58">
            <v>0</v>
          </cell>
        </row>
        <row r="59">
          <cell r="D59">
            <v>0</v>
          </cell>
          <cell r="E59">
            <v>0</v>
          </cell>
          <cell r="AJ59">
            <v>0</v>
          </cell>
          <cell r="AK59">
            <v>0</v>
          </cell>
        </row>
        <row r="60">
          <cell r="D60">
            <v>0</v>
          </cell>
          <cell r="E60">
            <v>0</v>
          </cell>
          <cell r="AJ60">
            <v>0</v>
          </cell>
          <cell r="AK60">
            <v>0</v>
          </cell>
        </row>
        <row r="61">
          <cell r="D61">
            <v>0</v>
          </cell>
          <cell r="E61">
            <v>0</v>
          </cell>
          <cell r="AJ61">
            <v>0</v>
          </cell>
          <cell r="AK61">
            <v>0</v>
          </cell>
        </row>
        <row r="62">
          <cell r="D62">
            <v>0</v>
          </cell>
          <cell r="E62">
            <v>0</v>
          </cell>
          <cell r="AJ62">
            <v>0</v>
          </cell>
          <cell r="AK62">
            <v>0</v>
          </cell>
        </row>
        <row r="63">
          <cell r="D63">
            <v>0</v>
          </cell>
          <cell r="E63">
            <v>0</v>
          </cell>
          <cell r="AJ63">
            <v>0</v>
          </cell>
          <cell r="AK63">
            <v>0</v>
          </cell>
        </row>
        <row r="64">
          <cell r="D64">
            <v>0</v>
          </cell>
          <cell r="E64">
            <v>0</v>
          </cell>
          <cell r="AJ64">
            <v>0</v>
          </cell>
          <cell r="AK64">
            <v>0</v>
          </cell>
        </row>
        <row r="65">
          <cell r="D65">
            <v>0</v>
          </cell>
          <cell r="E65">
            <v>0</v>
          </cell>
          <cell r="AJ65">
            <v>0</v>
          </cell>
          <cell r="AK65">
            <v>0</v>
          </cell>
        </row>
        <row r="66">
          <cell r="D66">
            <v>0</v>
          </cell>
          <cell r="E66">
            <v>0</v>
          </cell>
          <cell r="AJ66">
            <v>0</v>
          </cell>
          <cell r="AK66">
            <v>0</v>
          </cell>
        </row>
        <row r="67">
          <cell r="D67">
            <v>0</v>
          </cell>
          <cell r="E67">
            <v>0</v>
          </cell>
          <cell r="AJ67">
            <v>0</v>
          </cell>
          <cell r="AK67">
            <v>0</v>
          </cell>
        </row>
        <row r="68">
          <cell r="D68">
            <v>0</v>
          </cell>
          <cell r="E68">
            <v>0</v>
          </cell>
          <cell r="AJ68">
            <v>0</v>
          </cell>
          <cell r="AK68">
            <v>0</v>
          </cell>
        </row>
        <row r="69">
          <cell r="D69">
            <v>0</v>
          </cell>
          <cell r="E69">
            <v>0</v>
          </cell>
          <cell r="AJ69">
            <v>0</v>
          </cell>
          <cell r="AK69">
            <v>0</v>
          </cell>
        </row>
        <row r="70">
          <cell r="D70">
            <v>0</v>
          </cell>
          <cell r="E70">
            <v>0</v>
          </cell>
          <cell r="AJ70">
            <v>0</v>
          </cell>
          <cell r="AK70">
            <v>0</v>
          </cell>
        </row>
        <row r="71">
          <cell r="D71">
            <v>0</v>
          </cell>
          <cell r="E71">
            <v>0</v>
          </cell>
          <cell r="AJ71">
            <v>0</v>
          </cell>
          <cell r="AK71">
            <v>0</v>
          </cell>
        </row>
        <row r="72">
          <cell r="D72">
            <v>0</v>
          </cell>
          <cell r="E72">
            <v>0</v>
          </cell>
          <cell r="AJ72">
            <v>0</v>
          </cell>
          <cell r="AK72">
            <v>0</v>
          </cell>
        </row>
        <row r="73">
          <cell r="D73">
            <v>0</v>
          </cell>
          <cell r="E73">
            <v>0</v>
          </cell>
          <cell r="AJ73">
            <v>0</v>
          </cell>
          <cell r="AK73">
            <v>0</v>
          </cell>
        </row>
        <row r="74">
          <cell r="D74">
            <v>0</v>
          </cell>
          <cell r="E74">
            <v>0</v>
          </cell>
          <cell r="AJ74">
            <v>0</v>
          </cell>
          <cell r="AK74">
            <v>0</v>
          </cell>
        </row>
        <row r="75">
          <cell r="D75">
            <v>0</v>
          </cell>
          <cell r="E75">
            <v>0</v>
          </cell>
          <cell r="AJ75">
            <v>0</v>
          </cell>
          <cell r="AK75">
            <v>0</v>
          </cell>
        </row>
        <row r="76">
          <cell r="D76">
            <v>0</v>
          </cell>
          <cell r="E76">
            <v>0</v>
          </cell>
          <cell r="AJ76">
            <v>0</v>
          </cell>
          <cell r="AK76">
            <v>0</v>
          </cell>
        </row>
        <row r="77">
          <cell r="D77">
            <v>0</v>
          </cell>
          <cell r="E77">
            <v>0</v>
          </cell>
          <cell r="AJ77">
            <v>0</v>
          </cell>
          <cell r="AK77">
            <v>0</v>
          </cell>
        </row>
        <row r="78">
          <cell r="D78">
            <v>0</v>
          </cell>
          <cell r="E78">
            <v>0</v>
          </cell>
          <cell r="AJ78">
            <v>0</v>
          </cell>
          <cell r="AK78">
            <v>0</v>
          </cell>
        </row>
        <row r="79">
          <cell r="D79">
            <v>0</v>
          </cell>
          <cell r="E79">
            <v>0</v>
          </cell>
          <cell r="AJ79">
            <v>0</v>
          </cell>
          <cell r="AK79">
            <v>0</v>
          </cell>
        </row>
        <row r="80">
          <cell r="D80">
            <v>0</v>
          </cell>
          <cell r="E80">
            <v>0</v>
          </cell>
          <cell r="AJ80">
            <v>0</v>
          </cell>
          <cell r="AK80">
            <v>0</v>
          </cell>
        </row>
        <row r="81">
          <cell r="D81">
            <v>0</v>
          </cell>
          <cell r="E81">
            <v>0</v>
          </cell>
          <cell r="AJ81">
            <v>0</v>
          </cell>
          <cell r="AK81">
            <v>0</v>
          </cell>
        </row>
        <row r="82">
          <cell r="D82">
            <v>0</v>
          </cell>
          <cell r="E82">
            <v>0</v>
          </cell>
          <cell r="AJ82">
            <v>0</v>
          </cell>
          <cell r="AK82">
            <v>0</v>
          </cell>
        </row>
        <row r="83">
          <cell r="D83">
            <v>0</v>
          </cell>
          <cell r="E83">
            <v>0</v>
          </cell>
          <cell r="AJ83">
            <v>0</v>
          </cell>
          <cell r="AK83">
            <v>0</v>
          </cell>
        </row>
        <row r="84">
          <cell r="D84">
            <v>0</v>
          </cell>
          <cell r="E84">
            <v>0</v>
          </cell>
          <cell r="AJ84">
            <v>0</v>
          </cell>
          <cell r="AK84">
            <v>0</v>
          </cell>
        </row>
        <row r="85">
          <cell r="D85">
            <v>0</v>
          </cell>
          <cell r="E85">
            <v>0</v>
          </cell>
          <cell r="AJ85">
            <v>0</v>
          </cell>
          <cell r="AK85">
            <v>0</v>
          </cell>
        </row>
        <row r="86">
          <cell r="D86">
            <v>0</v>
          </cell>
          <cell r="E86">
            <v>0</v>
          </cell>
          <cell r="AJ86">
            <v>0</v>
          </cell>
          <cell r="AK86">
            <v>0</v>
          </cell>
        </row>
        <row r="87">
          <cell r="D87">
            <v>0</v>
          </cell>
          <cell r="E87">
            <v>0</v>
          </cell>
          <cell r="AJ87">
            <v>0</v>
          </cell>
          <cell r="AK87">
            <v>0</v>
          </cell>
        </row>
        <row r="88">
          <cell r="D88">
            <v>0</v>
          </cell>
          <cell r="E88">
            <v>0</v>
          </cell>
          <cell r="AJ88">
            <v>0</v>
          </cell>
          <cell r="AK88">
            <v>0</v>
          </cell>
        </row>
        <row r="89">
          <cell r="D89">
            <v>0</v>
          </cell>
          <cell r="E89">
            <v>0</v>
          </cell>
          <cell r="AJ89">
            <v>0</v>
          </cell>
          <cell r="AK89">
            <v>0</v>
          </cell>
        </row>
        <row r="90">
          <cell r="D90">
            <v>0</v>
          </cell>
          <cell r="E90">
            <v>0</v>
          </cell>
          <cell r="AJ90">
            <v>0</v>
          </cell>
          <cell r="AK90">
            <v>0</v>
          </cell>
        </row>
        <row r="91">
          <cell r="D91">
            <v>0</v>
          </cell>
          <cell r="E91">
            <v>0</v>
          </cell>
          <cell r="AJ91">
            <v>0</v>
          </cell>
          <cell r="AK91">
            <v>0</v>
          </cell>
        </row>
        <row r="92">
          <cell r="D92">
            <v>0</v>
          </cell>
          <cell r="E92">
            <v>0</v>
          </cell>
          <cell r="AJ92">
            <v>0</v>
          </cell>
          <cell r="AK92">
            <v>0</v>
          </cell>
        </row>
        <row r="93">
          <cell r="D93">
            <v>0</v>
          </cell>
          <cell r="E93">
            <v>0</v>
          </cell>
          <cell r="AJ93">
            <v>0</v>
          </cell>
          <cell r="AK93">
            <v>0</v>
          </cell>
        </row>
        <row r="94">
          <cell r="D94">
            <v>0</v>
          </cell>
          <cell r="E94">
            <v>0</v>
          </cell>
          <cell r="AJ94">
            <v>0</v>
          </cell>
          <cell r="AK94">
            <v>0</v>
          </cell>
        </row>
        <row r="95">
          <cell r="D95">
            <v>0</v>
          </cell>
          <cell r="E95">
            <v>0</v>
          </cell>
          <cell r="AJ95">
            <v>0</v>
          </cell>
          <cell r="AK95">
            <v>0</v>
          </cell>
        </row>
        <row r="96">
          <cell r="D96">
            <v>0</v>
          </cell>
          <cell r="E96">
            <v>0</v>
          </cell>
          <cell r="AJ96">
            <v>0</v>
          </cell>
          <cell r="AK96">
            <v>0</v>
          </cell>
        </row>
        <row r="97">
          <cell r="D97">
            <v>0</v>
          </cell>
          <cell r="E97">
            <v>0</v>
          </cell>
          <cell r="AJ97">
            <v>0</v>
          </cell>
          <cell r="AK97">
            <v>0</v>
          </cell>
        </row>
        <row r="98">
          <cell r="D98">
            <v>0</v>
          </cell>
          <cell r="E98">
            <v>0</v>
          </cell>
          <cell r="AJ98">
            <v>0</v>
          </cell>
          <cell r="AK98">
            <v>0</v>
          </cell>
        </row>
        <row r="99">
          <cell r="D99">
            <v>0</v>
          </cell>
          <cell r="E99">
            <v>0</v>
          </cell>
          <cell r="AJ99">
            <v>0</v>
          </cell>
          <cell r="AK99">
            <v>0</v>
          </cell>
        </row>
        <row r="100">
          <cell r="D100">
            <v>0</v>
          </cell>
          <cell r="E100">
            <v>0</v>
          </cell>
          <cell r="AJ100">
            <v>0</v>
          </cell>
          <cell r="AK100">
            <v>0</v>
          </cell>
        </row>
        <row r="101">
          <cell r="D101">
            <v>0</v>
          </cell>
          <cell r="E101">
            <v>0</v>
          </cell>
          <cell r="AJ101">
            <v>0</v>
          </cell>
          <cell r="AK101">
            <v>0</v>
          </cell>
        </row>
        <row r="102">
          <cell r="D102">
            <v>0</v>
          </cell>
          <cell r="E102">
            <v>0</v>
          </cell>
          <cell r="AJ102">
            <v>0</v>
          </cell>
          <cell r="AK102">
            <v>0</v>
          </cell>
        </row>
        <row r="103">
          <cell r="D103">
            <v>0</v>
          </cell>
          <cell r="E103">
            <v>0</v>
          </cell>
          <cell r="AJ103">
            <v>0</v>
          </cell>
          <cell r="AK103">
            <v>0</v>
          </cell>
        </row>
        <row r="104">
          <cell r="D104">
            <v>0</v>
          </cell>
          <cell r="E104">
            <v>0</v>
          </cell>
          <cell r="AJ104">
            <v>0</v>
          </cell>
          <cell r="AK104">
            <v>0</v>
          </cell>
        </row>
        <row r="105">
          <cell r="D105">
            <v>0</v>
          </cell>
          <cell r="E105">
            <v>0</v>
          </cell>
          <cell r="AJ105">
            <v>0</v>
          </cell>
          <cell r="AK105">
            <v>0</v>
          </cell>
        </row>
        <row r="106">
          <cell r="D106">
            <v>0</v>
          </cell>
          <cell r="E106">
            <v>0</v>
          </cell>
          <cell r="AJ106">
            <v>0</v>
          </cell>
          <cell r="AK106">
            <v>0</v>
          </cell>
        </row>
        <row r="107">
          <cell r="D107">
            <v>0</v>
          </cell>
          <cell r="E107">
            <v>0</v>
          </cell>
          <cell r="AJ107">
            <v>0</v>
          </cell>
          <cell r="AK107">
            <v>0</v>
          </cell>
        </row>
        <row r="108">
          <cell r="D108">
            <v>0</v>
          </cell>
          <cell r="E108">
            <v>0</v>
          </cell>
          <cell r="AJ108">
            <v>0</v>
          </cell>
          <cell r="AK108">
            <v>0</v>
          </cell>
        </row>
        <row r="109">
          <cell r="D109">
            <v>0</v>
          </cell>
          <cell r="E109">
            <v>0</v>
          </cell>
          <cell r="AJ109">
            <v>0</v>
          </cell>
          <cell r="AK109">
            <v>0</v>
          </cell>
        </row>
        <row r="110">
          <cell r="D110">
            <v>0</v>
          </cell>
          <cell r="E110">
            <v>0</v>
          </cell>
          <cell r="AJ110">
            <v>0</v>
          </cell>
          <cell r="AK110">
            <v>0</v>
          </cell>
        </row>
        <row r="111">
          <cell r="D111">
            <v>0</v>
          </cell>
          <cell r="E111">
            <v>0</v>
          </cell>
          <cell r="AJ111">
            <v>0</v>
          </cell>
          <cell r="AK111">
            <v>0</v>
          </cell>
        </row>
        <row r="112">
          <cell r="D112">
            <v>0</v>
          </cell>
          <cell r="E112">
            <v>0</v>
          </cell>
          <cell r="AJ112">
            <v>0</v>
          </cell>
          <cell r="AK112">
            <v>0</v>
          </cell>
        </row>
        <row r="113">
          <cell r="D113">
            <v>0</v>
          </cell>
          <cell r="E113">
            <v>0</v>
          </cell>
          <cell r="AJ113">
            <v>0</v>
          </cell>
          <cell r="AK113">
            <v>0</v>
          </cell>
        </row>
        <row r="114">
          <cell r="D114">
            <v>0</v>
          </cell>
          <cell r="E114">
            <v>0</v>
          </cell>
          <cell r="AJ114">
            <v>0</v>
          </cell>
          <cell r="AK114">
            <v>0</v>
          </cell>
        </row>
        <row r="115">
          <cell r="D115">
            <v>0</v>
          </cell>
          <cell r="E115">
            <v>0</v>
          </cell>
          <cell r="AJ115">
            <v>0</v>
          </cell>
          <cell r="AK115">
            <v>0</v>
          </cell>
        </row>
        <row r="116">
          <cell r="D116">
            <v>0</v>
          </cell>
          <cell r="E116">
            <v>0</v>
          </cell>
          <cell r="AJ116">
            <v>0</v>
          </cell>
          <cell r="AK116">
            <v>0</v>
          </cell>
        </row>
        <row r="117">
          <cell r="D117">
            <v>0</v>
          </cell>
          <cell r="E117">
            <v>0</v>
          </cell>
          <cell r="AJ117">
            <v>0</v>
          </cell>
          <cell r="AK117">
            <v>0</v>
          </cell>
        </row>
        <row r="118">
          <cell r="D118">
            <v>0</v>
          </cell>
          <cell r="E118">
            <v>0</v>
          </cell>
          <cell r="AJ118">
            <v>0</v>
          </cell>
          <cell r="AK118">
            <v>0</v>
          </cell>
        </row>
        <row r="119">
          <cell r="D119">
            <v>0</v>
          </cell>
          <cell r="E119">
            <v>0</v>
          </cell>
          <cell r="AJ119">
            <v>0</v>
          </cell>
          <cell r="AK119">
            <v>0</v>
          </cell>
        </row>
        <row r="120">
          <cell r="D120">
            <v>0</v>
          </cell>
          <cell r="E120">
            <v>0</v>
          </cell>
          <cell r="AJ120">
            <v>0</v>
          </cell>
          <cell r="AK120">
            <v>0</v>
          </cell>
        </row>
        <row r="121">
          <cell r="D121">
            <v>0</v>
          </cell>
          <cell r="E121">
            <v>0</v>
          </cell>
          <cell r="AJ121">
            <v>0</v>
          </cell>
          <cell r="AK121">
            <v>0</v>
          </cell>
        </row>
        <row r="122">
          <cell r="D122">
            <v>0</v>
          </cell>
          <cell r="E122">
            <v>0</v>
          </cell>
          <cell r="AJ122">
            <v>0</v>
          </cell>
          <cell r="AK122">
            <v>0</v>
          </cell>
        </row>
        <row r="123">
          <cell r="D123">
            <v>0</v>
          </cell>
          <cell r="E123">
            <v>0</v>
          </cell>
          <cell r="AJ123">
            <v>0</v>
          </cell>
          <cell r="AK123">
            <v>0</v>
          </cell>
        </row>
        <row r="124">
          <cell r="D124">
            <v>0</v>
          </cell>
          <cell r="E124">
            <v>0</v>
          </cell>
          <cell r="AJ124">
            <v>0</v>
          </cell>
          <cell r="AK124">
            <v>0</v>
          </cell>
        </row>
        <row r="125">
          <cell r="D125">
            <v>0</v>
          </cell>
          <cell r="E125">
            <v>0</v>
          </cell>
          <cell r="AJ125">
            <v>0</v>
          </cell>
          <cell r="AK125">
            <v>0</v>
          </cell>
        </row>
        <row r="126">
          <cell r="D126">
            <v>0</v>
          </cell>
          <cell r="E126">
            <v>0</v>
          </cell>
          <cell r="AJ126">
            <v>0</v>
          </cell>
          <cell r="AK126">
            <v>0</v>
          </cell>
        </row>
        <row r="127">
          <cell r="D127">
            <v>0</v>
          </cell>
          <cell r="E127">
            <v>0</v>
          </cell>
          <cell r="AJ127">
            <v>0</v>
          </cell>
          <cell r="AK127">
            <v>0</v>
          </cell>
        </row>
        <row r="128">
          <cell r="D128">
            <v>0</v>
          </cell>
          <cell r="E128">
            <v>0</v>
          </cell>
          <cell r="AJ128">
            <v>0</v>
          </cell>
          <cell r="AK128">
            <v>0</v>
          </cell>
        </row>
        <row r="129">
          <cell r="D129">
            <v>0</v>
          </cell>
          <cell r="E129">
            <v>0</v>
          </cell>
          <cell r="AJ129">
            <v>0</v>
          </cell>
          <cell r="AK129">
            <v>0</v>
          </cell>
        </row>
        <row r="130">
          <cell r="D130">
            <v>0</v>
          </cell>
          <cell r="E130">
            <v>0</v>
          </cell>
          <cell r="AJ130">
            <v>0</v>
          </cell>
          <cell r="AK130">
            <v>0</v>
          </cell>
        </row>
        <row r="131">
          <cell r="D131">
            <v>0</v>
          </cell>
          <cell r="E131">
            <v>0</v>
          </cell>
          <cell r="AJ131">
            <v>0</v>
          </cell>
          <cell r="AK131">
            <v>0</v>
          </cell>
        </row>
        <row r="132">
          <cell r="D132">
            <v>0</v>
          </cell>
          <cell r="E132">
            <v>0</v>
          </cell>
          <cell r="AJ132">
            <v>0</v>
          </cell>
          <cell r="AK132">
            <v>0</v>
          </cell>
        </row>
        <row r="133">
          <cell r="D133">
            <v>0</v>
          </cell>
          <cell r="E133">
            <v>0</v>
          </cell>
          <cell r="AJ133">
            <v>0</v>
          </cell>
          <cell r="AK133">
            <v>0</v>
          </cell>
        </row>
        <row r="134">
          <cell r="D134">
            <v>0</v>
          </cell>
          <cell r="E134">
            <v>0</v>
          </cell>
          <cell r="AJ134">
            <v>0</v>
          </cell>
          <cell r="AK134">
            <v>0</v>
          </cell>
        </row>
        <row r="135">
          <cell r="D135">
            <v>0</v>
          </cell>
          <cell r="E135">
            <v>0</v>
          </cell>
          <cell r="AJ135">
            <v>0</v>
          </cell>
          <cell r="AK135">
            <v>0</v>
          </cell>
        </row>
        <row r="136">
          <cell r="D136">
            <v>0</v>
          </cell>
          <cell r="E136">
            <v>0</v>
          </cell>
          <cell r="AJ136">
            <v>0</v>
          </cell>
          <cell r="AK136">
            <v>0</v>
          </cell>
        </row>
        <row r="137">
          <cell r="D137">
            <v>0</v>
          </cell>
          <cell r="E137">
            <v>0</v>
          </cell>
          <cell r="AJ137">
            <v>0</v>
          </cell>
          <cell r="AK137">
            <v>0</v>
          </cell>
        </row>
        <row r="138">
          <cell r="D138">
            <v>0</v>
          </cell>
          <cell r="E138">
            <v>0</v>
          </cell>
          <cell r="AJ138">
            <v>0</v>
          </cell>
          <cell r="AK138">
            <v>0</v>
          </cell>
        </row>
        <row r="139">
          <cell r="D139">
            <v>0</v>
          </cell>
          <cell r="E139">
            <v>0</v>
          </cell>
          <cell r="AJ139">
            <v>0</v>
          </cell>
          <cell r="AK139">
            <v>0</v>
          </cell>
        </row>
        <row r="140">
          <cell r="D140">
            <v>0</v>
          </cell>
          <cell r="E140">
            <v>0</v>
          </cell>
          <cell r="AJ140">
            <v>0</v>
          </cell>
          <cell r="AK140">
            <v>0</v>
          </cell>
        </row>
        <row r="141">
          <cell r="D141">
            <v>0</v>
          </cell>
          <cell r="E141">
            <v>0</v>
          </cell>
          <cell r="AJ141">
            <v>0</v>
          </cell>
          <cell r="AK141">
            <v>0</v>
          </cell>
        </row>
        <row r="142">
          <cell r="D142">
            <v>0</v>
          </cell>
          <cell r="E142">
            <v>0</v>
          </cell>
          <cell r="AJ142">
            <v>0</v>
          </cell>
          <cell r="AK142">
            <v>0</v>
          </cell>
        </row>
        <row r="143">
          <cell r="D143">
            <v>0</v>
          </cell>
          <cell r="E143">
            <v>0</v>
          </cell>
          <cell r="AJ143">
            <v>0</v>
          </cell>
          <cell r="AK143">
            <v>0</v>
          </cell>
        </row>
        <row r="144">
          <cell r="D144">
            <v>0</v>
          </cell>
          <cell r="E144">
            <v>0</v>
          </cell>
          <cell r="AJ144">
            <v>0</v>
          </cell>
          <cell r="AK144">
            <v>0</v>
          </cell>
        </row>
        <row r="145">
          <cell r="D145">
            <v>0</v>
          </cell>
          <cell r="E145">
            <v>0</v>
          </cell>
          <cell r="AJ145">
            <v>0</v>
          </cell>
          <cell r="AK145">
            <v>0</v>
          </cell>
        </row>
        <row r="146">
          <cell r="D146">
            <v>0</v>
          </cell>
          <cell r="E146">
            <v>0</v>
          </cell>
          <cell r="AJ146">
            <v>0</v>
          </cell>
          <cell r="AK146">
            <v>0</v>
          </cell>
        </row>
        <row r="147">
          <cell r="D147">
            <v>0</v>
          </cell>
          <cell r="E147">
            <v>0</v>
          </cell>
          <cell r="AJ147">
            <v>0</v>
          </cell>
          <cell r="AK147">
            <v>0</v>
          </cell>
        </row>
        <row r="148">
          <cell r="D148">
            <v>0</v>
          </cell>
          <cell r="E148">
            <v>0</v>
          </cell>
          <cell r="AJ148">
            <v>0</v>
          </cell>
          <cell r="AK148">
            <v>0</v>
          </cell>
        </row>
        <row r="149">
          <cell r="D149">
            <v>0</v>
          </cell>
          <cell r="E149">
            <v>0</v>
          </cell>
          <cell r="AJ149">
            <v>0</v>
          </cell>
          <cell r="AK149">
            <v>0</v>
          </cell>
        </row>
        <row r="150">
          <cell r="D150">
            <v>0</v>
          </cell>
          <cell r="E150">
            <v>0</v>
          </cell>
          <cell r="AJ150">
            <v>0</v>
          </cell>
          <cell r="AK150">
            <v>0</v>
          </cell>
        </row>
        <row r="151">
          <cell r="D151">
            <v>0</v>
          </cell>
          <cell r="E151">
            <v>0</v>
          </cell>
          <cell r="AJ151">
            <v>0</v>
          </cell>
          <cell r="AK151">
            <v>0</v>
          </cell>
        </row>
        <row r="152">
          <cell r="D152">
            <v>0</v>
          </cell>
          <cell r="E152">
            <v>0</v>
          </cell>
          <cell r="AJ152">
            <v>0</v>
          </cell>
          <cell r="AK152">
            <v>0</v>
          </cell>
        </row>
        <row r="153">
          <cell r="D153">
            <v>0</v>
          </cell>
          <cell r="E153">
            <v>0</v>
          </cell>
          <cell r="AJ153">
            <v>0</v>
          </cell>
          <cell r="AK153">
            <v>0</v>
          </cell>
        </row>
        <row r="154">
          <cell r="D154">
            <v>0</v>
          </cell>
          <cell r="E154">
            <v>0</v>
          </cell>
          <cell r="AJ154">
            <v>0</v>
          </cell>
          <cell r="AK154">
            <v>0</v>
          </cell>
        </row>
        <row r="155">
          <cell r="D155">
            <v>0</v>
          </cell>
          <cell r="E155">
            <v>0</v>
          </cell>
          <cell r="AJ155">
            <v>0</v>
          </cell>
          <cell r="AK155">
            <v>0</v>
          </cell>
        </row>
        <row r="156">
          <cell r="D156">
            <v>0</v>
          </cell>
          <cell r="E156">
            <v>0</v>
          </cell>
          <cell r="AJ156">
            <v>0</v>
          </cell>
          <cell r="AK156">
            <v>0</v>
          </cell>
        </row>
        <row r="157">
          <cell r="D157">
            <v>0</v>
          </cell>
          <cell r="E157">
            <v>0</v>
          </cell>
          <cell r="AJ157">
            <v>0</v>
          </cell>
          <cell r="AK157">
            <v>0</v>
          </cell>
        </row>
        <row r="158">
          <cell r="D158">
            <v>0</v>
          </cell>
          <cell r="E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E159">
            <v>0</v>
          </cell>
          <cell r="AJ159">
            <v>0</v>
          </cell>
          <cell r="AK159">
            <v>0</v>
          </cell>
        </row>
        <row r="160">
          <cell r="D160">
            <v>0</v>
          </cell>
          <cell r="E160">
            <v>0</v>
          </cell>
          <cell r="AJ160">
            <v>0</v>
          </cell>
          <cell r="AK160">
            <v>0</v>
          </cell>
        </row>
        <row r="161">
          <cell r="D161">
            <v>0</v>
          </cell>
          <cell r="E161">
            <v>0</v>
          </cell>
          <cell r="AJ161">
            <v>0</v>
          </cell>
          <cell r="AK161">
            <v>0</v>
          </cell>
        </row>
        <row r="162">
          <cell r="D162">
            <v>0</v>
          </cell>
          <cell r="E162">
            <v>0</v>
          </cell>
          <cell r="AJ162">
            <v>0</v>
          </cell>
          <cell r="AK162">
            <v>0</v>
          </cell>
        </row>
        <row r="163">
          <cell r="D163">
            <v>0</v>
          </cell>
          <cell r="E163">
            <v>0</v>
          </cell>
          <cell r="AJ163">
            <v>0</v>
          </cell>
          <cell r="AK163">
            <v>0</v>
          </cell>
        </row>
        <row r="164">
          <cell r="D164">
            <v>0</v>
          </cell>
          <cell r="E164">
            <v>0</v>
          </cell>
          <cell r="AJ164">
            <v>0</v>
          </cell>
          <cell r="AK164">
            <v>0</v>
          </cell>
        </row>
        <row r="165">
          <cell r="D165">
            <v>0</v>
          </cell>
          <cell r="E165">
            <v>0</v>
          </cell>
          <cell r="AJ165">
            <v>0</v>
          </cell>
          <cell r="AK165">
            <v>0</v>
          </cell>
        </row>
        <row r="166">
          <cell r="D166">
            <v>0</v>
          </cell>
          <cell r="E166">
            <v>0</v>
          </cell>
          <cell r="AJ166">
            <v>0</v>
          </cell>
          <cell r="AK166">
            <v>0</v>
          </cell>
        </row>
        <row r="167">
          <cell r="D167">
            <v>0</v>
          </cell>
          <cell r="E167">
            <v>0</v>
          </cell>
          <cell r="AJ167">
            <v>0</v>
          </cell>
          <cell r="AK167">
            <v>0</v>
          </cell>
        </row>
        <row r="168">
          <cell r="D168">
            <v>0</v>
          </cell>
          <cell r="E168">
            <v>0</v>
          </cell>
          <cell r="AJ168">
            <v>0</v>
          </cell>
          <cell r="AK168">
            <v>0</v>
          </cell>
        </row>
        <row r="169">
          <cell r="D169">
            <v>0</v>
          </cell>
          <cell r="E169">
            <v>0</v>
          </cell>
          <cell r="AJ169">
            <v>0</v>
          </cell>
          <cell r="AK169">
            <v>0</v>
          </cell>
        </row>
        <row r="170">
          <cell r="D170">
            <v>0</v>
          </cell>
          <cell r="E170">
            <v>0</v>
          </cell>
          <cell r="AJ170">
            <v>0</v>
          </cell>
          <cell r="AK170">
            <v>0</v>
          </cell>
        </row>
        <row r="171">
          <cell r="D171">
            <v>0</v>
          </cell>
          <cell r="E171">
            <v>0</v>
          </cell>
          <cell r="AJ171">
            <v>0</v>
          </cell>
          <cell r="AK171">
            <v>0</v>
          </cell>
        </row>
        <row r="172">
          <cell r="D172">
            <v>0</v>
          </cell>
          <cell r="E172">
            <v>0</v>
          </cell>
          <cell r="AJ172">
            <v>0</v>
          </cell>
          <cell r="AK172">
            <v>0</v>
          </cell>
        </row>
        <row r="173">
          <cell r="D173">
            <v>0</v>
          </cell>
          <cell r="E173">
            <v>0</v>
          </cell>
          <cell r="AJ173">
            <v>0</v>
          </cell>
          <cell r="AK173">
            <v>0</v>
          </cell>
        </row>
        <row r="174">
          <cell r="D174">
            <v>0</v>
          </cell>
          <cell r="E174">
            <v>0</v>
          </cell>
          <cell r="AJ174">
            <v>0</v>
          </cell>
          <cell r="AK174">
            <v>0</v>
          </cell>
        </row>
        <row r="175">
          <cell r="D175">
            <v>0</v>
          </cell>
          <cell r="E175">
            <v>0</v>
          </cell>
          <cell r="AJ175">
            <v>0</v>
          </cell>
          <cell r="AK175">
            <v>0</v>
          </cell>
        </row>
        <row r="176">
          <cell r="D176">
            <v>0</v>
          </cell>
          <cell r="E176">
            <v>0</v>
          </cell>
          <cell r="AJ176">
            <v>0</v>
          </cell>
          <cell r="AK176">
            <v>0</v>
          </cell>
        </row>
        <row r="177">
          <cell r="D177">
            <v>0</v>
          </cell>
          <cell r="E177">
            <v>0</v>
          </cell>
          <cell r="AJ177">
            <v>0</v>
          </cell>
          <cell r="AK177">
            <v>0</v>
          </cell>
        </row>
        <row r="178">
          <cell r="D178">
            <v>0</v>
          </cell>
          <cell r="E178">
            <v>0</v>
          </cell>
          <cell r="AJ178">
            <v>0</v>
          </cell>
          <cell r="AK178">
            <v>0</v>
          </cell>
        </row>
        <row r="179">
          <cell r="D179">
            <v>0</v>
          </cell>
          <cell r="E179">
            <v>0</v>
          </cell>
          <cell r="AJ179">
            <v>0</v>
          </cell>
          <cell r="AK179">
            <v>0</v>
          </cell>
        </row>
        <row r="180">
          <cell r="D180">
            <v>0</v>
          </cell>
          <cell r="E180">
            <v>0</v>
          </cell>
          <cell r="AJ180">
            <v>0</v>
          </cell>
          <cell r="AK180">
            <v>0</v>
          </cell>
        </row>
        <row r="181">
          <cell r="D181">
            <v>0</v>
          </cell>
          <cell r="E181">
            <v>0</v>
          </cell>
          <cell r="AJ181">
            <v>0</v>
          </cell>
          <cell r="AK181">
            <v>0</v>
          </cell>
        </row>
        <row r="182">
          <cell r="D182">
            <v>0</v>
          </cell>
          <cell r="E182">
            <v>0</v>
          </cell>
          <cell r="AJ182">
            <v>0</v>
          </cell>
          <cell r="AK182">
            <v>0</v>
          </cell>
        </row>
        <row r="183">
          <cell r="D183">
            <v>0</v>
          </cell>
          <cell r="E183">
            <v>0</v>
          </cell>
          <cell r="AJ183">
            <v>0</v>
          </cell>
          <cell r="AK183">
            <v>0</v>
          </cell>
        </row>
        <row r="184">
          <cell r="D184">
            <v>0</v>
          </cell>
          <cell r="E184">
            <v>0</v>
          </cell>
          <cell r="AJ184">
            <v>0</v>
          </cell>
          <cell r="AK184">
            <v>0</v>
          </cell>
        </row>
        <row r="185">
          <cell r="D185">
            <v>0</v>
          </cell>
          <cell r="E185">
            <v>0</v>
          </cell>
          <cell r="AJ185">
            <v>0</v>
          </cell>
          <cell r="AK185">
            <v>0</v>
          </cell>
        </row>
        <row r="186">
          <cell r="D186">
            <v>0</v>
          </cell>
          <cell r="E186">
            <v>0</v>
          </cell>
          <cell r="AJ186">
            <v>0</v>
          </cell>
          <cell r="AK186">
            <v>0</v>
          </cell>
        </row>
        <row r="187">
          <cell r="D187">
            <v>0</v>
          </cell>
          <cell r="E187">
            <v>0</v>
          </cell>
          <cell r="AJ187">
            <v>0</v>
          </cell>
          <cell r="AK187">
            <v>0</v>
          </cell>
        </row>
        <row r="188">
          <cell r="D188">
            <v>0</v>
          </cell>
          <cell r="E188">
            <v>0</v>
          </cell>
          <cell r="AJ188">
            <v>0</v>
          </cell>
          <cell r="AK188">
            <v>0</v>
          </cell>
        </row>
        <row r="189">
          <cell r="D189">
            <v>0</v>
          </cell>
          <cell r="E189">
            <v>0</v>
          </cell>
          <cell r="AJ189">
            <v>0</v>
          </cell>
          <cell r="AK189">
            <v>0</v>
          </cell>
        </row>
        <row r="190">
          <cell r="D190">
            <v>0</v>
          </cell>
          <cell r="E190">
            <v>0</v>
          </cell>
          <cell r="AJ190">
            <v>0</v>
          </cell>
          <cell r="AK190">
            <v>0</v>
          </cell>
        </row>
        <row r="191">
          <cell r="D191">
            <v>0</v>
          </cell>
          <cell r="E191">
            <v>0</v>
          </cell>
          <cell r="AJ191">
            <v>0</v>
          </cell>
          <cell r="AK191">
            <v>0</v>
          </cell>
        </row>
        <row r="192">
          <cell r="D192">
            <v>0</v>
          </cell>
          <cell r="E192">
            <v>0</v>
          </cell>
          <cell r="AJ192">
            <v>0</v>
          </cell>
          <cell r="AK192">
            <v>0</v>
          </cell>
        </row>
        <row r="193">
          <cell r="D193">
            <v>0</v>
          </cell>
          <cell r="E193">
            <v>0</v>
          </cell>
          <cell r="AJ193">
            <v>0</v>
          </cell>
          <cell r="AK193">
            <v>0</v>
          </cell>
        </row>
        <row r="194">
          <cell r="D194">
            <v>0</v>
          </cell>
          <cell r="E194">
            <v>0</v>
          </cell>
          <cell r="AJ194">
            <v>0</v>
          </cell>
          <cell r="AK194">
            <v>0</v>
          </cell>
        </row>
        <row r="195">
          <cell r="D195">
            <v>0</v>
          </cell>
          <cell r="E195">
            <v>0</v>
          </cell>
          <cell r="AJ195">
            <v>0</v>
          </cell>
          <cell r="AK195">
            <v>0</v>
          </cell>
        </row>
        <row r="196">
          <cell r="D196">
            <v>0</v>
          </cell>
          <cell r="E196">
            <v>0</v>
          </cell>
          <cell r="AJ196">
            <v>0</v>
          </cell>
          <cell r="AK196">
            <v>0</v>
          </cell>
        </row>
        <row r="197">
          <cell r="D197">
            <v>0</v>
          </cell>
          <cell r="E197">
            <v>0</v>
          </cell>
          <cell r="AJ197">
            <v>0</v>
          </cell>
          <cell r="AK197">
            <v>0</v>
          </cell>
        </row>
        <row r="198">
          <cell r="D198">
            <v>0</v>
          </cell>
          <cell r="E198">
            <v>0</v>
          </cell>
          <cell r="AJ198">
            <v>0</v>
          </cell>
          <cell r="AK198">
            <v>0</v>
          </cell>
        </row>
        <row r="199">
          <cell r="D199">
            <v>0</v>
          </cell>
          <cell r="E199">
            <v>0</v>
          </cell>
          <cell r="AJ199">
            <v>0</v>
          </cell>
          <cell r="AK199">
            <v>0</v>
          </cell>
        </row>
        <row r="200">
          <cell r="D200">
            <v>0</v>
          </cell>
          <cell r="E200">
            <v>0</v>
          </cell>
          <cell r="AJ200">
            <v>0</v>
          </cell>
          <cell r="AK200">
            <v>0</v>
          </cell>
        </row>
        <row r="201">
          <cell r="D201">
            <v>0</v>
          </cell>
          <cell r="E201">
            <v>0</v>
          </cell>
          <cell r="AJ201">
            <v>0</v>
          </cell>
          <cell r="AK201">
            <v>0</v>
          </cell>
        </row>
        <row r="202">
          <cell r="D202">
            <v>0</v>
          </cell>
          <cell r="E202">
            <v>0</v>
          </cell>
          <cell r="AJ202">
            <v>0</v>
          </cell>
          <cell r="AK202">
            <v>0</v>
          </cell>
        </row>
        <row r="203">
          <cell r="D203">
            <v>0</v>
          </cell>
          <cell r="E203">
            <v>0</v>
          </cell>
          <cell r="AJ203">
            <v>0</v>
          </cell>
          <cell r="AK203">
            <v>0</v>
          </cell>
        </row>
        <row r="204">
          <cell r="D204">
            <v>0</v>
          </cell>
          <cell r="E204">
            <v>0</v>
          </cell>
          <cell r="AJ204">
            <v>0</v>
          </cell>
          <cell r="AK204">
            <v>0</v>
          </cell>
        </row>
        <row r="205">
          <cell r="D205">
            <v>0</v>
          </cell>
          <cell r="E205">
            <v>0</v>
          </cell>
          <cell r="AJ205">
            <v>0</v>
          </cell>
          <cell r="AK205">
            <v>0</v>
          </cell>
        </row>
        <row r="206">
          <cell r="D206">
            <v>0</v>
          </cell>
          <cell r="E206">
            <v>0</v>
          </cell>
          <cell r="AJ206">
            <v>0</v>
          </cell>
          <cell r="AK206">
            <v>0</v>
          </cell>
        </row>
        <row r="207">
          <cell r="D207">
            <v>0</v>
          </cell>
          <cell r="E207">
            <v>0</v>
          </cell>
          <cell r="AJ207">
            <v>0</v>
          </cell>
          <cell r="AK207">
            <v>0</v>
          </cell>
        </row>
        <row r="208">
          <cell r="D208">
            <v>0</v>
          </cell>
          <cell r="E208">
            <v>0</v>
          </cell>
          <cell r="AJ208">
            <v>0</v>
          </cell>
          <cell r="AK208">
            <v>0</v>
          </cell>
        </row>
        <row r="209">
          <cell r="D209">
            <v>0</v>
          </cell>
          <cell r="E209">
            <v>0</v>
          </cell>
          <cell r="AJ209">
            <v>0</v>
          </cell>
          <cell r="AK209">
            <v>0</v>
          </cell>
        </row>
        <row r="210">
          <cell r="D210">
            <v>0</v>
          </cell>
          <cell r="E210">
            <v>0</v>
          </cell>
          <cell r="AJ210">
            <v>0</v>
          </cell>
          <cell r="AK210">
            <v>0</v>
          </cell>
        </row>
        <row r="211">
          <cell r="D211">
            <v>0</v>
          </cell>
          <cell r="E211">
            <v>0</v>
          </cell>
          <cell r="AJ211">
            <v>0</v>
          </cell>
          <cell r="AK211">
            <v>0</v>
          </cell>
        </row>
        <row r="212">
          <cell r="D212">
            <v>0</v>
          </cell>
          <cell r="E212">
            <v>0</v>
          </cell>
          <cell r="AJ212">
            <v>0</v>
          </cell>
          <cell r="AK212">
            <v>0</v>
          </cell>
        </row>
        <row r="213">
          <cell r="D213">
            <v>0</v>
          </cell>
          <cell r="E213">
            <v>0</v>
          </cell>
          <cell r="AJ213">
            <v>0</v>
          </cell>
          <cell r="AK213">
            <v>0</v>
          </cell>
        </row>
        <row r="214">
          <cell r="D214">
            <v>0</v>
          </cell>
          <cell r="E214">
            <v>0</v>
          </cell>
          <cell r="AJ214">
            <v>0</v>
          </cell>
          <cell r="AK214">
            <v>0</v>
          </cell>
        </row>
        <row r="215">
          <cell r="D215">
            <v>0</v>
          </cell>
          <cell r="E215">
            <v>0</v>
          </cell>
          <cell r="AJ215">
            <v>0</v>
          </cell>
          <cell r="AK215">
            <v>0</v>
          </cell>
        </row>
        <row r="216">
          <cell r="D216">
            <v>0</v>
          </cell>
          <cell r="E216">
            <v>0</v>
          </cell>
          <cell r="AJ216">
            <v>0</v>
          </cell>
          <cell r="AK216">
            <v>0</v>
          </cell>
        </row>
        <row r="217">
          <cell r="D217">
            <v>0</v>
          </cell>
          <cell r="E217">
            <v>0</v>
          </cell>
          <cell r="AJ217">
            <v>0</v>
          </cell>
          <cell r="AK217">
            <v>0</v>
          </cell>
        </row>
        <row r="218">
          <cell r="D218">
            <v>0</v>
          </cell>
          <cell r="E218">
            <v>0</v>
          </cell>
          <cell r="AJ218">
            <v>0</v>
          </cell>
          <cell r="AK218">
            <v>0</v>
          </cell>
        </row>
        <row r="219">
          <cell r="D219">
            <v>0</v>
          </cell>
          <cell r="E219">
            <v>0</v>
          </cell>
          <cell r="AJ219">
            <v>0</v>
          </cell>
          <cell r="AK219">
            <v>0</v>
          </cell>
        </row>
        <row r="220">
          <cell r="D220">
            <v>0</v>
          </cell>
          <cell r="E220">
            <v>0</v>
          </cell>
          <cell r="AJ220">
            <v>0</v>
          </cell>
          <cell r="AK220">
            <v>0</v>
          </cell>
        </row>
        <row r="221">
          <cell r="D221">
            <v>0</v>
          </cell>
          <cell r="E221">
            <v>0</v>
          </cell>
          <cell r="AJ221">
            <v>0</v>
          </cell>
          <cell r="AK221">
            <v>0</v>
          </cell>
        </row>
        <row r="222">
          <cell r="D222">
            <v>0</v>
          </cell>
          <cell r="E222">
            <v>0</v>
          </cell>
          <cell r="AJ222">
            <v>0</v>
          </cell>
          <cell r="AK222">
            <v>0</v>
          </cell>
        </row>
        <row r="223">
          <cell r="D223">
            <v>0</v>
          </cell>
          <cell r="E223">
            <v>0</v>
          </cell>
          <cell r="AJ223">
            <v>0</v>
          </cell>
          <cell r="AK223">
            <v>0</v>
          </cell>
        </row>
        <row r="224">
          <cell r="D224">
            <v>0</v>
          </cell>
          <cell r="E224">
            <v>0</v>
          </cell>
          <cell r="AJ224">
            <v>0</v>
          </cell>
          <cell r="AK224">
            <v>0</v>
          </cell>
        </row>
        <row r="225">
          <cell r="D225">
            <v>0</v>
          </cell>
          <cell r="E225">
            <v>0</v>
          </cell>
          <cell r="AJ225">
            <v>0</v>
          </cell>
          <cell r="AK225">
            <v>0</v>
          </cell>
        </row>
        <row r="226">
          <cell r="D226">
            <v>0</v>
          </cell>
          <cell r="E226">
            <v>0</v>
          </cell>
          <cell r="AJ226">
            <v>0</v>
          </cell>
          <cell r="AK226">
            <v>0</v>
          </cell>
        </row>
        <row r="227">
          <cell r="D227">
            <v>0</v>
          </cell>
          <cell r="E227">
            <v>0</v>
          </cell>
          <cell r="AJ227">
            <v>0</v>
          </cell>
          <cell r="AK227">
            <v>0</v>
          </cell>
        </row>
        <row r="228">
          <cell r="D228">
            <v>0</v>
          </cell>
          <cell r="E228">
            <v>0</v>
          </cell>
          <cell r="AJ228">
            <v>0</v>
          </cell>
          <cell r="AK228">
            <v>0</v>
          </cell>
        </row>
        <row r="229">
          <cell r="D229">
            <v>0</v>
          </cell>
          <cell r="E229">
            <v>0</v>
          </cell>
          <cell r="AJ229">
            <v>0</v>
          </cell>
          <cell r="AK229">
            <v>0</v>
          </cell>
        </row>
        <row r="230">
          <cell r="D230">
            <v>0</v>
          </cell>
          <cell r="E230">
            <v>0</v>
          </cell>
          <cell r="AJ230">
            <v>0</v>
          </cell>
          <cell r="AK230">
            <v>0</v>
          </cell>
        </row>
        <row r="231">
          <cell r="D231">
            <v>0</v>
          </cell>
          <cell r="E231">
            <v>0</v>
          </cell>
          <cell r="AJ231">
            <v>0</v>
          </cell>
          <cell r="AK231">
            <v>0</v>
          </cell>
        </row>
        <row r="232">
          <cell r="D232">
            <v>0</v>
          </cell>
          <cell r="E232">
            <v>0</v>
          </cell>
          <cell r="AJ232">
            <v>0</v>
          </cell>
          <cell r="AK232">
            <v>0</v>
          </cell>
        </row>
        <row r="233">
          <cell r="D233">
            <v>0</v>
          </cell>
          <cell r="E233">
            <v>0</v>
          </cell>
          <cell r="AJ233">
            <v>0</v>
          </cell>
          <cell r="AK233">
            <v>0</v>
          </cell>
        </row>
        <row r="234">
          <cell r="D234">
            <v>0</v>
          </cell>
          <cell r="E234">
            <v>0</v>
          </cell>
          <cell r="AJ234">
            <v>0</v>
          </cell>
          <cell r="AK234">
            <v>0</v>
          </cell>
        </row>
        <row r="235">
          <cell r="D235">
            <v>0</v>
          </cell>
          <cell r="E235">
            <v>0</v>
          </cell>
          <cell r="AJ235">
            <v>0</v>
          </cell>
          <cell r="AK235">
            <v>0</v>
          </cell>
        </row>
        <row r="236">
          <cell r="D236">
            <v>0</v>
          </cell>
          <cell r="E236">
            <v>0</v>
          </cell>
          <cell r="AJ236">
            <v>0</v>
          </cell>
          <cell r="AK236">
            <v>0</v>
          </cell>
        </row>
        <row r="237">
          <cell r="D237">
            <v>0</v>
          </cell>
          <cell r="E237">
            <v>0</v>
          </cell>
          <cell r="AJ237">
            <v>0</v>
          </cell>
          <cell r="AK237">
            <v>0</v>
          </cell>
        </row>
        <row r="238">
          <cell r="D238">
            <v>0</v>
          </cell>
          <cell r="E238">
            <v>0</v>
          </cell>
          <cell r="AJ238">
            <v>0</v>
          </cell>
          <cell r="AK238">
            <v>0</v>
          </cell>
        </row>
        <row r="239">
          <cell r="D239">
            <v>0</v>
          </cell>
          <cell r="E239">
            <v>0</v>
          </cell>
          <cell r="AJ239">
            <v>0</v>
          </cell>
          <cell r="AK239">
            <v>0</v>
          </cell>
        </row>
        <row r="240">
          <cell r="D240">
            <v>0</v>
          </cell>
          <cell r="E240">
            <v>0</v>
          </cell>
          <cell r="AJ240">
            <v>0</v>
          </cell>
          <cell r="AK240">
            <v>0</v>
          </cell>
        </row>
        <row r="241">
          <cell r="D241">
            <v>0</v>
          </cell>
          <cell r="E241">
            <v>0</v>
          </cell>
          <cell r="AJ241">
            <v>0</v>
          </cell>
          <cell r="AK241">
            <v>0</v>
          </cell>
        </row>
        <row r="242">
          <cell r="D242">
            <v>0</v>
          </cell>
          <cell r="E242">
            <v>0</v>
          </cell>
          <cell r="AJ242">
            <v>0</v>
          </cell>
          <cell r="AK242">
            <v>0</v>
          </cell>
        </row>
        <row r="243">
          <cell r="D243">
            <v>0</v>
          </cell>
          <cell r="E243">
            <v>0</v>
          </cell>
          <cell r="AJ243">
            <v>0</v>
          </cell>
          <cell r="AK243">
            <v>0</v>
          </cell>
        </row>
        <row r="244">
          <cell r="D244">
            <v>0</v>
          </cell>
          <cell r="E244">
            <v>0</v>
          </cell>
          <cell r="AJ244">
            <v>0</v>
          </cell>
          <cell r="AK244">
            <v>0</v>
          </cell>
        </row>
        <row r="245">
          <cell r="D245">
            <v>0</v>
          </cell>
          <cell r="E245">
            <v>0</v>
          </cell>
          <cell r="AJ245">
            <v>0</v>
          </cell>
          <cell r="AK245">
            <v>0</v>
          </cell>
        </row>
        <row r="246">
          <cell r="D246">
            <v>0</v>
          </cell>
          <cell r="E246">
            <v>0</v>
          </cell>
          <cell r="AJ246">
            <v>0</v>
          </cell>
          <cell r="AK246">
            <v>0</v>
          </cell>
        </row>
        <row r="247">
          <cell r="D247">
            <v>0</v>
          </cell>
          <cell r="E247">
            <v>0</v>
          </cell>
          <cell r="AJ247">
            <v>0</v>
          </cell>
          <cell r="AK247">
            <v>0</v>
          </cell>
        </row>
        <row r="248">
          <cell r="D248">
            <v>0</v>
          </cell>
          <cell r="E248">
            <v>0</v>
          </cell>
          <cell r="AJ248">
            <v>0</v>
          </cell>
          <cell r="AK248">
            <v>0</v>
          </cell>
        </row>
        <row r="249">
          <cell r="D249">
            <v>0</v>
          </cell>
          <cell r="E249">
            <v>0</v>
          </cell>
          <cell r="AJ249">
            <v>0</v>
          </cell>
          <cell r="AK249">
            <v>0</v>
          </cell>
        </row>
        <row r="250">
          <cell r="D250">
            <v>0</v>
          </cell>
          <cell r="E250">
            <v>0</v>
          </cell>
          <cell r="AJ250">
            <v>0</v>
          </cell>
          <cell r="AK250">
            <v>0</v>
          </cell>
        </row>
        <row r="251">
          <cell r="D251">
            <v>0</v>
          </cell>
          <cell r="E251">
            <v>0</v>
          </cell>
          <cell r="AJ251">
            <v>0</v>
          </cell>
          <cell r="AK251">
            <v>0</v>
          </cell>
        </row>
        <row r="252">
          <cell r="D252">
            <v>0</v>
          </cell>
          <cell r="E252">
            <v>0</v>
          </cell>
          <cell r="AJ252">
            <v>0</v>
          </cell>
          <cell r="AK252">
            <v>0</v>
          </cell>
        </row>
        <row r="253">
          <cell r="D253">
            <v>0</v>
          </cell>
          <cell r="E253">
            <v>0</v>
          </cell>
          <cell r="AJ253">
            <v>0</v>
          </cell>
          <cell r="AK253">
            <v>0</v>
          </cell>
        </row>
        <row r="254">
          <cell r="D254">
            <v>0</v>
          </cell>
          <cell r="E254">
            <v>0</v>
          </cell>
          <cell r="AJ254">
            <v>0</v>
          </cell>
          <cell r="AK254">
            <v>0</v>
          </cell>
        </row>
        <row r="255">
          <cell r="D255">
            <v>0</v>
          </cell>
          <cell r="E255">
            <v>0</v>
          </cell>
          <cell r="AJ255">
            <v>0</v>
          </cell>
          <cell r="AK255">
            <v>0</v>
          </cell>
        </row>
        <row r="256">
          <cell r="D256">
            <v>0</v>
          </cell>
          <cell r="E256">
            <v>0</v>
          </cell>
          <cell r="AJ256">
            <v>0</v>
          </cell>
          <cell r="AK256">
            <v>0</v>
          </cell>
        </row>
        <row r="257">
          <cell r="D257">
            <v>0</v>
          </cell>
          <cell r="E257">
            <v>0</v>
          </cell>
          <cell r="AJ257">
            <v>0</v>
          </cell>
          <cell r="AK257">
            <v>0</v>
          </cell>
        </row>
        <row r="258">
          <cell r="D258">
            <v>0</v>
          </cell>
          <cell r="E258">
            <v>0</v>
          </cell>
          <cell r="AJ258">
            <v>0</v>
          </cell>
          <cell r="AK258">
            <v>0</v>
          </cell>
        </row>
        <row r="259">
          <cell r="D259">
            <v>0</v>
          </cell>
          <cell r="E259">
            <v>0</v>
          </cell>
          <cell r="AJ259">
            <v>0</v>
          </cell>
          <cell r="AK259">
            <v>0</v>
          </cell>
        </row>
        <row r="260">
          <cell r="D260">
            <v>0</v>
          </cell>
          <cell r="E260">
            <v>0</v>
          </cell>
          <cell r="AJ260">
            <v>0</v>
          </cell>
          <cell r="AK260">
            <v>0</v>
          </cell>
        </row>
        <row r="261">
          <cell r="D261">
            <v>0</v>
          </cell>
          <cell r="E261">
            <v>0</v>
          </cell>
          <cell r="AJ261">
            <v>0</v>
          </cell>
          <cell r="AK261">
            <v>0</v>
          </cell>
        </row>
        <row r="262">
          <cell r="D262">
            <v>0</v>
          </cell>
          <cell r="E262">
            <v>0</v>
          </cell>
          <cell r="AJ262">
            <v>0</v>
          </cell>
          <cell r="AK262">
            <v>0</v>
          </cell>
        </row>
        <row r="263">
          <cell r="D263">
            <v>0</v>
          </cell>
          <cell r="E263">
            <v>0</v>
          </cell>
          <cell r="AJ263">
            <v>0</v>
          </cell>
          <cell r="AK263">
            <v>0</v>
          </cell>
        </row>
        <row r="264">
          <cell r="D264">
            <v>0</v>
          </cell>
          <cell r="E264">
            <v>0</v>
          </cell>
          <cell r="AJ264">
            <v>0</v>
          </cell>
          <cell r="AK264">
            <v>0</v>
          </cell>
        </row>
        <row r="265">
          <cell r="D265">
            <v>0</v>
          </cell>
          <cell r="E265">
            <v>0</v>
          </cell>
          <cell r="AJ265">
            <v>0</v>
          </cell>
          <cell r="AK265">
            <v>0</v>
          </cell>
        </row>
        <row r="266">
          <cell r="D266">
            <v>0</v>
          </cell>
          <cell r="E266">
            <v>0</v>
          </cell>
          <cell r="AJ266">
            <v>0</v>
          </cell>
          <cell r="AK266">
            <v>0</v>
          </cell>
        </row>
        <row r="267">
          <cell r="D267">
            <v>0</v>
          </cell>
          <cell r="E267">
            <v>0</v>
          </cell>
          <cell r="AJ267">
            <v>0</v>
          </cell>
          <cell r="AK267">
            <v>0</v>
          </cell>
        </row>
        <row r="268">
          <cell r="D268">
            <v>0</v>
          </cell>
          <cell r="E268">
            <v>0</v>
          </cell>
          <cell r="AJ268">
            <v>0</v>
          </cell>
          <cell r="AK268">
            <v>0</v>
          </cell>
        </row>
        <row r="269">
          <cell r="D269">
            <v>0</v>
          </cell>
          <cell r="E269">
            <v>0</v>
          </cell>
          <cell r="AJ269">
            <v>0</v>
          </cell>
          <cell r="AK269">
            <v>0</v>
          </cell>
        </row>
        <row r="270">
          <cell r="D270">
            <v>0</v>
          </cell>
          <cell r="E270">
            <v>0</v>
          </cell>
          <cell r="AJ270">
            <v>0</v>
          </cell>
          <cell r="AK270">
            <v>0</v>
          </cell>
        </row>
        <row r="271">
          <cell r="D271">
            <v>0</v>
          </cell>
          <cell r="E271">
            <v>0</v>
          </cell>
          <cell r="AJ271">
            <v>0</v>
          </cell>
          <cell r="AK271">
            <v>0</v>
          </cell>
        </row>
        <row r="272">
          <cell r="D272">
            <v>0</v>
          </cell>
          <cell r="E272">
            <v>0</v>
          </cell>
          <cell r="AJ272">
            <v>0</v>
          </cell>
          <cell r="AK272">
            <v>0</v>
          </cell>
        </row>
        <row r="273">
          <cell r="D273">
            <v>0</v>
          </cell>
          <cell r="E273">
            <v>0</v>
          </cell>
          <cell r="AJ273">
            <v>0</v>
          </cell>
          <cell r="AK273">
            <v>0</v>
          </cell>
        </row>
        <row r="274">
          <cell r="D274">
            <v>0</v>
          </cell>
          <cell r="E274">
            <v>0</v>
          </cell>
          <cell r="AJ274">
            <v>0</v>
          </cell>
          <cell r="AK274">
            <v>0</v>
          </cell>
        </row>
        <row r="275">
          <cell r="D275">
            <v>0</v>
          </cell>
          <cell r="E275">
            <v>0</v>
          </cell>
          <cell r="AJ275">
            <v>0</v>
          </cell>
          <cell r="AK275">
            <v>0</v>
          </cell>
        </row>
        <row r="276">
          <cell r="D276">
            <v>0</v>
          </cell>
          <cell r="E276">
            <v>0</v>
          </cell>
          <cell r="AJ276">
            <v>0</v>
          </cell>
          <cell r="AK276">
            <v>0</v>
          </cell>
        </row>
        <row r="277">
          <cell r="D277">
            <v>0</v>
          </cell>
          <cell r="E277">
            <v>0</v>
          </cell>
          <cell r="AJ277">
            <v>0</v>
          </cell>
          <cell r="AK277">
            <v>0</v>
          </cell>
        </row>
        <row r="278">
          <cell r="D278">
            <v>0</v>
          </cell>
          <cell r="E278">
            <v>0</v>
          </cell>
          <cell r="AJ278">
            <v>0</v>
          </cell>
          <cell r="AK278">
            <v>0</v>
          </cell>
        </row>
        <row r="279">
          <cell r="D279">
            <v>0</v>
          </cell>
          <cell r="E279">
            <v>0</v>
          </cell>
          <cell r="AJ279">
            <v>0</v>
          </cell>
          <cell r="AK279">
            <v>0</v>
          </cell>
        </row>
        <row r="280">
          <cell r="D280">
            <v>0</v>
          </cell>
          <cell r="E280">
            <v>0</v>
          </cell>
          <cell r="AJ280">
            <v>0</v>
          </cell>
          <cell r="AK280">
            <v>0</v>
          </cell>
        </row>
        <row r="281">
          <cell r="D281">
            <v>0</v>
          </cell>
          <cell r="E281">
            <v>0</v>
          </cell>
          <cell r="AJ281">
            <v>0</v>
          </cell>
          <cell r="AK281">
            <v>0</v>
          </cell>
        </row>
        <row r="282">
          <cell r="D282">
            <v>0</v>
          </cell>
          <cell r="E282">
            <v>0</v>
          </cell>
          <cell r="AJ282">
            <v>0</v>
          </cell>
          <cell r="AK282">
            <v>0</v>
          </cell>
        </row>
        <row r="283">
          <cell r="D283">
            <v>0</v>
          </cell>
          <cell r="E283">
            <v>0</v>
          </cell>
          <cell r="AJ283">
            <v>0</v>
          </cell>
          <cell r="AK283">
            <v>0</v>
          </cell>
        </row>
        <row r="284">
          <cell r="D284">
            <v>0</v>
          </cell>
          <cell r="E284">
            <v>0</v>
          </cell>
          <cell r="AJ284">
            <v>0</v>
          </cell>
          <cell r="AK284">
            <v>0</v>
          </cell>
        </row>
        <row r="285">
          <cell r="D285">
            <v>0</v>
          </cell>
          <cell r="E285">
            <v>0</v>
          </cell>
          <cell r="AJ285">
            <v>0</v>
          </cell>
          <cell r="AK285">
            <v>0</v>
          </cell>
        </row>
        <row r="286">
          <cell r="D286">
            <v>0</v>
          </cell>
          <cell r="E286">
            <v>0</v>
          </cell>
          <cell r="AJ286">
            <v>0</v>
          </cell>
          <cell r="AK286">
            <v>0</v>
          </cell>
        </row>
        <row r="287">
          <cell r="D287">
            <v>0</v>
          </cell>
          <cell r="E287">
            <v>0</v>
          </cell>
          <cell r="AJ287">
            <v>0</v>
          </cell>
          <cell r="AK287">
            <v>0</v>
          </cell>
        </row>
        <row r="288">
          <cell r="D288">
            <v>0</v>
          </cell>
          <cell r="E288">
            <v>0</v>
          </cell>
          <cell r="AJ288">
            <v>0</v>
          </cell>
          <cell r="AK288">
            <v>0</v>
          </cell>
        </row>
        <row r="289">
          <cell r="D289">
            <v>0</v>
          </cell>
          <cell r="E289">
            <v>0</v>
          </cell>
          <cell r="AJ289">
            <v>0</v>
          </cell>
          <cell r="AK289">
            <v>0</v>
          </cell>
        </row>
        <row r="290">
          <cell r="D290">
            <v>0</v>
          </cell>
          <cell r="E290">
            <v>0</v>
          </cell>
          <cell r="AJ290">
            <v>0</v>
          </cell>
          <cell r="AK290">
            <v>0</v>
          </cell>
        </row>
        <row r="291">
          <cell r="D291">
            <v>0</v>
          </cell>
          <cell r="E291">
            <v>0</v>
          </cell>
          <cell r="AJ291">
            <v>0</v>
          </cell>
          <cell r="AK291">
            <v>0</v>
          </cell>
        </row>
        <row r="292">
          <cell r="D292">
            <v>0</v>
          </cell>
          <cell r="E292">
            <v>0</v>
          </cell>
          <cell r="AJ292">
            <v>0</v>
          </cell>
          <cell r="AK292">
            <v>0</v>
          </cell>
        </row>
        <row r="293">
          <cell r="D293">
            <v>0</v>
          </cell>
          <cell r="E293">
            <v>0</v>
          </cell>
          <cell r="AJ293">
            <v>0</v>
          </cell>
          <cell r="AK293">
            <v>0</v>
          </cell>
        </row>
        <row r="294">
          <cell r="D294">
            <v>0</v>
          </cell>
          <cell r="E294">
            <v>0</v>
          </cell>
          <cell r="AJ294">
            <v>0</v>
          </cell>
          <cell r="AK294">
            <v>0</v>
          </cell>
        </row>
        <row r="295">
          <cell r="D295">
            <v>0</v>
          </cell>
          <cell r="E295">
            <v>0</v>
          </cell>
          <cell r="AJ295">
            <v>0</v>
          </cell>
          <cell r="AK295">
            <v>0</v>
          </cell>
        </row>
        <row r="296">
          <cell r="D296">
            <v>0</v>
          </cell>
          <cell r="E296">
            <v>0</v>
          </cell>
          <cell r="AJ296">
            <v>0</v>
          </cell>
          <cell r="AK296">
            <v>0</v>
          </cell>
        </row>
        <row r="297">
          <cell r="D297">
            <v>0</v>
          </cell>
          <cell r="E297">
            <v>0</v>
          </cell>
          <cell r="AJ297">
            <v>0</v>
          </cell>
          <cell r="AK297">
            <v>0</v>
          </cell>
        </row>
        <row r="298">
          <cell r="D298">
            <v>0</v>
          </cell>
          <cell r="E298">
            <v>0</v>
          </cell>
          <cell r="AJ298">
            <v>0</v>
          </cell>
          <cell r="AK298">
            <v>0</v>
          </cell>
        </row>
        <row r="299">
          <cell r="D299">
            <v>0</v>
          </cell>
          <cell r="E299">
            <v>0</v>
          </cell>
          <cell r="AJ299">
            <v>0</v>
          </cell>
          <cell r="AK299">
            <v>0</v>
          </cell>
        </row>
        <row r="300">
          <cell r="D300">
            <v>0</v>
          </cell>
          <cell r="E300">
            <v>0</v>
          </cell>
          <cell r="AJ300">
            <v>0</v>
          </cell>
          <cell r="AK300">
            <v>0</v>
          </cell>
        </row>
        <row r="301">
          <cell r="D301">
            <v>0</v>
          </cell>
          <cell r="E301">
            <v>0</v>
          </cell>
          <cell r="AJ301">
            <v>0</v>
          </cell>
          <cell r="AK301">
            <v>0</v>
          </cell>
        </row>
        <row r="302">
          <cell r="D302">
            <v>0</v>
          </cell>
          <cell r="E302">
            <v>0</v>
          </cell>
          <cell r="AJ302">
            <v>0</v>
          </cell>
          <cell r="AK302">
            <v>0</v>
          </cell>
        </row>
        <row r="303">
          <cell r="D303">
            <v>0</v>
          </cell>
          <cell r="E303">
            <v>0</v>
          </cell>
          <cell r="AJ303">
            <v>0</v>
          </cell>
          <cell r="AK303">
            <v>0</v>
          </cell>
        </row>
        <row r="304">
          <cell r="D304">
            <v>0</v>
          </cell>
          <cell r="E304">
            <v>0</v>
          </cell>
          <cell r="AJ304">
            <v>0</v>
          </cell>
          <cell r="AK304">
            <v>0</v>
          </cell>
        </row>
        <row r="305">
          <cell r="D305">
            <v>0</v>
          </cell>
          <cell r="E305">
            <v>0</v>
          </cell>
          <cell r="AJ305">
            <v>0</v>
          </cell>
          <cell r="AK305">
            <v>0</v>
          </cell>
        </row>
        <row r="306">
          <cell r="D306">
            <v>0</v>
          </cell>
          <cell r="E306">
            <v>0</v>
          </cell>
          <cell r="AJ306">
            <v>0</v>
          </cell>
          <cell r="AK306">
            <v>0</v>
          </cell>
        </row>
        <row r="307">
          <cell r="D307">
            <v>0</v>
          </cell>
          <cell r="E307">
            <v>0</v>
          </cell>
          <cell r="AJ307">
            <v>0</v>
          </cell>
          <cell r="AK307">
            <v>0</v>
          </cell>
        </row>
        <row r="308">
          <cell r="D308">
            <v>0</v>
          </cell>
          <cell r="E308">
            <v>0</v>
          </cell>
          <cell r="AJ308">
            <v>0</v>
          </cell>
          <cell r="AK308">
            <v>0</v>
          </cell>
        </row>
        <row r="309">
          <cell r="D309">
            <v>0</v>
          </cell>
          <cell r="E309">
            <v>0</v>
          </cell>
          <cell r="AJ309">
            <v>0</v>
          </cell>
          <cell r="AK309">
            <v>0</v>
          </cell>
        </row>
        <row r="310">
          <cell r="D310">
            <v>0</v>
          </cell>
          <cell r="E310">
            <v>0</v>
          </cell>
          <cell r="AJ310">
            <v>0</v>
          </cell>
          <cell r="AK310">
            <v>0</v>
          </cell>
        </row>
        <row r="311">
          <cell r="D311">
            <v>0</v>
          </cell>
          <cell r="E311">
            <v>0</v>
          </cell>
          <cell r="AJ311">
            <v>0</v>
          </cell>
          <cell r="AK311">
            <v>0</v>
          </cell>
        </row>
        <row r="312">
          <cell r="D312">
            <v>0</v>
          </cell>
          <cell r="E312">
            <v>0</v>
          </cell>
          <cell r="AJ312">
            <v>0</v>
          </cell>
          <cell r="AK312">
            <v>0</v>
          </cell>
        </row>
        <row r="313">
          <cell r="D313">
            <v>0</v>
          </cell>
          <cell r="E313">
            <v>0</v>
          </cell>
          <cell r="AJ313">
            <v>0</v>
          </cell>
          <cell r="AK313">
            <v>0</v>
          </cell>
        </row>
        <row r="314">
          <cell r="D314">
            <v>0</v>
          </cell>
          <cell r="E314">
            <v>0</v>
          </cell>
          <cell r="AJ314">
            <v>0</v>
          </cell>
          <cell r="AK314">
            <v>0</v>
          </cell>
        </row>
        <row r="315">
          <cell r="D315">
            <v>0</v>
          </cell>
          <cell r="E315">
            <v>0</v>
          </cell>
          <cell r="AJ315">
            <v>0</v>
          </cell>
          <cell r="AK315">
            <v>0</v>
          </cell>
        </row>
        <row r="316">
          <cell r="D316">
            <v>0</v>
          </cell>
          <cell r="E316">
            <v>0</v>
          </cell>
          <cell r="AJ316">
            <v>0</v>
          </cell>
          <cell r="AK316">
            <v>0</v>
          </cell>
        </row>
        <row r="317">
          <cell r="D317">
            <v>0</v>
          </cell>
          <cell r="E317">
            <v>0</v>
          </cell>
          <cell r="AJ317">
            <v>0</v>
          </cell>
          <cell r="AK317">
            <v>0</v>
          </cell>
        </row>
        <row r="318">
          <cell r="D318">
            <v>0</v>
          </cell>
          <cell r="E318">
            <v>0</v>
          </cell>
          <cell r="AJ318">
            <v>0</v>
          </cell>
          <cell r="AK318">
            <v>0</v>
          </cell>
        </row>
        <row r="319">
          <cell r="D319">
            <v>0</v>
          </cell>
          <cell r="E319">
            <v>0</v>
          </cell>
          <cell r="AJ319">
            <v>0</v>
          </cell>
          <cell r="AK319">
            <v>0</v>
          </cell>
        </row>
        <row r="320">
          <cell r="D320">
            <v>0</v>
          </cell>
          <cell r="E320">
            <v>0</v>
          </cell>
          <cell r="AJ320">
            <v>0</v>
          </cell>
          <cell r="AK320">
            <v>0</v>
          </cell>
        </row>
        <row r="321">
          <cell r="D321">
            <v>0</v>
          </cell>
          <cell r="E321">
            <v>0</v>
          </cell>
          <cell r="AJ321">
            <v>0</v>
          </cell>
          <cell r="AK321">
            <v>0</v>
          </cell>
        </row>
        <row r="322">
          <cell r="D322">
            <v>0</v>
          </cell>
          <cell r="E322">
            <v>0</v>
          </cell>
          <cell r="AJ322">
            <v>0</v>
          </cell>
          <cell r="AK322">
            <v>0</v>
          </cell>
        </row>
        <row r="323">
          <cell r="D323">
            <v>0</v>
          </cell>
          <cell r="E323">
            <v>0</v>
          </cell>
          <cell r="AJ323">
            <v>0</v>
          </cell>
          <cell r="AK323">
            <v>0</v>
          </cell>
        </row>
        <row r="324">
          <cell r="D324">
            <v>0</v>
          </cell>
          <cell r="E324">
            <v>0</v>
          </cell>
          <cell r="AJ324">
            <v>0</v>
          </cell>
          <cell r="AK324">
            <v>0</v>
          </cell>
        </row>
        <row r="325">
          <cell r="D325">
            <v>0</v>
          </cell>
          <cell r="E325">
            <v>0</v>
          </cell>
          <cell r="AJ325">
            <v>0</v>
          </cell>
          <cell r="AK325">
            <v>0</v>
          </cell>
        </row>
        <row r="326">
          <cell r="D326">
            <v>0</v>
          </cell>
          <cell r="E326">
            <v>0</v>
          </cell>
          <cell r="AJ326">
            <v>0</v>
          </cell>
          <cell r="AK326">
            <v>0</v>
          </cell>
        </row>
        <row r="327">
          <cell r="D327">
            <v>0</v>
          </cell>
          <cell r="E327">
            <v>0</v>
          </cell>
          <cell r="AJ327">
            <v>0</v>
          </cell>
          <cell r="AK327">
            <v>0</v>
          </cell>
        </row>
        <row r="328">
          <cell r="D328">
            <v>0</v>
          </cell>
          <cell r="E328">
            <v>0</v>
          </cell>
          <cell r="AJ328">
            <v>0</v>
          </cell>
          <cell r="AK328">
            <v>0</v>
          </cell>
        </row>
        <row r="329">
          <cell r="D329">
            <v>0</v>
          </cell>
          <cell r="E329">
            <v>0</v>
          </cell>
          <cell r="AJ329">
            <v>0</v>
          </cell>
          <cell r="AK329">
            <v>0</v>
          </cell>
        </row>
        <row r="330">
          <cell r="D330">
            <v>0</v>
          </cell>
          <cell r="E330">
            <v>0</v>
          </cell>
          <cell r="AJ330">
            <v>0</v>
          </cell>
          <cell r="AK330">
            <v>0</v>
          </cell>
        </row>
        <row r="331">
          <cell r="D331">
            <v>0</v>
          </cell>
          <cell r="E331">
            <v>0</v>
          </cell>
          <cell r="AJ331">
            <v>0</v>
          </cell>
          <cell r="AK331">
            <v>0</v>
          </cell>
        </row>
        <row r="332">
          <cell r="D332">
            <v>0</v>
          </cell>
          <cell r="E332">
            <v>0</v>
          </cell>
          <cell r="AJ332">
            <v>0</v>
          </cell>
          <cell r="AK332">
            <v>0</v>
          </cell>
        </row>
        <row r="333">
          <cell r="D333">
            <v>0</v>
          </cell>
          <cell r="E333">
            <v>0</v>
          </cell>
          <cell r="AJ333">
            <v>0</v>
          </cell>
          <cell r="AK333">
            <v>0</v>
          </cell>
        </row>
        <row r="334">
          <cell r="D334">
            <v>0</v>
          </cell>
          <cell r="E334">
            <v>0</v>
          </cell>
          <cell r="AJ334">
            <v>0</v>
          </cell>
          <cell r="AK334">
            <v>0</v>
          </cell>
        </row>
        <row r="335">
          <cell r="D335">
            <v>0</v>
          </cell>
          <cell r="E335">
            <v>0</v>
          </cell>
          <cell r="AJ335">
            <v>0</v>
          </cell>
          <cell r="AK335">
            <v>0</v>
          </cell>
        </row>
        <row r="336">
          <cell r="D336">
            <v>0</v>
          </cell>
          <cell r="E336">
            <v>0</v>
          </cell>
          <cell r="AJ336">
            <v>0</v>
          </cell>
          <cell r="AK336">
            <v>0</v>
          </cell>
        </row>
        <row r="337">
          <cell r="D337">
            <v>0</v>
          </cell>
          <cell r="E337">
            <v>0</v>
          </cell>
          <cell r="AJ337">
            <v>0</v>
          </cell>
          <cell r="AK337">
            <v>0</v>
          </cell>
        </row>
        <row r="338">
          <cell r="D338">
            <v>0</v>
          </cell>
          <cell r="E338">
            <v>0</v>
          </cell>
          <cell r="AJ338">
            <v>0</v>
          </cell>
          <cell r="AK338">
            <v>0</v>
          </cell>
        </row>
        <row r="339">
          <cell r="D339">
            <v>0</v>
          </cell>
          <cell r="E339">
            <v>0</v>
          </cell>
          <cell r="AJ339">
            <v>0</v>
          </cell>
          <cell r="AK339">
            <v>0</v>
          </cell>
        </row>
        <row r="340">
          <cell r="D340">
            <v>0</v>
          </cell>
          <cell r="E340">
            <v>0</v>
          </cell>
          <cell r="AJ340">
            <v>0</v>
          </cell>
          <cell r="AK340">
            <v>0</v>
          </cell>
        </row>
        <row r="341">
          <cell r="D341">
            <v>0</v>
          </cell>
          <cell r="E341">
            <v>0</v>
          </cell>
          <cell r="AJ341">
            <v>0</v>
          </cell>
          <cell r="AK341">
            <v>0</v>
          </cell>
        </row>
        <row r="342">
          <cell r="D342">
            <v>0</v>
          </cell>
          <cell r="E342">
            <v>0</v>
          </cell>
          <cell r="AJ342">
            <v>0</v>
          </cell>
          <cell r="AK342">
            <v>0</v>
          </cell>
        </row>
        <row r="343">
          <cell r="D343">
            <v>0</v>
          </cell>
          <cell r="E343">
            <v>0</v>
          </cell>
          <cell r="AJ343">
            <v>0</v>
          </cell>
          <cell r="AK343">
            <v>0</v>
          </cell>
        </row>
        <row r="344">
          <cell r="D344">
            <v>0</v>
          </cell>
          <cell r="E344">
            <v>0</v>
          </cell>
          <cell r="AJ344">
            <v>0</v>
          </cell>
          <cell r="AK344">
            <v>0</v>
          </cell>
        </row>
        <row r="345">
          <cell r="D345">
            <v>0</v>
          </cell>
          <cell r="E345">
            <v>0</v>
          </cell>
          <cell r="AJ345">
            <v>0</v>
          </cell>
          <cell r="AK345">
            <v>0</v>
          </cell>
        </row>
        <row r="346">
          <cell r="D346">
            <v>0</v>
          </cell>
          <cell r="E346">
            <v>0</v>
          </cell>
          <cell r="AJ346">
            <v>0</v>
          </cell>
          <cell r="AK346">
            <v>0</v>
          </cell>
        </row>
        <row r="347">
          <cell r="D347">
            <v>0</v>
          </cell>
          <cell r="E347">
            <v>0</v>
          </cell>
          <cell r="AJ347">
            <v>0</v>
          </cell>
          <cell r="AK347">
            <v>0</v>
          </cell>
        </row>
        <row r="348">
          <cell r="D348">
            <v>0</v>
          </cell>
          <cell r="E348">
            <v>0</v>
          </cell>
          <cell r="AJ348">
            <v>0</v>
          </cell>
          <cell r="AK348">
            <v>0</v>
          </cell>
        </row>
        <row r="349">
          <cell r="D349">
            <v>0</v>
          </cell>
          <cell r="E349">
            <v>0</v>
          </cell>
          <cell r="AJ349">
            <v>0</v>
          </cell>
          <cell r="AK349">
            <v>0</v>
          </cell>
        </row>
        <row r="350">
          <cell r="D350">
            <v>0</v>
          </cell>
          <cell r="E350">
            <v>0</v>
          </cell>
          <cell r="AJ350">
            <v>0</v>
          </cell>
          <cell r="AK350">
            <v>0</v>
          </cell>
        </row>
        <row r="351">
          <cell r="D351">
            <v>0</v>
          </cell>
          <cell r="E351">
            <v>0</v>
          </cell>
          <cell r="AJ351">
            <v>0</v>
          </cell>
          <cell r="AK351">
            <v>0</v>
          </cell>
        </row>
        <row r="352">
          <cell r="D352">
            <v>0</v>
          </cell>
          <cell r="E352">
            <v>0</v>
          </cell>
          <cell r="AJ352">
            <v>0</v>
          </cell>
          <cell r="AK352">
            <v>0</v>
          </cell>
        </row>
        <row r="353">
          <cell r="D353">
            <v>0</v>
          </cell>
          <cell r="E353">
            <v>0</v>
          </cell>
          <cell r="AJ353">
            <v>0</v>
          </cell>
          <cell r="AK353">
            <v>0</v>
          </cell>
        </row>
        <row r="354">
          <cell r="D354">
            <v>0</v>
          </cell>
          <cell r="E354">
            <v>0</v>
          </cell>
          <cell r="AJ354">
            <v>0</v>
          </cell>
          <cell r="AK354">
            <v>0</v>
          </cell>
        </row>
        <row r="355">
          <cell r="D355">
            <v>0</v>
          </cell>
          <cell r="E355">
            <v>0</v>
          </cell>
          <cell r="AJ355">
            <v>0</v>
          </cell>
          <cell r="AK355">
            <v>0</v>
          </cell>
        </row>
        <row r="356">
          <cell r="D356">
            <v>0</v>
          </cell>
          <cell r="E356">
            <v>0</v>
          </cell>
          <cell r="AJ356">
            <v>0</v>
          </cell>
          <cell r="AK356">
            <v>0</v>
          </cell>
        </row>
        <row r="357">
          <cell r="D357">
            <v>0</v>
          </cell>
          <cell r="E357">
            <v>0</v>
          </cell>
          <cell r="AJ357">
            <v>0</v>
          </cell>
          <cell r="AK357">
            <v>0</v>
          </cell>
        </row>
        <row r="358">
          <cell r="D358">
            <v>0</v>
          </cell>
          <cell r="E358">
            <v>0</v>
          </cell>
          <cell r="AJ358">
            <v>0</v>
          </cell>
          <cell r="AK358">
            <v>0</v>
          </cell>
        </row>
        <row r="359">
          <cell r="D359">
            <v>0</v>
          </cell>
          <cell r="E359">
            <v>0</v>
          </cell>
          <cell r="AJ359">
            <v>0</v>
          </cell>
          <cell r="AK359">
            <v>0</v>
          </cell>
        </row>
        <row r="360">
          <cell r="D360">
            <v>0</v>
          </cell>
          <cell r="E360">
            <v>0</v>
          </cell>
          <cell r="AJ360">
            <v>0</v>
          </cell>
          <cell r="AK360">
            <v>0</v>
          </cell>
        </row>
        <row r="361">
          <cell r="D361">
            <v>0</v>
          </cell>
          <cell r="E361">
            <v>0</v>
          </cell>
          <cell r="AJ361">
            <v>0</v>
          </cell>
          <cell r="AK361">
            <v>0</v>
          </cell>
        </row>
        <row r="362">
          <cell r="D362">
            <v>0</v>
          </cell>
          <cell r="E362">
            <v>0</v>
          </cell>
          <cell r="AJ362">
            <v>0</v>
          </cell>
          <cell r="AK362">
            <v>0</v>
          </cell>
        </row>
        <row r="363">
          <cell r="D363">
            <v>0</v>
          </cell>
          <cell r="E363">
            <v>0</v>
          </cell>
          <cell r="AJ363">
            <v>0</v>
          </cell>
          <cell r="AK363">
            <v>0</v>
          </cell>
        </row>
        <row r="364">
          <cell r="D364">
            <v>0</v>
          </cell>
          <cell r="E364">
            <v>0</v>
          </cell>
          <cell r="AJ364">
            <v>0</v>
          </cell>
          <cell r="AK364">
            <v>0</v>
          </cell>
        </row>
        <row r="365">
          <cell r="D365">
            <v>0</v>
          </cell>
          <cell r="E365">
            <v>0</v>
          </cell>
          <cell r="AJ365">
            <v>0</v>
          </cell>
          <cell r="AK365">
            <v>0</v>
          </cell>
        </row>
        <row r="366">
          <cell r="D366">
            <v>0</v>
          </cell>
          <cell r="E366">
            <v>0</v>
          </cell>
          <cell r="AJ366">
            <v>0</v>
          </cell>
          <cell r="AK366">
            <v>0</v>
          </cell>
        </row>
        <row r="367">
          <cell r="D367">
            <v>0</v>
          </cell>
          <cell r="E367">
            <v>0</v>
          </cell>
          <cell r="AJ367">
            <v>0</v>
          </cell>
          <cell r="AK367">
            <v>0</v>
          </cell>
        </row>
        <row r="368">
          <cell r="D368">
            <v>0</v>
          </cell>
          <cell r="E368">
            <v>0</v>
          </cell>
          <cell r="AJ368">
            <v>0</v>
          </cell>
          <cell r="AK368">
            <v>0</v>
          </cell>
        </row>
        <row r="369">
          <cell r="D369">
            <v>0</v>
          </cell>
          <cell r="E369">
            <v>0</v>
          </cell>
          <cell r="AJ369">
            <v>0</v>
          </cell>
          <cell r="AK369">
            <v>0</v>
          </cell>
        </row>
        <row r="370">
          <cell r="D370">
            <v>0</v>
          </cell>
          <cell r="E370">
            <v>0</v>
          </cell>
          <cell r="AJ370">
            <v>0</v>
          </cell>
          <cell r="AK370">
            <v>0</v>
          </cell>
        </row>
        <row r="371">
          <cell r="D371">
            <v>0</v>
          </cell>
          <cell r="E371">
            <v>0</v>
          </cell>
          <cell r="AJ371">
            <v>0</v>
          </cell>
          <cell r="AK371">
            <v>0</v>
          </cell>
        </row>
        <row r="372">
          <cell r="D372">
            <v>0</v>
          </cell>
          <cell r="E372">
            <v>0</v>
          </cell>
          <cell r="AJ372">
            <v>0</v>
          </cell>
          <cell r="AK372">
            <v>0</v>
          </cell>
        </row>
        <row r="373">
          <cell r="D373">
            <v>0</v>
          </cell>
          <cell r="E373">
            <v>0</v>
          </cell>
          <cell r="AJ373">
            <v>0</v>
          </cell>
          <cell r="AK373">
            <v>0</v>
          </cell>
        </row>
        <row r="374">
          <cell r="D374">
            <v>0</v>
          </cell>
          <cell r="E374">
            <v>0</v>
          </cell>
          <cell r="AJ374">
            <v>0</v>
          </cell>
          <cell r="AK374">
            <v>0</v>
          </cell>
        </row>
        <row r="375">
          <cell r="D375">
            <v>0</v>
          </cell>
          <cell r="E375">
            <v>0</v>
          </cell>
          <cell r="AJ375">
            <v>0</v>
          </cell>
          <cell r="AK375">
            <v>0</v>
          </cell>
        </row>
        <row r="376">
          <cell r="D376">
            <v>0</v>
          </cell>
          <cell r="E376">
            <v>0</v>
          </cell>
          <cell r="AJ376">
            <v>0</v>
          </cell>
          <cell r="AK376">
            <v>0</v>
          </cell>
        </row>
        <row r="377">
          <cell r="D377">
            <v>0</v>
          </cell>
          <cell r="E377">
            <v>0</v>
          </cell>
          <cell r="AJ377">
            <v>0</v>
          </cell>
          <cell r="AK377">
            <v>0</v>
          </cell>
        </row>
        <row r="378">
          <cell r="D378">
            <v>0</v>
          </cell>
          <cell r="E378">
            <v>0</v>
          </cell>
          <cell r="AJ378">
            <v>0</v>
          </cell>
          <cell r="AK378">
            <v>0</v>
          </cell>
        </row>
        <row r="379">
          <cell r="D379">
            <v>0</v>
          </cell>
          <cell r="E379">
            <v>0</v>
          </cell>
          <cell r="AJ379">
            <v>0</v>
          </cell>
          <cell r="AK379">
            <v>0</v>
          </cell>
        </row>
        <row r="380">
          <cell r="D380">
            <v>0</v>
          </cell>
          <cell r="E380">
            <v>0</v>
          </cell>
          <cell r="AJ380">
            <v>0</v>
          </cell>
          <cell r="AK380">
            <v>0</v>
          </cell>
        </row>
        <row r="381">
          <cell r="D381">
            <v>0</v>
          </cell>
          <cell r="E381">
            <v>0</v>
          </cell>
          <cell r="AJ381">
            <v>0</v>
          </cell>
          <cell r="AK381">
            <v>0</v>
          </cell>
        </row>
        <row r="382">
          <cell r="D382">
            <v>0</v>
          </cell>
          <cell r="E382">
            <v>0</v>
          </cell>
          <cell r="AJ382">
            <v>0</v>
          </cell>
          <cell r="AK382">
            <v>0</v>
          </cell>
        </row>
        <row r="383">
          <cell r="D383">
            <v>0</v>
          </cell>
          <cell r="E383">
            <v>0</v>
          </cell>
          <cell r="AJ383">
            <v>0</v>
          </cell>
          <cell r="AK383">
            <v>0</v>
          </cell>
        </row>
        <row r="384">
          <cell r="D384">
            <v>0</v>
          </cell>
          <cell r="E384">
            <v>0</v>
          </cell>
          <cell r="AJ384">
            <v>0</v>
          </cell>
          <cell r="AK384">
            <v>0</v>
          </cell>
        </row>
        <row r="385">
          <cell r="D385">
            <v>0</v>
          </cell>
          <cell r="E385">
            <v>0</v>
          </cell>
          <cell r="AJ385">
            <v>0</v>
          </cell>
          <cell r="AK385">
            <v>0</v>
          </cell>
        </row>
        <row r="386">
          <cell r="D386">
            <v>0</v>
          </cell>
          <cell r="E386">
            <v>0</v>
          </cell>
          <cell r="AJ386">
            <v>0</v>
          </cell>
          <cell r="AK386">
            <v>0</v>
          </cell>
        </row>
        <row r="387">
          <cell r="D387">
            <v>0</v>
          </cell>
          <cell r="E387">
            <v>0</v>
          </cell>
          <cell r="AJ387">
            <v>0</v>
          </cell>
          <cell r="AK387">
            <v>0</v>
          </cell>
        </row>
        <row r="388">
          <cell r="D388">
            <v>0</v>
          </cell>
          <cell r="E388">
            <v>0</v>
          </cell>
          <cell r="AJ388">
            <v>0</v>
          </cell>
          <cell r="AK388">
            <v>0</v>
          </cell>
        </row>
        <row r="389">
          <cell r="D389">
            <v>0</v>
          </cell>
          <cell r="E389">
            <v>0</v>
          </cell>
          <cell r="AJ389">
            <v>0</v>
          </cell>
          <cell r="AK389">
            <v>0</v>
          </cell>
        </row>
        <row r="390">
          <cell r="D390">
            <v>0</v>
          </cell>
          <cell r="E390">
            <v>0</v>
          </cell>
          <cell r="AJ390">
            <v>0</v>
          </cell>
          <cell r="AK390">
            <v>0</v>
          </cell>
        </row>
        <row r="391">
          <cell r="D391">
            <v>0</v>
          </cell>
          <cell r="E391">
            <v>0</v>
          </cell>
          <cell r="AJ391">
            <v>0</v>
          </cell>
          <cell r="AK391">
            <v>0</v>
          </cell>
        </row>
        <row r="392">
          <cell r="D392">
            <v>0</v>
          </cell>
          <cell r="E392">
            <v>0</v>
          </cell>
          <cell r="AJ392">
            <v>0</v>
          </cell>
          <cell r="AK392">
            <v>0</v>
          </cell>
        </row>
        <row r="393">
          <cell r="D393">
            <v>0</v>
          </cell>
          <cell r="E393">
            <v>0</v>
          </cell>
          <cell r="AJ393">
            <v>0</v>
          </cell>
          <cell r="AK393">
            <v>0</v>
          </cell>
        </row>
        <row r="394">
          <cell r="D394">
            <v>0</v>
          </cell>
          <cell r="E394">
            <v>0</v>
          </cell>
          <cell r="AJ394">
            <v>0</v>
          </cell>
          <cell r="AK394">
            <v>0</v>
          </cell>
        </row>
        <row r="395">
          <cell r="D395">
            <v>0</v>
          </cell>
          <cell r="E395">
            <v>0</v>
          </cell>
          <cell r="AJ395">
            <v>0</v>
          </cell>
          <cell r="AK395">
            <v>0</v>
          </cell>
        </row>
        <row r="396">
          <cell r="D396">
            <v>0</v>
          </cell>
          <cell r="E396">
            <v>0</v>
          </cell>
          <cell r="AJ396">
            <v>0</v>
          </cell>
          <cell r="AK396">
            <v>0</v>
          </cell>
        </row>
        <row r="397">
          <cell r="D397">
            <v>0</v>
          </cell>
          <cell r="E397">
            <v>0</v>
          </cell>
          <cell r="AJ397">
            <v>0</v>
          </cell>
          <cell r="AK397">
            <v>0</v>
          </cell>
        </row>
        <row r="398">
          <cell r="D398">
            <v>0</v>
          </cell>
          <cell r="E398">
            <v>0</v>
          </cell>
          <cell r="AJ398">
            <v>0</v>
          </cell>
          <cell r="AK398">
            <v>0</v>
          </cell>
        </row>
        <row r="399">
          <cell r="D399">
            <v>0</v>
          </cell>
          <cell r="E399">
            <v>0</v>
          </cell>
          <cell r="AJ399">
            <v>0</v>
          </cell>
          <cell r="AK399">
            <v>0</v>
          </cell>
        </row>
        <row r="400">
          <cell r="D400">
            <v>0</v>
          </cell>
          <cell r="E400">
            <v>0</v>
          </cell>
          <cell r="AJ400">
            <v>0</v>
          </cell>
          <cell r="AK400">
            <v>0</v>
          </cell>
        </row>
        <row r="401">
          <cell r="D401">
            <v>0</v>
          </cell>
          <cell r="E401">
            <v>0</v>
          </cell>
          <cell r="AJ401">
            <v>0</v>
          </cell>
          <cell r="AK401">
            <v>0</v>
          </cell>
        </row>
        <row r="402">
          <cell r="D402">
            <v>0</v>
          </cell>
          <cell r="E402">
            <v>0</v>
          </cell>
          <cell r="AJ402">
            <v>0</v>
          </cell>
          <cell r="AK402">
            <v>0</v>
          </cell>
        </row>
        <row r="403">
          <cell r="D403">
            <v>0</v>
          </cell>
          <cell r="E403">
            <v>0</v>
          </cell>
          <cell r="AJ403">
            <v>0</v>
          </cell>
          <cell r="AK403">
            <v>0</v>
          </cell>
        </row>
        <row r="404">
          <cell r="D404">
            <v>0</v>
          </cell>
          <cell r="E404">
            <v>0</v>
          </cell>
          <cell r="AJ404">
            <v>0</v>
          </cell>
          <cell r="AK404">
            <v>0</v>
          </cell>
        </row>
        <row r="405">
          <cell r="D405">
            <v>0</v>
          </cell>
          <cell r="E405">
            <v>0</v>
          </cell>
          <cell r="AJ405">
            <v>0</v>
          </cell>
          <cell r="AK405">
            <v>0</v>
          </cell>
        </row>
        <row r="406">
          <cell r="D406">
            <v>0</v>
          </cell>
          <cell r="E406">
            <v>0</v>
          </cell>
          <cell r="AJ406">
            <v>0</v>
          </cell>
          <cell r="AK406">
            <v>0</v>
          </cell>
        </row>
        <row r="407">
          <cell r="D407">
            <v>0</v>
          </cell>
          <cell r="E407">
            <v>0</v>
          </cell>
          <cell r="AJ407">
            <v>0</v>
          </cell>
          <cell r="AK407">
            <v>0</v>
          </cell>
        </row>
        <row r="408">
          <cell r="D408">
            <v>0</v>
          </cell>
          <cell r="E408">
            <v>0</v>
          </cell>
          <cell r="AJ408">
            <v>0</v>
          </cell>
          <cell r="AK408">
            <v>0</v>
          </cell>
        </row>
        <row r="409">
          <cell r="D409">
            <v>0</v>
          </cell>
          <cell r="E409">
            <v>0</v>
          </cell>
          <cell r="AJ409">
            <v>0</v>
          </cell>
          <cell r="AK409">
            <v>0</v>
          </cell>
        </row>
        <row r="410">
          <cell r="D410">
            <v>0</v>
          </cell>
          <cell r="E410">
            <v>0</v>
          </cell>
          <cell r="AJ410">
            <v>0</v>
          </cell>
          <cell r="AK410">
            <v>0</v>
          </cell>
        </row>
        <row r="411">
          <cell r="D411">
            <v>0</v>
          </cell>
          <cell r="E411">
            <v>0</v>
          </cell>
          <cell r="AJ411">
            <v>0</v>
          </cell>
          <cell r="AK411">
            <v>0</v>
          </cell>
        </row>
        <row r="412">
          <cell r="D412">
            <v>0</v>
          </cell>
          <cell r="E412">
            <v>0</v>
          </cell>
          <cell r="AJ412">
            <v>0</v>
          </cell>
          <cell r="AK412">
            <v>0</v>
          </cell>
        </row>
        <row r="413">
          <cell r="D413">
            <v>0</v>
          </cell>
          <cell r="E413">
            <v>0</v>
          </cell>
          <cell r="AJ413">
            <v>0</v>
          </cell>
          <cell r="AK413">
            <v>0</v>
          </cell>
        </row>
        <row r="414">
          <cell r="D414">
            <v>0</v>
          </cell>
          <cell r="E414">
            <v>0</v>
          </cell>
          <cell r="AJ414">
            <v>0</v>
          </cell>
          <cell r="AK414">
            <v>0</v>
          </cell>
        </row>
        <row r="415">
          <cell r="D415">
            <v>0</v>
          </cell>
          <cell r="E415">
            <v>0</v>
          </cell>
          <cell r="AJ415">
            <v>0</v>
          </cell>
          <cell r="AK415">
            <v>0</v>
          </cell>
        </row>
        <row r="416">
          <cell r="D416">
            <v>0</v>
          </cell>
          <cell r="E416">
            <v>0</v>
          </cell>
          <cell r="AJ416">
            <v>0</v>
          </cell>
          <cell r="AK416">
            <v>0</v>
          </cell>
        </row>
        <row r="417">
          <cell r="D417">
            <v>0</v>
          </cell>
          <cell r="E417">
            <v>0</v>
          </cell>
          <cell r="AJ417">
            <v>0</v>
          </cell>
          <cell r="AK417">
            <v>0</v>
          </cell>
        </row>
        <row r="418">
          <cell r="D418">
            <v>0</v>
          </cell>
          <cell r="E418">
            <v>0</v>
          </cell>
          <cell r="AJ418">
            <v>0</v>
          </cell>
          <cell r="AK418">
            <v>0</v>
          </cell>
        </row>
        <row r="419">
          <cell r="D419">
            <v>0</v>
          </cell>
          <cell r="E419">
            <v>0</v>
          </cell>
          <cell r="AJ419">
            <v>0</v>
          </cell>
          <cell r="AK419">
            <v>0</v>
          </cell>
        </row>
        <row r="420">
          <cell r="D420">
            <v>0</v>
          </cell>
          <cell r="E420">
            <v>0</v>
          </cell>
          <cell r="AJ420">
            <v>0</v>
          </cell>
          <cell r="AK420">
            <v>0</v>
          </cell>
        </row>
        <row r="421">
          <cell r="D421">
            <v>0</v>
          </cell>
          <cell r="E421">
            <v>0</v>
          </cell>
          <cell r="AJ421">
            <v>0</v>
          </cell>
          <cell r="AK421">
            <v>0</v>
          </cell>
        </row>
        <row r="422">
          <cell r="D422">
            <v>0</v>
          </cell>
          <cell r="E422">
            <v>0</v>
          </cell>
          <cell r="AJ422">
            <v>0</v>
          </cell>
          <cell r="AK422">
            <v>0</v>
          </cell>
        </row>
        <row r="423">
          <cell r="D423">
            <v>0</v>
          </cell>
          <cell r="E423">
            <v>0</v>
          </cell>
          <cell r="AJ423">
            <v>0</v>
          </cell>
          <cell r="AK423">
            <v>0</v>
          </cell>
        </row>
        <row r="424">
          <cell r="D424">
            <v>0</v>
          </cell>
          <cell r="E424">
            <v>0</v>
          </cell>
          <cell r="AJ424">
            <v>0</v>
          </cell>
          <cell r="AK424">
            <v>0</v>
          </cell>
        </row>
        <row r="425">
          <cell r="D425">
            <v>0</v>
          </cell>
          <cell r="E425">
            <v>0</v>
          </cell>
          <cell r="AJ425">
            <v>0</v>
          </cell>
          <cell r="AK425">
            <v>0</v>
          </cell>
        </row>
        <row r="426">
          <cell r="D426">
            <v>0</v>
          </cell>
          <cell r="E426">
            <v>0</v>
          </cell>
          <cell r="AJ426">
            <v>0</v>
          </cell>
          <cell r="AK426">
            <v>0</v>
          </cell>
        </row>
        <row r="427">
          <cell r="D427">
            <v>0</v>
          </cell>
          <cell r="E427">
            <v>0</v>
          </cell>
          <cell r="AJ427">
            <v>0</v>
          </cell>
          <cell r="AK427">
            <v>0</v>
          </cell>
        </row>
        <row r="428">
          <cell r="D428">
            <v>0</v>
          </cell>
          <cell r="E428">
            <v>0</v>
          </cell>
          <cell r="AJ428">
            <v>0</v>
          </cell>
          <cell r="AK428">
            <v>0</v>
          </cell>
        </row>
        <row r="429">
          <cell r="D429">
            <v>0</v>
          </cell>
          <cell r="E429">
            <v>0</v>
          </cell>
          <cell r="AJ429">
            <v>0</v>
          </cell>
          <cell r="AK429">
            <v>0</v>
          </cell>
        </row>
        <row r="430">
          <cell r="D430">
            <v>0</v>
          </cell>
          <cell r="E430">
            <v>0</v>
          </cell>
          <cell r="AJ430">
            <v>0</v>
          </cell>
          <cell r="AK430">
            <v>0</v>
          </cell>
        </row>
        <row r="431">
          <cell r="D431">
            <v>0</v>
          </cell>
          <cell r="E431">
            <v>0</v>
          </cell>
          <cell r="AJ431">
            <v>0</v>
          </cell>
          <cell r="AK431">
            <v>0</v>
          </cell>
        </row>
        <row r="432">
          <cell r="D432">
            <v>0</v>
          </cell>
          <cell r="E432">
            <v>0</v>
          </cell>
          <cell r="AJ432">
            <v>0</v>
          </cell>
          <cell r="AK432">
            <v>0</v>
          </cell>
        </row>
        <row r="433">
          <cell r="D433">
            <v>0</v>
          </cell>
          <cell r="E433">
            <v>0</v>
          </cell>
          <cell r="AJ433">
            <v>0</v>
          </cell>
          <cell r="AK433">
            <v>0</v>
          </cell>
        </row>
        <row r="434">
          <cell r="D434">
            <v>0</v>
          </cell>
          <cell r="E434">
            <v>0</v>
          </cell>
          <cell r="AJ434">
            <v>0</v>
          </cell>
          <cell r="AK434">
            <v>0</v>
          </cell>
        </row>
        <row r="435">
          <cell r="D435">
            <v>0</v>
          </cell>
          <cell r="E435">
            <v>0</v>
          </cell>
          <cell r="AJ435">
            <v>0</v>
          </cell>
          <cell r="AK435">
            <v>0</v>
          </cell>
        </row>
        <row r="436">
          <cell r="D436">
            <v>0</v>
          </cell>
          <cell r="E436">
            <v>0</v>
          </cell>
          <cell r="AJ436">
            <v>0</v>
          </cell>
          <cell r="AK436">
            <v>0</v>
          </cell>
        </row>
        <row r="437">
          <cell r="D437">
            <v>0</v>
          </cell>
          <cell r="E437">
            <v>0</v>
          </cell>
          <cell r="AJ437">
            <v>0</v>
          </cell>
          <cell r="AK437">
            <v>0</v>
          </cell>
        </row>
        <row r="438">
          <cell r="D438">
            <v>0</v>
          </cell>
          <cell r="E438">
            <v>0</v>
          </cell>
          <cell r="AJ438">
            <v>0</v>
          </cell>
          <cell r="AK438">
            <v>0</v>
          </cell>
        </row>
        <row r="439">
          <cell r="D439">
            <v>0</v>
          </cell>
          <cell r="E439">
            <v>0</v>
          </cell>
          <cell r="AJ439">
            <v>0</v>
          </cell>
          <cell r="AK439">
            <v>0</v>
          </cell>
        </row>
        <row r="440">
          <cell r="D440">
            <v>0</v>
          </cell>
          <cell r="E440">
            <v>0</v>
          </cell>
          <cell r="AJ440">
            <v>0</v>
          </cell>
          <cell r="AK440">
            <v>0</v>
          </cell>
        </row>
        <row r="441">
          <cell r="D441">
            <v>0</v>
          </cell>
          <cell r="E441">
            <v>0</v>
          </cell>
          <cell r="AJ441">
            <v>0</v>
          </cell>
          <cell r="AK441">
            <v>0</v>
          </cell>
        </row>
        <row r="442">
          <cell r="D442">
            <v>0</v>
          </cell>
          <cell r="E442">
            <v>0</v>
          </cell>
          <cell r="AJ442">
            <v>0</v>
          </cell>
          <cell r="AK442">
            <v>0</v>
          </cell>
        </row>
        <row r="443">
          <cell r="D443">
            <v>0</v>
          </cell>
          <cell r="E443">
            <v>0</v>
          </cell>
          <cell r="AJ443">
            <v>0</v>
          </cell>
          <cell r="AK443">
            <v>0</v>
          </cell>
        </row>
        <row r="444">
          <cell r="D444">
            <v>0</v>
          </cell>
          <cell r="E444">
            <v>0</v>
          </cell>
          <cell r="AJ444">
            <v>0</v>
          </cell>
          <cell r="AK444">
            <v>0</v>
          </cell>
        </row>
        <row r="445">
          <cell r="D445">
            <v>0</v>
          </cell>
          <cell r="E445">
            <v>0</v>
          </cell>
          <cell r="AJ445">
            <v>0</v>
          </cell>
          <cell r="AK445">
            <v>0</v>
          </cell>
        </row>
        <row r="446">
          <cell r="D446">
            <v>0</v>
          </cell>
          <cell r="E446">
            <v>0</v>
          </cell>
          <cell r="AJ446">
            <v>0</v>
          </cell>
          <cell r="AK446">
            <v>0</v>
          </cell>
        </row>
        <row r="447">
          <cell r="D447">
            <v>0</v>
          </cell>
          <cell r="E447">
            <v>0</v>
          </cell>
          <cell r="AJ447">
            <v>0</v>
          </cell>
          <cell r="AK447">
            <v>0</v>
          </cell>
        </row>
        <row r="448">
          <cell r="D448">
            <v>0</v>
          </cell>
          <cell r="E448">
            <v>0</v>
          </cell>
          <cell r="AJ448">
            <v>0</v>
          </cell>
          <cell r="AK448">
            <v>0</v>
          </cell>
        </row>
        <row r="449">
          <cell r="D449">
            <v>0</v>
          </cell>
          <cell r="E449">
            <v>0</v>
          </cell>
          <cell r="AJ449">
            <v>0</v>
          </cell>
          <cell r="AK449">
            <v>0</v>
          </cell>
        </row>
        <row r="450">
          <cell r="D450">
            <v>0</v>
          </cell>
          <cell r="E450">
            <v>0</v>
          </cell>
          <cell r="AJ450">
            <v>0</v>
          </cell>
          <cell r="AK450">
            <v>0</v>
          </cell>
        </row>
        <row r="451">
          <cell r="D451">
            <v>0</v>
          </cell>
          <cell r="E451">
            <v>0</v>
          </cell>
          <cell r="AJ451">
            <v>0</v>
          </cell>
          <cell r="AK451">
            <v>0</v>
          </cell>
        </row>
        <row r="452">
          <cell r="D452">
            <v>0</v>
          </cell>
          <cell r="E452">
            <v>0</v>
          </cell>
          <cell r="AJ452">
            <v>0</v>
          </cell>
          <cell r="AK452">
            <v>0</v>
          </cell>
        </row>
        <row r="453">
          <cell r="D453">
            <v>0</v>
          </cell>
          <cell r="E453">
            <v>0</v>
          </cell>
          <cell r="AJ453">
            <v>0</v>
          </cell>
          <cell r="AK453">
            <v>0</v>
          </cell>
        </row>
        <row r="454">
          <cell r="D454">
            <v>0</v>
          </cell>
          <cell r="E454">
            <v>0</v>
          </cell>
          <cell r="AJ454">
            <v>0</v>
          </cell>
          <cell r="AK454">
            <v>0</v>
          </cell>
        </row>
        <row r="455">
          <cell r="D455">
            <v>0</v>
          </cell>
          <cell r="E455">
            <v>0</v>
          </cell>
          <cell r="AJ455">
            <v>0</v>
          </cell>
          <cell r="AK455">
            <v>0</v>
          </cell>
        </row>
        <row r="456">
          <cell r="D456">
            <v>0</v>
          </cell>
          <cell r="E456">
            <v>0</v>
          </cell>
          <cell r="AJ456">
            <v>0</v>
          </cell>
          <cell r="AK456">
            <v>0</v>
          </cell>
        </row>
        <row r="457">
          <cell r="D457">
            <v>0</v>
          </cell>
          <cell r="E457">
            <v>0</v>
          </cell>
          <cell r="AJ457">
            <v>0</v>
          </cell>
          <cell r="AK457">
            <v>0</v>
          </cell>
        </row>
        <row r="458">
          <cell r="D458">
            <v>0</v>
          </cell>
          <cell r="E458">
            <v>0</v>
          </cell>
          <cell r="AJ458">
            <v>0</v>
          </cell>
          <cell r="AK458">
            <v>0</v>
          </cell>
        </row>
        <row r="459">
          <cell r="D459">
            <v>0</v>
          </cell>
          <cell r="E459">
            <v>0</v>
          </cell>
          <cell r="AJ459">
            <v>0</v>
          </cell>
          <cell r="AK459">
            <v>0</v>
          </cell>
        </row>
        <row r="460">
          <cell r="D460">
            <v>0</v>
          </cell>
          <cell r="E460">
            <v>0</v>
          </cell>
          <cell r="AJ460">
            <v>0</v>
          </cell>
          <cell r="AK460">
            <v>0</v>
          </cell>
        </row>
        <row r="461">
          <cell r="D461">
            <v>0</v>
          </cell>
          <cell r="E461">
            <v>0</v>
          </cell>
          <cell r="AJ461">
            <v>0</v>
          </cell>
          <cell r="AK461">
            <v>0</v>
          </cell>
        </row>
        <row r="462">
          <cell r="D462">
            <v>0</v>
          </cell>
          <cell r="E462">
            <v>0</v>
          </cell>
          <cell r="AJ462">
            <v>0</v>
          </cell>
          <cell r="AK462">
            <v>0</v>
          </cell>
        </row>
        <row r="463">
          <cell r="D463">
            <v>0</v>
          </cell>
          <cell r="E463">
            <v>0</v>
          </cell>
          <cell r="AJ463">
            <v>0</v>
          </cell>
          <cell r="AK463">
            <v>0</v>
          </cell>
        </row>
        <row r="464">
          <cell r="D464">
            <v>0</v>
          </cell>
          <cell r="E464">
            <v>0</v>
          </cell>
          <cell r="AJ464">
            <v>0</v>
          </cell>
          <cell r="AK464">
            <v>0</v>
          </cell>
        </row>
        <row r="465">
          <cell r="D465">
            <v>0</v>
          </cell>
          <cell r="E465">
            <v>0</v>
          </cell>
          <cell r="AJ465">
            <v>0</v>
          </cell>
          <cell r="AK465">
            <v>0</v>
          </cell>
        </row>
        <row r="466">
          <cell r="D466">
            <v>0</v>
          </cell>
          <cell r="E466">
            <v>0</v>
          </cell>
          <cell r="AJ466">
            <v>0</v>
          </cell>
          <cell r="AK466">
            <v>0</v>
          </cell>
        </row>
        <row r="467">
          <cell r="D467">
            <v>0</v>
          </cell>
          <cell r="E467">
            <v>0</v>
          </cell>
          <cell r="AJ467">
            <v>0</v>
          </cell>
          <cell r="AK467">
            <v>0</v>
          </cell>
        </row>
        <row r="468">
          <cell r="D468">
            <v>0</v>
          </cell>
          <cell r="E468">
            <v>0</v>
          </cell>
          <cell r="AJ468">
            <v>0</v>
          </cell>
          <cell r="AK468">
            <v>0</v>
          </cell>
        </row>
        <row r="469">
          <cell r="D469">
            <v>0</v>
          </cell>
          <cell r="E469">
            <v>0</v>
          </cell>
          <cell r="AJ469">
            <v>0</v>
          </cell>
          <cell r="AK469">
            <v>0</v>
          </cell>
        </row>
        <row r="470">
          <cell r="D470">
            <v>0</v>
          </cell>
          <cell r="E470">
            <v>0</v>
          </cell>
          <cell r="AJ470">
            <v>0</v>
          </cell>
          <cell r="AK470">
            <v>0</v>
          </cell>
        </row>
        <row r="471">
          <cell r="D471">
            <v>0</v>
          </cell>
          <cell r="E471">
            <v>0</v>
          </cell>
          <cell r="AJ471">
            <v>0</v>
          </cell>
          <cell r="AK471">
            <v>0</v>
          </cell>
        </row>
        <row r="472">
          <cell r="D472">
            <v>0</v>
          </cell>
          <cell r="E472">
            <v>0</v>
          </cell>
          <cell r="AJ472">
            <v>0</v>
          </cell>
          <cell r="AK472">
            <v>0</v>
          </cell>
        </row>
        <row r="473">
          <cell r="D473">
            <v>0</v>
          </cell>
          <cell r="E473">
            <v>0</v>
          </cell>
          <cell r="AJ473">
            <v>0</v>
          </cell>
          <cell r="AK473">
            <v>0</v>
          </cell>
        </row>
        <row r="474">
          <cell r="D474">
            <v>0</v>
          </cell>
          <cell r="E474">
            <v>0</v>
          </cell>
          <cell r="AJ474">
            <v>0</v>
          </cell>
          <cell r="AK474">
            <v>0</v>
          </cell>
        </row>
        <row r="475">
          <cell r="D475">
            <v>0</v>
          </cell>
          <cell r="E475">
            <v>0</v>
          </cell>
          <cell r="AJ475">
            <v>0</v>
          </cell>
          <cell r="AK475">
            <v>0</v>
          </cell>
        </row>
        <row r="476">
          <cell r="D476">
            <v>0</v>
          </cell>
          <cell r="E476">
            <v>0</v>
          </cell>
          <cell r="AJ476">
            <v>0</v>
          </cell>
          <cell r="AK476">
            <v>0</v>
          </cell>
        </row>
        <row r="477">
          <cell r="D477">
            <v>0</v>
          </cell>
          <cell r="E477">
            <v>0</v>
          </cell>
          <cell r="AJ477">
            <v>0</v>
          </cell>
          <cell r="AK477">
            <v>0</v>
          </cell>
        </row>
        <row r="478">
          <cell r="D478">
            <v>0</v>
          </cell>
          <cell r="E478">
            <v>0</v>
          </cell>
          <cell r="AJ478">
            <v>0</v>
          </cell>
          <cell r="AK478">
            <v>0</v>
          </cell>
        </row>
        <row r="479">
          <cell r="D479">
            <v>0</v>
          </cell>
          <cell r="E479">
            <v>0</v>
          </cell>
          <cell r="AJ479">
            <v>0</v>
          </cell>
          <cell r="AK479">
            <v>0</v>
          </cell>
        </row>
        <row r="480">
          <cell r="D480">
            <v>0</v>
          </cell>
          <cell r="E480">
            <v>0</v>
          </cell>
          <cell r="AJ480">
            <v>0</v>
          </cell>
          <cell r="AK480">
            <v>0</v>
          </cell>
        </row>
        <row r="481">
          <cell r="D481">
            <v>0</v>
          </cell>
          <cell r="E481">
            <v>0</v>
          </cell>
          <cell r="AJ481">
            <v>0</v>
          </cell>
          <cell r="AK481">
            <v>0</v>
          </cell>
        </row>
        <row r="482">
          <cell r="D482">
            <v>0</v>
          </cell>
          <cell r="E482">
            <v>0</v>
          </cell>
          <cell r="AJ482">
            <v>0</v>
          </cell>
          <cell r="AK482">
            <v>0</v>
          </cell>
        </row>
        <row r="483">
          <cell r="D483">
            <v>0</v>
          </cell>
          <cell r="E483">
            <v>0</v>
          </cell>
          <cell r="AJ483">
            <v>0</v>
          </cell>
          <cell r="AK483">
            <v>0</v>
          </cell>
        </row>
        <row r="484">
          <cell r="D484">
            <v>0</v>
          </cell>
          <cell r="E484">
            <v>0</v>
          </cell>
          <cell r="AJ484">
            <v>0</v>
          </cell>
          <cell r="AK484">
            <v>0</v>
          </cell>
        </row>
        <row r="485">
          <cell r="D485">
            <v>0</v>
          </cell>
          <cell r="E485">
            <v>0</v>
          </cell>
          <cell r="AJ485">
            <v>0</v>
          </cell>
          <cell r="AK485">
            <v>0</v>
          </cell>
        </row>
        <row r="486">
          <cell r="D486">
            <v>0</v>
          </cell>
          <cell r="E486">
            <v>0</v>
          </cell>
          <cell r="AJ486">
            <v>0</v>
          </cell>
          <cell r="AK486">
            <v>0</v>
          </cell>
        </row>
        <row r="487">
          <cell r="D487">
            <v>0</v>
          </cell>
          <cell r="E487">
            <v>0</v>
          </cell>
          <cell r="AJ487">
            <v>0</v>
          </cell>
          <cell r="AK487">
            <v>0</v>
          </cell>
        </row>
        <row r="488">
          <cell r="D488">
            <v>0</v>
          </cell>
          <cell r="E488">
            <v>0</v>
          </cell>
          <cell r="AJ488">
            <v>0</v>
          </cell>
          <cell r="AK488">
            <v>0</v>
          </cell>
        </row>
        <row r="489">
          <cell r="D489">
            <v>0</v>
          </cell>
          <cell r="E489">
            <v>0</v>
          </cell>
          <cell r="AJ489">
            <v>0</v>
          </cell>
          <cell r="AK489">
            <v>0</v>
          </cell>
        </row>
        <row r="490">
          <cell r="D490">
            <v>0</v>
          </cell>
          <cell r="E490">
            <v>0</v>
          </cell>
          <cell r="AJ490">
            <v>0</v>
          </cell>
          <cell r="AK490">
            <v>0</v>
          </cell>
        </row>
        <row r="491">
          <cell r="D491">
            <v>0</v>
          </cell>
          <cell r="E491">
            <v>0</v>
          </cell>
          <cell r="AJ491">
            <v>0</v>
          </cell>
          <cell r="AK491">
            <v>0</v>
          </cell>
        </row>
        <row r="492">
          <cell r="D492">
            <v>0</v>
          </cell>
          <cell r="E492">
            <v>0</v>
          </cell>
          <cell r="AJ492">
            <v>0</v>
          </cell>
          <cell r="AK492">
            <v>0</v>
          </cell>
        </row>
        <row r="493">
          <cell r="D493">
            <v>0</v>
          </cell>
          <cell r="E493">
            <v>0</v>
          </cell>
          <cell r="AJ493">
            <v>0</v>
          </cell>
          <cell r="AK493">
            <v>0</v>
          </cell>
        </row>
        <row r="494">
          <cell r="D494">
            <v>0</v>
          </cell>
          <cell r="E494">
            <v>0</v>
          </cell>
          <cell r="AJ494">
            <v>0</v>
          </cell>
          <cell r="AK494">
            <v>0</v>
          </cell>
        </row>
        <row r="495">
          <cell r="D495">
            <v>0</v>
          </cell>
          <cell r="E495">
            <v>0</v>
          </cell>
          <cell r="AJ495">
            <v>0</v>
          </cell>
          <cell r="AK495">
            <v>0</v>
          </cell>
        </row>
        <row r="496">
          <cell r="D496">
            <v>0</v>
          </cell>
          <cell r="E496">
            <v>0</v>
          </cell>
          <cell r="AJ496">
            <v>0</v>
          </cell>
          <cell r="AK496">
            <v>0</v>
          </cell>
        </row>
        <row r="497">
          <cell r="D497">
            <v>0</v>
          </cell>
          <cell r="E497">
            <v>0</v>
          </cell>
          <cell r="AJ497">
            <v>0</v>
          </cell>
          <cell r="AK497">
            <v>0</v>
          </cell>
        </row>
        <row r="498">
          <cell r="D498">
            <v>0</v>
          </cell>
          <cell r="E498">
            <v>0</v>
          </cell>
          <cell r="AJ498">
            <v>0</v>
          </cell>
          <cell r="AK498">
            <v>0</v>
          </cell>
        </row>
        <row r="499">
          <cell r="D499">
            <v>0</v>
          </cell>
          <cell r="E499">
            <v>0</v>
          </cell>
          <cell r="AJ499">
            <v>0</v>
          </cell>
          <cell r="AK499">
            <v>0</v>
          </cell>
        </row>
        <row r="500">
          <cell r="D500">
            <v>0</v>
          </cell>
          <cell r="E500">
            <v>0</v>
          </cell>
          <cell r="AJ500">
            <v>0</v>
          </cell>
          <cell r="AK500">
            <v>0</v>
          </cell>
        </row>
        <row r="501">
          <cell r="D501">
            <v>0</v>
          </cell>
          <cell r="E501">
            <v>0</v>
          </cell>
          <cell r="AJ501">
            <v>0</v>
          </cell>
          <cell r="AK501">
            <v>0</v>
          </cell>
        </row>
        <row r="502">
          <cell r="D502">
            <v>0</v>
          </cell>
          <cell r="E502">
            <v>0</v>
          </cell>
          <cell r="AJ502">
            <v>0</v>
          </cell>
          <cell r="AK502">
            <v>0</v>
          </cell>
        </row>
        <row r="503">
          <cell r="D503">
            <v>0</v>
          </cell>
          <cell r="E503">
            <v>0</v>
          </cell>
          <cell r="AJ503">
            <v>0</v>
          </cell>
          <cell r="AK503">
            <v>0</v>
          </cell>
        </row>
        <row r="504">
          <cell r="D504">
            <v>0</v>
          </cell>
          <cell r="E504">
            <v>0</v>
          </cell>
          <cell r="AJ504">
            <v>0</v>
          </cell>
          <cell r="AK504">
            <v>0</v>
          </cell>
        </row>
        <row r="505">
          <cell r="D505">
            <v>0</v>
          </cell>
          <cell r="E505">
            <v>0</v>
          </cell>
          <cell r="AJ505">
            <v>0</v>
          </cell>
          <cell r="AK505">
            <v>0</v>
          </cell>
        </row>
        <row r="506">
          <cell r="D506">
            <v>0</v>
          </cell>
          <cell r="E506">
            <v>0</v>
          </cell>
          <cell r="AJ506">
            <v>0</v>
          </cell>
          <cell r="AK506">
            <v>0</v>
          </cell>
        </row>
        <row r="507">
          <cell r="D507">
            <v>0</v>
          </cell>
          <cell r="E507">
            <v>0</v>
          </cell>
          <cell r="AJ507">
            <v>0</v>
          </cell>
          <cell r="AK507">
            <v>0</v>
          </cell>
        </row>
        <row r="508">
          <cell r="D508">
            <v>0</v>
          </cell>
          <cell r="E508">
            <v>0</v>
          </cell>
          <cell r="AJ508">
            <v>0</v>
          </cell>
          <cell r="AK508">
            <v>0</v>
          </cell>
        </row>
        <row r="509">
          <cell r="D509">
            <v>0</v>
          </cell>
          <cell r="E509">
            <v>0</v>
          </cell>
          <cell r="AJ509">
            <v>0</v>
          </cell>
          <cell r="AK509">
            <v>0</v>
          </cell>
        </row>
        <row r="510">
          <cell r="D510">
            <v>0</v>
          </cell>
          <cell r="E510">
            <v>0</v>
          </cell>
          <cell r="AJ510">
            <v>0</v>
          </cell>
          <cell r="AK510">
            <v>0</v>
          </cell>
        </row>
        <row r="511">
          <cell r="D511">
            <v>0</v>
          </cell>
          <cell r="E511">
            <v>0</v>
          </cell>
          <cell r="AJ511">
            <v>0</v>
          </cell>
          <cell r="AK511">
            <v>0</v>
          </cell>
        </row>
        <row r="512">
          <cell r="D512">
            <v>0</v>
          </cell>
          <cell r="E512">
            <v>0</v>
          </cell>
          <cell r="AJ512">
            <v>0</v>
          </cell>
          <cell r="AK512">
            <v>0</v>
          </cell>
        </row>
        <row r="513">
          <cell r="D513">
            <v>0</v>
          </cell>
          <cell r="E513">
            <v>0</v>
          </cell>
          <cell r="AJ513">
            <v>0</v>
          </cell>
          <cell r="AK513">
            <v>0</v>
          </cell>
        </row>
      </sheetData>
      <sheetData sheetId="18">
        <row r="9">
          <cell r="M9">
            <v>0</v>
          </cell>
        </row>
        <row r="10">
          <cell r="M10">
            <v>0</v>
          </cell>
          <cell r="Q10">
            <v>-61517.84385013525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88</v>
          </cell>
        </row>
        <row r="23">
          <cell r="O23">
            <v>0</v>
          </cell>
        </row>
        <row r="24">
          <cell r="O24">
            <v>0</v>
          </cell>
        </row>
        <row r="43">
          <cell r="O43">
            <v>0</v>
          </cell>
        </row>
      </sheetData>
      <sheetData sheetId="19"/>
      <sheetData sheetId="20"/>
      <sheetData sheetId="21">
        <row r="15">
          <cell r="G15">
            <v>-15029.579536423842</v>
          </cell>
        </row>
        <row r="26">
          <cell r="D26">
            <v>-10572</v>
          </cell>
        </row>
        <row r="29">
          <cell r="D29">
            <v>15298</v>
          </cell>
        </row>
        <row r="38">
          <cell r="D38">
            <v>-983</v>
          </cell>
        </row>
        <row r="77">
          <cell r="G77">
            <v>-7076.1250000000009</v>
          </cell>
        </row>
        <row r="100">
          <cell r="D100">
            <v>-1977.4238161571857</v>
          </cell>
        </row>
        <row r="101">
          <cell r="D101">
            <v>-789.62</v>
          </cell>
        </row>
        <row r="102">
          <cell r="D102">
            <v>21</v>
          </cell>
        </row>
        <row r="103">
          <cell r="D103">
            <v>394.81</v>
          </cell>
        </row>
        <row r="164">
          <cell r="H164">
            <v>-13322.75</v>
          </cell>
        </row>
        <row r="175">
          <cell r="G175">
            <v>-7596.28</v>
          </cell>
        </row>
        <row r="188">
          <cell r="F188">
            <v>-2680.6278026905829</v>
          </cell>
        </row>
        <row r="196">
          <cell r="D196">
            <v>-1633</v>
          </cell>
        </row>
        <row r="202">
          <cell r="D202">
            <v>-1369</v>
          </cell>
        </row>
        <row r="207">
          <cell r="D207">
            <v>67.232640000000004</v>
          </cell>
        </row>
        <row r="216">
          <cell r="E216">
            <v>-202</v>
          </cell>
        </row>
        <row r="226">
          <cell r="E226">
            <v>-2470.75</v>
          </cell>
        </row>
        <row r="268">
          <cell r="D268">
            <v>-4543.0000000000009</v>
          </cell>
        </row>
        <row r="290">
          <cell r="D290">
            <v>-3491.3917473333331</v>
          </cell>
        </row>
        <row r="300">
          <cell r="D300">
            <v>-1709.5164</v>
          </cell>
        </row>
        <row r="306">
          <cell r="G306">
            <v>-1728.5321748109682</v>
          </cell>
        </row>
        <row r="322">
          <cell r="D322">
            <v>-406</v>
          </cell>
        </row>
        <row r="523">
          <cell r="D523">
            <v>1589.57</v>
          </cell>
        </row>
        <row r="524">
          <cell r="D524">
            <v>0</v>
          </cell>
          <cell r="G524">
            <v>0</v>
          </cell>
        </row>
        <row r="529">
          <cell r="D529">
            <v>7911.375</v>
          </cell>
          <cell r="G529">
            <v>1582.2750000000001</v>
          </cell>
        </row>
        <row r="532">
          <cell r="G532">
            <v>632.37799999999993</v>
          </cell>
        </row>
        <row r="533">
          <cell r="D533">
            <v>3161.89</v>
          </cell>
        </row>
        <row r="577">
          <cell r="D577">
            <v>-56412.014494876486</v>
          </cell>
        </row>
        <row r="578">
          <cell r="D578">
            <v>4200.2127430322471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75">
          <cell r="L275">
            <v>14467.538597373166</v>
          </cell>
        </row>
      </sheetData>
      <sheetData sheetId="37"/>
      <sheetData sheetId="38"/>
      <sheetData sheetId="39"/>
      <sheetData sheetId="40">
        <row r="19">
          <cell r="J19">
            <v>215</v>
          </cell>
          <cell r="K19">
            <v>280</v>
          </cell>
        </row>
      </sheetData>
      <sheetData sheetId="41">
        <row r="12">
          <cell r="E12">
            <v>170</v>
          </cell>
        </row>
        <row r="13">
          <cell r="E13">
            <v>250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FIS"/>
      <sheetName val="Input"/>
      <sheetName val="Output"/>
      <sheetName val="Sch 31 Used Useful Ac"/>
      <sheetName val="Sch 1 ADJs"/>
      <sheetName val="Sch 2.1 Co Restating"/>
      <sheetName val="Sch 2.2 Co ProForma"/>
      <sheetName val="Sch 13 Worksheet Cal Adjs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BEOY"/>
      <sheetName val="Sch 9 DEPN"/>
      <sheetName val="Sch 9.1 ORIG DEPN"/>
      <sheetName val="Sch 10 CIAC + ACQ"/>
      <sheetName val="Sch 11.1 Metered Rate Design"/>
      <sheetName val="Sch 11.2 Data"/>
      <sheetName val="Sch 12 Crossover"/>
      <sheetName val="Sch 14 Service Lives"/>
      <sheetName val="Sch 15 Ratios"/>
      <sheetName val="Calculator"/>
      <sheetName val="Factors"/>
      <sheetName val="Sch 16 Exp Xwalk"/>
      <sheetName val="Sch 17 CIAC "/>
      <sheetName val="Sheet1"/>
      <sheetName val="Sch 18 CMPower"/>
      <sheetName val="Sch19 Customers "/>
      <sheetName val="Sch 20 Acreage"/>
      <sheetName val="Sch 21 InitialDeprAlloc"/>
      <sheetName val="Sch22 Water Rights"/>
      <sheetName val="Sch23DomWaterUse"/>
      <sheetName val="Sch24crops"/>
      <sheetName val="Sch 25 Acreage"/>
      <sheetName val="Sch 26 Asset summary"/>
      <sheetName val="Sch 26.1 Asset detail"/>
      <sheetName val="Sch 27 Acreage DR 17"/>
      <sheetName val="Sch 28 Unmetered Rate Design"/>
      <sheetName val="S28.1 Unmeterd design p house a"/>
      <sheetName val="Sch 29 Customer Avgs"/>
      <sheetName val="Sch29.1 Cust Avgs p House adj"/>
      <sheetName val="Sch 30 Adj BalS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">
          <cell r="N4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X64"/>
  <sheetViews>
    <sheetView tabSelected="1" workbookViewId="0">
      <selection activeCell="F26" sqref="F26"/>
    </sheetView>
  </sheetViews>
  <sheetFormatPr defaultColWidth="13.7109375" defaultRowHeight="15.75" x14ac:dyDescent="0.25"/>
  <cols>
    <col min="1" max="1" width="7.5703125" style="4" bestFit="1" customWidth="1"/>
    <col min="2" max="2" width="61.140625" style="2" bestFit="1" customWidth="1"/>
    <col min="3" max="3" width="15.28515625" style="2" customWidth="1"/>
    <col min="4" max="4" width="2.140625" style="33" customWidth="1"/>
    <col min="5" max="5" width="23.28515625" style="2" customWidth="1"/>
    <col min="6" max="6" width="13.5703125" style="2" customWidth="1"/>
    <col min="7" max="7" width="2.140625" style="7" customWidth="1"/>
    <col min="8" max="8" width="24.7109375" style="2" customWidth="1"/>
    <col min="9" max="9" width="13.5703125" style="2" customWidth="1"/>
    <col min="10" max="10" width="2.140625" style="110" customWidth="1"/>
    <col min="11" max="11" width="18.85546875" style="2" bestFit="1" customWidth="1"/>
    <col min="12" max="12" width="21.5703125" style="2" customWidth="1"/>
    <col min="13" max="13" width="2.140625" style="2" customWidth="1"/>
    <col min="14" max="14" width="10.140625" style="2" bestFit="1" customWidth="1"/>
    <col min="15" max="15" width="28.5703125" style="2" bestFit="1" customWidth="1"/>
    <col min="16" max="16" width="3.140625" style="2" customWidth="1"/>
    <col min="17" max="17" width="41.42578125" style="2" bestFit="1" customWidth="1"/>
    <col min="18" max="18" width="19.5703125" style="2" bestFit="1" customWidth="1"/>
    <col min="19" max="19" width="3.140625" style="2" customWidth="1"/>
    <col min="20" max="232" width="13.7109375" style="2" customWidth="1"/>
    <col min="233" max="16384" width="13.7109375" style="2"/>
  </cols>
  <sheetData>
    <row r="1" spans="1:19" x14ac:dyDescent="0.25">
      <c r="A1" s="1" t="str">
        <f>+[1]Info!B4</f>
        <v xml:space="preserve">Summit View Waterworks, LLC 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9" x14ac:dyDescent="0.25">
      <c r="A2" s="1" t="str">
        <f>+[1]Info!B5</f>
        <v>UW-110220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9" x14ac:dyDescent="0.25">
      <c r="A3" s="1" t="str">
        <f>+[1]Info!B6</f>
        <v>For the test period ending December 31, 2009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x14ac:dyDescent="0.25">
      <c r="A4" s="3" t="str">
        <f>[1]Info!B17</f>
        <v>Pro Forma Income Statement (Results of Operations)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9" s="8" customFormat="1" x14ac:dyDescent="0.25">
      <c r="A5" s="4"/>
      <c r="B5" s="5" t="s">
        <v>0</v>
      </c>
      <c r="C5" s="6" t="s">
        <v>1</v>
      </c>
      <c r="D5" s="7"/>
      <c r="E5" s="8" t="s">
        <v>2</v>
      </c>
      <c r="F5" s="8" t="s">
        <v>3</v>
      </c>
      <c r="G5" s="9"/>
      <c r="H5" s="8" t="s">
        <v>4</v>
      </c>
      <c r="I5" s="8" t="s">
        <v>5</v>
      </c>
      <c r="J5" s="10"/>
      <c r="K5" s="8" t="s">
        <v>6</v>
      </c>
      <c r="L5" s="8" t="s">
        <v>7</v>
      </c>
      <c r="M5" s="7"/>
    </row>
    <row r="6" spans="1:19" s="8" customFormat="1" ht="31.5" x14ac:dyDescent="0.25">
      <c r="A6" s="11" t="s">
        <v>8</v>
      </c>
      <c r="B6" s="12" t="s">
        <v>9</v>
      </c>
      <c r="C6" s="11" t="s">
        <v>10</v>
      </c>
      <c r="D6" s="13"/>
      <c r="E6" s="11" t="str">
        <f>IF($Q$10="Company","Total Restating Adjustment (Company)", "Total Restating Adjustment (Staff)")</f>
        <v>Total Restating Adjustment (Staff)</v>
      </c>
      <c r="F6" s="11" t="s">
        <v>11</v>
      </c>
      <c r="G6" s="14"/>
      <c r="H6" s="11" t="str">
        <f>IF($Q$10="Company","Total Pro Forma Adjustment (Company)", "Total Pro Forma Adjustment (Staff)")</f>
        <v>Total Pro Forma Adjustment (Staff)</v>
      </c>
      <c r="I6" s="11" t="s">
        <v>12</v>
      </c>
      <c r="J6" s="15"/>
      <c r="K6" s="11" t="str">
        <f>IF($Q$10="Company","Proposed Revenue (Company)", "Revised Revenue (Staff)")</f>
        <v>Revised Revenue (Staff)</v>
      </c>
      <c r="L6" s="11" t="str">
        <f>IF($Q$10="Company","Results of Proposed Rates (Company)", "Results of Revised Rates (Staff)")</f>
        <v>Results of Revised Rates (Staff)</v>
      </c>
      <c r="M6" s="16"/>
      <c r="P6" s="17"/>
      <c r="Q6" s="17"/>
    </row>
    <row r="7" spans="1:19" s="26" customFormat="1" x14ac:dyDescent="0.25">
      <c r="A7" s="18">
        <v>1</v>
      </c>
      <c r="B7" s="19" t="s">
        <v>13</v>
      </c>
      <c r="C7" s="20" t="s">
        <v>14</v>
      </c>
      <c r="D7" s="21"/>
      <c r="E7" s="22" t="s">
        <v>15</v>
      </c>
      <c r="F7" s="22" t="s">
        <v>16</v>
      </c>
      <c r="G7" s="23"/>
      <c r="H7" s="22" t="s">
        <v>15</v>
      </c>
      <c r="I7" s="22" t="s">
        <v>17</v>
      </c>
      <c r="J7" s="22"/>
      <c r="K7" s="22" t="s">
        <v>18</v>
      </c>
      <c r="L7" s="24" t="s">
        <v>19</v>
      </c>
      <c r="M7" s="25"/>
      <c r="P7" s="27"/>
      <c r="Q7" s="28" t="s">
        <v>20</v>
      </c>
      <c r="R7" s="28"/>
      <c r="S7" s="27"/>
    </row>
    <row r="8" spans="1:19" s="8" customFormat="1" x14ac:dyDescent="0.25">
      <c r="A8" s="18">
        <f>1+A7</f>
        <v>2</v>
      </c>
      <c r="B8" s="29" t="s">
        <v>21</v>
      </c>
      <c r="C8" s="15"/>
      <c r="D8" s="13"/>
      <c r="E8" s="15"/>
      <c r="F8" s="15"/>
      <c r="G8" s="14"/>
      <c r="H8" s="15"/>
      <c r="I8" s="15"/>
      <c r="J8" s="15"/>
      <c r="K8" s="15"/>
      <c r="L8" s="15"/>
      <c r="M8" s="14"/>
      <c r="P8" s="30"/>
      <c r="S8" s="30"/>
    </row>
    <row r="9" spans="1:19" ht="16.5" thickBot="1" x14ac:dyDescent="0.3">
      <c r="A9" s="18">
        <f t="shared" ref="A9:A62" si="0">1+A8</f>
        <v>3</v>
      </c>
      <c r="B9" s="31" t="s">
        <v>22</v>
      </c>
      <c r="C9" s="32">
        <f>[1]Input!E7</f>
        <v>24739</v>
      </c>
      <c r="E9" s="4">
        <f>IF([1]PFIS!$Q$10="Company", '[1]Sch 1 ADJs'!C11, '[1]Sch 1 ADJs'!D11)</f>
        <v>0</v>
      </c>
      <c r="F9" s="34">
        <f t="shared" ref="F9:F14" si="1">E9+C9</f>
        <v>24739</v>
      </c>
      <c r="G9" s="35"/>
      <c r="H9" s="4">
        <f>IF([1]PFIS!$Q$10="Company", '[1]Sch 1 ADJs'!G11, '[1]Sch 1 ADJs'!H11)</f>
        <v>21261</v>
      </c>
      <c r="I9" s="34">
        <f>+H9+F9</f>
        <v>46000</v>
      </c>
      <c r="J9" s="36"/>
      <c r="K9" s="37">
        <f>(('[1]Sch 11.1 Metered Rate Design'!O43)-([1]PFIS!I9+'[1]Sch 11.1 Metered Rate Design'!Q10))</f>
        <v>15517.84385013525</v>
      </c>
      <c r="L9" s="32">
        <f t="shared" ref="L9:L14" si="2">+K9+I9</f>
        <v>61517.84385013525</v>
      </c>
      <c r="M9" s="38"/>
      <c r="N9" s="39">
        <f t="shared" ref="N9:N14" si="3">IF(OR(K9=0, I9=0), "", (K9/I9))</f>
        <v>0.33734443152467936</v>
      </c>
      <c r="O9" s="40" t="str">
        <f>IF(N9="", "", "(percentage difference)")</f>
        <v>(percentage difference)</v>
      </c>
      <c r="P9" s="41"/>
      <c r="Q9" s="8" t="s">
        <v>23</v>
      </c>
      <c r="S9" s="41"/>
    </row>
    <row r="10" spans="1:19" ht="16.5" thickBot="1" x14ac:dyDescent="0.3">
      <c r="A10" s="18">
        <f t="shared" si="0"/>
        <v>4</v>
      </c>
      <c r="B10" s="31" t="s">
        <v>24</v>
      </c>
      <c r="C10" s="32">
        <f>[1]Input!E8</f>
        <v>32316</v>
      </c>
      <c r="D10" s="42"/>
      <c r="E10" s="4">
        <f>IF([1]PFIS!$Q$10="Company", '[1]Sch 1 ADJs'!C12, '[1]Sch 1 ADJs'!D12)</f>
        <v>-32316</v>
      </c>
      <c r="F10" s="34">
        <f t="shared" si="1"/>
        <v>0</v>
      </c>
      <c r="G10" s="35"/>
      <c r="H10" s="4">
        <f>IF([1]PFIS!$Q$10="Company", '[1]Sch 1 ADJs'!G12, '[1]Sch 1 ADJs'!H12)</f>
        <v>0</v>
      </c>
      <c r="I10" s="34">
        <f>+F10+H10</f>
        <v>0</v>
      </c>
      <c r="J10" s="36"/>
      <c r="K10" s="37">
        <f>'[1]Sch 11.1 Metered Rate Design'!O23-[1]PFIS!I10</f>
        <v>0</v>
      </c>
      <c r="L10" s="32">
        <f t="shared" si="2"/>
        <v>0</v>
      </c>
      <c r="M10" s="38"/>
      <c r="N10" s="39" t="str">
        <f t="shared" si="3"/>
        <v/>
      </c>
      <c r="O10" s="40" t="str">
        <f t="shared" ref="O10:O16" si="4">IF(N10="", "", "(percentage difference)")</f>
        <v/>
      </c>
      <c r="P10" s="41"/>
      <c r="Q10" s="43" t="s">
        <v>25</v>
      </c>
      <c r="S10" s="41"/>
    </row>
    <row r="11" spans="1:19" x14ac:dyDescent="0.25">
      <c r="A11" s="18">
        <f t="shared" si="0"/>
        <v>5</v>
      </c>
      <c r="B11" s="31" t="s">
        <v>26</v>
      </c>
      <c r="C11" s="32">
        <f>[1]Input!E9</f>
        <v>0</v>
      </c>
      <c r="D11" s="42"/>
      <c r="E11" s="4">
        <f>IF([1]PFIS!$Q$10="Company", '[1]Sch 1 ADJs'!C13, '[1]Sch 1 ADJs'!D13)</f>
        <v>0</v>
      </c>
      <c r="F11" s="34">
        <f t="shared" si="1"/>
        <v>0</v>
      </c>
      <c r="G11" s="35"/>
      <c r="H11" s="4">
        <f>IF([1]PFIS!$Q$10="Company", '[1]Sch 1 ADJs'!G13, '[1]Sch 1 ADJs'!H13)</f>
        <v>0</v>
      </c>
      <c r="I11" s="34">
        <f>F11+H11</f>
        <v>0</v>
      </c>
      <c r="J11" s="36"/>
      <c r="K11" s="37">
        <f>'[1]Sch 11.1 Metered Rate Design'!O24-[1]PFIS!I11</f>
        <v>0</v>
      </c>
      <c r="L11" s="32">
        <f t="shared" si="2"/>
        <v>0</v>
      </c>
      <c r="M11" s="38"/>
      <c r="N11" s="39" t="str">
        <f t="shared" si="3"/>
        <v/>
      </c>
      <c r="O11" s="40" t="str">
        <f t="shared" si="4"/>
        <v/>
      </c>
      <c r="P11" s="41"/>
      <c r="S11" s="41"/>
    </row>
    <row r="12" spans="1:19" ht="16.5" thickBot="1" x14ac:dyDescent="0.3">
      <c r="A12" s="18">
        <f t="shared" si="0"/>
        <v>6</v>
      </c>
      <c r="B12" s="31" t="s">
        <v>27</v>
      </c>
      <c r="C12" s="32">
        <f>[1]Input!E10</f>
        <v>0</v>
      </c>
      <c r="D12" s="42"/>
      <c r="E12" s="4">
        <f>IF([1]PFIS!$Q$10="Company", '[1]Sch 1 ADJs'!C14, '[1]Sch 1 ADJs'!D14)</f>
        <v>0</v>
      </c>
      <c r="F12" s="34">
        <f t="shared" si="1"/>
        <v>0</v>
      </c>
      <c r="G12" s="35"/>
      <c r="H12" s="4">
        <f>IF([1]PFIS!$Q$10="Company", '[1]Sch 1 ADJs'!G14, '[1]Sch 1 ADJs'!H14)</f>
        <v>0</v>
      </c>
      <c r="I12" s="34">
        <f>F12+H12</f>
        <v>0</v>
      </c>
      <c r="J12" s="36"/>
      <c r="K12" s="37">
        <v>0</v>
      </c>
      <c r="L12" s="32">
        <f t="shared" si="2"/>
        <v>0</v>
      </c>
      <c r="M12" s="38"/>
      <c r="N12" s="39" t="str">
        <f t="shared" si="3"/>
        <v/>
      </c>
      <c r="O12" s="40" t="str">
        <f t="shared" si="4"/>
        <v/>
      </c>
      <c r="P12" s="41"/>
      <c r="Q12" s="8" t="s">
        <v>28</v>
      </c>
      <c r="S12" s="41"/>
    </row>
    <row r="13" spans="1:19" ht="16.5" thickBot="1" x14ac:dyDescent="0.3">
      <c r="A13" s="18">
        <f t="shared" si="0"/>
        <v>7</v>
      </c>
      <c r="B13" s="31" t="s">
        <v>29</v>
      </c>
      <c r="C13" s="32">
        <f>[1]Input!E11</f>
        <v>0</v>
      </c>
      <c r="D13" s="42"/>
      <c r="E13" s="4">
        <f>IF([1]PFIS!$Q$10="Company", '[1]Sch 1 ADJs'!C15, '[1]Sch 1 ADJs'!D15)</f>
        <v>0</v>
      </c>
      <c r="F13" s="34">
        <f t="shared" si="1"/>
        <v>0</v>
      </c>
      <c r="G13" s="35"/>
      <c r="H13" s="4">
        <f>IF([1]PFIS!$Q$10="Company", '[1]Sch 1 ADJs'!G15, '[1]Sch 1 ADJs'!H15)</f>
        <v>0</v>
      </c>
      <c r="I13" s="34">
        <f>F13+H13</f>
        <v>0</v>
      </c>
      <c r="J13" s="36"/>
      <c r="K13" s="44">
        <v>0</v>
      </c>
      <c r="L13" s="32">
        <f t="shared" si="2"/>
        <v>0</v>
      </c>
      <c r="M13" s="38"/>
      <c r="N13" s="39" t="str">
        <f t="shared" si="3"/>
        <v/>
      </c>
      <c r="O13" s="40" t="str">
        <f t="shared" si="4"/>
        <v/>
      </c>
      <c r="P13" s="41"/>
      <c r="Q13" s="43" t="s">
        <v>30</v>
      </c>
      <c r="S13" s="41"/>
    </row>
    <row r="14" spans="1:19" ht="16.5" thickBot="1" x14ac:dyDescent="0.3">
      <c r="A14" s="18">
        <f t="shared" si="0"/>
        <v>8</v>
      </c>
      <c r="B14" s="31" t="s">
        <v>31</v>
      </c>
      <c r="C14" s="32">
        <f>[1]Input!E12</f>
        <v>40500</v>
      </c>
      <c r="D14" s="42"/>
      <c r="E14" s="4">
        <f>IF([1]PFIS!$Q$10="Company", '[1]Sch 1 ADJs'!C16, '[1]Sch 1 ADJs'!D16)</f>
        <v>-40500</v>
      </c>
      <c r="F14" s="34">
        <f t="shared" si="1"/>
        <v>0</v>
      </c>
      <c r="G14" s="35"/>
      <c r="H14" s="4">
        <f>IF([1]PFIS!$Q$10="Company", '[1]Sch 1 ADJs'!G16, '[1]Sch 1 ADJs'!H16)</f>
        <v>0</v>
      </c>
      <c r="I14" s="34">
        <f>F14+H14</f>
        <v>0</v>
      </c>
      <c r="J14" s="36"/>
      <c r="K14" s="44">
        <v>0</v>
      </c>
      <c r="L14" s="32">
        <f t="shared" si="2"/>
        <v>0</v>
      </c>
      <c r="M14" s="38"/>
      <c r="N14" s="39" t="str">
        <f t="shared" si="3"/>
        <v/>
      </c>
      <c r="O14" s="40" t="str">
        <f t="shared" si="4"/>
        <v/>
      </c>
      <c r="P14" s="41"/>
      <c r="S14" s="41"/>
    </row>
    <row r="15" spans="1:19" ht="17.25" thickTop="1" thickBot="1" x14ac:dyDescent="0.3">
      <c r="A15" s="18">
        <f t="shared" si="0"/>
        <v>9</v>
      </c>
      <c r="B15" s="31" t="s">
        <v>32</v>
      </c>
      <c r="C15" s="45">
        <f>SUM(C9:C14)</f>
        <v>97555</v>
      </c>
      <c r="D15" s="42"/>
      <c r="E15" s="46">
        <f>SUM(E9:E14)</f>
        <v>-72816</v>
      </c>
      <c r="F15" s="45">
        <f>SUM(F9:F14)</f>
        <v>24739</v>
      </c>
      <c r="G15" s="35"/>
      <c r="H15" s="47">
        <f>SUM(H9:H14)</f>
        <v>21261</v>
      </c>
      <c r="I15" s="45">
        <f>SUM(I9:I14)</f>
        <v>46000</v>
      </c>
      <c r="J15" s="48"/>
      <c r="K15" s="49">
        <f>SUM(K9:K14)</f>
        <v>15517.84385013525</v>
      </c>
      <c r="L15" s="45">
        <f>SUM(L9:L14)</f>
        <v>61517.84385013525</v>
      </c>
      <c r="M15" s="50"/>
      <c r="N15" s="51">
        <f>'[1]Sch 6 Rev Req'!E19</f>
        <v>15517.843850135254</v>
      </c>
      <c r="O15" s="40" t="s">
        <v>33</v>
      </c>
      <c r="P15" s="41"/>
      <c r="Q15" s="8" t="s">
        <v>34</v>
      </c>
      <c r="R15" s="8" t="s">
        <v>35</v>
      </c>
      <c r="S15" s="41"/>
    </row>
    <row r="16" spans="1:19" ht="16.5" thickBot="1" x14ac:dyDescent="0.3">
      <c r="A16" s="18">
        <f t="shared" si="0"/>
        <v>10</v>
      </c>
      <c r="B16" s="33"/>
      <c r="C16" s="36"/>
      <c r="D16" s="52"/>
      <c r="E16" s="53"/>
      <c r="F16" s="36"/>
      <c r="G16" s="54"/>
      <c r="H16" s="55"/>
      <c r="I16" s="56"/>
      <c r="J16" s="56"/>
      <c r="K16" s="55"/>
      <c r="L16" s="56"/>
      <c r="M16" s="57"/>
      <c r="N16" s="39">
        <f>K15/F15</f>
        <v>0.62726237318142408</v>
      </c>
      <c r="O16" s="40" t="str">
        <f t="shared" si="4"/>
        <v>(percentage difference)</v>
      </c>
      <c r="P16" s="41"/>
      <c r="Q16" s="58">
        <f>[1]Input!AL6</f>
        <v>0.15</v>
      </c>
      <c r="R16" s="59">
        <f>'[1]Sch 5 NTG Factor'!$I$23</f>
        <v>0.15</v>
      </c>
      <c r="S16" s="41"/>
    </row>
    <row r="17" spans="1:19" x14ac:dyDescent="0.25">
      <c r="A17" s="18">
        <f t="shared" si="0"/>
        <v>11</v>
      </c>
      <c r="B17" s="60" t="s">
        <v>36</v>
      </c>
      <c r="C17" s="61"/>
      <c r="D17" s="52"/>
      <c r="E17" s="62"/>
      <c r="F17" s="63"/>
      <c r="G17" s="54"/>
      <c r="H17" s="53"/>
      <c r="I17" s="63"/>
      <c r="J17" s="63"/>
      <c r="K17" s="64"/>
      <c r="L17" s="63"/>
      <c r="M17" s="65"/>
      <c r="N17" s="40"/>
      <c r="O17" s="40"/>
      <c r="P17" s="41"/>
      <c r="S17" s="41"/>
    </row>
    <row r="18" spans="1:19" ht="16.5" thickBot="1" x14ac:dyDescent="0.3">
      <c r="A18" s="18">
        <f t="shared" si="0"/>
        <v>12</v>
      </c>
      <c r="B18" s="42" t="s">
        <v>37</v>
      </c>
      <c r="C18" s="32">
        <f>[1]Input!E16</f>
        <v>19459</v>
      </c>
      <c r="D18" s="42"/>
      <c r="E18" s="4">
        <f>IF([1]PFIS!$Q$10="Company", '[1]Sch 1 ADJs'!C20, '[1]Sch 1 ADJs'!D20)</f>
        <v>-14634.769536423843</v>
      </c>
      <c r="F18" s="32">
        <f t="shared" ref="F18:F43" si="5">E18+C18</f>
        <v>4824.2304635761575</v>
      </c>
      <c r="G18" s="35"/>
      <c r="H18" s="4">
        <f>IF([1]PFIS!$Q$10="Company", '[1]Sch 1 ADJs'!G20, '[1]Sch 1 ADJs'!H20)</f>
        <v>0</v>
      </c>
      <c r="I18" s="32">
        <f t="shared" ref="I18:I43" si="6">F18+H18</f>
        <v>4824.2304635761575</v>
      </c>
      <c r="J18" s="61"/>
      <c r="K18" s="4"/>
      <c r="L18" s="32">
        <f t="shared" ref="L18:L43" si="7">I18+K18</f>
        <v>4824.2304635761575</v>
      </c>
      <c r="M18" s="38"/>
      <c r="N18" s="39">
        <f>(L18+L19+L20+L24+L25+L26+L27)/L44</f>
        <v>0.1536249778215705</v>
      </c>
      <c r="O18" s="40" t="s">
        <v>38</v>
      </c>
      <c r="P18" s="41"/>
      <c r="Q18" s="8" t="s">
        <v>39</v>
      </c>
      <c r="R18" s="8" t="s">
        <v>40</v>
      </c>
      <c r="S18" s="41"/>
    </row>
    <row r="19" spans="1:19" ht="16.5" thickBot="1" x14ac:dyDescent="0.3">
      <c r="A19" s="18">
        <f t="shared" si="0"/>
        <v>13</v>
      </c>
      <c r="B19" s="42" t="s">
        <v>41</v>
      </c>
      <c r="C19" s="32">
        <f>[1]Input!E17</f>
        <v>0</v>
      </c>
      <c r="D19" s="42"/>
      <c r="E19" s="4">
        <f>IF([1]PFIS!$Q$10="Company", '[1]Sch 1 ADJs'!C21, '[1]Sch 1 ADJs'!D21)</f>
        <v>0</v>
      </c>
      <c r="F19" s="32">
        <f t="shared" si="5"/>
        <v>0</v>
      </c>
      <c r="G19" s="35"/>
      <c r="H19" s="4">
        <f>IF([1]PFIS!$Q$10="Company", '[1]Sch 1 ADJs'!G21, '[1]Sch 1 ADJs'!H21)</f>
        <v>0</v>
      </c>
      <c r="I19" s="32">
        <f t="shared" si="6"/>
        <v>0</v>
      </c>
      <c r="J19" s="61"/>
      <c r="K19" s="4"/>
      <c r="L19" s="32">
        <f t="shared" si="7"/>
        <v>0</v>
      </c>
      <c r="M19" s="38"/>
      <c r="N19" s="39"/>
      <c r="O19" s="40"/>
      <c r="P19" s="66"/>
      <c r="Q19" s="67">
        <f>[1]Input!AO6</f>
        <v>0.14194999999999999</v>
      </c>
      <c r="R19" s="68">
        <f>'[1]Sch 5 NTG Factor'!$I$25</f>
        <v>0.1419465</v>
      </c>
      <c r="S19" s="66"/>
    </row>
    <row r="20" spans="1:19" x14ac:dyDescent="0.25">
      <c r="A20" s="18">
        <f t="shared" si="0"/>
        <v>14</v>
      </c>
      <c r="B20" s="42" t="s">
        <v>42</v>
      </c>
      <c r="C20" s="32">
        <f>[1]Input!E18</f>
        <v>0</v>
      </c>
      <c r="D20" s="42"/>
      <c r="E20" s="4">
        <f>IF([1]PFIS!$Q$10="Company", '[1]Sch 1 ADJs'!C22, '[1]Sch 1 ADJs'!D22)</f>
        <v>0</v>
      </c>
      <c r="F20" s="32">
        <f t="shared" si="5"/>
        <v>0</v>
      </c>
      <c r="G20" s="35"/>
      <c r="H20" s="4">
        <f>IF([1]PFIS!$Q$10="Company", '[1]Sch 1 ADJs'!G22, '[1]Sch 1 ADJs'!H22)</f>
        <v>0</v>
      </c>
      <c r="I20" s="32">
        <f t="shared" si="6"/>
        <v>0</v>
      </c>
      <c r="J20" s="61"/>
      <c r="K20" s="4"/>
      <c r="L20" s="32">
        <f t="shared" si="7"/>
        <v>0</v>
      </c>
      <c r="M20" s="38"/>
      <c r="N20" s="39">
        <f>L20/(L18+L19)</f>
        <v>0</v>
      </c>
      <c r="O20" s="40" t="s">
        <v>43</v>
      </c>
      <c r="P20" s="66"/>
      <c r="Q20" s="69"/>
      <c r="R20" s="69"/>
      <c r="S20" s="66"/>
    </row>
    <row r="21" spans="1:19" ht="16.5" thickBot="1" x14ac:dyDescent="0.3">
      <c r="A21" s="18">
        <f t="shared" si="0"/>
        <v>15</v>
      </c>
      <c r="B21" s="42" t="s">
        <v>44</v>
      </c>
      <c r="C21" s="32">
        <f>[1]Input!E19</f>
        <v>10572</v>
      </c>
      <c r="D21" s="42"/>
      <c r="E21" s="4">
        <f>IF([1]PFIS!$Q$10="Company", '[1]Sch 1 ADJs'!C23, '[1]Sch 1 ADJs'!D23)</f>
        <v>-10572</v>
      </c>
      <c r="F21" s="32">
        <f t="shared" si="5"/>
        <v>0</v>
      </c>
      <c r="G21" s="70"/>
      <c r="H21" s="4">
        <f>IF([1]PFIS!$Q$10="Company", '[1]Sch 1 ADJs'!G23, '[1]Sch 1 ADJs'!H23)</f>
        <v>22160.813481094094</v>
      </c>
      <c r="I21" s="32">
        <f t="shared" si="6"/>
        <v>22160.813481094094</v>
      </c>
      <c r="J21" s="61"/>
      <c r="K21" s="4"/>
      <c r="L21" s="32">
        <f t="shared" si="7"/>
        <v>22160.813481094094</v>
      </c>
      <c r="M21" s="38"/>
      <c r="N21" s="71"/>
      <c r="O21" s="40"/>
      <c r="P21" s="66"/>
      <c r="Q21" s="8" t="s">
        <v>45</v>
      </c>
      <c r="R21" s="69"/>
      <c r="S21" s="66"/>
    </row>
    <row r="22" spans="1:19" ht="16.5" thickBot="1" x14ac:dyDescent="0.3">
      <c r="A22" s="18">
        <f t="shared" si="0"/>
        <v>16</v>
      </c>
      <c r="B22" s="42" t="s">
        <v>46</v>
      </c>
      <c r="C22" s="32">
        <f>[1]Input!E20</f>
        <v>983</v>
      </c>
      <c r="D22" s="42"/>
      <c r="E22" s="4">
        <f>IF([1]PFIS!$Q$10="Company", '[1]Sch 1 ADJs'!C24, '[1]Sch 1 ADJs'!D24)</f>
        <v>-983</v>
      </c>
      <c r="F22" s="32">
        <f t="shared" si="5"/>
        <v>0</v>
      </c>
      <c r="G22" s="35"/>
      <c r="H22" s="4">
        <f>IF([1]PFIS!$Q$10="Company", '[1]Sch 1 ADJs'!G24, '[1]Sch 1 ADJs'!H24)</f>
        <v>0</v>
      </c>
      <c r="I22" s="32">
        <f t="shared" si="6"/>
        <v>0</v>
      </c>
      <c r="J22" s="61"/>
      <c r="K22" s="4"/>
      <c r="L22" s="32">
        <f t="shared" si="7"/>
        <v>0</v>
      </c>
      <c r="M22" s="38"/>
      <c r="N22" s="71"/>
      <c r="O22" s="40"/>
      <c r="P22" s="41"/>
      <c r="Q22" s="43" t="s">
        <v>47</v>
      </c>
      <c r="S22" s="41"/>
    </row>
    <row r="23" spans="1:19" x14ac:dyDescent="0.25">
      <c r="A23" s="18">
        <f t="shared" si="0"/>
        <v>17</v>
      </c>
      <c r="B23" s="42" t="s">
        <v>48</v>
      </c>
      <c r="C23" s="32">
        <f>[1]Input!E21</f>
        <v>8069</v>
      </c>
      <c r="E23" s="4">
        <f>IF([1]PFIS!$Q$10="Company", '[1]Sch 1 ADJs'!C25, '[1]Sch 1 ADJs'!D25)</f>
        <v>-7076.1250000000009</v>
      </c>
      <c r="F23" s="32">
        <f t="shared" si="5"/>
        <v>992.87499999999909</v>
      </c>
      <c r="G23" s="35"/>
      <c r="H23" s="4">
        <f>IF([1]PFIS!$Q$10="Company", '[1]Sch 1 ADJs'!G25, '[1]Sch 1 ADJs'!H25)</f>
        <v>0</v>
      </c>
      <c r="I23" s="32">
        <f t="shared" si="6"/>
        <v>992.87499999999909</v>
      </c>
      <c r="J23" s="61"/>
      <c r="K23" s="4"/>
      <c r="L23" s="32">
        <f t="shared" si="7"/>
        <v>992.87499999999909</v>
      </c>
      <c r="M23" s="38"/>
      <c r="N23" s="71"/>
      <c r="O23" s="40"/>
      <c r="P23" s="41"/>
      <c r="S23" s="41"/>
    </row>
    <row r="24" spans="1:19" x14ac:dyDescent="0.25">
      <c r="A24" s="18">
        <f t="shared" si="0"/>
        <v>18</v>
      </c>
      <c r="B24" s="42" t="s">
        <v>49</v>
      </c>
      <c r="C24" s="32">
        <f>[1]Input!E22</f>
        <v>0</v>
      </c>
      <c r="E24" s="4">
        <f>IF([1]PFIS!$Q$10="Company", '[1]Sch 1 ADJs'!C26, '[1]Sch 1 ADJs'!D26)</f>
        <v>0</v>
      </c>
      <c r="F24" s="32">
        <f t="shared" si="5"/>
        <v>0</v>
      </c>
      <c r="G24" s="72"/>
      <c r="H24" s="4">
        <f>IF([1]PFIS!$Q$10="Company", '[1]Sch 1 ADJs'!G26, '[1]Sch 1 ADJs'!H26)</f>
        <v>0</v>
      </c>
      <c r="I24" s="32">
        <f t="shared" si="6"/>
        <v>0</v>
      </c>
      <c r="J24" s="61"/>
      <c r="K24" s="4"/>
      <c r="L24" s="32">
        <f t="shared" si="7"/>
        <v>0</v>
      </c>
      <c r="M24" s="38"/>
      <c r="N24" s="71"/>
      <c r="O24" s="39"/>
      <c r="P24" s="41"/>
      <c r="S24" s="41"/>
    </row>
    <row r="25" spans="1:19" x14ac:dyDescent="0.25">
      <c r="A25" s="18">
        <f t="shared" si="0"/>
        <v>19</v>
      </c>
      <c r="B25" s="42" t="s">
        <v>50</v>
      </c>
      <c r="C25" s="32">
        <f>[1]Input!E23</f>
        <v>3329</v>
      </c>
      <c r="D25" s="42"/>
      <c r="E25" s="4">
        <f>IF([1]PFIS!$Q$10="Company", '[1]Sch 1 ADJs'!C27, '[1]Sch 1 ADJs'!D27)</f>
        <v>-2746.0438161571856</v>
      </c>
      <c r="F25" s="32">
        <f t="shared" si="5"/>
        <v>582.95618384281443</v>
      </c>
      <c r="G25" s="35"/>
      <c r="H25" s="4">
        <f>IF([1]PFIS!$Q$10="Company", '[1]Sch 1 ADJs'!G27, '[1]Sch 1 ADJs'!H27)</f>
        <v>0</v>
      </c>
      <c r="I25" s="32">
        <f t="shared" si="6"/>
        <v>582.95618384281443</v>
      </c>
      <c r="J25" s="61"/>
      <c r="K25" s="4"/>
      <c r="L25" s="32">
        <f t="shared" si="7"/>
        <v>582.95618384281443</v>
      </c>
      <c r="M25" s="38"/>
      <c r="N25" s="71"/>
      <c r="O25" s="40"/>
      <c r="P25" s="41"/>
      <c r="S25" s="41"/>
    </row>
    <row r="26" spans="1:19" x14ac:dyDescent="0.25">
      <c r="A26" s="18">
        <f t="shared" si="0"/>
        <v>20</v>
      </c>
      <c r="B26" s="42" t="s">
        <v>51</v>
      </c>
      <c r="C26" s="32">
        <v>13760</v>
      </c>
      <c r="D26" s="42"/>
      <c r="E26" s="4">
        <f>IF([1]PFIS!$Q$10="Company", '[1]Sch 1 ADJs'!C28, '[1]Sch 1 ADJs'!D28)</f>
        <v>-13322.75</v>
      </c>
      <c r="F26" s="32">
        <f t="shared" si="5"/>
        <v>437.25</v>
      </c>
      <c r="H26" s="4">
        <f>IF([1]PFIS!$Q$10="Company", '[1]Sch 1 ADJs'!G28, '[1]Sch 1 ADJs'!H28)</f>
        <v>1582.2750000000001</v>
      </c>
      <c r="I26" s="32">
        <f t="shared" si="6"/>
        <v>2019.5250000000001</v>
      </c>
      <c r="J26" s="61"/>
      <c r="K26" s="4"/>
      <c r="L26" s="32">
        <f t="shared" si="7"/>
        <v>2019.5250000000001</v>
      </c>
      <c r="M26" s="38"/>
      <c r="N26" s="71"/>
      <c r="O26" s="40"/>
      <c r="P26" s="41"/>
      <c r="S26" s="41"/>
    </row>
    <row r="27" spans="1:19" x14ac:dyDescent="0.25">
      <c r="A27" s="18">
        <f t="shared" si="0"/>
        <v>21</v>
      </c>
      <c r="B27" s="42" t="s">
        <v>52</v>
      </c>
      <c r="C27" s="32">
        <f>[1]Input!E25</f>
        <v>7969</v>
      </c>
      <c r="D27" s="42"/>
      <c r="E27" s="4">
        <f>IF([1]PFIS!$Q$10="Company", '[1]Sch 1 ADJs'!C29, '[1]Sch 1 ADJs'!D29)</f>
        <v>-7596.28</v>
      </c>
      <c r="F27" s="32">
        <f t="shared" si="5"/>
        <v>372.72000000000025</v>
      </c>
      <c r="G27" s="72"/>
      <c r="H27" s="4">
        <f>IF([1]PFIS!$Q$10="Company", '[1]Sch 1 ADJs'!G29, '[1]Sch 1 ADJs'!H29)</f>
        <v>632.37799999999993</v>
      </c>
      <c r="I27" s="32">
        <f t="shared" si="6"/>
        <v>1005.0980000000002</v>
      </c>
      <c r="J27" s="61"/>
      <c r="K27" s="4"/>
      <c r="L27" s="32">
        <f t="shared" si="7"/>
        <v>1005.0980000000002</v>
      </c>
      <c r="M27" s="38"/>
      <c r="N27" s="71"/>
      <c r="O27" s="40"/>
      <c r="P27" s="41"/>
      <c r="S27" s="41"/>
    </row>
    <row r="28" spans="1:19" x14ac:dyDescent="0.25">
      <c r="A28" s="18">
        <f t="shared" si="0"/>
        <v>22</v>
      </c>
      <c r="B28" s="42" t="s">
        <v>29</v>
      </c>
      <c r="C28" s="32">
        <f>[1]Input!E26</f>
        <v>0</v>
      </c>
      <c r="D28" s="42"/>
      <c r="E28" s="4">
        <f>IF([1]PFIS!$Q$10="Company", '[1]Sch 1 ADJs'!C30, '[1]Sch 1 ADJs'!D30)</f>
        <v>0</v>
      </c>
      <c r="F28" s="32">
        <f t="shared" si="5"/>
        <v>0</v>
      </c>
      <c r="G28" s="72"/>
      <c r="H28" s="4">
        <f>IF([1]PFIS!$Q$10="Company", '[1]Sch 1 ADJs'!G30, '[1]Sch 1 ADJs'!H30)</f>
        <v>0</v>
      </c>
      <c r="I28" s="32">
        <f t="shared" si="6"/>
        <v>0</v>
      </c>
      <c r="J28" s="61"/>
      <c r="K28" s="4"/>
      <c r="L28" s="32">
        <f t="shared" si="7"/>
        <v>0</v>
      </c>
      <c r="M28" s="38"/>
      <c r="N28" s="39"/>
      <c r="O28" s="40"/>
      <c r="P28" s="41"/>
      <c r="S28" s="41"/>
    </row>
    <row r="29" spans="1:19" x14ac:dyDescent="0.25">
      <c r="A29" s="18">
        <f t="shared" si="0"/>
        <v>23</v>
      </c>
      <c r="B29" s="42" t="s">
        <v>53</v>
      </c>
      <c r="C29" s="32">
        <f>[1]Input!E27</f>
        <v>5535</v>
      </c>
      <c r="D29" s="42"/>
      <c r="E29" s="4">
        <f>IF([1]PFIS!$Q$10="Company", '[1]Sch 1 ADJs'!C31, '[1]Sch 1 ADJs'!D31)</f>
        <v>-2680.6278026905829</v>
      </c>
      <c r="F29" s="32">
        <f t="shared" si="5"/>
        <v>2854.3721973094171</v>
      </c>
      <c r="G29" s="35"/>
      <c r="H29" s="4">
        <f>IF([1]PFIS!$Q$10="Company", '[1]Sch 1 ADJs'!G31, '[1]Sch 1 ADJs'!H31)</f>
        <v>0</v>
      </c>
      <c r="I29" s="32">
        <f t="shared" si="6"/>
        <v>2854.3721973094171</v>
      </c>
      <c r="J29" s="61"/>
      <c r="K29" s="4"/>
      <c r="L29" s="32">
        <f t="shared" si="7"/>
        <v>2854.3721973094171</v>
      </c>
      <c r="M29" s="38"/>
      <c r="N29" s="73"/>
      <c r="O29" s="40"/>
      <c r="P29" s="41"/>
      <c r="S29" s="41"/>
    </row>
    <row r="30" spans="1:19" x14ac:dyDescent="0.25">
      <c r="A30" s="18">
        <f t="shared" si="0"/>
        <v>24</v>
      </c>
      <c r="B30" s="42" t="s">
        <v>54</v>
      </c>
      <c r="C30" s="32">
        <f>[1]Input!E28</f>
        <v>3266</v>
      </c>
      <c r="D30" s="42"/>
      <c r="E30" s="4">
        <f>IF([1]PFIS!$Q$10="Company", '[1]Sch 1 ADJs'!C32, '[1]Sch 1 ADJs'!D32)</f>
        <v>-1633</v>
      </c>
      <c r="F30" s="32">
        <f t="shared" si="5"/>
        <v>1633</v>
      </c>
      <c r="G30" s="35"/>
      <c r="H30" s="4">
        <f>IF([1]PFIS!$Q$10="Company", '[1]Sch 1 ADJs'!G32, '[1]Sch 1 ADJs'!H32)</f>
        <v>0</v>
      </c>
      <c r="I30" s="32">
        <f t="shared" si="6"/>
        <v>1633</v>
      </c>
      <c r="J30" s="61"/>
      <c r="K30" s="4"/>
      <c r="L30" s="32">
        <f t="shared" si="7"/>
        <v>1633</v>
      </c>
      <c r="M30" s="38"/>
      <c r="N30" s="39"/>
      <c r="O30" s="40"/>
      <c r="P30" s="41"/>
      <c r="S30" s="41"/>
    </row>
    <row r="31" spans="1:19" x14ac:dyDescent="0.25">
      <c r="A31" s="18">
        <f t="shared" si="0"/>
        <v>25</v>
      </c>
      <c r="B31" s="42" t="s">
        <v>55</v>
      </c>
      <c r="C31" s="32">
        <f>[1]Input!E29</f>
        <v>2738</v>
      </c>
      <c r="D31" s="42"/>
      <c r="E31" s="4">
        <f>IF([1]PFIS!$Q$10="Company", '[1]Sch 1 ADJs'!C33, '[1]Sch 1 ADJs'!D33)</f>
        <v>-1301.7673600000001</v>
      </c>
      <c r="F31" s="32">
        <f t="shared" si="5"/>
        <v>1436.2326399999999</v>
      </c>
      <c r="G31" s="35"/>
      <c r="H31" s="4">
        <f>IF([1]PFIS!$Q$10="Company", '[1]Sch 1 ADJs'!G33, '[1]Sch 1 ADJs'!H33)</f>
        <v>0</v>
      </c>
      <c r="I31" s="32">
        <f t="shared" si="6"/>
        <v>1436.2326399999999</v>
      </c>
      <c r="J31" s="61"/>
      <c r="K31" s="4"/>
      <c r="L31" s="32">
        <f t="shared" si="7"/>
        <v>1436.2326399999999</v>
      </c>
      <c r="M31" s="38"/>
      <c r="N31" s="71"/>
      <c r="O31" s="40"/>
      <c r="P31" s="41"/>
      <c r="S31" s="41"/>
    </row>
    <row r="32" spans="1:19" x14ac:dyDescent="0.25">
      <c r="A32" s="18">
        <f t="shared" si="0"/>
        <v>26</v>
      </c>
      <c r="B32" s="42" t="s">
        <v>56</v>
      </c>
      <c r="C32" s="32">
        <f>[1]Input!E30</f>
        <v>0</v>
      </c>
      <c r="D32" s="42"/>
      <c r="E32" s="4">
        <f>IF([1]PFIS!$Q$10="Company", '[1]Sch 1 ADJs'!C34, '[1]Sch 1 ADJs'!D34)</f>
        <v>47.004100000000001</v>
      </c>
      <c r="F32" s="32">
        <f t="shared" si="5"/>
        <v>47.004100000000001</v>
      </c>
      <c r="G32" s="70"/>
      <c r="H32" s="4">
        <f>IF([1]PFIS!$Q$10="Company", '[1]Sch 1 ADJs'!G34, '[1]Sch 1 ADJs'!H34)</f>
        <v>40.395900000000005</v>
      </c>
      <c r="I32" s="32">
        <f t="shared" si="6"/>
        <v>87.4</v>
      </c>
      <c r="J32" s="61"/>
      <c r="K32" s="74">
        <f>+'[1]Sch 5 NTG Factor'!G12+'[1]Sch 5 NTG Factor'!G13+'[1]Sch 5 NTG Factor'!G14</f>
        <v>52.760669090459864</v>
      </c>
      <c r="L32" s="32">
        <f t="shared" si="7"/>
        <v>140.16066909045986</v>
      </c>
      <c r="M32" s="38"/>
      <c r="N32" s="71"/>
      <c r="O32" s="40"/>
      <c r="P32" s="41"/>
      <c r="S32" s="41"/>
    </row>
    <row r="33" spans="1:19" x14ac:dyDescent="0.25">
      <c r="A33" s="18">
        <f t="shared" si="0"/>
        <v>27</v>
      </c>
      <c r="B33" s="42" t="s">
        <v>57</v>
      </c>
      <c r="C33" s="32">
        <f>[1]Input!E31</f>
        <v>0</v>
      </c>
      <c r="D33" s="42"/>
      <c r="E33" s="4">
        <f>IF([1]PFIS!$Q$10="Company", '[1]Sch 1 ADJs'!C35, '[1]Sch 1 ADJs'!D35)</f>
        <v>0</v>
      </c>
      <c r="F33" s="32">
        <f t="shared" si="5"/>
        <v>0</v>
      </c>
      <c r="G33" s="35"/>
      <c r="H33" s="4">
        <f>IF([1]PFIS!$Q$10="Company", '[1]Sch 1 ADJs'!G35, '[1]Sch 1 ADJs'!H35)</f>
        <v>3845.8333333333335</v>
      </c>
      <c r="I33" s="32">
        <f t="shared" si="6"/>
        <v>3845.8333333333335</v>
      </c>
      <c r="J33" s="61"/>
      <c r="K33" s="4"/>
      <c r="L33" s="32">
        <f t="shared" si="7"/>
        <v>3845.8333333333335</v>
      </c>
      <c r="M33" s="38"/>
      <c r="N33" s="71"/>
      <c r="O33" s="40"/>
      <c r="P33" s="41"/>
      <c r="S33" s="41"/>
    </row>
    <row r="34" spans="1:19" x14ac:dyDescent="0.25">
      <c r="A34" s="18">
        <f t="shared" si="0"/>
        <v>28</v>
      </c>
      <c r="B34" s="75" t="s">
        <v>58</v>
      </c>
      <c r="C34" s="32">
        <f>[1]Input!E32</f>
        <v>404</v>
      </c>
      <c r="D34" s="42"/>
      <c r="E34" s="4">
        <f>IF([1]PFIS!$Q$10="Company", '[1]Sch 1 ADJs'!C36, '[1]Sch 1 ADJs'!D36)</f>
        <v>-202</v>
      </c>
      <c r="F34" s="32">
        <f t="shared" si="5"/>
        <v>202</v>
      </c>
      <c r="G34" s="35"/>
      <c r="H34" s="4">
        <f>IF([1]PFIS!$Q$10="Company", '[1]Sch 1 ADJs'!G36, '[1]Sch 1 ADJs'!H36)</f>
        <v>0</v>
      </c>
      <c r="I34" s="32">
        <f t="shared" si="6"/>
        <v>202</v>
      </c>
      <c r="J34" s="61"/>
      <c r="K34" s="4"/>
      <c r="L34" s="32">
        <f t="shared" si="7"/>
        <v>202</v>
      </c>
      <c r="M34" s="38"/>
      <c r="N34" s="71"/>
      <c r="O34" s="40"/>
      <c r="P34" s="41"/>
      <c r="S34" s="41"/>
    </row>
    <row r="35" spans="1:19" x14ac:dyDescent="0.25">
      <c r="A35" s="18">
        <f t="shared" si="0"/>
        <v>29</v>
      </c>
      <c r="B35" s="75" t="s">
        <v>59</v>
      </c>
      <c r="C35" s="32">
        <f>[1]Input!E33</f>
        <v>3448</v>
      </c>
      <c r="D35" s="42"/>
      <c r="E35" s="4">
        <f>IF([1]PFIS!$Q$10="Company", '[1]Sch 1 ADJs'!C37, '[1]Sch 1 ADJs'!D37)</f>
        <v>-2470.75</v>
      </c>
      <c r="F35" s="32">
        <f t="shared" si="5"/>
        <v>977.25</v>
      </c>
      <c r="G35" s="35"/>
      <c r="H35" s="4">
        <f>IF([1]PFIS!$Q$10="Company", '[1]Sch 1 ADJs'!G37, '[1]Sch 1 ADJs'!H37)</f>
        <v>98.258522727272776</v>
      </c>
      <c r="I35" s="32">
        <f t="shared" si="6"/>
        <v>1075.5085227272727</v>
      </c>
      <c r="J35" s="61"/>
      <c r="K35" s="4"/>
      <c r="L35" s="32">
        <f t="shared" si="7"/>
        <v>1075.5085227272727</v>
      </c>
      <c r="M35" s="38"/>
      <c r="N35" s="71"/>
      <c r="O35" s="40"/>
      <c r="P35" s="41"/>
      <c r="S35" s="41"/>
    </row>
    <row r="36" spans="1:19" x14ac:dyDescent="0.25">
      <c r="A36" s="18">
        <f t="shared" si="0"/>
        <v>30</v>
      </c>
      <c r="B36" s="42" t="s">
        <v>60</v>
      </c>
      <c r="C36" s="32">
        <f>[1]Input!E34</f>
        <v>0</v>
      </c>
      <c r="D36" s="42"/>
      <c r="E36" s="4">
        <f>IF([1]PFIS!$Q$10="Company", '[1]Sch 1 ADJs'!C38, '[1]Sch 1 ADJs'!D38)</f>
        <v>37.108499999999999</v>
      </c>
      <c r="F36" s="32">
        <f t="shared" si="5"/>
        <v>37.108499999999999</v>
      </c>
      <c r="G36" s="72"/>
      <c r="H36" s="4">
        <f>IF([1]PFIS!$Q$10="Company", '[1]Sch 1 ADJs'!G38, '[1]Sch 1 ADJs'!H38)</f>
        <v>31.891500000000001</v>
      </c>
      <c r="I36" s="32">
        <f t="shared" si="6"/>
        <v>69</v>
      </c>
      <c r="J36" s="61"/>
      <c r="K36" s="4"/>
      <c r="L36" s="32">
        <f t="shared" si="7"/>
        <v>69</v>
      </c>
      <c r="M36" s="38"/>
      <c r="N36" s="71"/>
      <c r="O36" s="40"/>
      <c r="P36" s="41"/>
      <c r="S36" s="41"/>
    </row>
    <row r="37" spans="1:19" x14ac:dyDescent="0.25">
      <c r="A37" s="18">
        <f t="shared" si="0"/>
        <v>31</v>
      </c>
      <c r="B37" s="42" t="s">
        <v>61</v>
      </c>
      <c r="C37" s="32">
        <f>[1]Input!E35</f>
        <v>7023</v>
      </c>
      <c r="D37" s="42"/>
      <c r="E37" s="4">
        <f>IF([1]PFIS!$Q$10="Company", '[1]Sch 1 ADJs'!C39, '[1]Sch 1 ADJs'!D39)</f>
        <v>-4543.0000000000009</v>
      </c>
      <c r="F37" s="32">
        <f t="shared" si="5"/>
        <v>2479.9999999999991</v>
      </c>
      <c r="G37" s="72"/>
      <c r="H37" s="4">
        <f>IF([1]PFIS!$Q$10="Company", '[1]Sch 1 ADJs'!G39, '[1]Sch 1 ADJs'!H39)</f>
        <v>0</v>
      </c>
      <c r="I37" s="32">
        <f t="shared" si="6"/>
        <v>2479.9999999999991</v>
      </c>
      <c r="J37" s="61"/>
      <c r="K37" s="4"/>
      <c r="L37" s="32">
        <f t="shared" si="7"/>
        <v>2479.9999999999991</v>
      </c>
      <c r="M37" s="38"/>
      <c r="N37" s="39"/>
      <c r="O37" s="40"/>
      <c r="P37" s="41"/>
      <c r="S37" s="41"/>
    </row>
    <row r="38" spans="1:19" x14ac:dyDescent="0.25">
      <c r="A38" s="18">
        <f t="shared" si="0"/>
        <v>32</v>
      </c>
      <c r="B38" s="42" t="s">
        <v>62</v>
      </c>
      <c r="C38" s="32">
        <f>[1]Input!E36</f>
        <v>8080</v>
      </c>
      <c r="D38" s="42"/>
      <c r="E38" s="4">
        <f>'[1]Sch 1 ADJs'!D40</f>
        <v>-3491.3917473333331</v>
      </c>
      <c r="F38" s="32">
        <f t="shared" si="5"/>
        <v>4588.6082526666669</v>
      </c>
      <c r="G38" s="35"/>
      <c r="H38" s="4">
        <f>IF([1]PFIS!$Q$10="Company", '[1]Sch 1 ADJs'!G40, '[1]Sch 1 ADJs'!H40)</f>
        <v>1372.2548333333334</v>
      </c>
      <c r="I38" s="32">
        <f t="shared" si="6"/>
        <v>5960.8630860000003</v>
      </c>
      <c r="J38" s="61"/>
      <c r="K38" s="74">
        <f>IF(I59&lt;=0, -I38, 0)</f>
        <v>0</v>
      </c>
      <c r="L38" s="32">
        <f t="shared" si="7"/>
        <v>5960.8630860000003</v>
      </c>
      <c r="M38" s="38"/>
      <c r="N38" s="71"/>
      <c r="O38" s="40"/>
      <c r="P38" s="41"/>
      <c r="S38" s="41"/>
    </row>
    <row r="39" spans="1:19" x14ac:dyDescent="0.25">
      <c r="A39" s="18">
        <f t="shared" si="0"/>
        <v>33</v>
      </c>
      <c r="B39" s="42" t="s">
        <v>63</v>
      </c>
      <c r="C39" s="32">
        <f>[1]Input!E37</f>
        <v>3125</v>
      </c>
      <c r="D39" s="42"/>
      <c r="E39" s="4">
        <f>IF([1]PFIS!$Q$10="Company", '[1]Sch 1 ADJs'!C41, '[1]Sch 1 ADJs'!D41)</f>
        <v>-255.70404999999892</v>
      </c>
      <c r="F39" s="32">
        <f t="shared" si="5"/>
        <v>2869.2959500000011</v>
      </c>
      <c r="G39" s="35"/>
      <c r="H39" s="4">
        <f>IF([1]PFIS!$Q$10="Company", '[1]Sch 1 ADJs'!G41, '[1]Sch 1 ADJs'!H41)</f>
        <v>-555.95595000000048</v>
      </c>
      <c r="I39" s="32">
        <f t="shared" si="6"/>
        <v>2313.3400000000006</v>
      </c>
      <c r="J39" s="32"/>
      <c r="K39" s="74">
        <f>+'[1]Sch 5 NTG Factor'!G15</f>
        <v>780.39236722330213</v>
      </c>
      <c r="L39" s="32">
        <f t="shared" si="7"/>
        <v>3093.7323672233028</v>
      </c>
      <c r="M39" s="38"/>
      <c r="N39" s="71"/>
      <c r="O39" s="40"/>
      <c r="P39" s="41"/>
      <c r="S39" s="41"/>
    </row>
    <row r="40" spans="1:19" x14ac:dyDescent="0.25">
      <c r="A40" s="18">
        <f t="shared" si="0"/>
        <v>34</v>
      </c>
      <c r="B40" s="42" t="s">
        <v>64</v>
      </c>
      <c r="C40" s="32">
        <f>[1]Input!E38</f>
        <v>0</v>
      </c>
      <c r="D40" s="42"/>
      <c r="E40" s="4">
        <f>IF([1]PFIS!$Q$10="Company", '[1]Sch 1 ADJs'!C42, '[1]Sch 1 ADJs'!D42)</f>
        <v>0</v>
      </c>
      <c r="F40" s="32">
        <f t="shared" si="5"/>
        <v>0</v>
      </c>
      <c r="H40" s="4">
        <f>IF([1]PFIS!$Q$10="Company", '[1]Sch 1 ADJs'!G42, '[1]Sch 1 ADJs'!H42)</f>
        <v>0</v>
      </c>
      <c r="I40" s="32">
        <f t="shared" si="6"/>
        <v>0</v>
      </c>
      <c r="J40" s="61"/>
      <c r="K40" s="4"/>
      <c r="L40" s="32">
        <f t="shared" si="7"/>
        <v>0</v>
      </c>
      <c r="M40" s="38"/>
      <c r="N40" s="71"/>
      <c r="O40" s="40"/>
      <c r="P40" s="41"/>
      <c r="S40" s="41"/>
    </row>
    <row r="41" spans="1:19" x14ac:dyDescent="0.25">
      <c r="A41" s="18">
        <f t="shared" si="0"/>
        <v>35</v>
      </c>
      <c r="B41" s="42" t="s">
        <v>65</v>
      </c>
      <c r="C41" s="32">
        <f>[1]Input!E39</f>
        <v>2238</v>
      </c>
      <c r="D41" s="42"/>
      <c r="E41" s="4">
        <f>IF([1]PFIS!$Q$10="Company", '[1]Sch 1 ADJs'!C43, '[1]Sch 1 ADJs'!D43)</f>
        <v>-1728.5321748109682</v>
      </c>
      <c r="F41" s="32">
        <f t="shared" si="5"/>
        <v>509.46782518903183</v>
      </c>
      <c r="G41" s="35"/>
      <c r="H41" s="4">
        <f>IF([1]PFIS!$Q$10="Company", '[1]Sch 1 ADJs'!G43, '[1]Sch 1 ADJs'!H43)</f>
        <v>0</v>
      </c>
      <c r="I41" s="32">
        <f t="shared" si="6"/>
        <v>509.46782518903183</v>
      </c>
      <c r="J41" s="32"/>
      <c r="K41" s="74"/>
      <c r="L41" s="32">
        <f t="shared" si="7"/>
        <v>509.46782518903183</v>
      </c>
      <c r="M41" s="38"/>
      <c r="N41" s="71"/>
      <c r="O41" s="32"/>
      <c r="P41" s="41"/>
      <c r="S41" s="41"/>
    </row>
    <row r="42" spans="1:19" x14ac:dyDescent="0.25">
      <c r="A42" s="18">
        <f t="shared" si="0"/>
        <v>36</v>
      </c>
      <c r="B42" s="31" t="s">
        <v>66</v>
      </c>
      <c r="C42" s="32">
        <f>[1]Input!E40</f>
        <v>406</v>
      </c>
      <c r="D42" s="42"/>
      <c r="E42" s="4">
        <f>IF([1]PFIS!$Q$10="Company", '[1]Sch 1 ADJs'!C44, '[1]Sch 1 ADJs'!D44)</f>
        <v>-406</v>
      </c>
      <c r="F42" s="32">
        <f t="shared" si="5"/>
        <v>0</v>
      </c>
      <c r="H42" s="4">
        <f>IF([1]PFIS!$Q$10="Company", '[1]Sch 1 ADJs'!G44, '[1]Sch 1 ADJs'!H44)</f>
        <v>0</v>
      </c>
      <c r="I42" s="32">
        <f t="shared" si="6"/>
        <v>0</v>
      </c>
      <c r="J42" s="61"/>
      <c r="K42" s="4"/>
      <c r="L42" s="32">
        <f t="shared" si="7"/>
        <v>0</v>
      </c>
      <c r="M42" s="38"/>
      <c r="N42" s="71"/>
      <c r="O42" s="76"/>
      <c r="P42" s="41"/>
      <c r="S42" s="41"/>
    </row>
    <row r="43" spans="1:19" ht="16.5" thickBot="1" x14ac:dyDescent="0.3">
      <c r="A43" s="18">
        <f t="shared" si="0"/>
        <v>37</v>
      </c>
      <c r="B43" s="77" t="s">
        <v>67</v>
      </c>
      <c r="C43" s="32">
        <f>[1]Input!E41</f>
        <v>0</v>
      </c>
      <c r="D43" s="42"/>
      <c r="E43" s="4">
        <f>IF([1]PFIS!$Q$10="Company", '[1]Sch 1 ADJs'!C45, '[1]Sch 1 ADJs'!D45)</f>
        <v>0</v>
      </c>
      <c r="F43" s="32">
        <f t="shared" si="5"/>
        <v>0</v>
      </c>
      <c r="G43" s="35"/>
      <c r="H43" s="4">
        <f>IF([1]PFIS!$Q$10="Company", '[1]Sch 1 ADJs'!G45, '[1]Sch 1 ADJs'!H45)</f>
        <v>0</v>
      </c>
      <c r="I43" s="32">
        <f t="shared" si="6"/>
        <v>0</v>
      </c>
      <c r="J43" s="32"/>
      <c r="K43" s="74"/>
      <c r="L43" s="32">
        <f t="shared" si="7"/>
        <v>0</v>
      </c>
      <c r="M43" s="38"/>
      <c r="N43" s="71"/>
      <c r="O43" s="40"/>
      <c r="P43" s="41"/>
      <c r="S43" s="41"/>
    </row>
    <row r="44" spans="1:19" ht="16.5" thickTop="1" x14ac:dyDescent="0.25">
      <c r="A44" s="18">
        <f t="shared" si="0"/>
        <v>38</v>
      </c>
      <c r="B44" s="31" t="s">
        <v>68</v>
      </c>
      <c r="C44" s="78">
        <f>SUM(C18:C43)</f>
        <v>100404</v>
      </c>
      <c r="D44" s="42"/>
      <c r="E44" s="47">
        <f>SUM(E18:E43)</f>
        <v>-75559.628887415922</v>
      </c>
      <c r="F44" s="45">
        <f>SUM(F18:F43)</f>
        <v>24844.371112584089</v>
      </c>
      <c r="G44" s="35"/>
      <c r="H44" s="47">
        <f>SUM(H18:H43)</f>
        <v>29208.144620488034</v>
      </c>
      <c r="I44" s="45">
        <f>SUM(I18:I43)</f>
        <v>54052.515733072127</v>
      </c>
      <c r="J44" s="48"/>
      <c r="K44" s="47">
        <f>SUM(K18:K43)</f>
        <v>833.15303631376196</v>
      </c>
      <c r="L44" s="45">
        <f>SUM(L18:L43)</f>
        <v>54885.668769385884</v>
      </c>
      <c r="M44" s="50"/>
      <c r="N44" s="40"/>
      <c r="O44" s="40"/>
      <c r="P44" s="41"/>
      <c r="S44" s="41"/>
    </row>
    <row r="45" spans="1:19" x14ac:dyDescent="0.25">
      <c r="A45" s="18">
        <f t="shared" si="0"/>
        <v>39</v>
      </c>
      <c r="B45" s="33"/>
      <c r="D45" s="42"/>
      <c r="E45" s="8"/>
      <c r="F45" s="34"/>
      <c r="G45" s="35"/>
      <c r="H45" s="79"/>
      <c r="I45" s="34"/>
      <c r="J45" s="36"/>
      <c r="K45" s="79"/>
      <c r="L45" s="34"/>
      <c r="M45" s="80"/>
      <c r="N45" s="40"/>
      <c r="O45" s="40"/>
      <c r="P45" s="41"/>
      <c r="S45" s="41"/>
    </row>
    <row r="46" spans="1:19" x14ac:dyDescent="0.25">
      <c r="A46" s="18">
        <f t="shared" si="0"/>
        <v>40</v>
      </c>
      <c r="B46" s="31" t="s">
        <v>69</v>
      </c>
      <c r="C46" s="38">
        <f>C15-C44</f>
        <v>-2849</v>
      </c>
      <c r="D46" s="42"/>
      <c r="E46" s="72">
        <f>E15-E44</f>
        <v>2743.6288874159218</v>
      </c>
      <c r="F46" s="38">
        <f>F15-F44</f>
        <v>-105.37111258408913</v>
      </c>
      <c r="G46" s="35"/>
      <c r="H46" s="72">
        <f>H15-H44</f>
        <v>-7947.144620488034</v>
      </c>
      <c r="I46" s="38">
        <f>I15-I44</f>
        <v>-8052.5157330721267</v>
      </c>
      <c r="J46" s="61"/>
      <c r="K46" s="4"/>
      <c r="L46" s="32">
        <f>L15-L44</f>
        <v>6632.1750807493663</v>
      </c>
      <c r="M46" s="38"/>
      <c r="N46" s="40"/>
      <c r="O46" s="40"/>
      <c r="P46" s="41"/>
      <c r="S46" s="41"/>
    </row>
    <row r="47" spans="1:19" x14ac:dyDescent="0.25">
      <c r="A47" s="18">
        <f t="shared" si="0"/>
        <v>41</v>
      </c>
      <c r="B47" s="31" t="s">
        <v>70</v>
      </c>
      <c r="C47" s="38">
        <f>[1]Input!E45</f>
        <v>0</v>
      </c>
      <c r="D47" s="42"/>
      <c r="E47" s="72">
        <f>IF([1]PFIS!$Q$10="Company", '[1]Sch 1 ADJs'!C49, '[1]Sch 1 ADJs'!D49)</f>
        <v>0</v>
      </c>
      <c r="F47" s="38">
        <f>+E47+C47</f>
        <v>0</v>
      </c>
      <c r="G47" s="81"/>
      <c r="H47" s="72">
        <f>+'[1]Sch 1 ADJs'!H49</f>
        <v>6632.111183745279</v>
      </c>
      <c r="I47" s="38">
        <f>F47+H47</f>
        <v>6632.111183745279</v>
      </c>
      <c r="J47" s="81"/>
      <c r="K47" s="4"/>
      <c r="L47" s="32">
        <f>I47+K47</f>
        <v>6632.111183745279</v>
      </c>
      <c r="M47" s="38"/>
      <c r="N47" s="82"/>
      <c r="O47" s="83"/>
      <c r="P47" s="41"/>
      <c r="S47" s="41"/>
    </row>
    <row r="48" spans="1:19" x14ac:dyDescent="0.25">
      <c r="A48" s="18">
        <f t="shared" si="0"/>
        <v>42</v>
      </c>
      <c r="B48" s="31" t="str">
        <f>IF('[1]Sch 5 NTG Factor'!D21&gt;0,"Fed Income Tax - "&amp;(TEXT('[1]Sch 5 NTG Factor'!D21,"##%")),"")</f>
        <v>Fed Income Tax - 15%</v>
      </c>
      <c r="C48" s="38">
        <f>[1]Input!E46</f>
        <v>0</v>
      </c>
      <c r="D48" s="42"/>
      <c r="E48" s="72">
        <f>IF([1]PFIS!$Q$10="Company", '[1]Sch 1 ADJs'!C50, '[1]Sch 1 ADJs'!D50)</f>
        <v>0</v>
      </c>
      <c r="F48" s="38">
        <f>+E48+C48</f>
        <v>0</v>
      </c>
      <c r="G48" s="70"/>
      <c r="H48" s="72">
        <f>+'[1]Sch 1 ADJs'!H50</f>
        <v>-2202.6940375226109</v>
      </c>
      <c r="I48" s="38">
        <f>F48+H48</f>
        <v>-2202.6940375226109</v>
      </c>
      <c r="J48" s="70"/>
      <c r="K48" s="74">
        <f>+'[1]Sch 5 NTG Factor'!G23</f>
        <v>2202.7036220732239</v>
      </c>
      <c r="L48" s="38">
        <f>I48+K48</f>
        <v>9.5845506129990099E-3</v>
      </c>
      <c r="M48" s="38"/>
      <c r="N48" s="84">
        <f>IF((L46-L47)&lt;'[1]Sch 5 NTG Factor'!C33,((L46-L47)*'[1]Sch 5 NTG Factor'!F33),(IF(AND('[1]Sch 5 NTG Factor'!B34&lt;(L46-L47),(L46-L47)&lt;'[1]Sch 5 NTG Factor'!C34),(((L46-L47)-'[1]Sch 5 NTG Factor'!G34)*'[1]Sch 5 NTG Factor'!F34)+'[1]Sch 5 NTG Factor'!D34,(IF(AND('[1]Sch 5 NTG Factor'!B35&lt;(L46-L47),(L46-L47)&lt;'[1]Sch 5 NTG Factor'!C35),(((L46-L47)-'[1]Sch 5 NTG Factor'!G35)*'[1]Sch 5 NTG Factor'!F35)+'[1]Sch 5 NTG Factor'!D35,(IF(AND('[1]Sch 5 NTG Factor'!B36&lt;(L46-L47),(L46-L47)&lt;'[1]Sch 5 NTG Factor'!C36),(((L46-L47)-'[1]Sch 5 NTG Factor'!G36)*'[1]Sch 5 NTG Factor'!F36)+'[1]Sch 5 NTG Factor'!D36,(IF(AND('[1]Sch 5 NTG Factor'!B37&lt;(L46-L47),(L46-L47)&lt;'[1]Sch 5 NTG Factor'!C37),(((L46-L47)-'[1]Sch 5 NTG Factor'!G37)*'[1]Sch 5 NTG Factor'!F37)+'[1]Sch 5 NTG Factor'!D37,(IF(AND('[1]Sch 5 NTG Factor'!B38&lt;(L46-L47),(L46-L47)&lt;'[1]Sch 5 NTG Factor'!C38),(((L46-L47)-'[1]Sch 5 NTG Factor'!G38)*'[1]Sch 5 NTG Factor'!F38)+'[1]Sch 5 NTG Factor'!D38,(IF(AND('[1]Sch 5 NTG Factor'!B39&lt;(L46-L47),(L46-L47)&lt;'[1]Sch 5 NTG Factor'!C39),(((L46-L47)-'[1]Sch 5 NTG Factor'!G39)*'[1]Sch 5 NTG Factor'!F39)+'[1]Sch 5 NTG Factor'!D39,(IF('[1]Sch 5 NTG Factor'!B40&lt;=(L46-L47),((L46-L47)*'[1]Sch 5 NTG Factor'!F40),0)))))))))))))))</f>
        <v>9.5845506130899597E-3</v>
      </c>
      <c r="O48" s="40" t="s">
        <v>71</v>
      </c>
      <c r="P48" s="41"/>
      <c r="S48" s="41"/>
    </row>
    <row r="49" spans="1:232" ht="15.95" customHeight="1" thickBot="1" x14ac:dyDescent="0.3">
      <c r="A49" s="18">
        <f t="shared" si="0"/>
        <v>43</v>
      </c>
      <c r="B49" s="31" t="s">
        <v>72</v>
      </c>
      <c r="C49" s="80">
        <f>+C44+C47+C48</f>
        <v>100404</v>
      </c>
      <c r="D49" s="42"/>
      <c r="E49" s="35"/>
      <c r="F49" s="80">
        <f>+F44+F47+F48</f>
        <v>24844.371112584089</v>
      </c>
      <c r="G49" s="35"/>
      <c r="H49" s="35"/>
      <c r="I49" s="80">
        <f>+I44+I47+I48</f>
        <v>58481.932879294793</v>
      </c>
      <c r="J49" s="85"/>
      <c r="K49" s="35"/>
      <c r="L49" s="86">
        <f>+L44+L47+L48</f>
        <v>61517.789537681776</v>
      </c>
      <c r="M49" s="86"/>
      <c r="N49" s="40"/>
      <c r="O49" s="40"/>
      <c r="P49" s="41"/>
      <c r="S49" s="41"/>
    </row>
    <row r="50" spans="1:232" ht="15.95" customHeight="1" thickTop="1" x14ac:dyDescent="0.25">
      <c r="A50" s="18">
        <f t="shared" si="0"/>
        <v>44</v>
      </c>
      <c r="B50" s="31" t="s">
        <v>73</v>
      </c>
      <c r="C50" s="87">
        <f>+C15-C49</f>
        <v>-2849</v>
      </c>
      <c r="D50" s="42"/>
      <c r="E50" s="88">
        <f>E46-E48</f>
        <v>2743.6288874159218</v>
      </c>
      <c r="F50" s="87">
        <f>+F15-F49</f>
        <v>-105.37111258408913</v>
      </c>
      <c r="G50" s="35"/>
      <c r="H50" s="88">
        <f>H46-H48</f>
        <v>-5744.4505829654227</v>
      </c>
      <c r="I50" s="87">
        <f>+I15-I49</f>
        <v>-12481.932879294793</v>
      </c>
      <c r="J50" s="89"/>
      <c r="K50" s="88"/>
      <c r="L50" s="90">
        <f>+L15-L49</f>
        <v>5.4312453474267386E-2</v>
      </c>
      <c r="M50" s="91"/>
      <c r="N50" s="40"/>
      <c r="O50" s="40"/>
      <c r="P50" s="41"/>
      <c r="S50" s="41"/>
    </row>
    <row r="51" spans="1:232" ht="15.95" customHeight="1" x14ac:dyDescent="0.25">
      <c r="A51" s="18">
        <f t="shared" si="0"/>
        <v>45</v>
      </c>
      <c r="B51" s="31" t="s">
        <v>74</v>
      </c>
      <c r="C51" s="92">
        <f>+C46-C48</f>
        <v>-2849</v>
      </c>
      <c r="D51" s="42"/>
      <c r="E51" s="35"/>
      <c r="F51" s="92">
        <f>+F46-F48</f>
        <v>-105.37111258408913</v>
      </c>
      <c r="G51" s="35"/>
      <c r="H51" s="35"/>
      <c r="I51" s="92">
        <f>+I46-I48</f>
        <v>-5849.8216955495154</v>
      </c>
      <c r="J51" s="89"/>
      <c r="K51" s="93"/>
      <c r="L51" s="94">
        <f>+L46-L48</f>
        <v>6632.1654961987533</v>
      </c>
      <c r="M51" s="94"/>
      <c r="N51" s="84">
        <f>'[1]Sch 6 Rev Req'!E12</f>
        <v>6632.1111837452781</v>
      </c>
      <c r="O51" s="40" t="s">
        <v>33</v>
      </c>
      <c r="P51" s="41"/>
      <c r="S51" s="41"/>
    </row>
    <row r="52" spans="1:232" ht="15.95" customHeight="1" x14ac:dyDescent="0.25">
      <c r="A52" s="18">
        <f t="shared" si="0"/>
        <v>46</v>
      </c>
      <c r="B52" s="31"/>
      <c r="C52" s="80"/>
      <c r="D52" s="42"/>
      <c r="E52" s="7" t="s">
        <v>75</v>
      </c>
      <c r="F52" s="80"/>
      <c r="G52" s="35"/>
      <c r="H52" s="35"/>
      <c r="I52" s="80"/>
      <c r="J52" s="85"/>
      <c r="K52" s="35"/>
      <c r="L52" s="80"/>
      <c r="M52" s="80"/>
      <c r="N52" s="40"/>
      <c r="O52" s="40"/>
      <c r="P52" s="41"/>
      <c r="S52" s="41"/>
    </row>
    <row r="53" spans="1:232" ht="15.95" customHeight="1" x14ac:dyDescent="0.25">
      <c r="A53" s="18">
        <f t="shared" si="0"/>
        <v>47</v>
      </c>
      <c r="B53" s="60" t="s">
        <v>76</v>
      </c>
      <c r="C53" s="80"/>
      <c r="D53" s="42"/>
      <c r="E53" s="35" t="s">
        <v>77</v>
      </c>
      <c r="F53" s="33"/>
      <c r="H53" s="35"/>
      <c r="I53" s="33"/>
      <c r="J53" s="95"/>
      <c r="K53" s="7"/>
      <c r="L53" s="33"/>
      <c r="M53" s="33"/>
      <c r="N53" s="40"/>
      <c r="O53" s="40"/>
      <c r="P53" s="41"/>
      <c r="S53" s="41"/>
    </row>
    <row r="54" spans="1:232" ht="15.95" customHeight="1" x14ac:dyDescent="0.25">
      <c r="A54" s="18">
        <f t="shared" si="0"/>
        <v>48</v>
      </c>
      <c r="B54" s="31" t="s">
        <v>78</v>
      </c>
      <c r="C54" s="38">
        <f>[1]Input!E52</f>
        <v>1577785</v>
      </c>
      <c r="D54" s="42"/>
      <c r="E54" s="72">
        <f>+'[1]Sch 1 ADJs'!D56</f>
        <v>-1444175.9351948765</v>
      </c>
      <c r="F54" s="38">
        <f>+E54+C54</f>
        <v>133609.06480512349</v>
      </c>
      <c r="G54" s="38"/>
      <c r="H54" s="72">
        <f>+'[1]Sch 1 ADJs'!H56</f>
        <v>6331.4174999999996</v>
      </c>
      <c r="I54" s="38">
        <f>+H54+F54</f>
        <v>139940.4823051235</v>
      </c>
      <c r="J54" s="96"/>
      <c r="K54" s="4"/>
      <c r="L54" s="38">
        <f>+K54+I54</f>
        <v>139940.4823051235</v>
      </c>
      <c r="M54" s="38"/>
      <c r="N54" s="40"/>
      <c r="O54" s="40"/>
      <c r="P54" s="41"/>
      <c r="S54" s="41"/>
    </row>
    <row r="55" spans="1:232" s="99" customFormat="1" ht="15.95" customHeight="1" x14ac:dyDescent="0.25">
      <c r="A55" s="18">
        <f t="shared" si="0"/>
        <v>49</v>
      </c>
      <c r="B55" s="77" t="s">
        <v>79</v>
      </c>
      <c r="C55" s="38">
        <f>[1]Input!E53</f>
        <v>-158106</v>
      </c>
      <c r="D55" s="42"/>
      <c r="E55" s="72">
        <f>+'[1]Sch 1 ADJs'!D57</f>
        <v>145863.69983764371</v>
      </c>
      <c r="F55" s="38">
        <f>+E55+C55</f>
        <v>-12242.300162356289</v>
      </c>
      <c r="G55" s="77"/>
      <c r="H55" s="72">
        <f>+'[1]Sch 1 ADJs'!H57</f>
        <v>-1372.2548333333334</v>
      </c>
      <c r="I55" s="38">
        <f>+H55+F55</f>
        <v>-13614.554995689621</v>
      </c>
      <c r="J55" s="96"/>
      <c r="K55" s="4"/>
      <c r="L55" s="38">
        <f>+K55+I55</f>
        <v>-13614.554995689621</v>
      </c>
      <c r="M55" s="38"/>
      <c r="N55" s="97"/>
      <c r="O55" s="97"/>
      <c r="P55" s="98"/>
      <c r="Q55" s="32"/>
      <c r="R55" s="32"/>
      <c r="S55" s="98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</row>
    <row r="56" spans="1:232" s="99" customFormat="1" ht="15.95" customHeight="1" x14ac:dyDescent="0.25">
      <c r="A56" s="18">
        <f t="shared" si="0"/>
        <v>50</v>
      </c>
      <c r="B56" s="100" t="s">
        <v>80</v>
      </c>
      <c r="C56" s="38">
        <f>[1]Input!E54</f>
        <v>0</v>
      </c>
      <c r="D56" s="42"/>
      <c r="E56" s="72">
        <f>+'[1]Sch 1 ADJs'!D58</f>
        <v>0</v>
      </c>
      <c r="F56" s="38">
        <f>+E56+C56</f>
        <v>0</v>
      </c>
      <c r="G56" s="38"/>
      <c r="H56" s="72">
        <f>+'[1]Sch 1 ADJs'!H58</f>
        <v>0</v>
      </c>
      <c r="I56" s="38">
        <f>+H56+F56</f>
        <v>0</v>
      </c>
      <c r="J56" s="96"/>
      <c r="K56" s="4"/>
      <c r="L56" s="38">
        <f>+K56+I56</f>
        <v>0</v>
      </c>
      <c r="M56" s="38"/>
      <c r="N56" s="97"/>
      <c r="O56" s="97"/>
      <c r="P56" s="98"/>
      <c r="Q56" s="32"/>
      <c r="R56" s="32"/>
      <c r="S56" s="98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</row>
    <row r="57" spans="1:232" ht="15.95" customHeight="1" x14ac:dyDescent="0.25">
      <c r="A57" s="18">
        <f t="shared" si="0"/>
        <v>51</v>
      </c>
      <c r="B57" s="31" t="s">
        <v>81</v>
      </c>
      <c r="C57" s="38">
        <f>[1]Input!E55</f>
        <v>-31500</v>
      </c>
      <c r="D57" s="42"/>
      <c r="E57" s="72">
        <f>+'[1]Sch 1 ADJs'!D59</f>
        <v>31500</v>
      </c>
      <c r="F57" s="38">
        <f>+E57+C57</f>
        <v>0</v>
      </c>
      <c r="G57" s="77"/>
      <c r="H57" s="72">
        <f>+'[1]Sch 1 ADJs'!H59</f>
        <v>0</v>
      </c>
      <c r="I57" s="38">
        <f>+H57+F57</f>
        <v>0</v>
      </c>
      <c r="J57" s="96"/>
      <c r="K57" s="4"/>
      <c r="L57" s="38">
        <f>+K57+I57</f>
        <v>0</v>
      </c>
      <c r="M57" s="38"/>
      <c r="N57" s="40"/>
      <c r="O57" s="40"/>
      <c r="P57" s="41"/>
      <c r="S57" s="41"/>
    </row>
    <row r="58" spans="1:232" ht="15.95" customHeight="1" thickBot="1" x14ac:dyDescent="0.3">
      <c r="A58" s="18">
        <f t="shared" si="0"/>
        <v>52</v>
      </c>
      <c r="B58" s="31" t="s">
        <v>82</v>
      </c>
      <c r="C58" s="38">
        <f>[1]Input!E56</f>
        <v>0</v>
      </c>
      <c r="D58" s="42"/>
      <c r="E58" s="72">
        <f>+'[1]Sch 1 ADJs'!D60</f>
        <v>0</v>
      </c>
      <c r="F58" s="38">
        <f>+E58+C58</f>
        <v>0</v>
      </c>
      <c r="G58" s="38"/>
      <c r="H58" s="72">
        <f>+'[1]Sch 1 ADJs'!H60</f>
        <v>0</v>
      </c>
      <c r="I58" s="38">
        <f>+H58+F58</f>
        <v>0</v>
      </c>
      <c r="J58" s="96"/>
      <c r="K58" s="4"/>
      <c r="L58" s="38">
        <f>+K58+I58</f>
        <v>0</v>
      </c>
      <c r="M58" s="38"/>
      <c r="N58" s="40"/>
      <c r="O58" s="40"/>
      <c r="P58" s="41"/>
      <c r="S58" s="41"/>
    </row>
    <row r="59" spans="1:232" ht="15.95" customHeight="1" thickTop="1" x14ac:dyDescent="0.25">
      <c r="A59" s="18">
        <f t="shared" si="0"/>
        <v>53</v>
      </c>
      <c r="B59" s="31" t="s">
        <v>83</v>
      </c>
      <c r="C59" s="101">
        <f>SUM(((C54+C55)+C56)-ABS(C57)+ABS(C58))</f>
        <v>1388179</v>
      </c>
      <c r="D59" s="35"/>
      <c r="E59" s="88"/>
      <c r="F59" s="101">
        <f>SUM(F54:F58)</f>
        <v>121366.7646427672</v>
      </c>
      <c r="H59" s="88">
        <f>SUM(H54:H58)</f>
        <v>4959.1626666666662</v>
      </c>
      <c r="I59" s="101">
        <f>SUM(I54:I58)</f>
        <v>126325.92730943387</v>
      </c>
      <c r="J59" s="50"/>
      <c r="K59" s="102"/>
      <c r="L59" s="101">
        <f>SUM(L54:L58)</f>
        <v>126325.92730943387</v>
      </c>
      <c r="M59" s="50"/>
      <c r="N59" s="51"/>
      <c r="O59" s="40"/>
      <c r="P59" s="41"/>
      <c r="S59" s="41"/>
    </row>
    <row r="60" spans="1:232" ht="15.95" customHeight="1" x14ac:dyDescent="0.25">
      <c r="A60" s="18">
        <f t="shared" si="0"/>
        <v>54</v>
      </c>
      <c r="B60" s="33"/>
      <c r="C60" s="33"/>
      <c r="D60" s="42"/>
      <c r="E60" s="35"/>
      <c r="F60" s="80"/>
      <c r="G60" s="35"/>
      <c r="H60" s="35"/>
      <c r="I60" s="103"/>
      <c r="J60" s="85"/>
      <c r="K60" s="35"/>
      <c r="L60" s="33"/>
      <c r="M60" s="33"/>
      <c r="N60" s="40"/>
      <c r="O60" s="40"/>
      <c r="P60" s="41"/>
      <c r="S60" s="41"/>
    </row>
    <row r="61" spans="1:232" ht="15.95" customHeight="1" x14ac:dyDescent="0.25">
      <c r="A61" s="18">
        <f t="shared" si="0"/>
        <v>55</v>
      </c>
      <c r="B61" s="31" t="s">
        <v>84</v>
      </c>
      <c r="C61" s="104">
        <f>C51/C59</f>
        <v>-2.0523289863915244E-3</v>
      </c>
      <c r="D61" s="42"/>
      <c r="E61" s="105"/>
      <c r="F61" s="104">
        <f>F51/F59</f>
        <v>-8.682040169253921E-4</v>
      </c>
      <c r="G61" s="105"/>
      <c r="H61" s="72"/>
      <c r="I61" s="104">
        <f>I51/I59</f>
        <v>-4.6307371892235917E-2</v>
      </c>
      <c r="J61" s="106"/>
      <c r="K61" s="105"/>
      <c r="L61" s="107">
        <f>IF(L59&gt;0, L51/L59, 0)</f>
        <v>5.250042993908402E-2</v>
      </c>
      <c r="M61" s="108"/>
      <c r="N61" s="109">
        <f>IF(I59&lt;=0, 0, IF('[1]Sch 7 Interest Sync'!E12='[1]Sch 4 Cap'!K46,'[1]Sch 4 Cap'!K52,'[1]Sch 4 Cap'!I52))</f>
        <v>5.2499999999999998E-2</v>
      </c>
      <c r="O61" s="40" t="s">
        <v>33</v>
      </c>
      <c r="P61" s="41"/>
      <c r="S61" s="41"/>
    </row>
    <row r="62" spans="1:232" ht="15.95" customHeight="1" x14ac:dyDescent="0.25">
      <c r="A62" s="18">
        <f t="shared" si="0"/>
        <v>56</v>
      </c>
      <c r="B62" s="31" t="s">
        <v>85</v>
      </c>
      <c r="C62" s="80">
        <f>[1]Input!B11+[1]Input!B10+[1]Input!B9</f>
        <v>153</v>
      </c>
      <c r="D62" s="42"/>
      <c r="E62" s="72">
        <f>IF([1]PFIS!$Q$10="Company", '[1]Sch 1 ADJs'!C64, '[1]Sch 1 ADJs'!D64)</f>
        <v>-65</v>
      </c>
      <c r="F62" s="80">
        <f>E62+C62</f>
        <v>88</v>
      </c>
      <c r="G62" s="42"/>
      <c r="H62" s="72">
        <f>IF([1]PFIS!$Q$10="Company", '[1]Sch 1 ADJs'!G64, '[1]Sch 1 ADJs'!H64)</f>
        <v>27</v>
      </c>
      <c r="I62" s="80">
        <f>+F62+H62</f>
        <v>115</v>
      </c>
      <c r="J62" s="42"/>
      <c r="K62" s="4"/>
      <c r="L62" s="34">
        <f>+K62+I62</f>
        <v>115</v>
      </c>
      <c r="M62" s="80"/>
      <c r="O62" s="40"/>
      <c r="P62" s="41"/>
      <c r="Q62" s="41"/>
      <c r="R62" s="41"/>
      <c r="S62" s="41"/>
    </row>
    <row r="64" spans="1:232" x14ac:dyDescent="0.25">
      <c r="L64" s="111"/>
      <c r="M64" s="111"/>
    </row>
  </sheetData>
  <protectedRanges>
    <protectedRange password="C6D0" sqref="Q10" name="Select Party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Q13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5">
    <mergeCell ref="A1:L1"/>
    <mergeCell ref="A2:L2"/>
    <mergeCell ref="A3:L3"/>
    <mergeCell ref="A4:L4"/>
    <mergeCell ref="Q7:R7"/>
  </mergeCells>
  <dataValidations count="5">
    <dataValidation type="list" allowBlank="1" showInputMessage="1" showErrorMessage="1" promptTitle="Test Period in a Leap Year" prompt="Is the &quot;test period&quot; in a leap year?" sqref="Q22">
      <formula1>"Yes, No"</formula1>
    </dataValidation>
    <dataValidation type="list" allowBlank="1" showInputMessage="1" showErrorMessage="1" sqref="Q13">
      <formula1>"Normal Formula Calculations, Actual Weighted Average Cost of Capital, 40/60 Hypothetical"</formula1>
    </dataValidation>
    <dataValidation type="list" allowBlank="1" showInputMessage="1" showErrorMessage="1" promptTitle="Select Party" prompt="Select either Company or Staff" sqref="Q10">
      <formula1>"Company, Staff"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Q16">
      <formula1>"15%, 25%, 34%, 35%, 38%, 39%"</formula1>
    </dataValidation>
    <dataValidation allowBlank="1" showInputMessage="1" showErrorMessage="1" promptTitle="Input Suggested CF" prompt="Keep inputting the suggested CF until it no longer changes._x000a__x000a_When &quot;Input&quot; equals &quot;Suggested&quot;, then you are done." sqref="Q19"/>
  </dataValidations>
  <pageMargins left="0.26" right="0.17" top="0.75" bottom="0.75" header="0.3" footer="0.3"/>
  <pageSetup paperSize="0" scale="47" orientation="portrait" r:id="rId1"/>
  <headerFooter>
    <oddFooter>&amp;L&amp;F ! 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67"/>
  <sheetViews>
    <sheetView workbookViewId="0">
      <selection activeCell="F26" sqref="F26"/>
    </sheetView>
  </sheetViews>
  <sheetFormatPr defaultRowHeight="15.75" x14ac:dyDescent="0.25"/>
  <cols>
    <col min="1" max="1" width="5.7109375" style="113" bestFit="1" customWidth="1"/>
    <col min="2" max="2" width="57" style="113" bestFit="1" customWidth="1"/>
    <col min="3" max="3" width="20.28515625" style="113" customWidth="1"/>
    <col min="4" max="4" width="16.42578125" style="113" customWidth="1"/>
    <col min="5" max="5" width="15.140625" style="112" customWidth="1"/>
    <col min="6" max="6" width="3.7109375" style="113" customWidth="1"/>
    <col min="7" max="8" width="16.28515625" style="113" customWidth="1"/>
    <col min="9" max="9" width="15.140625" style="112" customWidth="1"/>
    <col min="10" max="11" width="9.140625" style="113"/>
    <col min="12" max="12" width="12.5703125" style="113" bestFit="1" customWidth="1"/>
    <col min="13" max="16384" width="9.140625" style="113"/>
  </cols>
  <sheetData>
    <row r="2" spans="1:9" x14ac:dyDescent="0.25">
      <c r="A2" s="4"/>
      <c r="B2" s="99" t="str">
        <f>+[1]Info!B4</f>
        <v xml:space="preserve">Summit View Waterworks, LLC </v>
      </c>
      <c r="C2" s="32"/>
      <c r="D2" s="32"/>
    </row>
    <row r="3" spans="1:9" x14ac:dyDescent="0.25">
      <c r="A3" s="4"/>
      <c r="B3" s="99" t="str">
        <f>+[1]Info!B5</f>
        <v>UW-110220</v>
      </c>
      <c r="I3" s="113" t="s">
        <v>15</v>
      </c>
    </row>
    <row r="4" spans="1:9" x14ac:dyDescent="0.25">
      <c r="A4" s="4"/>
      <c r="B4" s="99" t="str">
        <f>+[1]Info!B6</f>
        <v>For the test period ending December 31, 2009</v>
      </c>
      <c r="C4" s="4"/>
      <c r="D4" s="4"/>
    </row>
    <row r="5" spans="1:9" x14ac:dyDescent="0.25">
      <c r="A5" s="4"/>
      <c r="B5" s="114" t="str">
        <f>[1]Info!B18</f>
        <v>Summary of Adjustments</v>
      </c>
    </row>
    <row r="6" spans="1:9" x14ac:dyDescent="0.25">
      <c r="A6" s="4"/>
      <c r="B6" s="114"/>
    </row>
    <row r="7" spans="1:9" s="115" customFormat="1" x14ac:dyDescent="0.25">
      <c r="A7" s="4"/>
      <c r="B7" s="4" t="s">
        <v>0</v>
      </c>
      <c r="C7" s="115" t="s">
        <v>1</v>
      </c>
      <c r="D7" s="115" t="s">
        <v>2</v>
      </c>
      <c r="E7" s="115" t="s">
        <v>3</v>
      </c>
      <c r="G7" s="115" t="s">
        <v>4</v>
      </c>
      <c r="H7" s="115" t="s">
        <v>5</v>
      </c>
      <c r="I7" s="115" t="s">
        <v>6</v>
      </c>
    </row>
    <row r="8" spans="1:9" ht="47.25" x14ac:dyDescent="0.25">
      <c r="A8" s="116" t="s">
        <v>86</v>
      </c>
      <c r="B8" s="116" t="s">
        <v>9</v>
      </c>
      <c r="C8" s="116" t="s">
        <v>87</v>
      </c>
      <c r="D8" s="116" t="s">
        <v>88</v>
      </c>
      <c r="E8" s="116" t="s">
        <v>89</v>
      </c>
      <c r="G8" s="116" t="s">
        <v>90</v>
      </c>
      <c r="H8" s="116" t="s">
        <v>91</v>
      </c>
      <c r="I8" s="116" t="s">
        <v>89</v>
      </c>
    </row>
    <row r="9" spans="1:9" x14ac:dyDescent="0.25">
      <c r="A9" s="117"/>
      <c r="B9" s="118" t="s">
        <v>13</v>
      </c>
      <c r="C9" s="119" t="s">
        <v>92</v>
      </c>
      <c r="D9" s="119" t="s">
        <v>93</v>
      </c>
      <c r="E9" s="22" t="s">
        <v>94</v>
      </c>
      <c r="F9" s="120"/>
      <c r="G9" s="119" t="s">
        <v>95</v>
      </c>
      <c r="H9" s="119" t="s">
        <v>96</v>
      </c>
      <c r="I9" s="22" t="s">
        <v>97</v>
      </c>
    </row>
    <row r="10" spans="1:9" x14ac:dyDescent="0.25">
      <c r="A10" s="18"/>
      <c r="B10" s="4" t="str">
        <f>[1]PFIS!B8</f>
        <v>REVENUES</v>
      </c>
      <c r="C10" s="62"/>
      <c r="D10" s="62"/>
      <c r="E10" s="121"/>
      <c r="G10" s="62"/>
      <c r="H10" s="62"/>
      <c r="I10" s="121"/>
    </row>
    <row r="11" spans="1:9" x14ac:dyDescent="0.25">
      <c r="A11" s="18">
        <v>1</v>
      </c>
      <c r="B11" s="99" t="str">
        <f>[1]PFIS!B9</f>
        <v xml:space="preserve">Un-Metered Sales / Irrigation </v>
      </c>
      <c r="C11" s="122">
        <f>+'[1]Sch 2.1 Co Restating'!C11</f>
        <v>0</v>
      </c>
      <c r="D11" s="122">
        <f>+'[1]Sch 3.1 Staff Restating'!C11</f>
        <v>0</v>
      </c>
      <c r="E11" s="122">
        <f t="shared" ref="E11:E16" si="0">+D11-C11</f>
        <v>0</v>
      </c>
      <c r="F11" s="123"/>
      <c r="G11" s="122">
        <f>+'[1]Sch 2.2 Co ProForma'!C11</f>
        <v>0</v>
      </c>
      <c r="H11" s="122">
        <f>+'[1]Sch 3.2 Staff ProForma'!C11</f>
        <v>21261</v>
      </c>
      <c r="I11" s="122">
        <f t="shared" ref="I11:I16" si="1">+H11-G11</f>
        <v>21261</v>
      </c>
    </row>
    <row r="12" spans="1:9" x14ac:dyDescent="0.25">
      <c r="A12" s="18">
        <f t="shared" ref="A12:A64" si="2">1+A11</f>
        <v>2</v>
      </c>
      <c r="B12" s="99" t="str">
        <f>[1]PFIS!B10</f>
        <v xml:space="preserve">Metered Sales / Domestic </v>
      </c>
      <c r="C12" s="122">
        <f>+'[1]Sch 2.1 Co Restating'!C12</f>
        <v>0</v>
      </c>
      <c r="D12" s="122">
        <f>+'[1]Sch 3.1 Staff Restating'!C12</f>
        <v>-32316</v>
      </c>
      <c r="E12" s="122">
        <f t="shared" si="0"/>
        <v>-32316</v>
      </c>
      <c r="F12" s="123"/>
      <c r="G12" s="122">
        <f>+'[1]Sch 2.2 Co ProForma'!C12</f>
        <v>0</v>
      </c>
      <c r="H12" s="122">
        <f>+'[1]Sch 3.2 Staff ProForma'!C12</f>
        <v>0</v>
      </c>
      <c r="I12" s="122">
        <f>+H12-G12</f>
        <v>0</v>
      </c>
    </row>
    <row r="13" spans="1:9" x14ac:dyDescent="0.25">
      <c r="A13" s="18">
        <f t="shared" si="2"/>
        <v>3</v>
      </c>
      <c r="B13" s="99" t="str">
        <f>[1]PFIS!B11</f>
        <v>Ready-to-Serve</v>
      </c>
      <c r="C13" s="122">
        <f>+'[1]Sch 2.1 Co Restating'!C13</f>
        <v>0</v>
      </c>
      <c r="D13" s="122">
        <f>+'[1]Sch 3.1 Staff Restating'!C13</f>
        <v>0</v>
      </c>
      <c r="E13" s="122">
        <f t="shared" si="0"/>
        <v>0</v>
      </c>
      <c r="F13" s="123"/>
      <c r="G13" s="122">
        <f>+'[1]Sch 2.2 Co ProForma'!C13</f>
        <v>0</v>
      </c>
      <c r="H13" s="122">
        <f>+'[1]Sch 3.2 Staff ProForma'!C13</f>
        <v>0</v>
      </c>
      <c r="I13" s="122">
        <f t="shared" si="1"/>
        <v>0</v>
      </c>
    </row>
    <row r="14" spans="1:9" x14ac:dyDescent="0.25">
      <c r="A14" s="18">
        <f t="shared" si="2"/>
        <v>4</v>
      </c>
      <c r="B14" s="99" t="str">
        <f>[1]PFIS!B12</f>
        <v>Fire Protection / Irrigation</v>
      </c>
      <c r="C14" s="122">
        <f>+'[1]Sch 2.1 Co Restating'!C14</f>
        <v>0</v>
      </c>
      <c r="D14" s="122">
        <f>+'[1]Sch 3.1 Staff Restating'!C14</f>
        <v>0</v>
      </c>
      <c r="E14" s="122">
        <f t="shared" si="0"/>
        <v>0</v>
      </c>
      <c r="F14" s="123"/>
      <c r="G14" s="122">
        <f>+'[1]Sch 2.2 Co ProForma'!C14</f>
        <v>0</v>
      </c>
      <c r="H14" s="122">
        <f>+'[1]Sch 3.2 Staff ProForma'!C14</f>
        <v>0</v>
      </c>
      <c r="I14" s="122">
        <f t="shared" si="1"/>
        <v>0</v>
      </c>
    </row>
    <row r="15" spans="1:9" x14ac:dyDescent="0.25">
      <c r="A15" s="18">
        <f t="shared" si="2"/>
        <v>5</v>
      </c>
      <c r="B15" s="99" t="str">
        <f>[1]PFIS!B13</f>
        <v>Jobbing</v>
      </c>
      <c r="C15" s="122">
        <f>+'[1]Sch 2.1 Co Restating'!C15</f>
        <v>0</v>
      </c>
      <c r="D15" s="122">
        <f>+'[1]Sch 3.1 Staff Restating'!C15</f>
        <v>0</v>
      </c>
      <c r="E15" s="122">
        <f t="shared" si="0"/>
        <v>0</v>
      </c>
      <c r="F15" s="123"/>
      <c r="G15" s="122">
        <f>+'[1]Sch 2.2 Co ProForma'!C15</f>
        <v>0</v>
      </c>
      <c r="H15" s="122">
        <f>+'[1]Sch 3.2 Staff ProForma'!C15</f>
        <v>0</v>
      </c>
      <c r="I15" s="122">
        <f t="shared" si="1"/>
        <v>0</v>
      </c>
    </row>
    <row r="16" spans="1:9" ht="16.5" thickBot="1" x14ac:dyDescent="0.3">
      <c r="A16" s="18">
        <f t="shared" si="2"/>
        <v>6</v>
      </c>
      <c r="B16" s="99" t="str">
        <f>[1]PFIS!B14</f>
        <v>Other Income, Ancillary Charges (Hookup Charges)</v>
      </c>
      <c r="C16" s="122">
        <f>+'[1]Sch 2.1 Co Restating'!C16</f>
        <v>-40500</v>
      </c>
      <c r="D16" s="122">
        <f>+'[1]Sch 3.1 Staff Restating'!C16</f>
        <v>-40500</v>
      </c>
      <c r="E16" s="122">
        <f t="shared" si="0"/>
        <v>0</v>
      </c>
      <c r="F16" s="123"/>
      <c r="G16" s="122">
        <f>+'[1]Sch 2.2 Co ProForma'!C16</f>
        <v>0</v>
      </c>
      <c r="H16" s="122">
        <f>+'[1]Sch 3.2 Staff ProForma'!C16</f>
        <v>0</v>
      </c>
      <c r="I16" s="122">
        <f t="shared" si="1"/>
        <v>0</v>
      </c>
    </row>
    <row r="17" spans="1:9" ht="16.5" thickTop="1" x14ac:dyDescent="0.25">
      <c r="A17" s="18">
        <f t="shared" si="2"/>
        <v>7</v>
      </c>
      <c r="B17" s="99" t="str">
        <f>[1]PFIS!B15</f>
        <v>OPERATING REVENUE</v>
      </c>
      <c r="C17" s="124">
        <f>SUM(C11:C16)</f>
        <v>-40500</v>
      </c>
      <c r="D17" s="124">
        <f>SUM(D11:D16)</f>
        <v>-72816</v>
      </c>
      <c r="E17" s="124">
        <f>SUM(E11:E16)</f>
        <v>-32316</v>
      </c>
      <c r="F17" s="123"/>
      <c r="G17" s="124">
        <f>SUM(G11:G16)</f>
        <v>0</v>
      </c>
      <c r="H17" s="124">
        <f>SUM(H11:H16)</f>
        <v>21261</v>
      </c>
      <c r="I17" s="124">
        <f>SUM(I11:I16)</f>
        <v>21261</v>
      </c>
    </row>
    <row r="18" spans="1:9" x14ac:dyDescent="0.25">
      <c r="A18" s="18">
        <f t="shared" si="2"/>
        <v>8</v>
      </c>
      <c r="B18" s="99">
        <f>[1]PFIS!B16</f>
        <v>0</v>
      </c>
      <c r="C18" s="125"/>
      <c r="D18" s="125"/>
      <c r="E18" s="125"/>
      <c r="F18" s="125"/>
      <c r="G18" s="125"/>
      <c r="H18" s="125"/>
      <c r="I18" s="125"/>
    </row>
    <row r="19" spans="1:9" x14ac:dyDescent="0.25">
      <c r="A19" s="18">
        <f t="shared" si="2"/>
        <v>9</v>
      </c>
      <c r="B19" s="4" t="str">
        <f>[1]PFIS!B17</f>
        <v>EXPENSES</v>
      </c>
      <c r="C19" s="125"/>
      <c r="D19" s="125"/>
      <c r="E19" s="125"/>
      <c r="F19" s="125"/>
      <c r="G19" s="125"/>
      <c r="H19" s="125"/>
      <c r="I19" s="125"/>
    </row>
    <row r="20" spans="1:9" x14ac:dyDescent="0.25">
      <c r="A20" s="18">
        <f t="shared" si="2"/>
        <v>10</v>
      </c>
      <c r="B20" s="99" t="str">
        <f>[1]PFIS!B18</f>
        <v xml:space="preserve">Salary and Wages - Employees  </v>
      </c>
      <c r="C20" s="122">
        <f>+'[1]Sch 2.1 Co Restating'!C20</f>
        <v>-15029.579536423842</v>
      </c>
      <c r="D20" s="122">
        <f>+'[1]Sch 3.1 Staff Restating'!C20</f>
        <v>-14634.769536423843</v>
      </c>
      <c r="E20" s="122">
        <f t="shared" ref="E20:E43" si="3">+D20-C20</f>
        <v>394.80999999999949</v>
      </c>
      <c r="F20" s="123"/>
      <c r="G20" s="122">
        <f>+'[1]Sch 2.2 Co ProForma'!C20</f>
        <v>0</v>
      </c>
      <c r="H20" s="122">
        <f>+'[1]Sch 3.2 Staff ProForma'!C20</f>
        <v>0</v>
      </c>
      <c r="I20" s="122">
        <f t="shared" ref="I20:I43" si="4">+H20-G20</f>
        <v>0</v>
      </c>
    </row>
    <row r="21" spans="1:9" x14ac:dyDescent="0.25">
      <c r="A21" s="18">
        <f t="shared" si="2"/>
        <v>11</v>
      </c>
      <c r="B21" s="99" t="str">
        <f>[1]PFIS!B19</f>
        <v>Salary and Wages - Officers</v>
      </c>
      <c r="C21" s="122">
        <f>+'[1]Sch 2.1 Co Restating'!C21</f>
        <v>0</v>
      </c>
      <c r="D21" s="122">
        <f>+'[1]Sch 3.1 Staff Restating'!C21</f>
        <v>0</v>
      </c>
      <c r="E21" s="122">
        <f t="shared" si="3"/>
        <v>0</v>
      </c>
      <c r="F21" s="123"/>
      <c r="G21" s="122">
        <f>+'[1]Sch 2.2 Co ProForma'!C21</f>
        <v>0</v>
      </c>
      <c r="H21" s="122">
        <f>+'[1]Sch 3.2 Staff ProForma'!C21</f>
        <v>0</v>
      </c>
      <c r="I21" s="122">
        <f t="shared" si="4"/>
        <v>0</v>
      </c>
    </row>
    <row r="22" spans="1:9" x14ac:dyDescent="0.25">
      <c r="A22" s="18">
        <f t="shared" si="2"/>
        <v>12</v>
      </c>
      <c r="B22" s="99" t="str">
        <f>[1]PFIS!B20</f>
        <v>Employee Pensions and Benefits</v>
      </c>
      <c r="C22" s="122">
        <f>+'[1]Sch 2.1 Co Restating'!C22</f>
        <v>0</v>
      </c>
      <c r="D22" s="122">
        <f>+'[1]Sch 3.1 Staff Restating'!C22</f>
        <v>0</v>
      </c>
      <c r="E22" s="122">
        <f t="shared" si="3"/>
        <v>0</v>
      </c>
      <c r="F22" s="123"/>
      <c r="G22" s="122">
        <f>+'[1]Sch 2.2 Co ProForma'!C22</f>
        <v>0</v>
      </c>
      <c r="H22" s="122">
        <f>+'[1]Sch 3.2 Staff ProForma'!C22</f>
        <v>0</v>
      </c>
      <c r="I22" s="122">
        <f t="shared" si="4"/>
        <v>0</v>
      </c>
    </row>
    <row r="23" spans="1:9" x14ac:dyDescent="0.25">
      <c r="A23" s="18">
        <f t="shared" si="2"/>
        <v>13</v>
      </c>
      <c r="B23" s="99" t="str">
        <f>[1]PFIS!B21</f>
        <v>Purchased Power/Water</v>
      </c>
      <c r="C23" s="122">
        <f>+'[1]Sch 2.1 Co Restating'!C23</f>
        <v>15298</v>
      </c>
      <c r="D23" s="122">
        <f>+'[1]Sch 3.1 Staff Restating'!C23</f>
        <v>-10572</v>
      </c>
      <c r="E23" s="122">
        <f t="shared" si="3"/>
        <v>-25870</v>
      </c>
      <c r="F23" s="123"/>
      <c r="G23" s="122">
        <f>+'[1]Sch 2.2 Co ProForma'!C23</f>
        <v>3517</v>
      </c>
      <c r="H23" s="122">
        <f>+'[1]Sch 3.2 Staff ProForma'!C23</f>
        <v>22160.813481094094</v>
      </c>
      <c r="I23" s="122">
        <f t="shared" si="4"/>
        <v>18643.813481094094</v>
      </c>
    </row>
    <row r="24" spans="1:9" x14ac:dyDescent="0.25">
      <c r="A24" s="18">
        <f t="shared" si="2"/>
        <v>14</v>
      </c>
      <c r="B24" s="99" t="str">
        <f>[1]PFIS!B22</f>
        <v>Chemicals &amp; Testing</v>
      </c>
      <c r="C24" s="122">
        <f>+'[1]Sch 2.1 Co Restating'!C24</f>
        <v>0</v>
      </c>
      <c r="D24" s="122">
        <f>+'[1]Sch 3.1 Staff Restating'!C24</f>
        <v>-983</v>
      </c>
      <c r="E24" s="122">
        <f t="shared" si="3"/>
        <v>-983</v>
      </c>
      <c r="F24" s="123"/>
      <c r="G24" s="122">
        <f>+'[1]Sch 2.2 Co ProForma'!C24</f>
        <v>0</v>
      </c>
      <c r="H24" s="122">
        <f>+'[1]Sch 3.2 Staff ProForma'!C24</f>
        <v>0</v>
      </c>
      <c r="I24" s="122">
        <f t="shared" si="4"/>
        <v>0</v>
      </c>
    </row>
    <row r="25" spans="1:9" x14ac:dyDescent="0.25">
      <c r="A25" s="18">
        <f t="shared" si="2"/>
        <v>15</v>
      </c>
      <c r="B25" s="99" t="str">
        <f>[1]PFIS!B23</f>
        <v>Material &amp; Supplies</v>
      </c>
      <c r="C25" s="122">
        <f>+'[1]Sch 2.1 Co Restating'!C25</f>
        <v>0</v>
      </c>
      <c r="D25" s="122">
        <f>+'[1]Sch 3.1 Staff Restating'!C25</f>
        <v>-7076.1250000000009</v>
      </c>
      <c r="E25" s="122">
        <f t="shared" si="3"/>
        <v>-7076.1250000000009</v>
      </c>
      <c r="F25" s="123"/>
      <c r="G25" s="122">
        <f>+'[1]Sch 2.2 Co ProForma'!C25</f>
        <v>0</v>
      </c>
      <c r="H25" s="122">
        <f>+'[1]Sch 3.2 Staff ProForma'!C25</f>
        <v>0</v>
      </c>
      <c r="I25" s="122">
        <f t="shared" si="4"/>
        <v>0</v>
      </c>
    </row>
    <row r="26" spans="1:9" x14ac:dyDescent="0.25">
      <c r="A26" s="18">
        <f t="shared" si="2"/>
        <v>16</v>
      </c>
      <c r="B26" s="99" t="str">
        <f>[1]PFIS!B24</f>
        <v>Contractual Engineer</v>
      </c>
      <c r="C26" s="122">
        <f>+'[1]Sch 2.1 Co Restating'!C26</f>
        <v>0</v>
      </c>
      <c r="D26" s="122">
        <f>+'[1]Sch 3.1 Staff Restating'!C26</f>
        <v>0</v>
      </c>
      <c r="E26" s="122">
        <f t="shared" si="3"/>
        <v>0</v>
      </c>
      <c r="F26" s="123"/>
      <c r="G26" s="122">
        <f>+'[1]Sch 2.2 Co ProForma'!C26</f>
        <v>0</v>
      </c>
      <c r="H26" s="122">
        <f>+'[1]Sch 3.2 Staff ProForma'!C26</f>
        <v>0</v>
      </c>
      <c r="I26" s="122">
        <f t="shared" si="4"/>
        <v>0</v>
      </c>
    </row>
    <row r="27" spans="1:9" x14ac:dyDescent="0.25">
      <c r="A27" s="18">
        <f t="shared" si="2"/>
        <v>17</v>
      </c>
      <c r="B27" s="99" t="str">
        <f>[1]PFIS!B25</f>
        <v>Contractual Accounting</v>
      </c>
      <c r="C27" s="122">
        <f>+'[1]Sch 2.1 Co Restating'!C27</f>
        <v>0</v>
      </c>
      <c r="D27" s="122">
        <f>+'[1]Sch 3.1 Staff Restating'!C27</f>
        <v>-2746.0438161571856</v>
      </c>
      <c r="E27" s="122">
        <f t="shared" si="3"/>
        <v>-2746.0438161571856</v>
      </c>
      <c r="F27" s="123"/>
      <c r="G27" s="122">
        <f>+'[1]Sch 2.2 Co ProForma'!C27</f>
        <v>0</v>
      </c>
      <c r="H27" s="122">
        <f>+'[1]Sch 3.2 Staff ProForma'!C27</f>
        <v>0</v>
      </c>
      <c r="I27" s="122">
        <f t="shared" si="4"/>
        <v>0</v>
      </c>
    </row>
    <row r="28" spans="1:9" x14ac:dyDescent="0.25">
      <c r="A28" s="18">
        <f t="shared" si="2"/>
        <v>18</v>
      </c>
      <c r="B28" s="99" t="str">
        <f>[1]PFIS!B26</f>
        <v>Contractual Legal</v>
      </c>
      <c r="C28" s="122">
        <f>+'[1]Sch 2.1 Co Restating'!C28</f>
        <v>0</v>
      </c>
      <c r="D28" s="122">
        <f>+'[1]Sch 3.1 Staff Restating'!C28</f>
        <v>-13322.75</v>
      </c>
      <c r="E28" s="122">
        <f t="shared" si="3"/>
        <v>-13322.75</v>
      </c>
      <c r="F28" s="123"/>
      <c r="G28" s="122">
        <f>+'[1]Sch 2.2 Co ProForma'!C28</f>
        <v>0</v>
      </c>
      <c r="H28" s="122">
        <f>+'[1]Sch 3.2 Staff ProForma'!C28</f>
        <v>1582.2750000000001</v>
      </c>
      <c r="I28" s="122">
        <f t="shared" si="4"/>
        <v>1582.2750000000001</v>
      </c>
    </row>
    <row r="29" spans="1:9" x14ac:dyDescent="0.25">
      <c r="A29" s="18">
        <f t="shared" si="2"/>
        <v>19</v>
      </c>
      <c r="B29" s="99" t="str">
        <f>[1]PFIS!B27</f>
        <v>Contractual Operations</v>
      </c>
      <c r="C29" s="122">
        <f>+'[1]Sch 2.1 Co Restating'!C29</f>
        <v>0</v>
      </c>
      <c r="D29" s="122">
        <f>+'[1]Sch 3.1 Staff Restating'!C29</f>
        <v>-7596.28</v>
      </c>
      <c r="E29" s="122">
        <f t="shared" si="3"/>
        <v>-7596.28</v>
      </c>
      <c r="F29" s="123"/>
      <c r="G29" s="122">
        <f>+'[1]Sch 2.2 Co ProForma'!C29</f>
        <v>0</v>
      </c>
      <c r="H29" s="122">
        <f>+'[1]Sch 3.2 Staff ProForma'!C29</f>
        <v>632.37799999999993</v>
      </c>
      <c r="I29" s="122">
        <f t="shared" si="4"/>
        <v>632.37799999999993</v>
      </c>
    </row>
    <row r="30" spans="1:9" x14ac:dyDescent="0.25">
      <c r="A30" s="18">
        <f t="shared" si="2"/>
        <v>20</v>
      </c>
      <c r="B30" s="99" t="str">
        <f>[1]PFIS!B28</f>
        <v>Jobbing</v>
      </c>
      <c r="C30" s="122">
        <f>+'[1]Sch 2.1 Co Restating'!C30</f>
        <v>0</v>
      </c>
      <c r="D30" s="122">
        <f>+'[1]Sch 3.1 Staff Restating'!C30</f>
        <v>0</v>
      </c>
      <c r="E30" s="122">
        <f t="shared" si="3"/>
        <v>0</v>
      </c>
      <c r="F30" s="123"/>
      <c r="G30" s="122">
        <f>+'[1]Sch 2.2 Co ProForma'!C30</f>
        <v>0</v>
      </c>
      <c r="H30" s="122">
        <f>+'[1]Sch 3.2 Staff ProForma'!C30</f>
        <v>0</v>
      </c>
      <c r="I30" s="122">
        <f t="shared" si="4"/>
        <v>0</v>
      </c>
    </row>
    <row r="31" spans="1:9" x14ac:dyDescent="0.25">
      <c r="A31" s="18">
        <f t="shared" si="2"/>
        <v>21</v>
      </c>
      <c r="B31" s="99" t="str">
        <f>[1]PFIS!B29</f>
        <v>Rental of Building, Property, and Equipment</v>
      </c>
      <c r="C31" s="122">
        <f>+'[1]Sch 2.1 Co Restating'!C31</f>
        <v>0</v>
      </c>
      <c r="D31" s="122">
        <f>+'[1]Sch 3.1 Staff Restating'!C31</f>
        <v>-2680.6278026905829</v>
      </c>
      <c r="E31" s="122">
        <f t="shared" si="3"/>
        <v>-2680.6278026905829</v>
      </c>
      <c r="F31" s="123"/>
      <c r="G31" s="122">
        <f>+'[1]Sch 2.2 Co ProForma'!C31</f>
        <v>0</v>
      </c>
      <c r="H31" s="122">
        <f>+'[1]Sch 3.2 Staff ProForma'!C31</f>
        <v>0</v>
      </c>
      <c r="I31" s="122">
        <f t="shared" si="4"/>
        <v>0</v>
      </c>
    </row>
    <row r="32" spans="1:9" x14ac:dyDescent="0.25">
      <c r="A32" s="18">
        <f t="shared" si="2"/>
        <v>22</v>
      </c>
      <c r="B32" s="99" t="str">
        <f>[1]PFIS!B30</f>
        <v>Transportation</v>
      </c>
      <c r="C32" s="122">
        <f>+'[1]Sch 2.1 Co Restating'!C32</f>
        <v>0</v>
      </c>
      <c r="D32" s="122">
        <f>+'[1]Sch 3.1 Staff Restating'!C32</f>
        <v>-1633</v>
      </c>
      <c r="E32" s="122">
        <f t="shared" si="3"/>
        <v>-1633</v>
      </c>
      <c r="F32" s="123"/>
      <c r="G32" s="122">
        <f>+'[1]Sch 2.2 Co ProForma'!C32</f>
        <v>0</v>
      </c>
      <c r="H32" s="122">
        <f>+'[1]Sch 3.2 Staff ProForma'!C32</f>
        <v>0</v>
      </c>
      <c r="I32" s="122">
        <f t="shared" si="4"/>
        <v>0</v>
      </c>
    </row>
    <row r="33" spans="1:9" x14ac:dyDescent="0.25">
      <c r="A33" s="18">
        <f t="shared" si="2"/>
        <v>23</v>
      </c>
      <c r="B33" s="99" t="str">
        <f>[1]PFIS!B31</f>
        <v>Insurance - Vehicle, General Liability, Workman's Comp.</v>
      </c>
      <c r="C33" s="122">
        <f>+'[1]Sch 2.1 Co Restating'!C33</f>
        <v>0</v>
      </c>
      <c r="D33" s="122">
        <f>+'[1]Sch 3.1 Staff Restating'!C33</f>
        <v>-1301.7673600000001</v>
      </c>
      <c r="E33" s="122">
        <f t="shared" si="3"/>
        <v>-1301.7673600000001</v>
      </c>
      <c r="F33" s="123"/>
      <c r="G33" s="122">
        <f>+'[1]Sch 2.2 Co ProForma'!C33</f>
        <v>0</v>
      </c>
      <c r="H33" s="122">
        <f>+'[1]Sch 3.2 Staff ProForma'!C33</f>
        <v>0</v>
      </c>
      <c r="I33" s="122">
        <f t="shared" si="4"/>
        <v>0</v>
      </c>
    </row>
    <row r="34" spans="1:9" x14ac:dyDescent="0.25">
      <c r="A34" s="18">
        <f t="shared" si="2"/>
        <v>24</v>
      </c>
      <c r="B34" s="99" t="str">
        <f>[1]PFIS!B32</f>
        <v>Regulatory Commission Expenses - Fees</v>
      </c>
      <c r="C34" s="122">
        <f>+'[1]Sch 2.1 Co Restating'!C34</f>
        <v>47.004100000000001</v>
      </c>
      <c r="D34" s="122">
        <f>+'[1]Sch 3.1 Staff Restating'!C34</f>
        <v>47.004100000000001</v>
      </c>
      <c r="E34" s="122">
        <f t="shared" si="3"/>
        <v>0</v>
      </c>
      <c r="F34" s="123"/>
      <c r="G34" s="122">
        <f>+'[1]Sch 2.2 Co ProForma'!C34</f>
        <v>40.395900000000005</v>
      </c>
      <c r="H34" s="122">
        <f>+'[1]Sch 3.2 Staff ProForma'!C34</f>
        <v>40.395900000000005</v>
      </c>
      <c r="I34" s="122">
        <f t="shared" si="4"/>
        <v>0</v>
      </c>
    </row>
    <row r="35" spans="1:9" x14ac:dyDescent="0.25">
      <c r="A35" s="18">
        <f t="shared" si="2"/>
        <v>25</v>
      </c>
      <c r="B35" s="99" t="str">
        <f>[1]PFIS!B33</f>
        <v>Regulatory Commission Expenses - Amort. Rate Case</v>
      </c>
      <c r="C35" s="122">
        <f>+'[1]Sch 2.1 Co Restating'!C35</f>
        <v>0</v>
      </c>
      <c r="D35" s="122">
        <f>+'[1]Sch 3.1 Staff Restating'!C35</f>
        <v>0</v>
      </c>
      <c r="E35" s="122">
        <f t="shared" si="3"/>
        <v>0</v>
      </c>
      <c r="F35" s="123"/>
      <c r="G35" s="122">
        <f>+'[1]Sch 2.2 Co ProForma'!C35</f>
        <v>3334</v>
      </c>
      <c r="H35" s="122">
        <f>+'[1]Sch 3.2 Staff ProForma'!C35</f>
        <v>3845.8333333333335</v>
      </c>
      <c r="I35" s="122">
        <f t="shared" si="4"/>
        <v>511.83333333333348</v>
      </c>
    </row>
    <row r="36" spans="1:9" x14ac:dyDescent="0.25">
      <c r="A36" s="18">
        <f t="shared" si="2"/>
        <v>26</v>
      </c>
      <c r="B36" s="99" t="str">
        <f>[1]PFIS!B34</f>
        <v>Travel, Education, CCR, and Public Relations</v>
      </c>
      <c r="C36" s="122">
        <f>+'[1]Sch 2.1 Co Restating'!C36</f>
        <v>0</v>
      </c>
      <c r="D36" s="122">
        <f>+'[1]Sch 3.1 Staff Restating'!C36</f>
        <v>-202</v>
      </c>
      <c r="E36" s="122">
        <f t="shared" si="3"/>
        <v>-202</v>
      </c>
      <c r="F36" s="123"/>
      <c r="G36" s="122">
        <f>+'[1]Sch 2.2 Co ProForma'!C36</f>
        <v>0</v>
      </c>
      <c r="H36" s="122">
        <f>+'[1]Sch 3.2 Staff ProForma'!C36</f>
        <v>0</v>
      </c>
      <c r="I36" s="122">
        <f t="shared" si="4"/>
        <v>0</v>
      </c>
    </row>
    <row r="37" spans="1:9" x14ac:dyDescent="0.25">
      <c r="A37" s="18">
        <f t="shared" si="2"/>
        <v>27</v>
      </c>
      <c r="B37" s="99" t="str">
        <f>[1]PFIS!B35</f>
        <v>Office, Postage, Phone, and Bank Charges</v>
      </c>
      <c r="C37" s="122">
        <f>+'[1]Sch 2.1 Co Restating'!C37</f>
        <v>0</v>
      </c>
      <c r="D37" s="122">
        <f>+'[1]Sch 3.1 Staff Restating'!C37</f>
        <v>-2470.75</v>
      </c>
      <c r="E37" s="122">
        <f t="shared" si="3"/>
        <v>-2470.75</v>
      </c>
      <c r="F37" s="123"/>
      <c r="G37" s="122">
        <f>+'[1]Sch 2.2 Co ProForma'!C37</f>
        <v>0</v>
      </c>
      <c r="H37" s="122">
        <f>+'[1]Sch 3.2 Staff ProForma'!C37</f>
        <v>98.258522727272776</v>
      </c>
      <c r="I37" s="122">
        <f t="shared" si="4"/>
        <v>98.258522727272776</v>
      </c>
    </row>
    <row r="38" spans="1:9" x14ac:dyDescent="0.25">
      <c r="A38" s="18">
        <f t="shared" si="2"/>
        <v>28</v>
      </c>
      <c r="B38" s="99" t="str">
        <f>[1]PFIS!B36</f>
        <v>Bad Debt</v>
      </c>
      <c r="C38" s="122">
        <f>+'[1]Sch 2.1 Co Restating'!C38</f>
        <v>37.108499999999999</v>
      </c>
      <c r="D38" s="122">
        <f>+'[1]Sch 3.1 Staff Restating'!C38</f>
        <v>37.108499999999999</v>
      </c>
      <c r="E38" s="122">
        <f t="shared" si="3"/>
        <v>0</v>
      </c>
      <c r="F38" s="123"/>
      <c r="G38" s="122">
        <f>+'[1]Sch 2.2 Co ProForma'!C38</f>
        <v>31.891500000000001</v>
      </c>
      <c r="H38" s="122">
        <f>+'[1]Sch 3.2 Staff ProForma'!C38</f>
        <v>31.891500000000001</v>
      </c>
      <c r="I38" s="122">
        <f t="shared" si="4"/>
        <v>0</v>
      </c>
    </row>
    <row r="39" spans="1:9" x14ac:dyDescent="0.25">
      <c r="A39" s="18">
        <f t="shared" si="2"/>
        <v>29</v>
      </c>
      <c r="B39" s="99" t="str">
        <f>[1]PFIS!B37</f>
        <v>Repairs</v>
      </c>
      <c r="C39" s="122">
        <f>+'[1]Sch 2.1 Co Restating'!C39</f>
        <v>0</v>
      </c>
      <c r="D39" s="122">
        <f>+'[1]Sch 3.1 Staff Restating'!C39</f>
        <v>-4543.0000000000009</v>
      </c>
      <c r="E39" s="122">
        <f t="shared" si="3"/>
        <v>-4543.0000000000009</v>
      </c>
      <c r="F39" s="123"/>
      <c r="G39" s="122">
        <f>+'[1]Sch 2.2 Co ProForma'!C39</f>
        <v>0</v>
      </c>
      <c r="H39" s="122">
        <f>+'[1]Sch 3.2 Staff ProForma'!C39</f>
        <v>0</v>
      </c>
      <c r="I39" s="122">
        <f t="shared" si="4"/>
        <v>0</v>
      </c>
    </row>
    <row r="40" spans="1:9" x14ac:dyDescent="0.25">
      <c r="A40" s="18">
        <f t="shared" si="2"/>
        <v>30</v>
      </c>
      <c r="B40" s="99" t="str">
        <f>[1]PFIS!B38</f>
        <v>Net Depreciation/Amortization</v>
      </c>
      <c r="C40" s="122">
        <f>+'[1]Sch 2.1 Co Restating'!C40</f>
        <v>35461</v>
      </c>
      <c r="D40" s="122">
        <f>+'[1]Sch 3.1 Staff Restating'!C40</f>
        <v>-3491.3917473333331</v>
      </c>
      <c r="E40" s="122">
        <f t="shared" si="3"/>
        <v>-38952.391747333335</v>
      </c>
      <c r="F40" s="123"/>
      <c r="G40" s="122">
        <f>+'[1]Sch 2.2 Co ProForma'!C40</f>
        <v>0</v>
      </c>
      <c r="H40" s="122">
        <f>+'[1]Sch 3.2 Staff ProForma'!C40</f>
        <v>1372.2548333333334</v>
      </c>
      <c r="I40" s="122">
        <f t="shared" si="4"/>
        <v>1372.2548333333334</v>
      </c>
    </row>
    <row r="41" spans="1:9" x14ac:dyDescent="0.25">
      <c r="A41" s="18">
        <f t="shared" si="2"/>
        <v>31</v>
      </c>
      <c r="B41" s="99" t="str">
        <f>[1]PFIS!B39</f>
        <v>Utility Excise Tax</v>
      </c>
      <c r="C41" s="122">
        <f>+'[1]Sch 2.1 Co Restating'!C41</f>
        <v>-255.70404999999892</v>
      </c>
      <c r="D41" s="122">
        <f>+'[1]Sch 3.1 Staff Restating'!C41</f>
        <v>-255.70404999999892</v>
      </c>
      <c r="E41" s="122">
        <f t="shared" si="3"/>
        <v>0</v>
      </c>
      <c r="F41" s="123"/>
      <c r="G41" s="122">
        <f>+'[1]Sch 2.2 Co ProForma'!C41</f>
        <v>-555.95595000000048</v>
      </c>
      <c r="H41" s="122">
        <f>+'[1]Sch 3.2 Staff ProForma'!C41</f>
        <v>-555.95595000000048</v>
      </c>
      <c r="I41" s="122">
        <f t="shared" si="4"/>
        <v>0</v>
      </c>
    </row>
    <row r="42" spans="1:9" x14ac:dyDescent="0.25">
      <c r="A42" s="18">
        <f t="shared" si="2"/>
        <v>32</v>
      </c>
      <c r="B42" s="99" t="str">
        <f>[1]PFIS!B40</f>
        <v>Property Tax</v>
      </c>
      <c r="C42" s="122">
        <f>+'[1]Sch 2.1 Co Restating'!C42</f>
        <v>0</v>
      </c>
      <c r="D42" s="122">
        <f>+'[1]Sch 3.1 Staff Restating'!C42</f>
        <v>0</v>
      </c>
      <c r="E42" s="122">
        <f t="shared" si="3"/>
        <v>0</v>
      </c>
      <c r="F42" s="123"/>
      <c r="G42" s="122">
        <f>+'[1]Sch 2.2 Co ProForma'!C42</f>
        <v>0</v>
      </c>
      <c r="H42" s="122">
        <f>+'[1]Sch 3.2 Staff ProForma'!C42</f>
        <v>0</v>
      </c>
      <c r="I42" s="122">
        <f t="shared" si="4"/>
        <v>0</v>
      </c>
    </row>
    <row r="43" spans="1:9" x14ac:dyDescent="0.25">
      <c r="A43" s="18">
        <f t="shared" si="2"/>
        <v>33</v>
      </c>
      <c r="B43" s="99" t="str">
        <f>[1]PFIS!B41</f>
        <v xml:space="preserve">Payroll Tax  </v>
      </c>
      <c r="C43" s="122">
        <f>+'[1]Sch 2.1 Co Restating'!C43</f>
        <v>-1707.3346490066228</v>
      </c>
      <c r="D43" s="122">
        <f>+'[1]Sch 3.1 Staff Restating'!C43</f>
        <v>-1728.5321748109682</v>
      </c>
      <c r="E43" s="122">
        <f t="shared" si="3"/>
        <v>-21.197525804345332</v>
      </c>
      <c r="F43" s="123"/>
      <c r="G43" s="122">
        <f>+'[1]Sch 2.2 Co ProForma'!C43</f>
        <v>21.197525804345446</v>
      </c>
      <c r="H43" s="122">
        <f>+'[1]Sch 3.2 Staff ProForma'!C43</f>
        <v>0</v>
      </c>
      <c r="I43" s="122">
        <f t="shared" si="4"/>
        <v>-21.197525804345446</v>
      </c>
    </row>
    <row r="44" spans="1:9" x14ac:dyDescent="0.25">
      <c r="A44" s="18">
        <f t="shared" si="2"/>
        <v>34</v>
      </c>
      <c r="B44" s="99" t="str">
        <f>[1]PFIS!B42</f>
        <v>Other Taxes &amp; Licenses (DOH/PWB/ESD/DOE)</v>
      </c>
      <c r="C44" s="122">
        <f>+'[1]Sch 2.1 Co Restating'!C44</f>
        <v>0</v>
      </c>
      <c r="D44" s="122">
        <f>+'[1]Sch 3.1 Staff Restating'!C44</f>
        <v>-406</v>
      </c>
      <c r="E44" s="122">
        <f>+D44-C44</f>
        <v>-406</v>
      </c>
      <c r="F44" s="123"/>
      <c r="G44" s="122">
        <f>+'[1]Sch 2.2 Co ProForma'!C44</f>
        <v>0</v>
      </c>
      <c r="H44" s="122">
        <f>+'[1]Sch 3.2 Staff ProForma'!C44</f>
        <v>0</v>
      </c>
      <c r="I44" s="122">
        <f>+H44-G44</f>
        <v>0</v>
      </c>
    </row>
    <row r="45" spans="1:9" ht="16.5" thickBot="1" x14ac:dyDescent="0.3">
      <c r="A45" s="18">
        <f t="shared" si="2"/>
        <v>35</v>
      </c>
      <c r="B45" s="99" t="str">
        <f>[1]PFIS!B43</f>
        <v>Miscellaneous</v>
      </c>
      <c r="C45" s="122">
        <f>+'[1]Sch 2.1 Co Restating'!C45</f>
        <v>0</v>
      </c>
      <c r="D45" s="122">
        <f>+'[1]Sch 3.1 Staff Restating'!C45</f>
        <v>0</v>
      </c>
      <c r="E45" s="122">
        <f>+D45-C45</f>
        <v>0</v>
      </c>
      <c r="F45" s="123"/>
      <c r="G45" s="122">
        <f>+'[1]Sch 2.2 Co ProForma'!C45</f>
        <v>0</v>
      </c>
      <c r="H45" s="122">
        <f>+'[1]Sch 3.2 Staff ProForma'!C45</f>
        <v>0</v>
      </c>
      <c r="I45" s="122">
        <f>+H45-G45</f>
        <v>0</v>
      </c>
    </row>
    <row r="46" spans="1:9" ht="16.5" thickTop="1" x14ac:dyDescent="0.25">
      <c r="A46" s="18">
        <f t="shared" si="2"/>
        <v>36</v>
      </c>
      <c r="B46" s="99" t="str">
        <f>[1]PFIS!B44</f>
        <v>OPERATING EXPENSES</v>
      </c>
      <c r="C46" s="124">
        <f>SUM(C20:C45)</f>
        <v>33850.494364569531</v>
      </c>
      <c r="D46" s="124">
        <f>SUM(D20:D45)</f>
        <v>-75559.628887415922</v>
      </c>
      <c r="E46" s="124">
        <f>SUM(E20:E45)</f>
        <v>-109410.12325198544</v>
      </c>
      <c r="F46" s="123"/>
      <c r="G46" s="124">
        <f>SUM(G20:G45)</f>
        <v>6388.5289758043446</v>
      </c>
      <c r="H46" s="124">
        <f>SUM(H20:H45)</f>
        <v>29208.144620488034</v>
      </c>
      <c r="I46" s="124">
        <f>SUM(I20:I45)</f>
        <v>22819.615644683687</v>
      </c>
    </row>
    <row r="47" spans="1:9" x14ac:dyDescent="0.25">
      <c r="A47" s="18">
        <f t="shared" si="2"/>
        <v>37</v>
      </c>
      <c r="B47" s="99">
        <f>[1]PFIS!B45</f>
        <v>0</v>
      </c>
      <c r="C47" s="123"/>
      <c r="D47" s="123"/>
      <c r="E47" s="123"/>
      <c r="F47" s="123"/>
      <c r="G47" s="123"/>
      <c r="H47" s="123"/>
      <c r="I47" s="123"/>
    </row>
    <row r="48" spans="1:9" x14ac:dyDescent="0.25">
      <c r="A48" s="18">
        <f t="shared" si="2"/>
        <v>38</v>
      </c>
      <c r="B48" s="114" t="str">
        <f>[1]PFIS!B46</f>
        <v>Operating Incom before Taxes</v>
      </c>
      <c r="C48" s="122">
        <f>+C17-C46</f>
        <v>-74350.494364569531</v>
      </c>
      <c r="D48" s="122">
        <f>+D17-D46</f>
        <v>2743.6288874159218</v>
      </c>
      <c r="E48" s="122">
        <f>+E17-E46</f>
        <v>77094.123251985438</v>
      </c>
      <c r="F48" s="123"/>
      <c r="G48" s="122">
        <f>+G17-G46</f>
        <v>-6388.5289758043446</v>
      </c>
      <c r="H48" s="122">
        <f>+H17-H46</f>
        <v>-7947.144620488034</v>
      </c>
      <c r="I48" s="122">
        <f>+I17-I46</f>
        <v>-1558.6156446836867</v>
      </c>
    </row>
    <row r="49" spans="1:44" x14ac:dyDescent="0.25">
      <c r="A49" s="18">
        <f t="shared" si="2"/>
        <v>39</v>
      </c>
      <c r="B49" s="99" t="str">
        <f>[1]PFIS!B47</f>
        <v>Interest Expense</v>
      </c>
      <c r="C49" s="122">
        <f>+'[1]Sch 2.1 Co Restating'!C49</f>
        <v>0</v>
      </c>
      <c r="D49" s="122">
        <f>+'[1]Sch 3.1 Staff Restating'!C49</f>
        <v>0</v>
      </c>
      <c r="E49" s="122">
        <f>+D49-C49</f>
        <v>0</v>
      </c>
      <c r="F49" s="123"/>
      <c r="G49" s="122">
        <f>+'[1]Sch 2.2 Co ProForma'!C49</f>
        <v>0</v>
      </c>
      <c r="H49" s="122">
        <f>+'[1]Sch 3.2 Staff ProForma'!C49</f>
        <v>6632.111183745279</v>
      </c>
      <c r="I49" s="122">
        <f>+H49-G49</f>
        <v>6632.111183745279</v>
      </c>
    </row>
    <row r="50" spans="1:44" x14ac:dyDescent="0.25">
      <c r="A50" s="18">
        <f t="shared" si="2"/>
        <v>40</v>
      </c>
      <c r="B50" s="99" t="str">
        <f>[1]PFIS!B48</f>
        <v>Fed Income Tax - 15%</v>
      </c>
      <c r="C50" s="122">
        <f>+'[1]Sch 2.1 Co Restating'!C50</f>
        <v>0</v>
      </c>
      <c r="D50" s="122">
        <f>+'[1]Sch 3.1 Staff Restating'!C50</f>
        <v>0</v>
      </c>
      <c r="E50" s="122">
        <f>+D50-C50</f>
        <v>0</v>
      </c>
      <c r="F50" s="123"/>
      <c r="G50" s="122">
        <f>+'[1]Sch 2.2 Co ProForma'!C50</f>
        <v>0</v>
      </c>
      <c r="H50" s="122">
        <f>+'[1]Sch 3.2 Staff ProForma'!C50</f>
        <v>-2202.6940375226109</v>
      </c>
      <c r="I50" s="122">
        <f>+H50-G50</f>
        <v>-2202.6940375226109</v>
      </c>
    </row>
    <row r="51" spans="1:44" ht="16.5" thickBot="1" x14ac:dyDescent="0.3">
      <c r="A51" s="18">
        <f t="shared" si="2"/>
        <v>41</v>
      </c>
      <c r="B51" s="99" t="str">
        <f>[1]PFIS!B49</f>
        <v>TOTAL OPERATING EXPENSE</v>
      </c>
      <c r="C51" s="122">
        <f>+C46+C49+C50</f>
        <v>33850.494364569531</v>
      </c>
      <c r="D51" s="122">
        <f>+D46+D49+D50</f>
        <v>-75559.628887415922</v>
      </c>
      <c r="E51" s="122">
        <f>+E46+E49+E50</f>
        <v>-109410.12325198544</v>
      </c>
      <c r="F51" s="123"/>
      <c r="G51" s="126">
        <f>+G46+G49+G50</f>
        <v>6388.5289758043446</v>
      </c>
      <c r="H51" s="122">
        <f>+H46+H49+H50</f>
        <v>33637.5617667107</v>
      </c>
      <c r="I51" s="127">
        <f>+I46+I49+I50</f>
        <v>27249.032790906356</v>
      </c>
    </row>
    <row r="52" spans="1:44" ht="16.5" thickTop="1" x14ac:dyDescent="0.25">
      <c r="A52" s="18">
        <f t="shared" si="2"/>
        <v>42</v>
      </c>
      <c r="B52" s="99" t="str">
        <f>[1]PFIS!B50</f>
        <v>NET INCOME (LOSS)</v>
      </c>
      <c r="C52" s="128">
        <f>+C17-C51</f>
        <v>-74350.494364569531</v>
      </c>
      <c r="D52" s="129">
        <f>+D17-D51</f>
        <v>2743.6288874159218</v>
      </c>
      <c r="E52" s="129">
        <f>+E17-E51</f>
        <v>77094.123251985438</v>
      </c>
      <c r="F52" s="123"/>
      <c r="G52" s="129">
        <f>+G17-G51</f>
        <v>-6388.5289758043446</v>
      </c>
      <c r="H52" s="129">
        <f>+H17-H51</f>
        <v>-12376.5617667107</v>
      </c>
      <c r="I52" s="128">
        <f>+I17-I51</f>
        <v>-5988.0327909063562</v>
      </c>
    </row>
    <row r="53" spans="1:44" x14ac:dyDescent="0.25">
      <c r="A53" s="18">
        <f t="shared" si="2"/>
        <v>43</v>
      </c>
      <c r="B53" s="99" t="str">
        <f>[1]PFIS!B51</f>
        <v>NET OPERATING INCOME</v>
      </c>
      <c r="C53" s="130">
        <f>+C48-C50</f>
        <v>-74350.494364569531</v>
      </c>
      <c r="D53" s="131">
        <f>+D48-D50</f>
        <v>2743.6288874159218</v>
      </c>
      <c r="E53" s="131">
        <f>+E48-E50</f>
        <v>77094.123251985438</v>
      </c>
      <c r="F53" s="123"/>
      <c r="G53" s="131">
        <f>+G48-G50</f>
        <v>-6388.5289758043446</v>
      </c>
      <c r="H53" s="131">
        <f>+H48-H50</f>
        <v>-5744.4505829654227</v>
      </c>
      <c r="I53" s="130">
        <f>+I48-I50</f>
        <v>644.07839283892417</v>
      </c>
    </row>
    <row r="54" spans="1:44" x14ac:dyDescent="0.25">
      <c r="A54" s="18">
        <f t="shared" si="2"/>
        <v>44</v>
      </c>
      <c r="B54" s="99">
        <f>[1]PFIS!B52</f>
        <v>0</v>
      </c>
      <c r="C54" s="122"/>
      <c r="D54" s="122"/>
      <c r="E54" s="122"/>
      <c r="F54" s="123"/>
      <c r="G54" s="122"/>
      <c r="H54" s="122"/>
      <c r="I54" s="122"/>
    </row>
    <row r="55" spans="1:44" x14ac:dyDescent="0.25">
      <c r="A55" s="18">
        <f t="shared" si="2"/>
        <v>45</v>
      </c>
      <c r="B55" s="132" t="str">
        <f>[1]PFIS!B53</f>
        <v>RATE BASE</v>
      </c>
      <c r="C55" s="122"/>
      <c r="D55" s="122"/>
      <c r="E55" s="122"/>
      <c r="F55" s="123"/>
      <c r="G55" s="122"/>
      <c r="H55" s="122"/>
      <c r="I55" s="122"/>
    </row>
    <row r="56" spans="1:44" x14ac:dyDescent="0.25">
      <c r="A56" s="18">
        <f t="shared" si="2"/>
        <v>46</v>
      </c>
      <c r="B56" s="99" t="str">
        <f>[1]PFIS!B54</f>
        <v>Utility Plant in Service (UPIS)</v>
      </c>
      <c r="C56" s="122">
        <f>+'[1]Sch 2.1 Co Restating'!C56</f>
        <v>0</v>
      </c>
      <c r="D56" s="122">
        <f>+'[1]Sch 3.1 Staff Restating'!C56</f>
        <v>-1444175.9351948765</v>
      </c>
      <c r="E56" s="122">
        <f>+D56-C56</f>
        <v>-1444175.9351948765</v>
      </c>
      <c r="F56" s="123"/>
      <c r="G56" s="122">
        <f>+'[1]Sch 2.2 Co ProForma'!C56</f>
        <v>0</v>
      </c>
      <c r="H56" s="122">
        <f>+'[1]Sch 3.2 Staff ProForma'!C56</f>
        <v>6331.4174999999996</v>
      </c>
      <c r="I56" s="122">
        <f>+H56-G56</f>
        <v>6331.4174999999996</v>
      </c>
    </row>
    <row r="57" spans="1:44" x14ac:dyDescent="0.25">
      <c r="A57" s="18">
        <f t="shared" si="2"/>
        <v>47</v>
      </c>
      <c r="B57" s="99" t="str">
        <f>[1]PFIS!B55</f>
        <v xml:space="preserve">    Accumulated Depreciation</v>
      </c>
      <c r="C57" s="122">
        <f>+'[1]Sch 2.1 Co Restating'!C57</f>
        <v>0</v>
      </c>
      <c r="D57" s="122">
        <f>+'[1]Sch 3.1 Staff Restating'!C57</f>
        <v>145863.69983764371</v>
      </c>
      <c r="E57" s="122">
        <f>+D57-C57</f>
        <v>145863.69983764371</v>
      </c>
      <c r="F57" s="123"/>
      <c r="G57" s="122">
        <f>+'[1]Sch 2.2 Co ProForma'!C57</f>
        <v>0</v>
      </c>
      <c r="H57" s="122">
        <f>+'[1]Sch 3.2 Staff ProForma'!C57</f>
        <v>-1372.2548333333334</v>
      </c>
      <c r="I57" s="122">
        <f>+H57-G57</f>
        <v>-1372.2548333333334</v>
      </c>
      <c r="AR57" s="113">
        <v>0</v>
      </c>
    </row>
    <row r="58" spans="1:44" x14ac:dyDescent="0.25">
      <c r="A58" s="18">
        <f>1+A57</f>
        <v>48</v>
      </c>
      <c r="B58" s="99" t="str">
        <f>[1]PFIS!B56</f>
        <v>Acquisition Adjustment</v>
      </c>
      <c r="C58" s="122">
        <f>+'[1]Sch 2.1 Co Restating'!C58</f>
        <v>0</v>
      </c>
      <c r="D58" s="122">
        <f>+'[1]Sch 3.1 Staff Restating'!C58</f>
        <v>0</v>
      </c>
      <c r="E58" s="122">
        <f>+D58-C58</f>
        <v>0</v>
      </c>
      <c r="F58" s="123"/>
      <c r="G58" s="122">
        <f>+'[1]Sch 2.2 Co ProForma'!C58</f>
        <v>0</v>
      </c>
      <c r="H58" s="122">
        <f>+'[1]Sch 3.2 Staff ProForma'!C58</f>
        <v>0</v>
      </c>
      <c r="I58" s="122">
        <f>+H58-G58</f>
        <v>0</v>
      </c>
    </row>
    <row r="59" spans="1:44" x14ac:dyDescent="0.25">
      <c r="A59" s="18">
        <f>1+A58</f>
        <v>49</v>
      </c>
      <c r="B59" s="99" t="str">
        <f>[1]PFIS!B57</f>
        <v>Contributions In Aid of Construction (CIAC) Plant in Service</v>
      </c>
      <c r="C59" s="122">
        <f>+'[1]Sch 2.1 Co Restating'!C59</f>
        <v>0</v>
      </c>
      <c r="D59" s="122">
        <f>+'[1]Sch 3.1 Staff Restating'!C59</f>
        <v>31500</v>
      </c>
      <c r="E59" s="122">
        <f>+D59-C59</f>
        <v>31500</v>
      </c>
      <c r="F59" s="123"/>
      <c r="G59" s="122">
        <f>+'[1]Sch 2.2 Co ProForma'!C59</f>
        <v>0</v>
      </c>
      <c r="H59" s="122">
        <f>+'[1]Sch 3.2 Staff ProForma'!C59</f>
        <v>0</v>
      </c>
      <c r="I59" s="122">
        <f>+H59-G59</f>
        <v>0</v>
      </c>
    </row>
    <row r="60" spans="1:44" ht="16.5" thickBot="1" x14ac:dyDescent="0.3">
      <c r="A60" s="18">
        <f>1+A59</f>
        <v>50</v>
      </c>
      <c r="B60" s="99" t="str">
        <f>[1]PFIS!B58</f>
        <v xml:space="preserve">    Accumulated Amortization</v>
      </c>
      <c r="C60" s="122">
        <f>+'[1]Sch 2.1 Co Restating'!C60</f>
        <v>0</v>
      </c>
      <c r="D60" s="122">
        <f>+'[1]Sch 3.1 Staff Restating'!C60</f>
        <v>0</v>
      </c>
      <c r="E60" s="122">
        <f>+D60-C60</f>
        <v>0</v>
      </c>
      <c r="F60" s="123"/>
      <c r="G60" s="122">
        <f>+'[1]Sch 2.2 Co ProForma'!C60</f>
        <v>0</v>
      </c>
      <c r="H60" s="122">
        <f>+'[1]Sch 3.2 Staff ProForma'!C60</f>
        <v>0</v>
      </c>
      <c r="I60" s="122">
        <f>+H60-G60</f>
        <v>0</v>
      </c>
    </row>
    <row r="61" spans="1:44" ht="16.5" thickTop="1" x14ac:dyDescent="0.25">
      <c r="A61" s="18">
        <f t="shared" si="2"/>
        <v>51</v>
      </c>
      <c r="B61" s="99" t="str">
        <f>[1]PFIS!B59</f>
        <v>NET RATE BASE</v>
      </c>
      <c r="C61" s="124">
        <f>SUM(C56:C60)</f>
        <v>0</v>
      </c>
      <c r="D61" s="124">
        <f>SUM(D56:D60)</f>
        <v>-1266812.2353572329</v>
      </c>
      <c r="E61" s="124">
        <f>SUM(E56:E60)</f>
        <v>-1266812.2353572329</v>
      </c>
      <c r="F61" s="123"/>
      <c r="G61" s="124">
        <f>SUM(G56:G60)</f>
        <v>0</v>
      </c>
      <c r="H61" s="124">
        <f>SUM(H56:H60)</f>
        <v>4959.1626666666662</v>
      </c>
      <c r="I61" s="124">
        <f>SUM(I56:I60)</f>
        <v>4959.1626666666662</v>
      </c>
    </row>
    <row r="62" spans="1:44" x14ac:dyDescent="0.25">
      <c r="A62" s="18">
        <f t="shared" si="2"/>
        <v>52</v>
      </c>
      <c r="B62" s="99">
        <f>[1]PFIS!B60</f>
        <v>0</v>
      </c>
      <c r="C62" s="123"/>
      <c r="D62" s="123"/>
      <c r="E62" s="123"/>
      <c r="F62" s="123"/>
      <c r="G62" s="123"/>
      <c r="H62" s="123"/>
      <c r="I62" s="123"/>
    </row>
    <row r="63" spans="1:44" x14ac:dyDescent="0.25">
      <c r="A63" s="18">
        <f t="shared" si="2"/>
        <v>53</v>
      </c>
      <c r="B63" s="132" t="str">
        <f>[1]PFIS!B61</f>
        <v>Rate of Return</v>
      </c>
      <c r="C63" s="122">
        <v>0</v>
      </c>
      <c r="D63" s="133"/>
      <c r="E63" s="133"/>
      <c r="F63" s="123"/>
      <c r="G63" s="122">
        <v>0</v>
      </c>
      <c r="H63" s="133"/>
      <c r="I63" s="133"/>
    </row>
    <row r="64" spans="1:44" x14ac:dyDescent="0.25">
      <c r="A64" s="18">
        <f t="shared" si="2"/>
        <v>54</v>
      </c>
      <c r="B64" s="99" t="str">
        <f>[1]PFIS!B62</f>
        <v>Customer Count</v>
      </c>
      <c r="C64" s="122">
        <f>+'[1]Sch 2.1 Co Restating'!C64</f>
        <v>-65</v>
      </c>
      <c r="D64" s="122">
        <f>+'[1]Sch 3.1 Staff Restating'!C64</f>
        <v>-65</v>
      </c>
      <c r="E64" s="122">
        <f>+D64-C64</f>
        <v>0</v>
      </c>
      <c r="F64" s="123"/>
      <c r="G64" s="122">
        <f>+'[1]Sch 2.2 Co ProForma'!C64</f>
        <v>0</v>
      </c>
      <c r="H64" s="122">
        <f>+'[1]Sch 3.2 Staff ProForma'!C64</f>
        <v>27</v>
      </c>
      <c r="I64" s="122">
        <f>+H64-G64</f>
        <v>27</v>
      </c>
    </row>
    <row r="65" spans="4:9" x14ac:dyDescent="0.25">
      <c r="D65" s="112"/>
      <c r="E65" s="113"/>
      <c r="H65" s="112"/>
      <c r="I65" s="113"/>
    </row>
    <row r="66" spans="4:9" x14ac:dyDescent="0.25">
      <c r="E66" s="113"/>
      <c r="I66" s="113"/>
    </row>
    <row r="67" spans="4:9" x14ac:dyDescent="0.25">
      <c r="E67" s="113"/>
      <c r="I67" s="113"/>
    </row>
  </sheetData>
  <pageMargins left="0.38" right="0.17" top="0.75" bottom="0.75" header="0.3" footer="0.3"/>
  <pageSetup paperSize="0" scale="61" orientation="portrait" r:id="rId1"/>
  <headerFooter>
    <oddFooter>&amp;L&amp;F ! &amp;A&amp;RPage &amp;P of &amp;N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workbookViewId="0">
      <selection activeCell="F26" sqref="F26"/>
    </sheetView>
  </sheetViews>
  <sheetFormatPr defaultRowHeight="15.75" x14ac:dyDescent="0.25"/>
  <cols>
    <col min="1" max="1" width="5.28515625" style="99" bestFit="1" customWidth="1"/>
    <col min="2" max="2" width="55.7109375" style="99" bestFit="1" customWidth="1"/>
    <col min="3" max="3" width="12.42578125" style="135" bestFit="1" customWidth="1"/>
    <col min="4" max="4" width="12.42578125" style="99" bestFit="1" customWidth="1"/>
    <col min="5" max="5" width="15.140625" style="99" bestFit="1" customWidth="1"/>
    <col min="6" max="6" width="20.28515625" style="99" bestFit="1" customWidth="1"/>
    <col min="7" max="7" width="18" style="99" bestFit="1" customWidth="1"/>
    <col min="8" max="8" width="17.140625" style="99" bestFit="1" customWidth="1"/>
    <col min="9" max="9" width="20.5703125" style="99" bestFit="1" customWidth="1"/>
    <col min="10" max="10" width="14.85546875" style="99" bestFit="1" customWidth="1"/>
    <col min="11" max="11" width="22.7109375" style="99" bestFit="1" customWidth="1"/>
    <col min="12" max="12" width="18.5703125" style="99" bestFit="1" customWidth="1"/>
    <col min="13" max="13" width="16" style="99" bestFit="1" customWidth="1"/>
    <col min="14" max="14" width="8.85546875" style="99" bestFit="1" customWidth="1"/>
    <col min="15" max="15" width="18.5703125" style="99" bestFit="1" customWidth="1"/>
    <col min="16" max="16" width="18.7109375" style="99" bestFit="1" customWidth="1"/>
    <col min="17" max="17" width="15.7109375" style="99" bestFit="1" customWidth="1"/>
    <col min="18" max="18" width="16.5703125" style="99" bestFit="1" customWidth="1"/>
    <col min="19" max="19" width="13.7109375" style="99" bestFit="1" customWidth="1"/>
    <col min="20" max="20" width="10.85546875" style="99" bestFit="1" customWidth="1"/>
    <col min="21" max="21" width="20.28515625" style="99" bestFit="1" customWidth="1"/>
    <col min="22" max="22" width="12.28515625" style="99" bestFit="1" customWidth="1"/>
    <col min="23" max="23" width="12.7109375" style="99" bestFit="1" customWidth="1"/>
    <col min="24" max="24" width="18.7109375" style="99" bestFit="1" customWidth="1"/>
    <col min="25" max="25" width="17.42578125" style="99" bestFit="1" customWidth="1"/>
    <col min="26" max="26" width="8.85546875" style="99" bestFit="1" customWidth="1"/>
    <col min="27" max="27" width="17.28515625" style="99" bestFit="1" customWidth="1"/>
    <col min="28" max="28" width="15.5703125" style="99" bestFit="1" customWidth="1"/>
    <col min="29" max="29" width="10.7109375" style="99" bestFit="1" customWidth="1"/>
    <col min="30" max="30" width="18.7109375" style="99" bestFit="1" customWidth="1"/>
    <col min="31" max="31" width="15.7109375" style="99" bestFit="1" customWidth="1"/>
    <col min="32" max="32" width="17.5703125" style="99" customWidth="1"/>
    <col min="33" max="33" width="14.28515625" style="99" customWidth="1"/>
    <col min="34" max="34" width="18" style="99" bestFit="1" customWidth="1"/>
    <col min="35" max="35" width="8.7109375" style="99" bestFit="1" customWidth="1"/>
    <col min="36" max="36" width="15" style="99" customWidth="1"/>
    <col min="37" max="37" width="13.5703125" style="99" customWidth="1"/>
    <col min="38" max="38" width="11.28515625" style="99" customWidth="1"/>
    <col min="39" max="39" width="9.7109375" style="99" customWidth="1"/>
    <col min="40" max="40" width="17.7109375" style="99" bestFit="1" customWidth="1"/>
    <col min="41" max="41" width="17.42578125" style="99" bestFit="1" customWidth="1"/>
    <col min="42" max="42" width="12.85546875" style="99" customWidth="1"/>
    <col min="43" max="16384" width="9.140625" style="99"/>
  </cols>
  <sheetData>
    <row r="1" spans="1:46" x14ac:dyDescent="0.25">
      <c r="A1" s="4"/>
      <c r="B1" s="99" t="str">
        <f>+[1]Info!B4</f>
        <v xml:space="preserve">Summit View Waterworks, LLC </v>
      </c>
      <c r="C1" s="134"/>
      <c r="D1" s="32"/>
      <c r="G1" s="32"/>
      <c r="H1" s="32"/>
    </row>
    <row r="2" spans="1:46" x14ac:dyDescent="0.25">
      <c r="A2" s="4"/>
      <c r="B2" s="99" t="str">
        <f>+[1]Info!B5</f>
        <v>UW-110220</v>
      </c>
      <c r="AP2" s="99" t="s">
        <v>98</v>
      </c>
    </row>
    <row r="3" spans="1:46" x14ac:dyDescent="0.25">
      <c r="A3" s="4"/>
      <c r="B3" s="99" t="str">
        <f>+[1]Info!B6</f>
        <v>For the test period ending December 31, 2009</v>
      </c>
      <c r="C3" s="136"/>
    </row>
    <row r="4" spans="1:46" x14ac:dyDescent="0.25">
      <c r="A4" s="4"/>
      <c r="B4" s="114" t="str">
        <f>[1]Info!B21</f>
        <v>Staff Restating Adjustments</v>
      </c>
    </row>
    <row r="5" spans="1:46" x14ac:dyDescent="0.25">
      <c r="A5" s="4"/>
      <c r="B5" s="114"/>
    </row>
    <row r="6" spans="1:46" x14ac:dyDescent="0.25">
      <c r="A6" s="4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99</v>
      </c>
      <c r="K6" s="4" t="s">
        <v>100</v>
      </c>
      <c r="L6" s="4" t="s">
        <v>101</v>
      </c>
      <c r="M6" s="4" t="s">
        <v>102</v>
      </c>
      <c r="N6" s="4" t="s">
        <v>103</v>
      </c>
      <c r="O6" s="4" t="s">
        <v>104</v>
      </c>
      <c r="P6" s="4" t="s">
        <v>105</v>
      </c>
      <c r="Q6" s="4" t="s">
        <v>106</v>
      </c>
      <c r="R6" s="4" t="s">
        <v>107</v>
      </c>
      <c r="S6" s="4" t="s">
        <v>108</v>
      </c>
      <c r="T6" s="4" t="s">
        <v>109</v>
      </c>
      <c r="U6" s="4" t="s">
        <v>110</v>
      </c>
      <c r="V6" s="4" t="s">
        <v>111</v>
      </c>
      <c r="W6" s="4" t="s">
        <v>112</v>
      </c>
      <c r="X6" s="4" t="s">
        <v>113</v>
      </c>
      <c r="Y6" s="4" t="s">
        <v>114</v>
      </c>
      <c r="Z6" s="4" t="s">
        <v>115</v>
      </c>
      <c r="AA6" s="4" t="s">
        <v>116</v>
      </c>
      <c r="AB6" s="4" t="s">
        <v>117</v>
      </c>
      <c r="AC6" s="4" t="s">
        <v>118</v>
      </c>
      <c r="AD6" s="4" t="s">
        <v>119</v>
      </c>
      <c r="AE6" s="4" t="s">
        <v>120</v>
      </c>
      <c r="AF6" s="4" t="s">
        <v>121</v>
      </c>
      <c r="AG6" s="4" t="s">
        <v>122</v>
      </c>
      <c r="AH6" s="4" t="s">
        <v>123</v>
      </c>
      <c r="AI6" s="4" t="s">
        <v>124</v>
      </c>
      <c r="AJ6" s="4" t="s">
        <v>125</v>
      </c>
      <c r="AK6" s="4" t="s">
        <v>126</v>
      </c>
      <c r="AL6" s="4" t="s">
        <v>127</v>
      </c>
      <c r="AM6" s="4" t="s">
        <v>128</v>
      </c>
      <c r="AN6" s="4" t="s">
        <v>129</v>
      </c>
      <c r="AO6" s="4" t="s">
        <v>130</v>
      </c>
      <c r="AP6" s="4" t="s">
        <v>131</v>
      </c>
    </row>
    <row r="7" spans="1:46" s="4" customFormat="1" x14ac:dyDescent="0.25">
      <c r="C7" s="136"/>
      <c r="D7" s="4" t="s">
        <v>132</v>
      </c>
      <c r="E7" s="4" t="s">
        <v>133</v>
      </c>
      <c r="F7" s="4" t="s">
        <v>134</v>
      </c>
      <c r="G7" s="4" t="s">
        <v>135</v>
      </c>
      <c r="H7" s="4" t="s">
        <v>136</v>
      </c>
      <c r="I7" s="4" t="s">
        <v>137</v>
      </c>
      <c r="J7" s="4" t="s">
        <v>138</v>
      </c>
      <c r="K7" s="4" t="s">
        <v>139</v>
      </c>
      <c r="L7" s="4" t="s">
        <v>140</v>
      </c>
      <c r="M7" s="4" t="s">
        <v>141</v>
      </c>
      <c r="N7" s="4" t="s">
        <v>142</v>
      </c>
      <c r="O7" s="4" t="s">
        <v>143</v>
      </c>
      <c r="P7" s="4" t="s">
        <v>144</v>
      </c>
      <c r="Q7" s="4" t="s">
        <v>145</v>
      </c>
      <c r="R7" s="4" t="s">
        <v>146</v>
      </c>
      <c r="S7" s="4" t="s">
        <v>147</v>
      </c>
      <c r="T7" s="4" t="s">
        <v>148</v>
      </c>
      <c r="U7" s="4" t="s">
        <v>149</v>
      </c>
      <c r="V7" s="4" t="s">
        <v>150</v>
      </c>
      <c r="W7" s="4" t="s">
        <v>151</v>
      </c>
      <c r="X7" s="4" t="s">
        <v>152</v>
      </c>
      <c r="Y7" s="4" t="s">
        <v>153</v>
      </c>
      <c r="Z7" s="4" t="s">
        <v>154</v>
      </c>
      <c r="AA7" s="4" t="s">
        <v>155</v>
      </c>
      <c r="AB7" s="4" t="s">
        <v>156</v>
      </c>
      <c r="AC7" s="4" t="s">
        <v>157</v>
      </c>
      <c r="AD7" s="4" t="s">
        <v>158</v>
      </c>
      <c r="AE7" s="4" t="s">
        <v>159</v>
      </c>
      <c r="AF7" s="4" t="s">
        <v>160</v>
      </c>
      <c r="AG7" s="4" t="s">
        <v>161</v>
      </c>
      <c r="AH7" s="4" t="s">
        <v>162</v>
      </c>
      <c r="AI7" s="4" t="s">
        <v>163</v>
      </c>
      <c r="AJ7" s="4" t="s">
        <v>164</v>
      </c>
      <c r="AK7" s="4" t="s">
        <v>165</v>
      </c>
      <c r="AL7" s="4" t="s">
        <v>166</v>
      </c>
      <c r="AM7" s="4" t="s">
        <v>167</v>
      </c>
      <c r="AN7" s="4" t="s">
        <v>168</v>
      </c>
      <c r="AO7" s="4" t="s">
        <v>169</v>
      </c>
      <c r="AP7" s="4" t="s">
        <v>170</v>
      </c>
    </row>
    <row r="8" spans="1:46" ht="47.25" x14ac:dyDescent="0.25">
      <c r="A8" s="116" t="s">
        <v>86</v>
      </c>
      <c r="B8" s="116" t="s">
        <v>9</v>
      </c>
      <c r="C8" s="137" t="s">
        <v>171</v>
      </c>
      <c r="D8" s="116" t="s">
        <v>172</v>
      </c>
      <c r="E8" s="116" t="s">
        <v>173</v>
      </c>
      <c r="F8" s="116" t="s">
        <v>174</v>
      </c>
      <c r="G8" s="116" t="s">
        <v>175</v>
      </c>
      <c r="H8" s="116" t="s">
        <v>176</v>
      </c>
      <c r="I8" s="116" t="s">
        <v>177</v>
      </c>
      <c r="J8" s="116" t="s">
        <v>178</v>
      </c>
      <c r="K8" s="116" t="s">
        <v>179</v>
      </c>
      <c r="L8" s="116" t="s">
        <v>26</v>
      </c>
      <c r="M8" s="116" t="s">
        <v>27</v>
      </c>
      <c r="N8" s="116" t="s">
        <v>29</v>
      </c>
      <c r="O8" s="116" t="s">
        <v>180</v>
      </c>
      <c r="P8" s="116" t="s">
        <v>181</v>
      </c>
      <c r="Q8" s="116" t="s">
        <v>182</v>
      </c>
      <c r="R8" s="116" t="s">
        <v>183</v>
      </c>
      <c r="S8" s="116" t="s">
        <v>44</v>
      </c>
      <c r="T8" s="116" t="s">
        <v>184</v>
      </c>
      <c r="U8" s="116" t="s">
        <v>48</v>
      </c>
      <c r="V8" s="116" t="s">
        <v>185</v>
      </c>
      <c r="W8" s="116" t="s">
        <v>186</v>
      </c>
      <c r="X8" s="116" t="s">
        <v>187</v>
      </c>
      <c r="Y8" s="116" t="s">
        <v>188</v>
      </c>
      <c r="Z8" s="116" t="s">
        <v>29</v>
      </c>
      <c r="AA8" s="116" t="s">
        <v>189</v>
      </c>
      <c r="AB8" s="116" t="s">
        <v>54</v>
      </c>
      <c r="AC8" s="116" t="s">
        <v>190</v>
      </c>
      <c r="AD8" s="116" t="s">
        <v>191</v>
      </c>
      <c r="AE8" s="116" t="s">
        <v>192</v>
      </c>
      <c r="AF8" s="116" t="s">
        <v>193</v>
      </c>
      <c r="AG8" s="116" t="s">
        <v>194</v>
      </c>
      <c r="AH8" s="116" t="s">
        <v>195</v>
      </c>
      <c r="AI8" s="116" t="s">
        <v>61</v>
      </c>
      <c r="AJ8" s="116" t="s">
        <v>62</v>
      </c>
      <c r="AK8" s="116" t="s">
        <v>63</v>
      </c>
      <c r="AL8" s="116" t="s">
        <v>64</v>
      </c>
      <c r="AM8" s="116" t="s">
        <v>65</v>
      </c>
      <c r="AN8" s="116" t="s">
        <v>196</v>
      </c>
      <c r="AO8" s="116" t="s">
        <v>197</v>
      </c>
      <c r="AP8" s="116" t="s">
        <v>70</v>
      </c>
      <c r="AQ8" s="116"/>
      <c r="AR8" s="116"/>
      <c r="AS8" s="116"/>
      <c r="AT8" s="116"/>
    </row>
    <row r="9" spans="1:46" x14ac:dyDescent="0.25">
      <c r="A9" s="117"/>
      <c r="B9" s="138" t="s">
        <v>13</v>
      </c>
      <c r="C9" s="139" t="s">
        <v>198</v>
      </c>
      <c r="D9" s="140" t="s">
        <v>199</v>
      </c>
      <c r="E9" s="140" t="s">
        <v>200</v>
      </c>
      <c r="F9" s="141" t="s">
        <v>201</v>
      </c>
      <c r="G9" s="141" t="s">
        <v>202</v>
      </c>
      <c r="H9" s="141" t="s">
        <v>201</v>
      </c>
      <c r="I9" s="141" t="s">
        <v>201</v>
      </c>
      <c r="J9" s="142" t="s">
        <v>203</v>
      </c>
      <c r="K9" s="142" t="s">
        <v>203</v>
      </c>
      <c r="L9" s="142" t="s">
        <v>203</v>
      </c>
      <c r="M9" s="142" t="s">
        <v>203</v>
      </c>
      <c r="N9" s="142" t="s">
        <v>203</v>
      </c>
      <c r="O9" s="142" t="s">
        <v>203</v>
      </c>
      <c r="P9" s="142" t="s">
        <v>203</v>
      </c>
      <c r="Q9" s="142" t="s">
        <v>203</v>
      </c>
      <c r="R9" s="142" t="s">
        <v>203</v>
      </c>
      <c r="S9" s="142" t="s">
        <v>203</v>
      </c>
      <c r="T9" s="142" t="s">
        <v>203</v>
      </c>
      <c r="U9" s="142" t="s">
        <v>203</v>
      </c>
      <c r="V9" s="142" t="s">
        <v>203</v>
      </c>
      <c r="W9" s="142" t="s">
        <v>203</v>
      </c>
      <c r="X9" s="142" t="s">
        <v>203</v>
      </c>
      <c r="Y9" s="142" t="s">
        <v>203</v>
      </c>
      <c r="Z9" s="142" t="s">
        <v>203</v>
      </c>
      <c r="AA9" s="142" t="s">
        <v>203</v>
      </c>
      <c r="AB9" s="142" t="s">
        <v>203</v>
      </c>
      <c r="AC9" s="142" t="s">
        <v>203</v>
      </c>
      <c r="AD9" s="142" t="s">
        <v>203</v>
      </c>
      <c r="AE9" s="142" t="s">
        <v>203</v>
      </c>
      <c r="AF9" s="142" t="s">
        <v>203</v>
      </c>
      <c r="AG9" s="142" t="s">
        <v>203</v>
      </c>
      <c r="AH9" s="142" t="s">
        <v>203</v>
      </c>
      <c r="AI9" s="142" t="s">
        <v>203</v>
      </c>
      <c r="AJ9" s="142" t="s">
        <v>203</v>
      </c>
      <c r="AK9" s="142" t="s">
        <v>203</v>
      </c>
      <c r="AL9" s="142" t="s">
        <v>203</v>
      </c>
      <c r="AM9" s="142" t="s">
        <v>203</v>
      </c>
      <c r="AN9" s="142" t="s">
        <v>203</v>
      </c>
      <c r="AO9" s="142" t="s">
        <v>203</v>
      </c>
      <c r="AP9" s="142" t="s">
        <v>203</v>
      </c>
    </row>
    <row r="10" spans="1:46" x14ac:dyDescent="0.25">
      <c r="A10" s="18"/>
      <c r="B10" s="4" t="str">
        <f>[1]PFIS!B8</f>
        <v>REVENUES</v>
      </c>
      <c r="C10" s="121"/>
      <c r="D10" s="62"/>
      <c r="E10" s="62"/>
      <c r="F10" s="62"/>
      <c r="G10" s="62"/>
      <c r="H10" s="62"/>
      <c r="I10" s="143">
        <v>0.11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</row>
    <row r="11" spans="1:46" x14ac:dyDescent="0.25">
      <c r="A11" s="18">
        <v>1</v>
      </c>
      <c r="B11" s="99" t="str">
        <f>[1]PFIS!B9</f>
        <v xml:space="preserve">Un-Metered Sales / Irrigation </v>
      </c>
      <c r="C11" s="144">
        <f t="shared" ref="C11:C16" si="0">SUM(D11:AP11)</f>
        <v>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</row>
    <row r="12" spans="1:46" x14ac:dyDescent="0.25">
      <c r="A12" s="18">
        <f t="shared" ref="A12:A64" si="1">1+A11</f>
        <v>2</v>
      </c>
      <c r="B12" s="99" t="str">
        <f>[1]PFIS!B10</f>
        <v xml:space="preserve">Metered Sales / Domestic </v>
      </c>
      <c r="C12" s="144">
        <f t="shared" si="0"/>
        <v>-32316</v>
      </c>
      <c r="D12" s="61">
        <v>0</v>
      </c>
      <c r="E12" s="61"/>
      <c r="F12" s="61"/>
      <c r="G12" s="61"/>
      <c r="H12" s="61"/>
      <c r="I12" s="61"/>
      <c r="J12" s="61">
        <v>-32316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6" x14ac:dyDescent="0.25">
      <c r="A13" s="18">
        <f t="shared" si="1"/>
        <v>3</v>
      </c>
      <c r="B13" s="99" t="str">
        <f>[1]PFIS!B11</f>
        <v>Ready-to-Serve</v>
      </c>
      <c r="C13" s="144">
        <f t="shared" si="0"/>
        <v>0</v>
      </c>
      <c r="D13" s="61">
        <v>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</row>
    <row r="14" spans="1:46" x14ac:dyDescent="0.25">
      <c r="A14" s="18">
        <f t="shared" si="1"/>
        <v>4</v>
      </c>
      <c r="B14" s="99" t="str">
        <f>[1]PFIS!B12</f>
        <v>Fire Protection / Irrigation</v>
      </c>
      <c r="C14" s="144">
        <f t="shared" si="0"/>
        <v>0</v>
      </c>
      <c r="D14" s="61">
        <v>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</row>
    <row r="15" spans="1:46" x14ac:dyDescent="0.25">
      <c r="A15" s="18">
        <f t="shared" si="1"/>
        <v>5</v>
      </c>
      <c r="B15" s="99" t="str">
        <f>[1]PFIS!B13</f>
        <v>Jobbing</v>
      </c>
      <c r="C15" s="144">
        <f t="shared" si="0"/>
        <v>0</v>
      </c>
      <c r="D15" s="61">
        <v>0</v>
      </c>
      <c r="E15" s="61"/>
      <c r="F15" s="61">
        <f>-[1]PFIS!C13</f>
        <v>0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</row>
    <row r="16" spans="1:46" ht="16.5" thickBot="1" x14ac:dyDescent="0.3">
      <c r="A16" s="18">
        <f t="shared" si="1"/>
        <v>6</v>
      </c>
      <c r="B16" s="99" t="str">
        <f>[1]PFIS!B14</f>
        <v>Other Income, Ancillary Charges (Hookup Charges)</v>
      </c>
      <c r="C16" s="144">
        <f t="shared" si="0"/>
        <v>-40500</v>
      </c>
      <c r="D16" s="61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>
        <v>-40500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spans="1:42" ht="16.5" thickTop="1" x14ac:dyDescent="0.25">
      <c r="A17" s="18">
        <f t="shared" si="1"/>
        <v>7</v>
      </c>
      <c r="B17" s="99" t="str">
        <f>[1]PFIS!B15</f>
        <v>OPERATING REVENUE</v>
      </c>
      <c r="C17" s="145">
        <f t="shared" ref="C17:AP17" si="2">SUM(C11:C16)</f>
        <v>-72816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  <c r="I17" s="146">
        <f t="shared" si="2"/>
        <v>0</v>
      </c>
      <c r="J17" s="146">
        <f t="shared" si="2"/>
        <v>-32316</v>
      </c>
      <c r="K17" s="146">
        <f t="shared" si="2"/>
        <v>0</v>
      </c>
      <c r="L17" s="146">
        <f t="shared" si="2"/>
        <v>0</v>
      </c>
      <c r="M17" s="146">
        <f t="shared" si="2"/>
        <v>0</v>
      </c>
      <c r="N17" s="146">
        <f t="shared" si="2"/>
        <v>0</v>
      </c>
      <c r="O17" s="146">
        <f t="shared" si="2"/>
        <v>-40500</v>
      </c>
      <c r="P17" s="146">
        <f t="shared" si="2"/>
        <v>0</v>
      </c>
      <c r="Q17" s="146">
        <f t="shared" si="2"/>
        <v>0</v>
      </c>
      <c r="R17" s="146">
        <f t="shared" si="2"/>
        <v>0</v>
      </c>
      <c r="S17" s="146">
        <f t="shared" si="2"/>
        <v>0</v>
      </c>
      <c r="T17" s="146">
        <f t="shared" si="2"/>
        <v>0</v>
      </c>
      <c r="U17" s="146">
        <f t="shared" si="2"/>
        <v>0</v>
      </c>
      <c r="V17" s="146">
        <f t="shared" si="2"/>
        <v>0</v>
      </c>
      <c r="W17" s="146">
        <f t="shared" si="2"/>
        <v>0</v>
      </c>
      <c r="X17" s="146">
        <f t="shared" si="2"/>
        <v>0</v>
      </c>
      <c r="Y17" s="146">
        <f t="shared" si="2"/>
        <v>0</v>
      </c>
      <c r="Z17" s="146">
        <f t="shared" si="2"/>
        <v>0</v>
      </c>
      <c r="AA17" s="146">
        <f t="shared" si="2"/>
        <v>0</v>
      </c>
      <c r="AB17" s="146">
        <f t="shared" si="2"/>
        <v>0</v>
      </c>
      <c r="AC17" s="146">
        <f t="shared" si="2"/>
        <v>0</v>
      </c>
      <c r="AD17" s="146">
        <f t="shared" si="2"/>
        <v>0</v>
      </c>
      <c r="AE17" s="146">
        <f t="shared" si="2"/>
        <v>0</v>
      </c>
      <c r="AF17" s="146">
        <f t="shared" si="2"/>
        <v>0</v>
      </c>
      <c r="AG17" s="146">
        <f t="shared" si="2"/>
        <v>0</v>
      </c>
      <c r="AH17" s="146">
        <f t="shared" si="2"/>
        <v>0</v>
      </c>
      <c r="AI17" s="146">
        <f t="shared" si="2"/>
        <v>0</v>
      </c>
      <c r="AJ17" s="146">
        <f t="shared" si="2"/>
        <v>0</v>
      </c>
      <c r="AK17" s="146">
        <f t="shared" si="2"/>
        <v>0</v>
      </c>
      <c r="AL17" s="146">
        <f t="shared" si="2"/>
        <v>0</v>
      </c>
      <c r="AM17" s="146">
        <f t="shared" si="2"/>
        <v>0</v>
      </c>
      <c r="AN17" s="146">
        <f t="shared" si="2"/>
        <v>0</v>
      </c>
      <c r="AO17" s="146">
        <f t="shared" si="2"/>
        <v>0</v>
      </c>
      <c r="AP17" s="146">
        <f t="shared" si="2"/>
        <v>0</v>
      </c>
    </row>
    <row r="18" spans="1:42" x14ac:dyDescent="0.25">
      <c r="A18" s="18">
        <f t="shared" si="1"/>
        <v>8</v>
      </c>
      <c r="B18" s="99">
        <f>[1]PFIS!B16</f>
        <v>0</v>
      </c>
      <c r="C18" s="147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</row>
    <row r="19" spans="1:42" x14ac:dyDescent="0.25">
      <c r="A19" s="18">
        <f t="shared" si="1"/>
        <v>9</v>
      </c>
      <c r="B19" s="4" t="str">
        <f>[1]PFIS!B17</f>
        <v>EXPENSES</v>
      </c>
      <c r="C19" s="147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spans="1:42" x14ac:dyDescent="0.25">
      <c r="A20" s="18">
        <f t="shared" si="1"/>
        <v>10</v>
      </c>
      <c r="B20" s="99" t="str">
        <f>[1]PFIS!B18</f>
        <v xml:space="preserve">Salary and Wages - Employees  </v>
      </c>
      <c r="C20" s="144">
        <f>SUM(D20:AP20)</f>
        <v>-14634.769536423843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>
        <f>'[1]Sch 13 Worksheet Cal Adjs'!G15</f>
        <v>-15029.579536423842</v>
      </c>
      <c r="Q20" s="61"/>
      <c r="R20" s="61"/>
      <c r="S20" s="61"/>
      <c r="T20" s="61"/>
      <c r="U20" s="61"/>
      <c r="V20" s="61"/>
      <c r="W20" s="61">
        <f>'[1]Sch 13 Worksheet Cal Adjs'!D103</f>
        <v>394.81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spans="1:42" x14ac:dyDescent="0.25">
      <c r="A21" s="18">
        <f t="shared" si="1"/>
        <v>11</v>
      </c>
      <c r="B21" s="99" t="str">
        <f>[1]PFIS!B19</f>
        <v>Salary and Wages - Officers</v>
      </c>
      <c r="C21" s="144">
        <f t="shared" ref="C21:C44" si="3">SUM(D21:AP21)</f>
        <v>0</v>
      </c>
      <c r="D21" s="32"/>
      <c r="E21" s="61">
        <f>9135-9135</f>
        <v>0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spans="1:42" x14ac:dyDescent="0.25">
      <c r="A22" s="18">
        <f t="shared" si="1"/>
        <v>12</v>
      </c>
      <c r="B22" s="99" t="str">
        <f>[1]PFIS!B20</f>
        <v>Employee Pensions and Benefits</v>
      </c>
      <c r="C22" s="144">
        <f t="shared" si="3"/>
        <v>0</v>
      </c>
      <c r="D22" s="32"/>
      <c r="E22" s="61"/>
      <c r="F22" s="61"/>
      <c r="G22" s="61"/>
      <c r="H22" s="61"/>
      <c r="I22" s="149">
        <f>IF([1]PFIS!F19+[1]PFIS!F18=0,0,((C20+C21)*([1]PFIS!C20/([1]PFIS!C18+[1]PFIS!C19)))-((SUM(J22:AP22))))</f>
        <v>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spans="1:42" x14ac:dyDescent="0.25">
      <c r="A23" s="18">
        <f t="shared" si="1"/>
        <v>13</v>
      </c>
      <c r="B23" s="99" t="str">
        <f>[1]PFIS!B21</f>
        <v>Purchased Power/Water</v>
      </c>
      <c r="C23" s="144">
        <f t="shared" si="3"/>
        <v>-10572</v>
      </c>
      <c r="D23" s="3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>
        <f>'[1]Sch 13 Worksheet Cal Adjs'!D26</f>
        <v>-10572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spans="1:42" x14ac:dyDescent="0.25">
      <c r="A24" s="18">
        <f t="shared" si="1"/>
        <v>14</v>
      </c>
      <c r="B24" s="99" t="str">
        <f>[1]PFIS!B22</f>
        <v>Chemicals &amp; Testing</v>
      </c>
      <c r="C24" s="144">
        <f t="shared" si="3"/>
        <v>-983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>
        <f>'[1]Sch 13 Worksheet Cal Adjs'!D38</f>
        <v>-983</v>
      </c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spans="1:42" x14ac:dyDescent="0.25">
      <c r="A25" s="18">
        <f t="shared" si="1"/>
        <v>15</v>
      </c>
      <c r="B25" s="99" t="str">
        <f>[1]PFIS!B23</f>
        <v>Material &amp; Supplies</v>
      </c>
      <c r="C25" s="144">
        <f t="shared" si="3"/>
        <v>-7076.1250000000009</v>
      </c>
      <c r="D25" s="3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>
        <f>'[1]Sch 13 Worksheet Cal Adjs'!G77</f>
        <v>-7076.1250000000009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spans="1:42" x14ac:dyDescent="0.25">
      <c r="A26" s="18">
        <f t="shared" si="1"/>
        <v>16</v>
      </c>
      <c r="B26" s="99" t="str">
        <f>[1]PFIS!B24</f>
        <v>Contractual Engineer</v>
      </c>
      <c r="C26" s="144">
        <f t="shared" si="3"/>
        <v>0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spans="1:42" x14ac:dyDescent="0.25">
      <c r="A27" s="18">
        <f t="shared" si="1"/>
        <v>17</v>
      </c>
      <c r="B27" s="99" t="str">
        <f>[1]PFIS!B25</f>
        <v>Contractual Accounting</v>
      </c>
      <c r="C27" s="144">
        <f t="shared" si="3"/>
        <v>-2746.0438161571856</v>
      </c>
      <c r="D27" s="3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>
        <f>'[1]Sch 13 Worksheet Cal Adjs'!D102+'[1]Sch 13 Worksheet Cal Adjs'!D101+'[1]Sch 13 Worksheet Cal Adjs'!D100</f>
        <v>-2746.0438161571856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spans="1:42" x14ac:dyDescent="0.25">
      <c r="A28" s="18">
        <f t="shared" si="1"/>
        <v>18</v>
      </c>
      <c r="B28" s="99" t="str">
        <f>[1]PFIS!B26</f>
        <v>Contractual Legal</v>
      </c>
      <c r="C28" s="144">
        <f t="shared" si="3"/>
        <v>-13322.75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>
        <f>'[1]Sch 13 Worksheet Cal Adjs'!H164</f>
        <v>-13322.75</v>
      </c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spans="1:42" x14ac:dyDescent="0.25">
      <c r="A29" s="18">
        <f t="shared" si="1"/>
        <v>19</v>
      </c>
      <c r="B29" s="99" t="str">
        <f>[1]PFIS!B27</f>
        <v>Contractual Operations</v>
      </c>
      <c r="C29" s="144">
        <f t="shared" si="3"/>
        <v>-7596.28</v>
      </c>
      <c r="D29" s="3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>
        <f>'[1]Sch 13 Worksheet Cal Adjs'!G175</f>
        <v>-7596.28</v>
      </c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spans="1:42" x14ac:dyDescent="0.25">
      <c r="A30" s="18">
        <f t="shared" si="1"/>
        <v>20</v>
      </c>
      <c r="B30" s="99" t="str">
        <f>[1]PFIS!B28</f>
        <v>Jobbing</v>
      </c>
      <c r="C30" s="144">
        <f t="shared" si="3"/>
        <v>0</v>
      </c>
      <c r="D30" s="32"/>
      <c r="E30" s="61"/>
      <c r="F30" s="61">
        <f>-[1]PFIS!C28</f>
        <v>0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spans="1:42" x14ac:dyDescent="0.25">
      <c r="A31" s="18">
        <f t="shared" si="1"/>
        <v>21</v>
      </c>
      <c r="B31" s="99" t="str">
        <f>[1]PFIS!B29</f>
        <v>Rental of Building, Property, and Equipment</v>
      </c>
      <c r="C31" s="144">
        <f t="shared" si="3"/>
        <v>-2680.6278026905829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>
        <f>'[1]Sch 13 Worksheet Cal Adjs'!F188</f>
        <v>-2680.6278026905829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spans="1:42" x14ac:dyDescent="0.25">
      <c r="A32" s="18">
        <f t="shared" si="1"/>
        <v>22</v>
      </c>
      <c r="B32" s="99" t="str">
        <f>[1]PFIS!B30</f>
        <v>Transportation</v>
      </c>
      <c r="C32" s="144">
        <f t="shared" si="3"/>
        <v>-1633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>
        <f>'[1]Sch 13 Worksheet Cal Adjs'!D196</f>
        <v>-1633</v>
      </c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spans="1:42" x14ac:dyDescent="0.25">
      <c r="A33" s="18">
        <f t="shared" si="1"/>
        <v>23</v>
      </c>
      <c r="B33" s="99" t="str">
        <f>[1]PFIS!B31</f>
        <v>Insurance - Vehicle, General Liability, Workman's Comp.</v>
      </c>
      <c r="C33" s="144">
        <f t="shared" si="3"/>
        <v>-1301.7673600000001</v>
      </c>
      <c r="D33" s="32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>
        <f>'[1]Sch 13 Worksheet Cal Adjs'!D202+'[1]Sch 13 Worksheet Cal Adjs'!D207</f>
        <v>-1301.7673600000001</v>
      </c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spans="1:42" x14ac:dyDescent="0.25">
      <c r="A34" s="18">
        <f t="shared" si="1"/>
        <v>24</v>
      </c>
      <c r="B34" s="99" t="str">
        <f>[1]PFIS!B32</f>
        <v>Regulatory Commission Expenses - Fees</v>
      </c>
      <c r="C34" s="144">
        <f t="shared" si="3"/>
        <v>47.004100000000001</v>
      </c>
      <c r="D34" s="32"/>
      <c r="E34" s="61"/>
      <c r="F34" s="61"/>
      <c r="G34" s="61"/>
      <c r="H34" s="149">
        <f>((([1]PFIS!F9+[1]PFIS!F10+[1]PFIS!F11+[1]PFIS!F12)*'[1]Sch 5 NTG Factor'!D12)-([1]PFIS!C32+(SUM(I34:AP34))))</f>
        <v>47.004100000000001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spans="1:42" x14ac:dyDescent="0.25">
      <c r="A35" s="18">
        <f t="shared" si="1"/>
        <v>25</v>
      </c>
      <c r="B35" s="99" t="str">
        <f>[1]PFIS!B33</f>
        <v>Regulatory Commission Expenses - Amort. Rate Case</v>
      </c>
      <c r="C35" s="144">
        <f t="shared" si="3"/>
        <v>0</v>
      </c>
      <c r="D35" s="3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spans="1:42" x14ac:dyDescent="0.25">
      <c r="A36" s="18">
        <f t="shared" si="1"/>
        <v>26</v>
      </c>
      <c r="B36" s="99" t="str">
        <f>[1]PFIS!B34</f>
        <v>Travel, Education, CCR, and Public Relations</v>
      </c>
      <c r="C36" s="144">
        <f t="shared" si="3"/>
        <v>-202</v>
      </c>
      <c r="D36" s="32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>
        <f>'[1]Sch 13 Worksheet Cal Adjs'!E216</f>
        <v>-202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pans="1:42" x14ac:dyDescent="0.25">
      <c r="A37" s="18">
        <f t="shared" si="1"/>
        <v>27</v>
      </c>
      <c r="B37" s="99" t="str">
        <f>[1]PFIS!B35</f>
        <v>Office, Postage, Phone, and Bank Charges</v>
      </c>
      <c r="C37" s="144">
        <f t="shared" si="3"/>
        <v>-2470.75</v>
      </c>
      <c r="D37" s="32"/>
      <c r="E37" s="61"/>
      <c r="F37" s="61">
        <v>0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>
        <f>'[1]Sch 13 Worksheet Cal Adjs'!E226</f>
        <v>-2470.75</v>
      </c>
      <c r="AH37" s="61"/>
      <c r="AI37" s="61"/>
      <c r="AJ37" s="61"/>
      <c r="AK37" s="61"/>
      <c r="AL37" s="61"/>
      <c r="AM37" s="61"/>
      <c r="AN37" s="61"/>
      <c r="AO37" s="61"/>
      <c r="AP37" s="61"/>
    </row>
    <row r="38" spans="1:42" x14ac:dyDescent="0.25">
      <c r="A38" s="18">
        <f t="shared" si="1"/>
        <v>28</v>
      </c>
      <c r="B38" s="99" t="str">
        <f>[1]PFIS!B36</f>
        <v>Bad Debt</v>
      </c>
      <c r="C38" s="144">
        <f t="shared" si="3"/>
        <v>37.108499999999999</v>
      </c>
      <c r="D38" s="32"/>
      <c r="E38" s="61"/>
      <c r="F38" s="61"/>
      <c r="G38" s="61"/>
      <c r="H38" s="149">
        <f>(([1]PFIS!F9+[1]PFIS!F10+[1]PFIS!F11+[1]PFIS!F12)*'[1]Sch 5 NTG Factor'!D14)-([1]PFIS!C36+(SUM(I38:AP38)))</f>
        <v>37.108499999999999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  <row r="39" spans="1:42" x14ac:dyDescent="0.25">
      <c r="A39" s="18">
        <f t="shared" si="1"/>
        <v>29</v>
      </c>
      <c r="B39" s="99" t="str">
        <f>[1]PFIS!B37</f>
        <v>Repairs</v>
      </c>
      <c r="C39" s="144">
        <f t="shared" si="3"/>
        <v>-4543.0000000000009</v>
      </c>
      <c r="D39" s="32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>
        <f>'[1]Sch 13 Worksheet Cal Adjs'!D268</f>
        <v>-4543.0000000000009</v>
      </c>
      <c r="AJ39" s="61"/>
      <c r="AK39" s="61"/>
      <c r="AL39" s="61"/>
      <c r="AM39" s="61"/>
      <c r="AN39" s="61"/>
      <c r="AO39" s="61"/>
      <c r="AP39" s="61"/>
    </row>
    <row r="40" spans="1:42" x14ac:dyDescent="0.25">
      <c r="A40" s="18">
        <f t="shared" si="1"/>
        <v>30</v>
      </c>
      <c r="B40" s="99" t="str">
        <f>[1]PFIS!B38</f>
        <v>Net Depreciation/Amortization</v>
      </c>
      <c r="C40" s="144">
        <f t="shared" si="3"/>
        <v>-3491.3917473333331</v>
      </c>
      <c r="D40" s="32"/>
      <c r="E40" s="149">
        <v>0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f>+'[1]Sch 13 Worksheet Cal Adjs'!D290</f>
        <v>-3491.3917473333331</v>
      </c>
      <c r="AK40" s="61"/>
      <c r="AL40" s="61"/>
      <c r="AM40" s="61"/>
      <c r="AN40" s="61"/>
      <c r="AO40" s="61"/>
      <c r="AP40" s="61"/>
    </row>
    <row r="41" spans="1:42" x14ac:dyDescent="0.25">
      <c r="A41" s="18">
        <f t="shared" si="1"/>
        <v>31</v>
      </c>
      <c r="B41" s="99" t="str">
        <f>[1]PFIS!B39</f>
        <v>Utility Excise Tax</v>
      </c>
      <c r="C41" s="144">
        <f t="shared" si="3"/>
        <v>-255.70404999999892</v>
      </c>
      <c r="D41" s="32"/>
      <c r="E41" s="61"/>
      <c r="F41" s="61"/>
      <c r="G41" s="61"/>
      <c r="H41" s="149">
        <f>(([1]PFIS!C9+[1]PFIS!C10+[1]PFIS!C11+[1]PFIS!C12)*'[1]Sch 5 NTG Factor'!D15)-([1]PFIS!C39+(SUM(I41:AP41)))</f>
        <v>1453.8123500000011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>
        <f>'[1]Sch 13 Worksheet Cal Adjs'!D300</f>
        <v>-1709.5164</v>
      </c>
      <c r="AL41" s="61"/>
      <c r="AM41" s="61"/>
      <c r="AN41" s="61"/>
      <c r="AO41" s="61"/>
      <c r="AP41" s="61"/>
    </row>
    <row r="42" spans="1:42" x14ac:dyDescent="0.25">
      <c r="A42" s="18">
        <f t="shared" si="1"/>
        <v>32</v>
      </c>
      <c r="B42" s="99" t="str">
        <f>[1]PFIS!B40</f>
        <v>Property Tax</v>
      </c>
      <c r="C42" s="144">
        <f t="shared" si="3"/>
        <v>0</v>
      </c>
      <c r="D42" s="3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</row>
    <row r="43" spans="1:42" x14ac:dyDescent="0.25">
      <c r="A43" s="18">
        <f t="shared" si="1"/>
        <v>33</v>
      </c>
      <c r="B43" s="99" t="str">
        <f>[1]PFIS!B41</f>
        <v xml:space="preserve">Payroll Tax  </v>
      </c>
      <c r="C43" s="144">
        <f t="shared" si="3"/>
        <v>-1728.5321748109682</v>
      </c>
      <c r="D43" s="32"/>
      <c r="E43" s="61"/>
      <c r="F43" s="61"/>
      <c r="G43" s="61"/>
      <c r="H43" s="61"/>
      <c r="I43" s="149">
        <v>0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>
        <f>'[1]Sch 13 Worksheet Cal Adjs'!G306</f>
        <v>-1728.5321748109682</v>
      </c>
      <c r="AN43" s="61"/>
      <c r="AO43" s="61"/>
      <c r="AP43" s="61"/>
    </row>
    <row r="44" spans="1:42" x14ac:dyDescent="0.25">
      <c r="A44" s="18">
        <f t="shared" si="1"/>
        <v>34</v>
      </c>
      <c r="B44" s="99" t="str">
        <f>[1]PFIS!B42</f>
        <v>Other Taxes &amp; Licenses (DOH/PWB/ESD/DOE)</v>
      </c>
      <c r="C44" s="144">
        <f t="shared" si="3"/>
        <v>-406</v>
      </c>
      <c r="D44" s="3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>
        <f>'[1]Sch 13 Worksheet Cal Adjs'!D322</f>
        <v>-406</v>
      </c>
      <c r="AO44" s="61"/>
      <c r="AP44" s="61"/>
    </row>
    <row r="45" spans="1:42" ht="16.5" thickBot="1" x14ac:dyDescent="0.3">
      <c r="A45" s="18">
        <f t="shared" si="1"/>
        <v>35</v>
      </c>
      <c r="B45" s="99" t="str">
        <f>[1]PFIS!B43</f>
        <v>Miscellaneous</v>
      </c>
      <c r="C45" s="144">
        <f>SUM(D45:AP45)</f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2" ht="16.5" thickTop="1" x14ac:dyDescent="0.25">
      <c r="A46" s="18">
        <f t="shared" si="1"/>
        <v>36</v>
      </c>
      <c r="B46" s="99" t="str">
        <f>[1]PFIS!B44</f>
        <v>OPERATING EXPENSES</v>
      </c>
      <c r="C46" s="145">
        <f>SUM(C20:C45)</f>
        <v>-75559.628887415922</v>
      </c>
      <c r="D46" s="146">
        <f>SUM(D19:D45)</f>
        <v>0</v>
      </c>
      <c r="E46" s="146">
        <f t="shared" ref="E46:AP46" si="4">SUM(E19:E45)</f>
        <v>0</v>
      </c>
      <c r="F46" s="146">
        <f t="shared" si="4"/>
        <v>0</v>
      </c>
      <c r="G46" s="146">
        <f t="shared" si="4"/>
        <v>0</v>
      </c>
      <c r="H46" s="146">
        <f t="shared" si="4"/>
        <v>1537.924950000001</v>
      </c>
      <c r="I46" s="146">
        <f t="shared" si="4"/>
        <v>0</v>
      </c>
      <c r="J46" s="146">
        <f t="shared" si="4"/>
        <v>0</v>
      </c>
      <c r="K46" s="146">
        <f t="shared" si="4"/>
        <v>0</v>
      </c>
      <c r="L46" s="146">
        <f t="shared" si="4"/>
        <v>0</v>
      </c>
      <c r="M46" s="146">
        <f t="shared" si="4"/>
        <v>0</v>
      </c>
      <c r="N46" s="146">
        <f t="shared" si="4"/>
        <v>0</v>
      </c>
      <c r="O46" s="146">
        <f t="shared" si="4"/>
        <v>0</v>
      </c>
      <c r="P46" s="146">
        <f t="shared" si="4"/>
        <v>-15029.579536423842</v>
      </c>
      <c r="Q46" s="146">
        <f t="shared" si="4"/>
        <v>0</v>
      </c>
      <c r="R46" s="146">
        <f t="shared" si="4"/>
        <v>0</v>
      </c>
      <c r="S46" s="146">
        <f t="shared" si="4"/>
        <v>-10572</v>
      </c>
      <c r="T46" s="146">
        <f t="shared" si="4"/>
        <v>-983</v>
      </c>
      <c r="U46" s="146">
        <f t="shared" si="4"/>
        <v>-7076.1250000000009</v>
      </c>
      <c r="V46" s="146">
        <f t="shared" si="4"/>
        <v>0</v>
      </c>
      <c r="W46" s="146">
        <f t="shared" si="4"/>
        <v>-2351.2338161571856</v>
      </c>
      <c r="X46" s="146">
        <f t="shared" si="4"/>
        <v>-13322.75</v>
      </c>
      <c r="Y46" s="146">
        <f t="shared" si="4"/>
        <v>-7596.28</v>
      </c>
      <c r="Z46" s="146">
        <f t="shared" si="4"/>
        <v>0</v>
      </c>
      <c r="AA46" s="146">
        <f t="shared" si="4"/>
        <v>-2680.6278026905829</v>
      </c>
      <c r="AB46" s="146">
        <f t="shared" si="4"/>
        <v>-1633</v>
      </c>
      <c r="AC46" s="146">
        <f t="shared" si="4"/>
        <v>-1301.7673600000001</v>
      </c>
      <c r="AD46" s="146">
        <f t="shared" si="4"/>
        <v>0</v>
      </c>
      <c r="AE46" s="146">
        <f t="shared" si="4"/>
        <v>0</v>
      </c>
      <c r="AF46" s="146">
        <f t="shared" si="4"/>
        <v>-202</v>
      </c>
      <c r="AG46" s="146">
        <f t="shared" si="4"/>
        <v>-2470.75</v>
      </c>
      <c r="AH46" s="146">
        <f t="shared" si="4"/>
        <v>0</v>
      </c>
      <c r="AI46" s="146">
        <f t="shared" si="4"/>
        <v>-4543.0000000000009</v>
      </c>
      <c r="AJ46" s="146">
        <f t="shared" si="4"/>
        <v>-3491.3917473333331</v>
      </c>
      <c r="AK46" s="146">
        <f t="shared" si="4"/>
        <v>-1709.5164</v>
      </c>
      <c r="AL46" s="146">
        <f t="shared" si="4"/>
        <v>0</v>
      </c>
      <c r="AM46" s="146">
        <f t="shared" si="4"/>
        <v>-1728.5321748109682</v>
      </c>
      <c r="AN46" s="146">
        <f t="shared" si="4"/>
        <v>-406</v>
      </c>
      <c r="AO46" s="146">
        <f t="shared" si="4"/>
        <v>0</v>
      </c>
      <c r="AP46" s="146">
        <f t="shared" si="4"/>
        <v>0</v>
      </c>
    </row>
    <row r="47" spans="1:42" x14ac:dyDescent="0.25">
      <c r="A47" s="18">
        <f t="shared" si="1"/>
        <v>37</v>
      </c>
      <c r="B47" s="99">
        <f>[1]PFIS!B45</f>
        <v>0</v>
      </c>
      <c r="C47" s="144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</row>
    <row r="48" spans="1:42" x14ac:dyDescent="0.25">
      <c r="A48" s="18">
        <f t="shared" si="1"/>
        <v>38</v>
      </c>
      <c r="B48" s="99" t="str">
        <f>[1]PFIS!B46</f>
        <v>Operating Incom before Taxes</v>
      </c>
      <c r="C48" s="144">
        <f>SUM(D48:AP48)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</row>
    <row r="49" spans="1:44" x14ac:dyDescent="0.25">
      <c r="A49" s="18">
        <f t="shared" si="1"/>
        <v>39</v>
      </c>
      <c r="B49" s="99" t="str">
        <f>[1]PFIS!B47</f>
        <v>Interest Expense</v>
      </c>
      <c r="C49" s="144">
        <f>SUM(D49:AP49)</f>
        <v>0</v>
      </c>
      <c r="D49" s="61"/>
      <c r="E49" s="61"/>
      <c r="F49" s="61"/>
      <c r="G49" s="61"/>
      <c r="H49" s="61"/>
      <c r="I49" s="61"/>
      <c r="J49" s="61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61"/>
      <c r="V49" s="61"/>
      <c r="W49" s="61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96"/>
      <c r="AP49" s="150"/>
    </row>
    <row r="50" spans="1:44" x14ac:dyDescent="0.25">
      <c r="A50" s="18">
        <f t="shared" si="1"/>
        <v>40</v>
      </c>
      <c r="B50" s="99" t="str">
        <f>[1]PFIS!B48</f>
        <v>Fed Income Tax - 15%</v>
      </c>
      <c r="C50" s="144">
        <f>SUM(D50:AP50)</f>
        <v>0</v>
      </c>
      <c r="D50" s="61"/>
      <c r="E50" s="61"/>
      <c r="F50" s="61"/>
      <c r="G50" s="61"/>
      <c r="H50" s="61"/>
      <c r="I50" s="61"/>
      <c r="J50" s="61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61"/>
      <c r="V50" s="61"/>
      <c r="W50" s="61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</row>
    <row r="51" spans="1:44" ht="16.5" thickBot="1" x14ac:dyDescent="0.3">
      <c r="A51" s="18">
        <f t="shared" si="1"/>
        <v>41</v>
      </c>
      <c r="B51" s="99" t="str">
        <f>[1]PFIS!B49</f>
        <v>TOTAL OPERATING EXPENSE</v>
      </c>
      <c r="C51" s="144">
        <f>SUM(D51:AP51)</f>
        <v>-75559.628887415907</v>
      </c>
      <c r="D51" s="61">
        <f>+D50+D49+D46</f>
        <v>0</v>
      </c>
      <c r="E51" s="61">
        <f>+E50+E49+E46</f>
        <v>0</v>
      </c>
      <c r="F51" s="61">
        <f>+F50+F49+F46</f>
        <v>0</v>
      </c>
      <c r="G51" s="61">
        <f>+G50+G49+G46</f>
        <v>0</v>
      </c>
      <c r="H51" s="61">
        <f>+H50+H49+H46</f>
        <v>1537.924950000001</v>
      </c>
      <c r="I51" s="61">
        <f t="shared" ref="I51:AP51" si="5">+I50+I49+I46</f>
        <v>0</v>
      </c>
      <c r="J51" s="61">
        <f t="shared" si="5"/>
        <v>0</v>
      </c>
      <c r="K51" s="61">
        <f t="shared" si="5"/>
        <v>0</v>
      </c>
      <c r="L51" s="61">
        <f t="shared" si="5"/>
        <v>0</v>
      </c>
      <c r="M51" s="61">
        <f t="shared" si="5"/>
        <v>0</v>
      </c>
      <c r="N51" s="61">
        <f t="shared" si="5"/>
        <v>0</v>
      </c>
      <c r="O51" s="61">
        <f t="shared" si="5"/>
        <v>0</v>
      </c>
      <c r="P51" s="61">
        <f t="shared" si="5"/>
        <v>-15029.579536423842</v>
      </c>
      <c r="Q51" s="61">
        <f t="shared" si="5"/>
        <v>0</v>
      </c>
      <c r="R51" s="61">
        <f t="shared" si="5"/>
        <v>0</v>
      </c>
      <c r="S51" s="61">
        <f t="shared" si="5"/>
        <v>-10572</v>
      </c>
      <c r="T51" s="61">
        <f t="shared" si="5"/>
        <v>-983</v>
      </c>
      <c r="U51" s="61">
        <f t="shared" si="5"/>
        <v>-7076.1250000000009</v>
      </c>
      <c r="V51" s="61">
        <f t="shared" si="5"/>
        <v>0</v>
      </c>
      <c r="W51" s="61">
        <f t="shared" si="5"/>
        <v>-2351.2338161571856</v>
      </c>
      <c r="X51" s="61">
        <f t="shared" si="5"/>
        <v>-13322.75</v>
      </c>
      <c r="Y51" s="61">
        <f t="shared" si="5"/>
        <v>-7596.28</v>
      </c>
      <c r="Z51" s="61">
        <f t="shared" si="5"/>
        <v>0</v>
      </c>
      <c r="AA51" s="61">
        <f t="shared" si="5"/>
        <v>-2680.6278026905829</v>
      </c>
      <c r="AB51" s="61">
        <f t="shared" si="5"/>
        <v>-1633</v>
      </c>
      <c r="AC51" s="61">
        <f t="shared" si="5"/>
        <v>-1301.7673600000001</v>
      </c>
      <c r="AD51" s="61">
        <f t="shared" si="5"/>
        <v>0</v>
      </c>
      <c r="AE51" s="61">
        <f t="shared" si="5"/>
        <v>0</v>
      </c>
      <c r="AF51" s="61">
        <f t="shared" si="5"/>
        <v>-202</v>
      </c>
      <c r="AG51" s="61">
        <f t="shared" si="5"/>
        <v>-2470.75</v>
      </c>
      <c r="AH51" s="61">
        <f t="shared" si="5"/>
        <v>0</v>
      </c>
      <c r="AI51" s="61">
        <f t="shared" si="5"/>
        <v>-4543.0000000000009</v>
      </c>
      <c r="AJ51" s="61">
        <f t="shared" si="5"/>
        <v>-3491.3917473333331</v>
      </c>
      <c r="AK51" s="61">
        <f t="shared" si="5"/>
        <v>-1709.5164</v>
      </c>
      <c r="AL51" s="61">
        <f t="shared" si="5"/>
        <v>0</v>
      </c>
      <c r="AM51" s="61">
        <f t="shared" si="5"/>
        <v>-1728.5321748109682</v>
      </c>
      <c r="AN51" s="61">
        <f t="shared" si="5"/>
        <v>-406</v>
      </c>
      <c r="AO51" s="61">
        <f t="shared" si="5"/>
        <v>0</v>
      </c>
      <c r="AP51" s="61">
        <f t="shared" si="5"/>
        <v>0</v>
      </c>
    </row>
    <row r="52" spans="1:44" ht="16.5" thickTop="1" x14ac:dyDescent="0.25">
      <c r="A52" s="18">
        <f t="shared" si="1"/>
        <v>42</v>
      </c>
      <c r="B52" s="99" t="str">
        <f>[1]PFIS!B50</f>
        <v>NET INCOME (LOSS)</v>
      </c>
      <c r="C52" s="145">
        <f t="shared" ref="C52:AP52" si="6">+C17-C51</f>
        <v>2743.6288874159072</v>
      </c>
      <c r="D52" s="146">
        <f t="shared" si="6"/>
        <v>0</v>
      </c>
      <c r="E52" s="146">
        <f t="shared" si="6"/>
        <v>0</v>
      </c>
      <c r="F52" s="146">
        <f t="shared" si="6"/>
        <v>0</v>
      </c>
      <c r="G52" s="146">
        <f t="shared" si="6"/>
        <v>0</v>
      </c>
      <c r="H52" s="146">
        <f t="shared" si="6"/>
        <v>-1537.924950000001</v>
      </c>
      <c r="I52" s="146">
        <f t="shared" si="6"/>
        <v>0</v>
      </c>
      <c r="J52" s="146">
        <f t="shared" si="6"/>
        <v>-32316</v>
      </c>
      <c r="K52" s="146">
        <f t="shared" si="6"/>
        <v>0</v>
      </c>
      <c r="L52" s="146">
        <f t="shared" si="6"/>
        <v>0</v>
      </c>
      <c r="M52" s="146">
        <f t="shared" si="6"/>
        <v>0</v>
      </c>
      <c r="N52" s="146">
        <f t="shared" si="6"/>
        <v>0</v>
      </c>
      <c r="O52" s="146">
        <f t="shared" si="6"/>
        <v>-40500</v>
      </c>
      <c r="P52" s="146">
        <f t="shared" si="6"/>
        <v>15029.579536423842</v>
      </c>
      <c r="Q52" s="146">
        <f t="shared" si="6"/>
        <v>0</v>
      </c>
      <c r="R52" s="146">
        <f t="shared" si="6"/>
        <v>0</v>
      </c>
      <c r="S52" s="146">
        <f t="shared" si="6"/>
        <v>10572</v>
      </c>
      <c r="T52" s="146">
        <f t="shared" si="6"/>
        <v>983</v>
      </c>
      <c r="U52" s="146">
        <f t="shared" si="6"/>
        <v>7076.1250000000009</v>
      </c>
      <c r="V52" s="146">
        <f t="shared" si="6"/>
        <v>0</v>
      </c>
      <c r="W52" s="146">
        <f t="shared" si="6"/>
        <v>2351.2338161571856</v>
      </c>
      <c r="X52" s="146">
        <f t="shared" si="6"/>
        <v>13322.75</v>
      </c>
      <c r="Y52" s="146">
        <f t="shared" si="6"/>
        <v>7596.28</v>
      </c>
      <c r="Z52" s="146">
        <f t="shared" si="6"/>
        <v>0</v>
      </c>
      <c r="AA52" s="146">
        <f t="shared" si="6"/>
        <v>2680.6278026905829</v>
      </c>
      <c r="AB52" s="146">
        <f t="shared" si="6"/>
        <v>1633</v>
      </c>
      <c r="AC52" s="146">
        <f t="shared" si="6"/>
        <v>1301.7673600000001</v>
      </c>
      <c r="AD52" s="146">
        <f t="shared" si="6"/>
        <v>0</v>
      </c>
      <c r="AE52" s="146">
        <f t="shared" si="6"/>
        <v>0</v>
      </c>
      <c r="AF52" s="146">
        <f t="shared" si="6"/>
        <v>202</v>
      </c>
      <c r="AG52" s="146">
        <f t="shared" si="6"/>
        <v>2470.75</v>
      </c>
      <c r="AH52" s="146">
        <f t="shared" si="6"/>
        <v>0</v>
      </c>
      <c r="AI52" s="146">
        <f t="shared" si="6"/>
        <v>4543.0000000000009</v>
      </c>
      <c r="AJ52" s="146">
        <f t="shared" si="6"/>
        <v>3491.3917473333331</v>
      </c>
      <c r="AK52" s="146">
        <f t="shared" si="6"/>
        <v>1709.5164</v>
      </c>
      <c r="AL52" s="146">
        <f t="shared" si="6"/>
        <v>0</v>
      </c>
      <c r="AM52" s="146">
        <f t="shared" si="6"/>
        <v>1728.5321748109682</v>
      </c>
      <c r="AN52" s="146">
        <f t="shared" si="6"/>
        <v>406</v>
      </c>
      <c r="AO52" s="146">
        <f t="shared" si="6"/>
        <v>0</v>
      </c>
      <c r="AP52" s="146">
        <f t="shared" si="6"/>
        <v>0</v>
      </c>
    </row>
    <row r="53" spans="1:44" x14ac:dyDescent="0.25">
      <c r="A53" s="18">
        <f t="shared" si="1"/>
        <v>43</v>
      </c>
      <c r="B53" s="99" t="str">
        <f>[1]PFIS!B51</f>
        <v>NET OPERATING INCOME</v>
      </c>
      <c r="C53" s="144">
        <f>+C48-C50</f>
        <v>0</v>
      </c>
      <c r="D53" s="61">
        <f>+D48-D50</f>
        <v>0</v>
      </c>
      <c r="E53" s="61">
        <f>+E48-E50</f>
        <v>0</v>
      </c>
      <c r="F53" s="61">
        <f>+F48-F50</f>
        <v>0</v>
      </c>
      <c r="G53" s="61">
        <f>+G48-G50</f>
        <v>0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</row>
    <row r="54" spans="1:44" x14ac:dyDescent="0.25">
      <c r="A54" s="18">
        <f t="shared" si="1"/>
        <v>44</v>
      </c>
      <c r="B54" s="99">
        <f>[1]PFIS!B52</f>
        <v>0</v>
      </c>
      <c r="C54" s="144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</row>
    <row r="55" spans="1:44" x14ac:dyDescent="0.25">
      <c r="A55" s="18">
        <f t="shared" si="1"/>
        <v>45</v>
      </c>
      <c r="B55" s="132" t="str">
        <f>[1]PFIS!B53</f>
        <v>RATE BASE</v>
      </c>
      <c r="C55" s="144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1:44" x14ac:dyDescent="0.25">
      <c r="A56" s="18">
        <f t="shared" si="1"/>
        <v>46</v>
      </c>
      <c r="B56" s="99" t="str">
        <f>[1]PFIS!B54</f>
        <v>Utility Plant in Service (UPIS)</v>
      </c>
      <c r="C56" s="144">
        <f>SUM(D56:AP56)</f>
        <v>-1444175.9351948765</v>
      </c>
      <c r="D56" s="149">
        <f>'[1]Sch 8 BEOY'!I10</f>
        <v>0</v>
      </c>
      <c r="E56" s="61"/>
      <c r="F56" s="61"/>
      <c r="G56" s="149">
        <f>'[1]Sch 8 BEOY'!E10-[1]Input!E52+'[1]Sch 13 Worksheet Cal Adjs'!D577</f>
        <v>-1444175.9351948765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</row>
    <row r="57" spans="1:44" x14ac:dyDescent="0.25">
      <c r="A57" s="18">
        <f t="shared" si="1"/>
        <v>47</v>
      </c>
      <c r="B57" s="99" t="str">
        <f>[1]PFIS!B55</f>
        <v xml:space="preserve">    Accumulated Depreciation</v>
      </c>
      <c r="C57" s="144">
        <f>SUM(D57:AP57)</f>
        <v>145863.69983764371</v>
      </c>
      <c r="D57" s="149">
        <f>'[1]Sch 8 BEOY'!I11</f>
        <v>2294.3041263333362</v>
      </c>
      <c r="E57" s="61"/>
      <c r="F57" s="61"/>
      <c r="G57" s="149">
        <f>'[1]Sch 8 BEOY'!E11-[1]Input!E53+'[1]Sch 13 Worksheet Cal Adjs'!D578</f>
        <v>143569.39571131038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R57" s="99">
        <v>0</v>
      </c>
    </row>
    <row r="58" spans="1:44" x14ac:dyDescent="0.25">
      <c r="A58" s="18">
        <f>1+A57</f>
        <v>48</v>
      </c>
      <c r="B58" s="99" t="str">
        <f>[1]PFIS!B56</f>
        <v>Acquisition Adjustment</v>
      </c>
      <c r="C58" s="144">
        <f>SUM(D58:AP58)</f>
        <v>0</v>
      </c>
      <c r="D58" s="149">
        <f>'[1]Sch 8 BEOY'!I12+'[1]Sch 8 BEOY'!I13</f>
        <v>0</v>
      </c>
      <c r="E58" s="61"/>
      <c r="F58" s="61"/>
      <c r="G58" s="149">
        <f>('[1]Sch 8 BEOY'!E12+'[1]Sch 8 BEOY'!E13)-[1]Input!E54</f>
        <v>0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</row>
    <row r="59" spans="1:44" x14ac:dyDescent="0.25">
      <c r="A59" s="18">
        <f>1+A58</f>
        <v>49</v>
      </c>
      <c r="B59" s="99" t="str">
        <f>[1]PFIS!B57</f>
        <v>Contributions In Aid of Construction (CIAC) Plant in Service</v>
      </c>
      <c r="C59" s="144">
        <f>SUM(D59:AP59)</f>
        <v>31500</v>
      </c>
      <c r="D59" s="149">
        <f>'[1]Sch 8 BEOY'!I14</f>
        <v>0</v>
      </c>
      <c r="E59" s="61"/>
      <c r="F59" s="61"/>
      <c r="G59" s="149">
        <f>'[1]Sch 8 BEOY'!E14-[1]Input!E55</f>
        <v>31500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</row>
    <row r="60" spans="1:44" ht="16.5" thickBot="1" x14ac:dyDescent="0.3">
      <c r="A60" s="18">
        <f>1+A59</f>
        <v>50</v>
      </c>
      <c r="B60" s="99" t="str">
        <f>[1]PFIS!B58</f>
        <v xml:space="preserve">    Accumulated Amortization</v>
      </c>
      <c r="C60" s="144">
        <f>SUM(D60:AP60)</f>
        <v>0</v>
      </c>
      <c r="D60" s="149">
        <f>'[1]Sch 8 BEOY'!I15</f>
        <v>0</v>
      </c>
      <c r="E60" s="61"/>
      <c r="F60" s="61"/>
      <c r="G60" s="149">
        <f>'[1]Sch 8 BEOY'!E15-[1]Input!E56</f>
        <v>0</v>
      </c>
      <c r="H60" s="61"/>
      <c r="I60" s="61"/>
      <c r="J60" s="61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61"/>
      <c r="V60" s="61"/>
      <c r="W60" s="61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</row>
    <row r="61" spans="1:44" ht="16.5" thickTop="1" x14ac:dyDescent="0.25">
      <c r="A61" s="18">
        <f t="shared" si="1"/>
        <v>51</v>
      </c>
      <c r="B61" s="99" t="str">
        <f>[1]PFIS!B59</f>
        <v>NET RATE BASE</v>
      </c>
      <c r="C61" s="145">
        <f>SUM(C56:C60)</f>
        <v>-1266812.2353572329</v>
      </c>
      <c r="D61" s="146">
        <f t="shared" ref="D61:AP61" si="7">SUM(D56:D60)</f>
        <v>2294.3041263333362</v>
      </c>
      <c r="E61" s="146">
        <f t="shared" si="7"/>
        <v>0</v>
      </c>
      <c r="F61" s="146">
        <f t="shared" si="7"/>
        <v>0</v>
      </c>
      <c r="G61" s="146">
        <f t="shared" si="7"/>
        <v>-1269106.5394835661</v>
      </c>
      <c r="H61" s="146">
        <f t="shared" si="7"/>
        <v>0</v>
      </c>
      <c r="I61" s="146">
        <f t="shared" si="7"/>
        <v>0</v>
      </c>
      <c r="J61" s="146">
        <f t="shared" si="7"/>
        <v>0</v>
      </c>
      <c r="K61" s="146">
        <f t="shared" si="7"/>
        <v>0</v>
      </c>
      <c r="L61" s="146">
        <f t="shared" si="7"/>
        <v>0</v>
      </c>
      <c r="M61" s="146">
        <f t="shared" si="7"/>
        <v>0</v>
      </c>
      <c r="N61" s="146">
        <f t="shared" si="7"/>
        <v>0</v>
      </c>
      <c r="O61" s="146">
        <f t="shared" si="7"/>
        <v>0</v>
      </c>
      <c r="P61" s="146">
        <f t="shared" si="7"/>
        <v>0</v>
      </c>
      <c r="Q61" s="146">
        <f t="shared" si="7"/>
        <v>0</v>
      </c>
      <c r="R61" s="146">
        <f t="shared" si="7"/>
        <v>0</v>
      </c>
      <c r="S61" s="146">
        <f t="shared" si="7"/>
        <v>0</v>
      </c>
      <c r="T61" s="146">
        <f t="shared" si="7"/>
        <v>0</v>
      </c>
      <c r="U61" s="146">
        <f t="shared" si="7"/>
        <v>0</v>
      </c>
      <c r="V61" s="146">
        <f t="shared" si="7"/>
        <v>0</v>
      </c>
      <c r="W61" s="146">
        <f t="shared" si="7"/>
        <v>0</v>
      </c>
      <c r="X61" s="146">
        <f t="shared" si="7"/>
        <v>0</v>
      </c>
      <c r="Y61" s="146">
        <f t="shared" si="7"/>
        <v>0</v>
      </c>
      <c r="Z61" s="146">
        <f t="shared" si="7"/>
        <v>0</v>
      </c>
      <c r="AA61" s="146">
        <f t="shared" si="7"/>
        <v>0</v>
      </c>
      <c r="AB61" s="146">
        <f t="shared" si="7"/>
        <v>0</v>
      </c>
      <c r="AC61" s="146">
        <f t="shared" si="7"/>
        <v>0</v>
      </c>
      <c r="AD61" s="146">
        <f t="shared" si="7"/>
        <v>0</v>
      </c>
      <c r="AE61" s="146">
        <f t="shared" si="7"/>
        <v>0</v>
      </c>
      <c r="AF61" s="146">
        <f t="shared" si="7"/>
        <v>0</v>
      </c>
      <c r="AG61" s="146">
        <f t="shared" si="7"/>
        <v>0</v>
      </c>
      <c r="AH61" s="146">
        <f t="shared" si="7"/>
        <v>0</v>
      </c>
      <c r="AI61" s="146">
        <f t="shared" si="7"/>
        <v>0</v>
      </c>
      <c r="AJ61" s="146">
        <f t="shared" si="7"/>
        <v>0</v>
      </c>
      <c r="AK61" s="146">
        <f t="shared" si="7"/>
        <v>0</v>
      </c>
      <c r="AL61" s="146">
        <f t="shared" si="7"/>
        <v>0</v>
      </c>
      <c r="AM61" s="146">
        <f t="shared" si="7"/>
        <v>0</v>
      </c>
      <c r="AN61" s="146">
        <f t="shared" si="7"/>
        <v>0</v>
      </c>
      <c r="AO61" s="146">
        <f t="shared" si="7"/>
        <v>0</v>
      </c>
      <c r="AP61" s="146">
        <f t="shared" si="7"/>
        <v>0</v>
      </c>
    </row>
    <row r="62" spans="1:44" x14ac:dyDescent="0.25">
      <c r="A62" s="18">
        <f t="shared" si="1"/>
        <v>52</v>
      </c>
      <c r="B62" s="99">
        <f>[1]PFIS!B60</f>
        <v>0</v>
      </c>
      <c r="C62" s="144"/>
      <c r="D62" s="151"/>
      <c r="E62" s="151"/>
      <c r="F62" s="151"/>
      <c r="G62" s="151"/>
      <c r="H62" s="151"/>
      <c r="I62" s="151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1"/>
      <c r="V62" s="151"/>
      <c r="W62" s="151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</row>
    <row r="63" spans="1:44" x14ac:dyDescent="0.25">
      <c r="A63" s="18">
        <f t="shared" si="1"/>
        <v>53</v>
      </c>
      <c r="B63" s="132" t="str">
        <f>[1]PFIS!B61</f>
        <v>Rate of Return</v>
      </c>
      <c r="C63" s="144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</row>
    <row r="64" spans="1:44" x14ac:dyDescent="0.25">
      <c r="A64" s="18">
        <f t="shared" si="1"/>
        <v>54</v>
      </c>
      <c r="B64" s="99" t="str">
        <f>[1]PFIS!B62</f>
        <v>Customer Count</v>
      </c>
      <c r="C64" s="144">
        <f>SUM(D64:AP64)</f>
        <v>-65</v>
      </c>
      <c r="G64" s="61"/>
      <c r="H64" s="61"/>
      <c r="I64" s="61"/>
      <c r="J64" s="32">
        <f>'[1]Sch 11.1 Metered Rate Design'!M9+'[1]Sch 11.1 Metered Rate Design'!M10+'[1]Sch 11.1 Metered Rate Design'!M11+'[1]Sch 11.1 Metered Rate Design'!M12+'[1]Sch 11.1 Metered Rate Design'!M13+'[1]Sch 11.1 Metered Rate Design'!M14+'[1]Sch 11.1 Metered Rate Design'!M15+'[1]Sch 11.1 Metered Rate Design'!M16-[1]Input!B11</f>
        <v>-65</v>
      </c>
      <c r="K64" s="32">
        <f>'[1]Sch 11.1 Metered Rate Design'!M18-[1]Input!B9</f>
        <v>0</v>
      </c>
      <c r="L64" s="32">
        <f>'[1]Sch 11.1 Metered Rate Design'!M17-[1]Input!B10</f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</row>
  </sheetData>
  <protectedRanges>
    <protectedRange password="C6D0" sqref="F20:F45 F11:F16 M1:AP1048576 J1:L63 J65:L1048576" name="Restating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ageMargins left="0.37" right="0.38" top="0.25" bottom="0.36" header="0.17" footer="0.17"/>
  <pageSetup paperSize="0" scale="56" fitToWidth="0" orientation="landscape" r:id="rId1"/>
  <headerFooter>
    <oddFooter>&amp;L&amp;F ! &amp;A&amp;RPage &amp;P of &amp;N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4"/>
  <sheetViews>
    <sheetView workbookViewId="0">
      <selection activeCell="F26" sqref="F26"/>
    </sheetView>
  </sheetViews>
  <sheetFormatPr defaultRowHeight="15.75" x14ac:dyDescent="0.25"/>
  <cols>
    <col min="1" max="1" width="5.28515625" style="99" bestFit="1" customWidth="1"/>
    <col min="2" max="2" width="55.7109375" style="99" bestFit="1" customWidth="1"/>
    <col min="3" max="3" width="12.42578125" style="135" bestFit="1" customWidth="1"/>
    <col min="4" max="4" width="12.42578125" style="99" bestFit="1" customWidth="1"/>
    <col min="5" max="5" width="15.140625" style="99" bestFit="1" customWidth="1"/>
    <col min="6" max="6" width="20.28515625" style="99" bestFit="1" customWidth="1"/>
    <col min="7" max="7" width="18" style="99" bestFit="1" customWidth="1"/>
    <col min="8" max="8" width="17.140625" style="99" bestFit="1" customWidth="1"/>
    <col min="9" max="9" width="20.5703125" style="99" bestFit="1" customWidth="1"/>
    <col min="10" max="10" width="14.85546875" style="99" bestFit="1" customWidth="1"/>
    <col min="11" max="11" width="22.7109375" style="99" bestFit="1" customWidth="1"/>
    <col min="12" max="12" width="18.5703125" style="99" bestFit="1" customWidth="1"/>
    <col min="13" max="13" width="16" style="99" bestFit="1" customWidth="1"/>
    <col min="14" max="14" width="8.85546875" style="99" bestFit="1" customWidth="1"/>
    <col min="15" max="15" width="18.5703125" style="99" bestFit="1" customWidth="1"/>
    <col min="16" max="16" width="18.7109375" style="99" bestFit="1" customWidth="1"/>
    <col min="17" max="17" width="15.7109375" style="99" bestFit="1" customWidth="1"/>
    <col min="18" max="18" width="16.5703125" style="99" bestFit="1" customWidth="1"/>
    <col min="19" max="19" width="13.7109375" style="99" bestFit="1" customWidth="1"/>
    <col min="20" max="20" width="10.85546875" style="99" bestFit="1" customWidth="1"/>
    <col min="21" max="21" width="20.28515625" style="99" bestFit="1" customWidth="1"/>
    <col min="22" max="22" width="12.28515625" style="99" bestFit="1" customWidth="1"/>
    <col min="23" max="23" width="12.7109375" style="99" bestFit="1" customWidth="1"/>
    <col min="24" max="24" width="18.7109375" style="99" bestFit="1" customWidth="1"/>
    <col min="25" max="25" width="17.42578125" style="99" bestFit="1" customWidth="1"/>
    <col min="26" max="26" width="8.85546875" style="99" bestFit="1" customWidth="1"/>
    <col min="27" max="27" width="17.28515625" style="99" bestFit="1" customWidth="1"/>
    <col min="28" max="28" width="15.5703125" style="99" bestFit="1" customWidth="1"/>
    <col min="29" max="29" width="10.7109375" style="99" bestFit="1" customWidth="1"/>
    <col min="30" max="30" width="18.7109375" style="99" bestFit="1" customWidth="1"/>
    <col min="31" max="31" width="15.7109375" style="99" bestFit="1" customWidth="1"/>
    <col min="32" max="32" width="17.5703125" style="99" customWidth="1"/>
    <col min="33" max="33" width="14.28515625" style="99" customWidth="1"/>
    <col min="34" max="34" width="18" style="99" bestFit="1" customWidth="1"/>
    <col min="35" max="35" width="8.7109375" style="99" bestFit="1" customWidth="1"/>
    <col min="36" max="36" width="15" style="99" customWidth="1"/>
    <col min="37" max="37" width="13.5703125" style="99" customWidth="1"/>
    <col min="38" max="38" width="11.28515625" style="99" customWidth="1"/>
    <col min="39" max="39" width="9.7109375" style="99" customWidth="1"/>
    <col min="40" max="40" width="17.7109375" style="99" bestFit="1" customWidth="1"/>
    <col min="41" max="41" width="17.42578125" style="99" bestFit="1" customWidth="1"/>
    <col min="42" max="42" width="12.85546875" style="99" customWidth="1"/>
    <col min="43" max="16384" width="9.140625" style="99"/>
  </cols>
  <sheetData>
    <row r="1" spans="1:46" x14ac:dyDescent="0.25">
      <c r="A1" s="4"/>
      <c r="B1" s="99" t="str">
        <f>+[1]Info!B4</f>
        <v xml:space="preserve">Summit View Waterworks, LLC </v>
      </c>
      <c r="C1" s="134"/>
      <c r="D1" s="32"/>
      <c r="G1" s="32"/>
      <c r="H1" s="32"/>
    </row>
    <row r="2" spans="1:46" x14ac:dyDescent="0.25">
      <c r="A2" s="4"/>
      <c r="B2" s="99" t="str">
        <f>+[1]Info!B5</f>
        <v>UW-110220</v>
      </c>
      <c r="AP2" s="99" t="s">
        <v>98</v>
      </c>
    </row>
    <row r="3" spans="1:46" x14ac:dyDescent="0.25">
      <c r="A3" s="4"/>
      <c r="B3" s="99" t="str">
        <f>+[1]Info!B6</f>
        <v>For the test period ending December 31, 2009</v>
      </c>
      <c r="C3" s="136"/>
    </row>
    <row r="4" spans="1:46" x14ac:dyDescent="0.25">
      <c r="A4" s="4"/>
      <c r="B4" s="114" t="str">
        <f>[1]Info!B21</f>
        <v>Staff Restating Adjustments</v>
      </c>
    </row>
    <row r="5" spans="1:46" x14ac:dyDescent="0.25">
      <c r="A5" s="4"/>
      <c r="B5" s="114"/>
    </row>
    <row r="6" spans="1:46" x14ac:dyDescent="0.25">
      <c r="A6" s="4"/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99</v>
      </c>
      <c r="K6" s="4" t="s">
        <v>100</v>
      </c>
      <c r="L6" s="4" t="s">
        <v>101</v>
      </c>
      <c r="M6" s="4" t="s">
        <v>102</v>
      </c>
      <c r="N6" s="4" t="s">
        <v>103</v>
      </c>
      <c r="O6" s="4" t="s">
        <v>104</v>
      </c>
      <c r="P6" s="4" t="s">
        <v>105</v>
      </c>
      <c r="Q6" s="4" t="s">
        <v>106</v>
      </c>
      <c r="R6" s="4" t="s">
        <v>107</v>
      </c>
      <c r="S6" s="4" t="s">
        <v>108</v>
      </c>
      <c r="T6" s="4" t="s">
        <v>109</v>
      </c>
      <c r="U6" s="4" t="s">
        <v>110</v>
      </c>
      <c r="V6" s="4" t="s">
        <v>111</v>
      </c>
      <c r="W6" s="4" t="s">
        <v>112</v>
      </c>
      <c r="X6" s="4" t="s">
        <v>113</v>
      </c>
      <c r="Y6" s="4" t="s">
        <v>114</v>
      </c>
      <c r="Z6" s="4" t="s">
        <v>115</v>
      </c>
      <c r="AA6" s="4" t="s">
        <v>116</v>
      </c>
      <c r="AB6" s="4" t="s">
        <v>117</v>
      </c>
      <c r="AC6" s="4" t="s">
        <v>118</v>
      </c>
      <c r="AD6" s="4" t="s">
        <v>119</v>
      </c>
      <c r="AE6" s="4" t="s">
        <v>120</v>
      </c>
      <c r="AF6" s="4" t="s">
        <v>121</v>
      </c>
      <c r="AG6" s="4" t="s">
        <v>122</v>
      </c>
      <c r="AH6" s="4" t="s">
        <v>123</v>
      </c>
      <c r="AI6" s="4" t="s">
        <v>124</v>
      </c>
      <c r="AJ6" s="4" t="s">
        <v>125</v>
      </c>
      <c r="AK6" s="4" t="s">
        <v>126</v>
      </c>
      <c r="AL6" s="4" t="s">
        <v>127</v>
      </c>
      <c r="AM6" s="4" t="s">
        <v>128</v>
      </c>
      <c r="AN6" s="4" t="s">
        <v>129</v>
      </c>
      <c r="AO6" s="4" t="s">
        <v>130</v>
      </c>
      <c r="AP6" s="4" t="s">
        <v>131</v>
      </c>
    </row>
    <row r="7" spans="1:46" s="4" customFormat="1" x14ac:dyDescent="0.25">
      <c r="C7" s="136"/>
      <c r="D7" s="4" t="s">
        <v>132</v>
      </c>
      <c r="E7" s="4" t="s">
        <v>133</v>
      </c>
      <c r="F7" s="4" t="s">
        <v>134</v>
      </c>
      <c r="G7" s="4" t="s">
        <v>135</v>
      </c>
      <c r="H7" s="4" t="s">
        <v>136</v>
      </c>
      <c r="I7" s="4" t="s">
        <v>137</v>
      </c>
      <c r="J7" s="4" t="s">
        <v>138</v>
      </c>
      <c r="K7" s="4" t="s">
        <v>139</v>
      </c>
      <c r="L7" s="4" t="s">
        <v>140</v>
      </c>
      <c r="M7" s="4" t="s">
        <v>141</v>
      </c>
      <c r="N7" s="4" t="s">
        <v>142</v>
      </c>
      <c r="O7" s="4" t="s">
        <v>143</v>
      </c>
      <c r="P7" s="4" t="s">
        <v>144</v>
      </c>
      <c r="Q7" s="4" t="s">
        <v>145</v>
      </c>
      <c r="R7" s="4" t="s">
        <v>146</v>
      </c>
      <c r="S7" s="4" t="s">
        <v>147</v>
      </c>
      <c r="T7" s="4" t="s">
        <v>148</v>
      </c>
      <c r="U7" s="4" t="s">
        <v>149</v>
      </c>
      <c r="V7" s="4" t="s">
        <v>150</v>
      </c>
      <c r="W7" s="4" t="s">
        <v>151</v>
      </c>
      <c r="X7" s="4" t="s">
        <v>152</v>
      </c>
      <c r="Y7" s="4" t="s">
        <v>153</v>
      </c>
      <c r="Z7" s="4" t="s">
        <v>154</v>
      </c>
      <c r="AA7" s="4" t="s">
        <v>155</v>
      </c>
      <c r="AB7" s="4" t="s">
        <v>156</v>
      </c>
      <c r="AC7" s="4" t="s">
        <v>157</v>
      </c>
      <c r="AD7" s="4" t="s">
        <v>158</v>
      </c>
      <c r="AE7" s="4" t="s">
        <v>159</v>
      </c>
      <c r="AF7" s="4" t="s">
        <v>160</v>
      </c>
      <c r="AG7" s="4" t="s">
        <v>161</v>
      </c>
      <c r="AH7" s="4" t="s">
        <v>162</v>
      </c>
      <c r="AI7" s="4" t="s">
        <v>163</v>
      </c>
      <c r="AJ7" s="4" t="s">
        <v>164</v>
      </c>
      <c r="AK7" s="4" t="s">
        <v>165</v>
      </c>
      <c r="AL7" s="4" t="s">
        <v>166</v>
      </c>
      <c r="AM7" s="4" t="s">
        <v>167</v>
      </c>
      <c r="AN7" s="4" t="s">
        <v>168</v>
      </c>
      <c r="AO7" s="4" t="s">
        <v>169</v>
      </c>
      <c r="AP7" s="4" t="s">
        <v>170</v>
      </c>
    </row>
    <row r="8" spans="1:46" ht="47.25" x14ac:dyDescent="0.25">
      <c r="A8" s="116" t="s">
        <v>86</v>
      </c>
      <c r="B8" s="116" t="s">
        <v>9</v>
      </c>
      <c r="C8" s="137" t="s">
        <v>171</v>
      </c>
      <c r="D8" s="116" t="s">
        <v>172</v>
      </c>
      <c r="E8" s="116" t="s">
        <v>173</v>
      </c>
      <c r="F8" s="116" t="s">
        <v>174</v>
      </c>
      <c r="G8" s="116" t="s">
        <v>175</v>
      </c>
      <c r="H8" s="116" t="s">
        <v>176</v>
      </c>
      <c r="I8" s="116" t="s">
        <v>177</v>
      </c>
      <c r="J8" s="116" t="s">
        <v>178</v>
      </c>
      <c r="K8" s="116" t="s">
        <v>179</v>
      </c>
      <c r="L8" s="116" t="s">
        <v>26</v>
      </c>
      <c r="M8" s="116" t="s">
        <v>27</v>
      </c>
      <c r="N8" s="116" t="s">
        <v>29</v>
      </c>
      <c r="O8" s="116" t="s">
        <v>180</v>
      </c>
      <c r="P8" s="116" t="s">
        <v>181</v>
      </c>
      <c r="Q8" s="116" t="s">
        <v>182</v>
      </c>
      <c r="R8" s="116" t="s">
        <v>183</v>
      </c>
      <c r="S8" s="116" t="s">
        <v>44</v>
      </c>
      <c r="T8" s="116" t="s">
        <v>184</v>
      </c>
      <c r="U8" s="116" t="s">
        <v>48</v>
      </c>
      <c r="V8" s="116" t="s">
        <v>185</v>
      </c>
      <c r="W8" s="116" t="s">
        <v>186</v>
      </c>
      <c r="X8" s="116" t="s">
        <v>187</v>
      </c>
      <c r="Y8" s="116" t="s">
        <v>188</v>
      </c>
      <c r="Z8" s="116" t="s">
        <v>29</v>
      </c>
      <c r="AA8" s="116" t="s">
        <v>189</v>
      </c>
      <c r="AB8" s="116" t="s">
        <v>54</v>
      </c>
      <c r="AC8" s="116" t="s">
        <v>190</v>
      </c>
      <c r="AD8" s="116" t="s">
        <v>191</v>
      </c>
      <c r="AE8" s="116" t="s">
        <v>192</v>
      </c>
      <c r="AF8" s="116" t="s">
        <v>193</v>
      </c>
      <c r="AG8" s="116" t="s">
        <v>194</v>
      </c>
      <c r="AH8" s="116" t="s">
        <v>195</v>
      </c>
      <c r="AI8" s="116" t="s">
        <v>61</v>
      </c>
      <c r="AJ8" s="116" t="s">
        <v>62</v>
      </c>
      <c r="AK8" s="116" t="s">
        <v>63</v>
      </c>
      <c r="AL8" s="116" t="s">
        <v>64</v>
      </c>
      <c r="AM8" s="116" t="s">
        <v>65</v>
      </c>
      <c r="AN8" s="116" t="s">
        <v>196</v>
      </c>
      <c r="AO8" s="116" t="s">
        <v>197</v>
      </c>
      <c r="AP8" s="116" t="s">
        <v>70</v>
      </c>
      <c r="AQ8" s="116"/>
      <c r="AR8" s="116"/>
      <c r="AS8" s="116"/>
      <c r="AT8" s="116"/>
    </row>
    <row r="9" spans="1:46" x14ac:dyDescent="0.25">
      <c r="A9" s="117"/>
      <c r="B9" s="138" t="s">
        <v>13</v>
      </c>
      <c r="C9" s="139" t="s">
        <v>198</v>
      </c>
      <c r="D9" s="140" t="s">
        <v>199</v>
      </c>
      <c r="E9" s="140" t="s">
        <v>200</v>
      </c>
      <c r="F9" s="141" t="s">
        <v>201</v>
      </c>
      <c r="G9" s="141" t="s">
        <v>202</v>
      </c>
      <c r="H9" s="141" t="s">
        <v>201</v>
      </c>
      <c r="I9" s="141" t="s">
        <v>201</v>
      </c>
      <c r="J9" s="142" t="s">
        <v>203</v>
      </c>
      <c r="K9" s="142" t="s">
        <v>203</v>
      </c>
      <c r="L9" s="142" t="s">
        <v>203</v>
      </c>
      <c r="M9" s="142" t="s">
        <v>203</v>
      </c>
      <c r="N9" s="142" t="s">
        <v>203</v>
      </c>
      <c r="O9" s="142" t="s">
        <v>203</v>
      </c>
      <c r="P9" s="142" t="s">
        <v>203</v>
      </c>
      <c r="Q9" s="142" t="s">
        <v>203</v>
      </c>
      <c r="R9" s="142" t="s">
        <v>203</v>
      </c>
      <c r="S9" s="142" t="s">
        <v>203</v>
      </c>
      <c r="T9" s="142" t="s">
        <v>203</v>
      </c>
      <c r="U9" s="142" t="s">
        <v>203</v>
      </c>
      <c r="V9" s="142" t="s">
        <v>203</v>
      </c>
      <c r="W9" s="142" t="s">
        <v>203</v>
      </c>
      <c r="X9" s="142" t="s">
        <v>203</v>
      </c>
      <c r="Y9" s="142" t="s">
        <v>203</v>
      </c>
      <c r="Z9" s="142" t="s">
        <v>203</v>
      </c>
      <c r="AA9" s="142" t="s">
        <v>203</v>
      </c>
      <c r="AB9" s="142" t="s">
        <v>203</v>
      </c>
      <c r="AC9" s="142" t="s">
        <v>203</v>
      </c>
      <c r="AD9" s="142" t="s">
        <v>203</v>
      </c>
      <c r="AE9" s="142" t="s">
        <v>203</v>
      </c>
      <c r="AF9" s="142" t="s">
        <v>203</v>
      </c>
      <c r="AG9" s="142" t="s">
        <v>203</v>
      </c>
      <c r="AH9" s="142" t="s">
        <v>203</v>
      </c>
      <c r="AI9" s="142" t="s">
        <v>203</v>
      </c>
      <c r="AJ9" s="142" t="s">
        <v>203</v>
      </c>
      <c r="AK9" s="142" t="s">
        <v>203</v>
      </c>
      <c r="AL9" s="142" t="s">
        <v>203</v>
      </c>
      <c r="AM9" s="142" t="s">
        <v>203</v>
      </c>
      <c r="AN9" s="142" t="s">
        <v>203</v>
      </c>
      <c r="AO9" s="142" t="s">
        <v>203</v>
      </c>
      <c r="AP9" s="142" t="s">
        <v>203</v>
      </c>
    </row>
    <row r="10" spans="1:46" x14ac:dyDescent="0.25">
      <c r="A10" s="18"/>
      <c r="B10" s="4" t="str">
        <f>[1]PFIS!B8</f>
        <v>REVENUES</v>
      </c>
      <c r="C10" s="121"/>
      <c r="D10" s="62"/>
      <c r="E10" s="62"/>
      <c r="F10" s="62"/>
      <c r="G10" s="62"/>
      <c r="H10" s="62"/>
      <c r="I10" s="143">
        <v>0.11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</row>
    <row r="11" spans="1:46" x14ac:dyDescent="0.25">
      <c r="A11" s="18">
        <v>1</v>
      </c>
      <c r="B11" s="99" t="str">
        <f>[1]PFIS!B9</f>
        <v xml:space="preserve">Un-Metered Sales / Irrigation </v>
      </c>
      <c r="C11" s="144">
        <f t="shared" ref="C11:C16" si="0">SUM(D11:AP11)</f>
        <v>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</row>
    <row r="12" spans="1:46" x14ac:dyDescent="0.25">
      <c r="A12" s="18">
        <f t="shared" ref="A12:A64" si="1">1+A11</f>
        <v>2</v>
      </c>
      <c r="B12" s="99" t="str">
        <f>[1]PFIS!B10</f>
        <v xml:space="preserve">Metered Sales / Domestic </v>
      </c>
      <c r="C12" s="144">
        <f t="shared" si="0"/>
        <v>-32316</v>
      </c>
      <c r="D12" s="61">
        <v>0</v>
      </c>
      <c r="E12" s="61"/>
      <c r="F12" s="61"/>
      <c r="G12" s="61"/>
      <c r="H12" s="61"/>
      <c r="I12" s="61"/>
      <c r="J12" s="61">
        <v>-32316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</row>
    <row r="13" spans="1:46" x14ac:dyDescent="0.25">
      <c r="A13" s="18">
        <f t="shared" si="1"/>
        <v>3</v>
      </c>
      <c r="B13" s="99" t="str">
        <f>[1]PFIS!B11</f>
        <v>Ready-to-Serve</v>
      </c>
      <c r="C13" s="144">
        <f t="shared" si="0"/>
        <v>0</v>
      </c>
      <c r="D13" s="61">
        <v>0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</row>
    <row r="14" spans="1:46" x14ac:dyDescent="0.25">
      <c r="A14" s="18">
        <f t="shared" si="1"/>
        <v>4</v>
      </c>
      <c r="B14" s="99" t="str">
        <f>[1]PFIS!B12</f>
        <v>Fire Protection / Irrigation</v>
      </c>
      <c r="C14" s="144">
        <f t="shared" si="0"/>
        <v>0</v>
      </c>
      <c r="D14" s="61">
        <v>0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</row>
    <row r="15" spans="1:46" x14ac:dyDescent="0.25">
      <c r="A15" s="18">
        <f t="shared" si="1"/>
        <v>5</v>
      </c>
      <c r="B15" s="99" t="str">
        <f>[1]PFIS!B13</f>
        <v>Jobbing</v>
      </c>
      <c r="C15" s="144">
        <f t="shared" si="0"/>
        <v>0</v>
      </c>
      <c r="D15" s="61">
        <v>0</v>
      </c>
      <c r="E15" s="61"/>
      <c r="F15" s="61">
        <f>-[1]PFIS!C13</f>
        <v>0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</row>
    <row r="16" spans="1:46" ht="16.5" thickBot="1" x14ac:dyDescent="0.3">
      <c r="A16" s="18">
        <f t="shared" si="1"/>
        <v>6</v>
      </c>
      <c r="B16" s="99" t="str">
        <f>[1]PFIS!B14</f>
        <v>Other Income, Ancillary Charges (Hookup Charges)</v>
      </c>
      <c r="C16" s="144">
        <f t="shared" si="0"/>
        <v>-40500</v>
      </c>
      <c r="D16" s="61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>
        <v>-40500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spans="1:42" ht="16.5" thickTop="1" x14ac:dyDescent="0.25">
      <c r="A17" s="18">
        <f t="shared" si="1"/>
        <v>7</v>
      </c>
      <c r="B17" s="99" t="str">
        <f>[1]PFIS!B15</f>
        <v>OPERATING REVENUE</v>
      </c>
      <c r="C17" s="145">
        <f t="shared" ref="C17:AP17" si="2">SUM(C11:C16)</f>
        <v>-72816</v>
      </c>
      <c r="D17" s="146">
        <f t="shared" si="2"/>
        <v>0</v>
      </c>
      <c r="E17" s="146">
        <f t="shared" si="2"/>
        <v>0</v>
      </c>
      <c r="F17" s="146">
        <f t="shared" si="2"/>
        <v>0</v>
      </c>
      <c r="G17" s="146">
        <f t="shared" si="2"/>
        <v>0</v>
      </c>
      <c r="H17" s="146">
        <f t="shared" si="2"/>
        <v>0</v>
      </c>
      <c r="I17" s="146">
        <f t="shared" si="2"/>
        <v>0</v>
      </c>
      <c r="J17" s="146">
        <f t="shared" si="2"/>
        <v>-32316</v>
      </c>
      <c r="K17" s="146">
        <f t="shared" si="2"/>
        <v>0</v>
      </c>
      <c r="L17" s="146">
        <f t="shared" si="2"/>
        <v>0</v>
      </c>
      <c r="M17" s="146">
        <f t="shared" si="2"/>
        <v>0</v>
      </c>
      <c r="N17" s="146">
        <f t="shared" si="2"/>
        <v>0</v>
      </c>
      <c r="O17" s="146">
        <f t="shared" si="2"/>
        <v>-40500</v>
      </c>
      <c r="P17" s="146">
        <f t="shared" si="2"/>
        <v>0</v>
      </c>
      <c r="Q17" s="146">
        <f t="shared" si="2"/>
        <v>0</v>
      </c>
      <c r="R17" s="146">
        <f t="shared" si="2"/>
        <v>0</v>
      </c>
      <c r="S17" s="146">
        <f t="shared" si="2"/>
        <v>0</v>
      </c>
      <c r="T17" s="146">
        <f t="shared" si="2"/>
        <v>0</v>
      </c>
      <c r="U17" s="146">
        <f t="shared" si="2"/>
        <v>0</v>
      </c>
      <c r="V17" s="146">
        <f t="shared" si="2"/>
        <v>0</v>
      </c>
      <c r="W17" s="146">
        <f t="shared" si="2"/>
        <v>0</v>
      </c>
      <c r="X17" s="146">
        <f t="shared" si="2"/>
        <v>0</v>
      </c>
      <c r="Y17" s="146">
        <f t="shared" si="2"/>
        <v>0</v>
      </c>
      <c r="Z17" s="146">
        <f t="shared" si="2"/>
        <v>0</v>
      </c>
      <c r="AA17" s="146">
        <f t="shared" si="2"/>
        <v>0</v>
      </c>
      <c r="AB17" s="146">
        <f t="shared" si="2"/>
        <v>0</v>
      </c>
      <c r="AC17" s="146">
        <f t="shared" si="2"/>
        <v>0</v>
      </c>
      <c r="AD17" s="146">
        <f t="shared" si="2"/>
        <v>0</v>
      </c>
      <c r="AE17" s="146">
        <f t="shared" si="2"/>
        <v>0</v>
      </c>
      <c r="AF17" s="146">
        <f t="shared" si="2"/>
        <v>0</v>
      </c>
      <c r="AG17" s="146">
        <f t="shared" si="2"/>
        <v>0</v>
      </c>
      <c r="AH17" s="146">
        <f t="shared" si="2"/>
        <v>0</v>
      </c>
      <c r="AI17" s="146">
        <f t="shared" si="2"/>
        <v>0</v>
      </c>
      <c r="AJ17" s="146">
        <f t="shared" si="2"/>
        <v>0</v>
      </c>
      <c r="AK17" s="146">
        <f t="shared" si="2"/>
        <v>0</v>
      </c>
      <c r="AL17" s="146">
        <f t="shared" si="2"/>
        <v>0</v>
      </c>
      <c r="AM17" s="146">
        <f t="shared" si="2"/>
        <v>0</v>
      </c>
      <c r="AN17" s="146">
        <f t="shared" si="2"/>
        <v>0</v>
      </c>
      <c r="AO17" s="146">
        <f t="shared" si="2"/>
        <v>0</v>
      </c>
      <c r="AP17" s="146">
        <f t="shared" si="2"/>
        <v>0</v>
      </c>
    </row>
    <row r="18" spans="1:42" x14ac:dyDescent="0.25">
      <c r="A18" s="18">
        <f t="shared" si="1"/>
        <v>8</v>
      </c>
      <c r="B18" s="99">
        <f>[1]PFIS!B16</f>
        <v>0</v>
      </c>
      <c r="C18" s="147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</row>
    <row r="19" spans="1:42" x14ac:dyDescent="0.25">
      <c r="A19" s="18">
        <f t="shared" si="1"/>
        <v>9</v>
      </c>
      <c r="B19" s="4" t="str">
        <f>[1]PFIS!B17</f>
        <v>EXPENSES</v>
      </c>
      <c r="C19" s="147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spans="1:42" x14ac:dyDescent="0.25">
      <c r="A20" s="18">
        <f t="shared" si="1"/>
        <v>10</v>
      </c>
      <c r="B20" s="99" t="str">
        <f>[1]PFIS!B18</f>
        <v xml:space="preserve">Salary and Wages - Employees  </v>
      </c>
      <c r="C20" s="144">
        <f>SUM(D20:AP20)</f>
        <v>-14634.769536423843</v>
      </c>
      <c r="D20" s="32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>
        <f>'[1]Sch 13 Worksheet Cal Adjs'!G15</f>
        <v>-15029.579536423842</v>
      </c>
      <c r="Q20" s="61"/>
      <c r="R20" s="61"/>
      <c r="S20" s="61"/>
      <c r="T20" s="61"/>
      <c r="U20" s="61"/>
      <c r="V20" s="61"/>
      <c r="W20" s="61">
        <f>'[1]Sch 13 Worksheet Cal Adjs'!D103</f>
        <v>394.81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spans="1:42" x14ac:dyDescent="0.25">
      <c r="A21" s="18">
        <f t="shared" si="1"/>
        <v>11</v>
      </c>
      <c r="B21" s="99" t="str">
        <f>[1]PFIS!B19</f>
        <v>Salary and Wages - Officers</v>
      </c>
      <c r="C21" s="144">
        <f t="shared" ref="C21:C44" si="3">SUM(D21:AP21)</f>
        <v>0</v>
      </c>
      <c r="D21" s="32"/>
      <c r="E21" s="61">
        <f>9135-9135</f>
        <v>0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spans="1:42" x14ac:dyDescent="0.25">
      <c r="A22" s="18">
        <f t="shared" si="1"/>
        <v>12</v>
      </c>
      <c r="B22" s="99" t="str">
        <f>[1]PFIS!B20</f>
        <v>Employee Pensions and Benefits</v>
      </c>
      <c r="C22" s="144">
        <f t="shared" si="3"/>
        <v>0</v>
      </c>
      <c r="D22" s="32"/>
      <c r="E22" s="61"/>
      <c r="F22" s="61"/>
      <c r="G22" s="61"/>
      <c r="H22" s="61"/>
      <c r="I22" s="149">
        <f>IF([1]PFIS!F19+[1]PFIS!F18=0,0,((C20+C21)*([1]PFIS!C20/([1]PFIS!C18+[1]PFIS!C19)))-((SUM(J22:AP22))))</f>
        <v>0</v>
      </c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spans="1:42" x14ac:dyDescent="0.25">
      <c r="A23" s="18">
        <f t="shared" si="1"/>
        <v>13</v>
      </c>
      <c r="B23" s="99" t="str">
        <f>[1]PFIS!B21</f>
        <v>Purchased Power/Water</v>
      </c>
      <c r="C23" s="144">
        <f t="shared" si="3"/>
        <v>-10572</v>
      </c>
      <c r="D23" s="32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>
        <f>'[1]Sch 13 Worksheet Cal Adjs'!D26</f>
        <v>-10572</v>
      </c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spans="1:42" x14ac:dyDescent="0.25">
      <c r="A24" s="18">
        <f t="shared" si="1"/>
        <v>14</v>
      </c>
      <c r="B24" s="99" t="str">
        <f>[1]PFIS!B22</f>
        <v>Chemicals &amp; Testing</v>
      </c>
      <c r="C24" s="144">
        <f t="shared" si="3"/>
        <v>-983</v>
      </c>
      <c r="D24" s="32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>
        <f>'[1]Sch 13 Worksheet Cal Adjs'!D38</f>
        <v>-983</v>
      </c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spans="1:42" x14ac:dyDescent="0.25">
      <c r="A25" s="18">
        <f t="shared" si="1"/>
        <v>15</v>
      </c>
      <c r="B25" s="99" t="str">
        <f>[1]PFIS!B23</f>
        <v>Material &amp; Supplies</v>
      </c>
      <c r="C25" s="144">
        <f t="shared" si="3"/>
        <v>-7076.1250000000009</v>
      </c>
      <c r="D25" s="32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>
        <f>'[1]Sch 13 Worksheet Cal Adjs'!G77</f>
        <v>-7076.1250000000009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spans="1:42" x14ac:dyDescent="0.25">
      <c r="A26" s="18">
        <f t="shared" si="1"/>
        <v>16</v>
      </c>
      <c r="B26" s="99" t="str">
        <f>[1]PFIS!B24</f>
        <v>Contractual Engineer</v>
      </c>
      <c r="C26" s="144">
        <f t="shared" si="3"/>
        <v>0</v>
      </c>
      <c r="D26" s="3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spans="1:42" x14ac:dyDescent="0.25">
      <c r="A27" s="18">
        <f t="shared" si="1"/>
        <v>17</v>
      </c>
      <c r="B27" s="99" t="str">
        <f>[1]PFIS!B25</f>
        <v>Contractual Accounting</v>
      </c>
      <c r="C27" s="144">
        <f t="shared" si="3"/>
        <v>-2746.0438161571856</v>
      </c>
      <c r="D27" s="3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>
        <f>'[1]Sch 13 Worksheet Cal Adjs'!D102+'[1]Sch 13 Worksheet Cal Adjs'!D101+'[1]Sch 13 Worksheet Cal Adjs'!D100</f>
        <v>-2746.0438161571856</v>
      </c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spans="1:42" x14ac:dyDescent="0.25">
      <c r="A28" s="18">
        <f t="shared" si="1"/>
        <v>18</v>
      </c>
      <c r="B28" s="99" t="str">
        <f>[1]PFIS!B26</f>
        <v>Contractual Legal</v>
      </c>
      <c r="C28" s="144">
        <f t="shared" si="3"/>
        <v>-13322.75</v>
      </c>
      <c r="D28" s="3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>
        <f>'[1]Sch 13 Worksheet Cal Adjs'!H164</f>
        <v>-13322.75</v>
      </c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spans="1:42" x14ac:dyDescent="0.25">
      <c r="A29" s="18">
        <f t="shared" si="1"/>
        <v>19</v>
      </c>
      <c r="B29" s="99" t="str">
        <f>[1]PFIS!B27</f>
        <v>Contractual Operations</v>
      </c>
      <c r="C29" s="144">
        <f t="shared" si="3"/>
        <v>-7596.28</v>
      </c>
      <c r="D29" s="32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>
        <f>'[1]Sch 13 Worksheet Cal Adjs'!G175</f>
        <v>-7596.28</v>
      </c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spans="1:42" x14ac:dyDescent="0.25">
      <c r="A30" s="18">
        <f t="shared" si="1"/>
        <v>20</v>
      </c>
      <c r="B30" s="99" t="str">
        <f>[1]PFIS!B28</f>
        <v>Jobbing</v>
      </c>
      <c r="C30" s="144">
        <f t="shared" si="3"/>
        <v>0</v>
      </c>
      <c r="D30" s="32"/>
      <c r="E30" s="61"/>
      <c r="F30" s="61">
        <f>-[1]PFIS!C28</f>
        <v>0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spans="1:42" x14ac:dyDescent="0.25">
      <c r="A31" s="18">
        <f t="shared" si="1"/>
        <v>21</v>
      </c>
      <c r="B31" s="99" t="str">
        <f>[1]PFIS!B29</f>
        <v>Rental of Building, Property, and Equipment</v>
      </c>
      <c r="C31" s="144">
        <f t="shared" si="3"/>
        <v>-2680.6278026905829</v>
      </c>
      <c r="D31" s="32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>
        <f>'[1]Sch 13 Worksheet Cal Adjs'!F188</f>
        <v>-2680.6278026905829</v>
      </c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spans="1:42" x14ac:dyDescent="0.25">
      <c r="A32" s="18">
        <f t="shared" si="1"/>
        <v>22</v>
      </c>
      <c r="B32" s="99" t="str">
        <f>[1]PFIS!B30</f>
        <v>Transportation</v>
      </c>
      <c r="C32" s="144">
        <f t="shared" si="3"/>
        <v>-1633</v>
      </c>
      <c r="D32" s="32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>
        <f>'[1]Sch 13 Worksheet Cal Adjs'!D196</f>
        <v>-1633</v>
      </c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spans="1:42" x14ac:dyDescent="0.25">
      <c r="A33" s="18">
        <f t="shared" si="1"/>
        <v>23</v>
      </c>
      <c r="B33" s="99" t="str">
        <f>[1]PFIS!B31</f>
        <v>Insurance - Vehicle, General Liability, Workman's Comp.</v>
      </c>
      <c r="C33" s="144">
        <f t="shared" si="3"/>
        <v>-1301.7673600000001</v>
      </c>
      <c r="D33" s="32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>
        <f>'[1]Sch 13 Worksheet Cal Adjs'!D202+'[1]Sch 13 Worksheet Cal Adjs'!D207</f>
        <v>-1301.7673600000001</v>
      </c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spans="1:42" x14ac:dyDescent="0.25">
      <c r="A34" s="18">
        <f t="shared" si="1"/>
        <v>24</v>
      </c>
      <c r="B34" s="99" t="str">
        <f>[1]PFIS!B32</f>
        <v>Regulatory Commission Expenses - Fees</v>
      </c>
      <c r="C34" s="144">
        <f t="shared" si="3"/>
        <v>47.004100000000001</v>
      </c>
      <c r="D34" s="32"/>
      <c r="E34" s="61"/>
      <c r="F34" s="61"/>
      <c r="G34" s="61"/>
      <c r="H34" s="149">
        <f>((([1]PFIS!F9+[1]PFIS!F10+[1]PFIS!F11+[1]PFIS!F12)*'[1]Sch 5 NTG Factor'!D12)-([1]PFIS!C32+(SUM(I34:AP34))))</f>
        <v>47.004100000000001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spans="1:42" x14ac:dyDescent="0.25">
      <c r="A35" s="18">
        <f t="shared" si="1"/>
        <v>25</v>
      </c>
      <c r="B35" s="99" t="str">
        <f>[1]PFIS!B33</f>
        <v>Regulatory Commission Expenses - Amort. Rate Case</v>
      </c>
      <c r="C35" s="144">
        <f t="shared" si="3"/>
        <v>0</v>
      </c>
      <c r="D35" s="3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spans="1:42" x14ac:dyDescent="0.25">
      <c r="A36" s="18">
        <f t="shared" si="1"/>
        <v>26</v>
      </c>
      <c r="B36" s="99" t="str">
        <f>[1]PFIS!B34</f>
        <v>Travel, Education, CCR, and Public Relations</v>
      </c>
      <c r="C36" s="144">
        <f t="shared" si="3"/>
        <v>-202</v>
      </c>
      <c r="D36" s="32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>
        <f>'[1]Sch 13 Worksheet Cal Adjs'!E216</f>
        <v>-202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pans="1:42" x14ac:dyDescent="0.25">
      <c r="A37" s="18">
        <f t="shared" si="1"/>
        <v>27</v>
      </c>
      <c r="B37" s="99" t="str">
        <f>[1]PFIS!B35</f>
        <v>Office, Postage, Phone, and Bank Charges</v>
      </c>
      <c r="C37" s="144">
        <f t="shared" si="3"/>
        <v>-2470.75</v>
      </c>
      <c r="D37" s="32"/>
      <c r="E37" s="61"/>
      <c r="F37" s="61">
        <v>0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>
        <f>'[1]Sch 13 Worksheet Cal Adjs'!E226</f>
        <v>-2470.75</v>
      </c>
      <c r="AH37" s="61"/>
      <c r="AI37" s="61"/>
      <c r="AJ37" s="61"/>
      <c r="AK37" s="61"/>
      <c r="AL37" s="61"/>
      <c r="AM37" s="61"/>
      <c r="AN37" s="61"/>
      <c r="AO37" s="61"/>
      <c r="AP37" s="61"/>
    </row>
    <row r="38" spans="1:42" x14ac:dyDescent="0.25">
      <c r="A38" s="18">
        <f t="shared" si="1"/>
        <v>28</v>
      </c>
      <c r="B38" s="99" t="str">
        <f>[1]PFIS!B36</f>
        <v>Bad Debt</v>
      </c>
      <c r="C38" s="144">
        <f t="shared" si="3"/>
        <v>37.108499999999999</v>
      </c>
      <c r="D38" s="32"/>
      <c r="E38" s="61"/>
      <c r="F38" s="61"/>
      <c r="G38" s="61"/>
      <c r="H38" s="149">
        <f>(([1]PFIS!F9+[1]PFIS!F10+[1]PFIS!F11+[1]PFIS!F12)*'[1]Sch 5 NTG Factor'!D14)-([1]PFIS!C36+(SUM(I38:AP38)))</f>
        <v>37.108499999999999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</row>
    <row r="39" spans="1:42" x14ac:dyDescent="0.25">
      <c r="A39" s="18">
        <f t="shared" si="1"/>
        <v>29</v>
      </c>
      <c r="B39" s="99" t="str">
        <f>[1]PFIS!B37</f>
        <v>Repairs</v>
      </c>
      <c r="C39" s="144">
        <f t="shared" si="3"/>
        <v>-4543.0000000000009</v>
      </c>
      <c r="D39" s="32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>
        <f>'[1]Sch 13 Worksheet Cal Adjs'!D268</f>
        <v>-4543.0000000000009</v>
      </c>
      <c r="AJ39" s="61"/>
      <c r="AK39" s="61"/>
      <c r="AL39" s="61"/>
      <c r="AM39" s="61"/>
      <c r="AN39" s="61"/>
      <c r="AO39" s="61"/>
      <c r="AP39" s="61"/>
    </row>
    <row r="40" spans="1:42" x14ac:dyDescent="0.25">
      <c r="A40" s="18">
        <f t="shared" si="1"/>
        <v>30</v>
      </c>
      <c r="B40" s="99" t="str">
        <f>[1]PFIS!B38</f>
        <v>Net Depreciation/Amortization</v>
      </c>
      <c r="C40" s="144">
        <f t="shared" si="3"/>
        <v>-3491.3917473333331</v>
      </c>
      <c r="D40" s="32"/>
      <c r="E40" s="149">
        <v>0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f>+'[1]Sch 13 Worksheet Cal Adjs'!D290</f>
        <v>-3491.3917473333331</v>
      </c>
      <c r="AK40" s="61"/>
      <c r="AL40" s="61"/>
      <c r="AM40" s="61"/>
      <c r="AN40" s="61"/>
      <c r="AO40" s="61"/>
      <c r="AP40" s="61"/>
    </row>
    <row r="41" spans="1:42" x14ac:dyDescent="0.25">
      <c r="A41" s="18">
        <f t="shared" si="1"/>
        <v>31</v>
      </c>
      <c r="B41" s="99" t="str">
        <f>[1]PFIS!B39</f>
        <v>Utility Excise Tax</v>
      </c>
      <c r="C41" s="144">
        <f t="shared" si="3"/>
        <v>-255.70404999999892</v>
      </c>
      <c r="D41" s="32"/>
      <c r="E41" s="61"/>
      <c r="F41" s="61"/>
      <c r="G41" s="61"/>
      <c r="H41" s="149">
        <f>(([1]PFIS!C9+[1]PFIS!C10+[1]PFIS!C11+[1]PFIS!C12)*'[1]Sch 5 NTG Factor'!D15)-([1]PFIS!C39+(SUM(I41:AP41)))</f>
        <v>1453.8123500000011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>
        <f>'[1]Sch 13 Worksheet Cal Adjs'!D300</f>
        <v>-1709.5164</v>
      </c>
      <c r="AL41" s="61"/>
      <c r="AM41" s="61"/>
      <c r="AN41" s="61"/>
      <c r="AO41" s="61"/>
      <c r="AP41" s="61"/>
    </row>
    <row r="42" spans="1:42" x14ac:dyDescent="0.25">
      <c r="A42" s="18">
        <f t="shared" si="1"/>
        <v>32</v>
      </c>
      <c r="B42" s="99" t="str">
        <f>[1]PFIS!B40</f>
        <v>Property Tax</v>
      </c>
      <c r="C42" s="144">
        <f t="shared" si="3"/>
        <v>0</v>
      </c>
      <c r="D42" s="3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</row>
    <row r="43" spans="1:42" x14ac:dyDescent="0.25">
      <c r="A43" s="18">
        <f t="shared" si="1"/>
        <v>33</v>
      </c>
      <c r="B43" s="99" t="str">
        <f>[1]PFIS!B41</f>
        <v xml:space="preserve">Payroll Tax  </v>
      </c>
      <c r="C43" s="144">
        <f t="shared" si="3"/>
        <v>-1728.5321748109682</v>
      </c>
      <c r="D43" s="32"/>
      <c r="E43" s="61"/>
      <c r="F43" s="61"/>
      <c r="G43" s="61"/>
      <c r="H43" s="61"/>
      <c r="I43" s="149">
        <v>0</v>
      </c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>
        <f>'[1]Sch 13 Worksheet Cal Adjs'!G306</f>
        <v>-1728.5321748109682</v>
      </c>
      <c r="AN43" s="61"/>
      <c r="AO43" s="61"/>
      <c r="AP43" s="61"/>
    </row>
    <row r="44" spans="1:42" x14ac:dyDescent="0.25">
      <c r="A44" s="18">
        <f t="shared" si="1"/>
        <v>34</v>
      </c>
      <c r="B44" s="99" t="str">
        <f>[1]PFIS!B42</f>
        <v>Other Taxes &amp; Licenses (DOH/PWB/ESD/DOE)</v>
      </c>
      <c r="C44" s="144">
        <f t="shared" si="3"/>
        <v>-406</v>
      </c>
      <c r="D44" s="3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>
        <f>'[1]Sch 13 Worksheet Cal Adjs'!D322</f>
        <v>-406</v>
      </c>
      <c r="AO44" s="61"/>
      <c r="AP44" s="61"/>
    </row>
    <row r="45" spans="1:42" ht="16.5" thickBot="1" x14ac:dyDescent="0.3">
      <c r="A45" s="18">
        <f t="shared" si="1"/>
        <v>35</v>
      </c>
      <c r="B45" s="99" t="str">
        <f>[1]PFIS!B43</f>
        <v>Miscellaneous</v>
      </c>
      <c r="C45" s="144">
        <f>SUM(D45:AP45)</f>
        <v>0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2" ht="16.5" thickTop="1" x14ac:dyDescent="0.25">
      <c r="A46" s="18">
        <f t="shared" si="1"/>
        <v>36</v>
      </c>
      <c r="B46" s="99" t="str">
        <f>[1]PFIS!B44</f>
        <v>OPERATING EXPENSES</v>
      </c>
      <c r="C46" s="145">
        <f>SUM(C20:C45)</f>
        <v>-75559.628887415922</v>
      </c>
      <c r="D46" s="146">
        <f>SUM(D19:D45)</f>
        <v>0</v>
      </c>
      <c r="E46" s="146">
        <f t="shared" ref="E46:AP46" si="4">SUM(E19:E45)</f>
        <v>0</v>
      </c>
      <c r="F46" s="146">
        <f t="shared" si="4"/>
        <v>0</v>
      </c>
      <c r="G46" s="146">
        <f t="shared" si="4"/>
        <v>0</v>
      </c>
      <c r="H46" s="146">
        <f t="shared" si="4"/>
        <v>1537.924950000001</v>
      </c>
      <c r="I46" s="146">
        <f t="shared" si="4"/>
        <v>0</v>
      </c>
      <c r="J46" s="146">
        <f t="shared" si="4"/>
        <v>0</v>
      </c>
      <c r="K46" s="146">
        <f t="shared" si="4"/>
        <v>0</v>
      </c>
      <c r="L46" s="146">
        <f t="shared" si="4"/>
        <v>0</v>
      </c>
      <c r="M46" s="146">
        <f t="shared" si="4"/>
        <v>0</v>
      </c>
      <c r="N46" s="146">
        <f t="shared" si="4"/>
        <v>0</v>
      </c>
      <c r="O46" s="146">
        <f t="shared" si="4"/>
        <v>0</v>
      </c>
      <c r="P46" s="146">
        <f t="shared" si="4"/>
        <v>-15029.579536423842</v>
      </c>
      <c r="Q46" s="146">
        <f t="shared" si="4"/>
        <v>0</v>
      </c>
      <c r="R46" s="146">
        <f t="shared" si="4"/>
        <v>0</v>
      </c>
      <c r="S46" s="146">
        <f t="shared" si="4"/>
        <v>-10572</v>
      </c>
      <c r="T46" s="146">
        <f t="shared" si="4"/>
        <v>-983</v>
      </c>
      <c r="U46" s="146">
        <f t="shared" si="4"/>
        <v>-7076.1250000000009</v>
      </c>
      <c r="V46" s="146">
        <f t="shared" si="4"/>
        <v>0</v>
      </c>
      <c r="W46" s="146">
        <f t="shared" si="4"/>
        <v>-2351.2338161571856</v>
      </c>
      <c r="X46" s="146">
        <f t="shared" si="4"/>
        <v>-13322.75</v>
      </c>
      <c r="Y46" s="146">
        <f t="shared" si="4"/>
        <v>-7596.28</v>
      </c>
      <c r="Z46" s="146">
        <f t="shared" si="4"/>
        <v>0</v>
      </c>
      <c r="AA46" s="146">
        <f t="shared" si="4"/>
        <v>-2680.6278026905829</v>
      </c>
      <c r="AB46" s="146">
        <f t="shared" si="4"/>
        <v>-1633</v>
      </c>
      <c r="AC46" s="146">
        <f t="shared" si="4"/>
        <v>-1301.7673600000001</v>
      </c>
      <c r="AD46" s="146">
        <f t="shared" si="4"/>
        <v>0</v>
      </c>
      <c r="AE46" s="146">
        <f t="shared" si="4"/>
        <v>0</v>
      </c>
      <c r="AF46" s="146">
        <f t="shared" si="4"/>
        <v>-202</v>
      </c>
      <c r="AG46" s="146">
        <f t="shared" si="4"/>
        <v>-2470.75</v>
      </c>
      <c r="AH46" s="146">
        <f t="shared" si="4"/>
        <v>0</v>
      </c>
      <c r="AI46" s="146">
        <f t="shared" si="4"/>
        <v>-4543.0000000000009</v>
      </c>
      <c r="AJ46" s="146">
        <f t="shared" si="4"/>
        <v>-3491.3917473333331</v>
      </c>
      <c r="AK46" s="146">
        <f t="shared" si="4"/>
        <v>-1709.5164</v>
      </c>
      <c r="AL46" s="146">
        <f t="shared" si="4"/>
        <v>0</v>
      </c>
      <c r="AM46" s="146">
        <f t="shared" si="4"/>
        <v>-1728.5321748109682</v>
      </c>
      <c r="AN46" s="146">
        <f t="shared" si="4"/>
        <v>-406</v>
      </c>
      <c r="AO46" s="146">
        <f t="shared" si="4"/>
        <v>0</v>
      </c>
      <c r="AP46" s="146">
        <f t="shared" si="4"/>
        <v>0</v>
      </c>
    </row>
    <row r="47" spans="1:42" x14ac:dyDescent="0.25">
      <c r="A47" s="18">
        <f t="shared" si="1"/>
        <v>37</v>
      </c>
      <c r="B47" s="99">
        <f>[1]PFIS!B45</f>
        <v>0</v>
      </c>
      <c r="C47" s="144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</row>
    <row r="48" spans="1:42" x14ac:dyDescent="0.25">
      <c r="A48" s="18">
        <f t="shared" si="1"/>
        <v>38</v>
      </c>
      <c r="B48" s="99" t="str">
        <f>[1]PFIS!B46</f>
        <v>Operating Incom before Taxes</v>
      </c>
      <c r="C48" s="144">
        <f>SUM(D48:AP48)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</row>
    <row r="49" spans="1:44" x14ac:dyDescent="0.25">
      <c r="A49" s="18">
        <f t="shared" si="1"/>
        <v>39</v>
      </c>
      <c r="B49" s="99" t="str">
        <f>[1]PFIS!B47</f>
        <v>Interest Expense</v>
      </c>
      <c r="C49" s="144">
        <f>SUM(D49:AP49)</f>
        <v>0</v>
      </c>
      <c r="D49" s="61"/>
      <c r="E49" s="61"/>
      <c r="F49" s="61"/>
      <c r="G49" s="61"/>
      <c r="H49" s="61"/>
      <c r="I49" s="61"/>
      <c r="J49" s="61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61"/>
      <c r="V49" s="61"/>
      <c r="W49" s="61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96"/>
      <c r="AP49" s="150"/>
    </row>
    <row r="50" spans="1:44" x14ac:dyDescent="0.25">
      <c r="A50" s="18">
        <f t="shared" si="1"/>
        <v>40</v>
      </c>
      <c r="B50" s="99" t="str">
        <f>[1]PFIS!B48</f>
        <v>Fed Income Tax - 15%</v>
      </c>
      <c r="C50" s="144">
        <f>SUM(D50:AP50)</f>
        <v>0</v>
      </c>
      <c r="D50" s="61"/>
      <c r="E50" s="61"/>
      <c r="F50" s="61"/>
      <c r="G50" s="61"/>
      <c r="H50" s="61"/>
      <c r="I50" s="61"/>
      <c r="J50" s="61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61"/>
      <c r="V50" s="61"/>
      <c r="W50" s="61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</row>
    <row r="51" spans="1:44" ht="16.5" thickBot="1" x14ac:dyDescent="0.3">
      <c r="A51" s="18">
        <f t="shared" si="1"/>
        <v>41</v>
      </c>
      <c r="B51" s="99" t="str">
        <f>[1]PFIS!B49</f>
        <v>TOTAL OPERATING EXPENSE</v>
      </c>
      <c r="C51" s="144">
        <f>SUM(D51:AP51)</f>
        <v>-75559.628887415907</v>
      </c>
      <c r="D51" s="61">
        <f>+D50+D49+D46</f>
        <v>0</v>
      </c>
      <c r="E51" s="61">
        <f>+E50+E49+E46</f>
        <v>0</v>
      </c>
      <c r="F51" s="61">
        <f>+F50+F49+F46</f>
        <v>0</v>
      </c>
      <c r="G51" s="61">
        <f>+G50+G49+G46</f>
        <v>0</v>
      </c>
      <c r="H51" s="61">
        <f>+H50+H49+H46</f>
        <v>1537.924950000001</v>
      </c>
      <c r="I51" s="61">
        <f t="shared" ref="I51:AP51" si="5">+I50+I49+I46</f>
        <v>0</v>
      </c>
      <c r="J51" s="61">
        <f t="shared" si="5"/>
        <v>0</v>
      </c>
      <c r="K51" s="61">
        <f t="shared" si="5"/>
        <v>0</v>
      </c>
      <c r="L51" s="61">
        <f t="shared" si="5"/>
        <v>0</v>
      </c>
      <c r="M51" s="61">
        <f t="shared" si="5"/>
        <v>0</v>
      </c>
      <c r="N51" s="61">
        <f t="shared" si="5"/>
        <v>0</v>
      </c>
      <c r="O51" s="61">
        <f t="shared" si="5"/>
        <v>0</v>
      </c>
      <c r="P51" s="61">
        <f t="shared" si="5"/>
        <v>-15029.579536423842</v>
      </c>
      <c r="Q51" s="61">
        <f t="shared" si="5"/>
        <v>0</v>
      </c>
      <c r="R51" s="61">
        <f t="shared" si="5"/>
        <v>0</v>
      </c>
      <c r="S51" s="61">
        <f t="shared" si="5"/>
        <v>-10572</v>
      </c>
      <c r="T51" s="61">
        <f t="shared" si="5"/>
        <v>-983</v>
      </c>
      <c r="U51" s="61">
        <f t="shared" si="5"/>
        <v>-7076.1250000000009</v>
      </c>
      <c r="V51" s="61">
        <f t="shared" si="5"/>
        <v>0</v>
      </c>
      <c r="W51" s="61">
        <f t="shared" si="5"/>
        <v>-2351.2338161571856</v>
      </c>
      <c r="X51" s="61">
        <f t="shared" si="5"/>
        <v>-13322.75</v>
      </c>
      <c r="Y51" s="61">
        <f t="shared" si="5"/>
        <v>-7596.28</v>
      </c>
      <c r="Z51" s="61">
        <f t="shared" si="5"/>
        <v>0</v>
      </c>
      <c r="AA51" s="61">
        <f t="shared" si="5"/>
        <v>-2680.6278026905829</v>
      </c>
      <c r="AB51" s="61">
        <f t="shared" si="5"/>
        <v>-1633</v>
      </c>
      <c r="AC51" s="61">
        <f t="shared" si="5"/>
        <v>-1301.7673600000001</v>
      </c>
      <c r="AD51" s="61">
        <f t="shared" si="5"/>
        <v>0</v>
      </c>
      <c r="AE51" s="61">
        <f t="shared" si="5"/>
        <v>0</v>
      </c>
      <c r="AF51" s="61">
        <f t="shared" si="5"/>
        <v>-202</v>
      </c>
      <c r="AG51" s="61">
        <f t="shared" si="5"/>
        <v>-2470.75</v>
      </c>
      <c r="AH51" s="61">
        <f t="shared" si="5"/>
        <v>0</v>
      </c>
      <c r="AI51" s="61">
        <f t="shared" si="5"/>
        <v>-4543.0000000000009</v>
      </c>
      <c r="AJ51" s="61">
        <f t="shared" si="5"/>
        <v>-3491.3917473333331</v>
      </c>
      <c r="AK51" s="61">
        <f t="shared" si="5"/>
        <v>-1709.5164</v>
      </c>
      <c r="AL51" s="61">
        <f t="shared" si="5"/>
        <v>0</v>
      </c>
      <c r="AM51" s="61">
        <f t="shared" si="5"/>
        <v>-1728.5321748109682</v>
      </c>
      <c r="AN51" s="61">
        <f t="shared" si="5"/>
        <v>-406</v>
      </c>
      <c r="AO51" s="61">
        <f t="shared" si="5"/>
        <v>0</v>
      </c>
      <c r="AP51" s="61">
        <f t="shared" si="5"/>
        <v>0</v>
      </c>
    </row>
    <row r="52" spans="1:44" ht="16.5" thickTop="1" x14ac:dyDescent="0.25">
      <c r="A52" s="18">
        <f t="shared" si="1"/>
        <v>42</v>
      </c>
      <c r="B52" s="99" t="str">
        <f>[1]PFIS!B50</f>
        <v>NET INCOME (LOSS)</v>
      </c>
      <c r="C52" s="145">
        <f t="shared" ref="C52:AP52" si="6">+C17-C51</f>
        <v>2743.6288874159072</v>
      </c>
      <c r="D52" s="146">
        <f t="shared" si="6"/>
        <v>0</v>
      </c>
      <c r="E52" s="146">
        <f t="shared" si="6"/>
        <v>0</v>
      </c>
      <c r="F52" s="146">
        <f t="shared" si="6"/>
        <v>0</v>
      </c>
      <c r="G52" s="146">
        <f t="shared" si="6"/>
        <v>0</v>
      </c>
      <c r="H52" s="146">
        <f t="shared" si="6"/>
        <v>-1537.924950000001</v>
      </c>
      <c r="I52" s="146">
        <f t="shared" si="6"/>
        <v>0</v>
      </c>
      <c r="J52" s="146">
        <f t="shared" si="6"/>
        <v>-32316</v>
      </c>
      <c r="K52" s="146">
        <f t="shared" si="6"/>
        <v>0</v>
      </c>
      <c r="L52" s="146">
        <f t="shared" si="6"/>
        <v>0</v>
      </c>
      <c r="M52" s="146">
        <f t="shared" si="6"/>
        <v>0</v>
      </c>
      <c r="N52" s="146">
        <f t="shared" si="6"/>
        <v>0</v>
      </c>
      <c r="O52" s="146">
        <f t="shared" si="6"/>
        <v>-40500</v>
      </c>
      <c r="P52" s="146">
        <f t="shared" si="6"/>
        <v>15029.579536423842</v>
      </c>
      <c r="Q52" s="146">
        <f t="shared" si="6"/>
        <v>0</v>
      </c>
      <c r="R52" s="146">
        <f t="shared" si="6"/>
        <v>0</v>
      </c>
      <c r="S52" s="146">
        <f t="shared" si="6"/>
        <v>10572</v>
      </c>
      <c r="T52" s="146">
        <f t="shared" si="6"/>
        <v>983</v>
      </c>
      <c r="U52" s="146">
        <f t="shared" si="6"/>
        <v>7076.1250000000009</v>
      </c>
      <c r="V52" s="146">
        <f t="shared" si="6"/>
        <v>0</v>
      </c>
      <c r="W52" s="146">
        <f t="shared" si="6"/>
        <v>2351.2338161571856</v>
      </c>
      <c r="X52" s="146">
        <f t="shared" si="6"/>
        <v>13322.75</v>
      </c>
      <c r="Y52" s="146">
        <f t="shared" si="6"/>
        <v>7596.28</v>
      </c>
      <c r="Z52" s="146">
        <f t="shared" si="6"/>
        <v>0</v>
      </c>
      <c r="AA52" s="146">
        <f t="shared" si="6"/>
        <v>2680.6278026905829</v>
      </c>
      <c r="AB52" s="146">
        <f t="shared" si="6"/>
        <v>1633</v>
      </c>
      <c r="AC52" s="146">
        <f t="shared" si="6"/>
        <v>1301.7673600000001</v>
      </c>
      <c r="AD52" s="146">
        <f t="shared" si="6"/>
        <v>0</v>
      </c>
      <c r="AE52" s="146">
        <f t="shared" si="6"/>
        <v>0</v>
      </c>
      <c r="AF52" s="146">
        <f t="shared" si="6"/>
        <v>202</v>
      </c>
      <c r="AG52" s="146">
        <f t="shared" si="6"/>
        <v>2470.75</v>
      </c>
      <c r="AH52" s="146">
        <f t="shared" si="6"/>
        <v>0</v>
      </c>
      <c r="AI52" s="146">
        <f t="shared" si="6"/>
        <v>4543.0000000000009</v>
      </c>
      <c r="AJ52" s="146">
        <f t="shared" si="6"/>
        <v>3491.3917473333331</v>
      </c>
      <c r="AK52" s="146">
        <f t="shared" si="6"/>
        <v>1709.5164</v>
      </c>
      <c r="AL52" s="146">
        <f t="shared" si="6"/>
        <v>0</v>
      </c>
      <c r="AM52" s="146">
        <f t="shared" si="6"/>
        <v>1728.5321748109682</v>
      </c>
      <c r="AN52" s="146">
        <f t="shared" si="6"/>
        <v>406</v>
      </c>
      <c r="AO52" s="146">
        <f t="shared" si="6"/>
        <v>0</v>
      </c>
      <c r="AP52" s="146">
        <f t="shared" si="6"/>
        <v>0</v>
      </c>
    </row>
    <row r="53" spans="1:44" x14ac:dyDescent="0.25">
      <c r="A53" s="18">
        <f t="shared" si="1"/>
        <v>43</v>
      </c>
      <c r="B53" s="99" t="str">
        <f>[1]PFIS!B51</f>
        <v>NET OPERATING INCOME</v>
      </c>
      <c r="C53" s="144">
        <f>+C48-C50</f>
        <v>0</v>
      </c>
      <c r="D53" s="61">
        <f>+D48-D50</f>
        <v>0</v>
      </c>
      <c r="E53" s="61">
        <f>+E48-E50</f>
        <v>0</v>
      </c>
      <c r="F53" s="61">
        <f>+F48-F50</f>
        <v>0</v>
      </c>
      <c r="G53" s="61">
        <f>+G48-G50</f>
        <v>0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</row>
    <row r="54" spans="1:44" x14ac:dyDescent="0.25">
      <c r="A54" s="18">
        <f t="shared" si="1"/>
        <v>44</v>
      </c>
      <c r="B54" s="99">
        <f>[1]PFIS!B52</f>
        <v>0</v>
      </c>
      <c r="C54" s="144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</row>
    <row r="55" spans="1:44" x14ac:dyDescent="0.25">
      <c r="A55" s="18">
        <f t="shared" si="1"/>
        <v>45</v>
      </c>
      <c r="B55" s="132" t="str">
        <f>[1]PFIS!B53</f>
        <v>RATE BASE</v>
      </c>
      <c r="C55" s="144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</row>
    <row r="56" spans="1:44" x14ac:dyDescent="0.25">
      <c r="A56" s="18">
        <f t="shared" si="1"/>
        <v>46</v>
      </c>
      <c r="B56" s="99" t="str">
        <f>[1]PFIS!B54</f>
        <v>Utility Plant in Service (UPIS)</v>
      </c>
      <c r="C56" s="144">
        <f>SUM(D56:AP56)</f>
        <v>-1444175.9351948765</v>
      </c>
      <c r="D56" s="149">
        <f>'[1]Sch 8 BEOY'!I10</f>
        <v>0</v>
      </c>
      <c r="E56" s="61"/>
      <c r="F56" s="61"/>
      <c r="G56" s="149">
        <f>'[1]Sch 8 BEOY'!E10-[1]Input!E52+'[1]Sch 13 Worksheet Cal Adjs'!D577</f>
        <v>-1444175.9351948765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</row>
    <row r="57" spans="1:44" x14ac:dyDescent="0.25">
      <c r="A57" s="18">
        <f t="shared" si="1"/>
        <v>47</v>
      </c>
      <c r="B57" s="99" t="str">
        <f>[1]PFIS!B55</f>
        <v xml:space="preserve">    Accumulated Depreciation</v>
      </c>
      <c r="C57" s="144">
        <f>SUM(D57:AP57)</f>
        <v>145863.69983764371</v>
      </c>
      <c r="D57" s="149">
        <f>'[1]Sch 8 BEOY'!I11</f>
        <v>2294.3041263333362</v>
      </c>
      <c r="E57" s="61"/>
      <c r="F57" s="61"/>
      <c r="G57" s="149">
        <f>'[1]Sch 8 BEOY'!E11-[1]Input!E53+'[1]Sch 13 Worksheet Cal Adjs'!D578</f>
        <v>143569.39571131038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R57" s="99">
        <v>0</v>
      </c>
    </row>
    <row r="58" spans="1:44" x14ac:dyDescent="0.25">
      <c r="A58" s="18">
        <f>1+A57</f>
        <v>48</v>
      </c>
      <c r="B58" s="99" t="str">
        <f>[1]PFIS!B56</f>
        <v>Acquisition Adjustment</v>
      </c>
      <c r="C58" s="144">
        <f>SUM(D58:AP58)</f>
        <v>0</v>
      </c>
      <c r="D58" s="149">
        <f>'[1]Sch 8 BEOY'!I12+'[1]Sch 8 BEOY'!I13</f>
        <v>0</v>
      </c>
      <c r="E58" s="61"/>
      <c r="F58" s="61"/>
      <c r="G58" s="149">
        <f>('[1]Sch 8 BEOY'!E12+'[1]Sch 8 BEOY'!E13)-[1]Input!E54</f>
        <v>0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</row>
    <row r="59" spans="1:44" x14ac:dyDescent="0.25">
      <c r="A59" s="18">
        <f>1+A58</f>
        <v>49</v>
      </c>
      <c r="B59" s="99" t="str">
        <f>[1]PFIS!B57</f>
        <v>Contributions In Aid of Construction (CIAC) Plant in Service</v>
      </c>
      <c r="C59" s="144">
        <f>SUM(D59:AP59)</f>
        <v>31500</v>
      </c>
      <c r="D59" s="149">
        <f>'[1]Sch 8 BEOY'!I14</f>
        <v>0</v>
      </c>
      <c r="E59" s="61"/>
      <c r="F59" s="61"/>
      <c r="G59" s="149">
        <f>'[1]Sch 8 BEOY'!E14-[1]Input!E55</f>
        <v>31500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</row>
    <row r="60" spans="1:44" ht="16.5" thickBot="1" x14ac:dyDescent="0.3">
      <c r="A60" s="18">
        <f>1+A59</f>
        <v>50</v>
      </c>
      <c r="B60" s="99" t="str">
        <f>[1]PFIS!B58</f>
        <v xml:space="preserve">    Accumulated Amortization</v>
      </c>
      <c r="C60" s="144">
        <f>SUM(D60:AP60)</f>
        <v>0</v>
      </c>
      <c r="D60" s="149">
        <f>'[1]Sch 8 BEOY'!I15</f>
        <v>0</v>
      </c>
      <c r="E60" s="61"/>
      <c r="F60" s="61"/>
      <c r="G60" s="149">
        <f>'[1]Sch 8 BEOY'!E15-[1]Input!E56</f>
        <v>0</v>
      </c>
      <c r="H60" s="61"/>
      <c r="I60" s="61"/>
      <c r="J60" s="61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61"/>
      <c r="V60" s="61"/>
      <c r="W60" s="61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</row>
    <row r="61" spans="1:44" ht="16.5" thickTop="1" x14ac:dyDescent="0.25">
      <c r="A61" s="18">
        <f t="shared" si="1"/>
        <v>51</v>
      </c>
      <c r="B61" s="99" t="str">
        <f>[1]PFIS!B59</f>
        <v>NET RATE BASE</v>
      </c>
      <c r="C61" s="145">
        <f>SUM(C56:C60)</f>
        <v>-1266812.2353572329</v>
      </c>
      <c r="D61" s="146">
        <f t="shared" ref="D61:AP61" si="7">SUM(D56:D60)</f>
        <v>2294.3041263333362</v>
      </c>
      <c r="E61" s="146">
        <f t="shared" si="7"/>
        <v>0</v>
      </c>
      <c r="F61" s="146">
        <f t="shared" si="7"/>
        <v>0</v>
      </c>
      <c r="G61" s="146">
        <f t="shared" si="7"/>
        <v>-1269106.5394835661</v>
      </c>
      <c r="H61" s="146">
        <f t="shared" si="7"/>
        <v>0</v>
      </c>
      <c r="I61" s="146">
        <f t="shared" si="7"/>
        <v>0</v>
      </c>
      <c r="J61" s="146">
        <f t="shared" si="7"/>
        <v>0</v>
      </c>
      <c r="K61" s="146">
        <f t="shared" si="7"/>
        <v>0</v>
      </c>
      <c r="L61" s="146">
        <f t="shared" si="7"/>
        <v>0</v>
      </c>
      <c r="M61" s="146">
        <f t="shared" si="7"/>
        <v>0</v>
      </c>
      <c r="N61" s="146">
        <f t="shared" si="7"/>
        <v>0</v>
      </c>
      <c r="O61" s="146">
        <f t="shared" si="7"/>
        <v>0</v>
      </c>
      <c r="P61" s="146">
        <f t="shared" si="7"/>
        <v>0</v>
      </c>
      <c r="Q61" s="146">
        <f t="shared" si="7"/>
        <v>0</v>
      </c>
      <c r="R61" s="146">
        <f t="shared" si="7"/>
        <v>0</v>
      </c>
      <c r="S61" s="146">
        <f t="shared" si="7"/>
        <v>0</v>
      </c>
      <c r="T61" s="146">
        <f t="shared" si="7"/>
        <v>0</v>
      </c>
      <c r="U61" s="146">
        <f t="shared" si="7"/>
        <v>0</v>
      </c>
      <c r="V61" s="146">
        <f t="shared" si="7"/>
        <v>0</v>
      </c>
      <c r="W61" s="146">
        <f t="shared" si="7"/>
        <v>0</v>
      </c>
      <c r="X61" s="146">
        <f t="shared" si="7"/>
        <v>0</v>
      </c>
      <c r="Y61" s="146">
        <f t="shared" si="7"/>
        <v>0</v>
      </c>
      <c r="Z61" s="146">
        <f t="shared" si="7"/>
        <v>0</v>
      </c>
      <c r="AA61" s="146">
        <f t="shared" si="7"/>
        <v>0</v>
      </c>
      <c r="AB61" s="146">
        <f t="shared" si="7"/>
        <v>0</v>
      </c>
      <c r="AC61" s="146">
        <f t="shared" si="7"/>
        <v>0</v>
      </c>
      <c r="AD61" s="146">
        <f t="shared" si="7"/>
        <v>0</v>
      </c>
      <c r="AE61" s="146">
        <f t="shared" si="7"/>
        <v>0</v>
      </c>
      <c r="AF61" s="146">
        <f t="shared" si="7"/>
        <v>0</v>
      </c>
      <c r="AG61" s="146">
        <f t="shared" si="7"/>
        <v>0</v>
      </c>
      <c r="AH61" s="146">
        <f t="shared" si="7"/>
        <v>0</v>
      </c>
      <c r="AI61" s="146">
        <f t="shared" si="7"/>
        <v>0</v>
      </c>
      <c r="AJ61" s="146">
        <f t="shared" si="7"/>
        <v>0</v>
      </c>
      <c r="AK61" s="146">
        <f t="shared" si="7"/>
        <v>0</v>
      </c>
      <c r="AL61" s="146">
        <f t="shared" si="7"/>
        <v>0</v>
      </c>
      <c r="AM61" s="146">
        <f t="shared" si="7"/>
        <v>0</v>
      </c>
      <c r="AN61" s="146">
        <f t="shared" si="7"/>
        <v>0</v>
      </c>
      <c r="AO61" s="146">
        <f t="shared" si="7"/>
        <v>0</v>
      </c>
      <c r="AP61" s="146">
        <f t="shared" si="7"/>
        <v>0</v>
      </c>
    </row>
    <row r="62" spans="1:44" x14ac:dyDescent="0.25">
      <c r="A62" s="18">
        <f t="shared" si="1"/>
        <v>52</v>
      </c>
      <c r="B62" s="99">
        <f>[1]PFIS!B60</f>
        <v>0</v>
      </c>
      <c r="C62" s="144"/>
      <c r="D62" s="151"/>
      <c r="E62" s="151"/>
      <c r="F62" s="151"/>
      <c r="G62" s="151"/>
      <c r="H62" s="151"/>
      <c r="I62" s="151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1"/>
      <c r="V62" s="151"/>
      <c r="W62" s="151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</row>
    <row r="63" spans="1:44" x14ac:dyDescent="0.25">
      <c r="A63" s="18">
        <f t="shared" si="1"/>
        <v>53</v>
      </c>
      <c r="B63" s="132" t="str">
        <f>[1]PFIS!B61</f>
        <v>Rate of Return</v>
      </c>
      <c r="C63" s="144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</row>
    <row r="64" spans="1:44" x14ac:dyDescent="0.25">
      <c r="A64" s="18">
        <f t="shared" si="1"/>
        <v>54</v>
      </c>
      <c r="B64" s="99" t="str">
        <f>[1]PFIS!B62</f>
        <v>Customer Count</v>
      </c>
      <c r="C64" s="144">
        <f>SUM(D64:AP64)</f>
        <v>-65</v>
      </c>
      <c r="G64" s="61"/>
      <c r="H64" s="61"/>
      <c r="I64" s="61"/>
      <c r="J64" s="32">
        <f>'[1]Sch 11.1 Metered Rate Design'!M9+'[1]Sch 11.1 Metered Rate Design'!M10+'[1]Sch 11.1 Metered Rate Design'!M11+'[1]Sch 11.1 Metered Rate Design'!M12+'[1]Sch 11.1 Metered Rate Design'!M13+'[1]Sch 11.1 Metered Rate Design'!M14+'[1]Sch 11.1 Metered Rate Design'!M15+'[1]Sch 11.1 Metered Rate Design'!M16-[1]Input!B11</f>
        <v>-65</v>
      </c>
      <c r="K64" s="32">
        <f>'[1]Sch 11.1 Metered Rate Design'!M18-[1]Input!B9</f>
        <v>0</v>
      </c>
      <c r="L64" s="32">
        <f>'[1]Sch 11.1 Metered Rate Design'!M17-[1]Input!B10</f>
        <v>0</v>
      </c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</row>
  </sheetData>
  <protectedRanges>
    <protectedRange password="C6D0" sqref="F20:F45 F11:F16 M1:AP1048576 J1:L63 J65:L1048576" name="Restating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pageMargins left="0.26" right="0.7" top="0.2" bottom="0.34" header="0.3" footer="0.17"/>
  <pageSetup paperSize="0" scale="56" fitToWidth="0" orientation="landscape" r:id="rId1"/>
  <headerFooter>
    <oddFooter>&amp;L&amp;F ! &amp;A&amp;RPage &amp;P of &amp;N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57"/>
  <sheetViews>
    <sheetView workbookViewId="0">
      <selection activeCell="F26" sqref="F26"/>
    </sheetView>
  </sheetViews>
  <sheetFormatPr defaultRowHeight="15.75" x14ac:dyDescent="0.25"/>
  <cols>
    <col min="1" max="1" width="5.28515625" style="2" customWidth="1"/>
    <col min="2" max="2" width="45.42578125" style="2" bestFit="1" customWidth="1"/>
    <col min="3" max="3" width="19.7109375" style="2" customWidth="1"/>
    <col min="4" max="4" width="3.5703125" style="2" customWidth="1"/>
    <col min="5" max="5" width="12.5703125" style="2" bestFit="1" customWidth="1"/>
    <col min="6" max="6" width="3.140625" style="2" customWidth="1"/>
    <col min="7" max="7" width="12.140625" style="2" customWidth="1"/>
    <col min="8" max="8" width="15.140625" style="2" bestFit="1" customWidth="1"/>
    <col min="9" max="16384" width="9.140625" style="2"/>
  </cols>
  <sheetData>
    <row r="2" spans="1:8" x14ac:dyDescent="0.25">
      <c r="A2" s="153"/>
      <c r="B2" s="153" t="str">
        <f>+[1]Info!B4</f>
        <v xml:space="preserve">Summit View Waterworks, LLC </v>
      </c>
      <c r="C2" s="5"/>
      <c r="D2" s="5"/>
      <c r="E2" s="153"/>
      <c r="F2" s="153"/>
      <c r="G2" s="153"/>
    </row>
    <row r="3" spans="1:8" x14ac:dyDescent="0.25">
      <c r="A3" s="153"/>
      <c r="B3" s="153" t="str">
        <f>+[1]Info!B5</f>
        <v>UW-110220</v>
      </c>
      <c r="C3" s="5"/>
      <c r="D3" s="5"/>
      <c r="E3" s="154" t="s">
        <v>204</v>
      </c>
      <c r="F3" s="153"/>
      <c r="G3" s="155"/>
    </row>
    <row r="4" spans="1:8" x14ac:dyDescent="0.25">
      <c r="A4" s="153"/>
      <c r="B4" s="153" t="str">
        <f>+[1]Info!B6</f>
        <v>For the test period ending December 31, 2009</v>
      </c>
      <c r="C4" s="5"/>
      <c r="D4" s="5"/>
      <c r="E4" s="153"/>
      <c r="F4" s="153"/>
      <c r="G4" s="153"/>
    </row>
    <row r="5" spans="1:8" x14ac:dyDescent="0.25">
      <c r="A5" s="153"/>
      <c r="B5" s="156" t="str">
        <f>[1]Info!B25</f>
        <v>Revenue Requirement Calculation</v>
      </c>
      <c r="C5" s="5"/>
      <c r="D5" s="5"/>
      <c r="E5" s="153"/>
      <c r="F5" s="153"/>
      <c r="G5" s="153"/>
    </row>
    <row r="6" spans="1:8" x14ac:dyDescent="0.25">
      <c r="A6" s="153"/>
      <c r="B6" s="153"/>
      <c r="C6" s="5"/>
      <c r="D6" s="5"/>
      <c r="E6" s="153"/>
      <c r="F6" s="153"/>
      <c r="G6" s="153"/>
    </row>
    <row r="7" spans="1:8" s="8" customFormat="1" x14ac:dyDescent="0.25">
      <c r="A7" s="5"/>
      <c r="B7" s="5" t="s">
        <v>0</v>
      </c>
      <c r="C7" s="15" t="s">
        <v>1</v>
      </c>
      <c r="D7" s="5"/>
      <c r="E7" s="5" t="s">
        <v>2</v>
      </c>
      <c r="F7" s="5"/>
      <c r="G7" s="5"/>
    </row>
    <row r="8" spans="1:8" ht="31.5" x14ac:dyDescent="0.25">
      <c r="A8" s="157" t="s">
        <v>8</v>
      </c>
      <c r="B8" s="158" t="s">
        <v>9</v>
      </c>
      <c r="C8" s="158" t="s">
        <v>13</v>
      </c>
      <c r="D8" s="158"/>
      <c r="E8" s="159" t="s">
        <v>12</v>
      </c>
      <c r="F8" s="153"/>
      <c r="G8" s="153"/>
    </row>
    <row r="9" spans="1:8" x14ac:dyDescent="0.25">
      <c r="A9" s="160"/>
      <c r="B9" s="161"/>
      <c r="C9" s="15"/>
      <c r="D9" s="15"/>
      <c r="E9" s="161"/>
      <c r="F9" s="153"/>
      <c r="G9" s="153"/>
    </row>
    <row r="10" spans="1:8" x14ac:dyDescent="0.25">
      <c r="A10" s="160">
        <v>1</v>
      </c>
      <c r="B10" s="162" t="s">
        <v>205</v>
      </c>
      <c r="C10" s="15" t="s">
        <v>206</v>
      </c>
      <c r="D10" s="15"/>
      <c r="E10" s="163">
        <f>IF(+[1]PFIS!I59&lt;=0, 0, +[1]PFIS!I59)</f>
        <v>126325.92730943387</v>
      </c>
      <c r="F10" s="153"/>
      <c r="G10" s="153"/>
    </row>
    <row r="11" spans="1:8" x14ac:dyDescent="0.25">
      <c r="A11" s="164">
        <f t="shared" ref="A11:A21" si="0">1+A10</f>
        <v>2</v>
      </c>
      <c r="B11" s="162" t="s">
        <v>207</v>
      </c>
      <c r="C11" s="5" t="s">
        <v>208</v>
      </c>
      <c r="D11" s="15"/>
      <c r="E11" s="165">
        <f>IF([1]PFIS!I59&lt;=0,0,IF('[1]Sch 7 Interest Sync'!E12='[1]Sch 4 Cap'!K46,'[1]Sch 4 Cap'!K52,'[1]Sch 4 Cap'!I52))</f>
        <v>5.2499999999999998E-2</v>
      </c>
      <c r="F11" s="153"/>
      <c r="G11" s="153"/>
    </row>
    <row r="12" spans="1:8" x14ac:dyDescent="0.25">
      <c r="A12" s="164">
        <f t="shared" si="0"/>
        <v>3</v>
      </c>
      <c r="B12" s="162" t="s">
        <v>209</v>
      </c>
      <c r="C12" s="15" t="s">
        <v>210</v>
      </c>
      <c r="D12" s="15"/>
      <c r="E12" s="166">
        <f>+E10*E11</f>
        <v>6632.1111837452781</v>
      </c>
      <c r="F12" s="153"/>
      <c r="G12" s="153"/>
    </row>
    <row r="13" spans="1:8" x14ac:dyDescent="0.25">
      <c r="A13" s="164">
        <f t="shared" si="0"/>
        <v>4</v>
      </c>
      <c r="B13" s="162"/>
      <c r="C13" s="15"/>
      <c r="D13" s="15"/>
      <c r="E13" s="167"/>
      <c r="F13" s="153"/>
      <c r="G13" s="153"/>
    </row>
    <row r="14" spans="1:8" x14ac:dyDescent="0.25">
      <c r="A14" s="164">
        <f t="shared" si="0"/>
        <v>5</v>
      </c>
      <c r="B14" s="162" t="s">
        <v>211</v>
      </c>
      <c r="C14" s="15" t="s">
        <v>212</v>
      </c>
      <c r="D14" s="15"/>
      <c r="E14" s="163">
        <f>+[1]PFIS!I51</f>
        <v>-5849.8216955495154</v>
      </c>
      <c r="F14" s="32"/>
      <c r="G14" s="153"/>
    </row>
    <row r="15" spans="1:8" x14ac:dyDescent="0.25">
      <c r="A15" s="164">
        <f t="shared" si="0"/>
        <v>6</v>
      </c>
      <c r="B15" s="161"/>
      <c r="C15" s="15"/>
      <c r="D15" s="15"/>
      <c r="E15" s="163"/>
      <c r="F15" s="153"/>
      <c r="G15" s="32"/>
    </row>
    <row r="16" spans="1:8" x14ac:dyDescent="0.25">
      <c r="A16" s="164">
        <f t="shared" si="0"/>
        <v>7</v>
      </c>
      <c r="B16" s="162" t="s">
        <v>213</v>
      </c>
      <c r="C16" s="15" t="s">
        <v>214</v>
      </c>
      <c r="D16" s="15"/>
      <c r="E16" s="163">
        <f>+E12-E14</f>
        <v>12481.932879294793</v>
      </c>
      <c r="F16" s="32"/>
      <c r="G16" s="32">
        <f>+'[1]Sch 5 NTG Factor'!G27</f>
        <v>12481.932879294793</v>
      </c>
      <c r="H16" s="2" t="s">
        <v>33</v>
      </c>
    </row>
    <row r="17" spans="1:8" x14ac:dyDescent="0.25">
      <c r="A17" s="164">
        <f t="shared" si="0"/>
        <v>8</v>
      </c>
      <c r="B17" s="162"/>
      <c r="C17" s="15"/>
      <c r="D17" s="15"/>
      <c r="E17" s="163"/>
      <c r="F17" s="153"/>
      <c r="G17" s="153"/>
    </row>
    <row r="18" spans="1:8" x14ac:dyDescent="0.25">
      <c r="A18" s="164">
        <f t="shared" si="0"/>
        <v>9</v>
      </c>
      <c r="B18" s="162" t="s">
        <v>215</v>
      </c>
      <c r="C18" s="15" t="s">
        <v>216</v>
      </c>
      <c r="D18" s="15"/>
      <c r="E18" s="165">
        <f>+'[1]Sch 5 NTG Factor'!E27</f>
        <v>0.80435999999999996</v>
      </c>
      <c r="F18" s="153"/>
      <c r="G18" s="168">
        <f>+'[1]Sch 5 NTG Factor'!E27</f>
        <v>0.80435999999999996</v>
      </c>
      <c r="H18" s="2" t="s">
        <v>33</v>
      </c>
    </row>
    <row r="19" spans="1:8" x14ac:dyDescent="0.25">
      <c r="A19" s="164">
        <f t="shared" si="0"/>
        <v>10</v>
      </c>
      <c r="B19" s="162" t="s">
        <v>217</v>
      </c>
      <c r="C19" s="15" t="s">
        <v>218</v>
      </c>
      <c r="D19" s="15"/>
      <c r="E19" s="169">
        <f>+E16/E18</f>
        <v>15517.843850135254</v>
      </c>
      <c r="F19" s="32"/>
      <c r="G19" s="153"/>
    </row>
    <row r="20" spans="1:8" x14ac:dyDescent="0.25">
      <c r="A20" s="164">
        <f t="shared" si="0"/>
        <v>11</v>
      </c>
      <c r="B20" s="161"/>
      <c r="C20" s="15"/>
      <c r="D20" s="15"/>
      <c r="E20" s="170"/>
      <c r="F20" s="153"/>
      <c r="G20" s="153"/>
    </row>
    <row r="21" spans="1:8" x14ac:dyDescent="0.25">
      <c r="A21" s="164">
        <f t="shared" si="0"/>
        <v>12</v>
      </c>
      <c r="B21" s="161"/>
      <c r="C21" s="15"/>
      <c r="D21" s="15"/>
      <c r="E21" s="170"/>
      <c r="F21" s="153"/>
      <c r="G21" s="153"/>
    </row>
    <row r="22" spans="1:8" x14ac:dyDescent="0.25">
      <c r="A22" s="153"/>
      <c r="B22" s="161"/>
      <c r="C22" s="15"/>
      <c r="D22" s="15"/>
      <c r="E22" s="161"/>
      <c r="F22" s="153"/>
      <c r="G22" s="153"/>
    </row>
    <row r="57" spans="44:44" x14ac:dyDescent="0.25">
      <c r="AR57" s="2">
        <v>0</v>
      </c>
    </row>
  </sheetData>
  <pageMargins left="0.7" right="0.7" top="0.75" bottom="0.75" header="0.3" footer="0.3"/>
  <pageSetup paperSize="0" orientation="portrait" r:id="rId1"/>
  <headerFooter>
    <oddFooter>&amp;L&amp;F !&amp;A&amp;RPage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57"/>
  <sheetViews>
    <sheetView workbookViewId="0">
      <selection activeCell="F26" sqref="F26"/>
    </sheetView>
  </sheetViews>
  <sheetFormatPr defaultRowHeight="15.75" x14ac:dyDescent="0.25"/>
  <cols>
    <col min="1" max="1" width="5.140625" style="8" customWidth="1"/>
    <col min="2" max="2" width="45.140625" style="2" customWidth="1"/>
    <col min="3" max="3" width="24.7109375" style="2" bestFit="1" customWidth="1"/>
    <col min="4" max="4" width="2.42578125" style="2" customWidth="1"/>
    <col min="5" max="5" width="14.42578125" style="2" customWidth="1"/>
    <col min="6" max="6" width="14.28515625" style="2" customWidth="1"/>
    <col min="7" max="7" width="4.140625" style="2" customWidth="1"/>
    <col min="8" max="16384" width="9.140625" style="2"/>
  </cols>
  <sheetData>
    <row r="2" spans="1:6" x14ac:dyDescent="0.25">
      <c r="B2" s="2" t="str">
        <f>+[1]Info!B4</f>
        <v xml:space="preserve">Summit View Waterworks, LLC </v>
      </c>
    </row>
    <row r="3" spans="1:6" x14ac:dyDescent="0.25">
      <c r="B3" s="2" t="str">
        <f>+[1]Info!B5</f>
        <v>UW-110220</v>
      </c>
      <c r="E3" s="171"/>
      <c r="F3" s="154" t="s">
        <v>219</v>
      </c>
    </row>
    <row r="4" spans="1:6" x14ac:dyDescent="0.25">
      <c r="B4" s="2" t="str">
        <f>+[1]Info!B6</f>
        <v>For the test period ending December 31, 2009</v>
      </c>
    </row>
    <row r="5" spans="1:6" x14ac:dyDescent="0.25">
      <c r="B5" s="172" t="str">
        <f>[1]Info!B26</f>
        <v>Interest Synchronization Adjustments</v>
      </c>
      <c r="D5" s="8"/>
    </row>
    <row r="6" spans="1:6" x14ac:dyDescent="0.25">
      <c r="B6" s="15"/>
      <c r="C6" s="15"/>
      <c r="D6" s="15"/>
      <c r="E6" s="15"/>
    </row>
    <row r="7" spans="1:6" x14ac:dyDescent="0.25">
      <c r="B7" s="15" t="s">
        <v>0</v>
      </c>
      <c r="C7" s="15" t="s">
        <v>1</v>
      </c>
      <c r="D7" s="15"/>
      <c r="E7" s="15" t="s">
        <v>2</v>
      </c>
      <c r="F7" s="15" t="s">
        <v>3</v>
      </c>
    </row>
    <row r="8" spans="1:6" ht="31.5" x14ac:dyDescent="0.25">
      <c r="A8" s="157" t="s">
        <v>8</v>
      </c>
      <c r="B8" s="158" t="s">
        <v>9</v>
      </c>
      <c r="C8" s="158" t="s">
        <v>13</v>
      </c>
      <c r="D8" s="158"/>
      <c r="E8" s="158" t="s">
        <v>220</v>
      </c>
      <c r="F8" s="158" t="s">
        <v>221</v>
      </c>
    </row>
    <row r="9" spans="1:6" x14ac:dyDescent="0.25">
      <c r="A9" s="160"/>
      <c r="B9" s="15"/>
      <c r="C9" s="15"/>
      <c r="D9" s="15"/>
      <c r="E9" s="15"/>
      <c r="F9" s="110"/>
    </row>
    <row r="10" spans="1:6" x14ac:dyDescent="0.25">
      <c r="A10" s="160">
        <v>1</v>
      </c>
      <c r="B10" s="162" t="s">
        <v>205</v>
      </c>
      <c r="C10" s="173" t="s">
        <v>206</v>
      </c>
      <c r="E10" s="174">
        <f>+[1]PFIS!I59</f>
        <v>126325.92730943387</v>
      </c>
      <c r="F10" s="33"/>
    </row>
    <row r="11" spans="1:6" x14ac:dyDescent="0.25">
      <c r="A11" s="160">
        <f t="shared" ref="A11:A29" si="0">1+A10</f>
        <v>2</v>
      </c>
      <c r="B11" s="175"/>
      <c r="C11" s="176"/>
      <c r="E11" s="177"/>
      <c r="F11" s="33"/>
    </row>
    <row r="12" spans="1:6" ht="16.5" thickBot="1" x14ac:dyDescent="0.3">
      <c r="A12" s="160">
        <f t="shared" si="0"/>
        <v>3</v>
      </c>
      <c r="B12" s="162" t="s">
        <v>222</v>
      </c>
      <c r="C12" s="173" t="s">
        <v>223</v>
      </c>
      <c r="E12" s="178">
        <f>IF([1]PFIS!I59&lt;=0,0,(IF([1]PFIS!Q13="Actual Weighted Average Cost of Capital",'[1]Sch 4 Cap'!I46,(IF([1]PFIS!Q13="40/60 Hypothetical",'[1]Sch 4 Cap'!K46,(IF('[1]Sch 4 Cap'!G48&gt;=0.6,'[1]Sch 4 Cap'!K46,'[1]Sch 4 Cap'!I46)))))))</f>
        <v>5.2500000000000005E-2</v>
      </c>
      <c r="F12" s="33"/>
    </row>
    <row r="13" spans="1:6" ht="16.5" thickTop="1" x14ac:dyDescent="0.25">
      <c r="A13" s="160">
        <f t="shared" si="0"/>
        <v>4</v>
      </c>
      <c r="B13" s="110" t="s">
        <v>224</v>
      </c>
      <c r="C13" s="176" t="s">
        <v>225</v>
      </c>
      <c r="E13" s="179">
        <f>+E12*E10</f>
        <v>6632.111183745279</v>
      </c>
      <c r="F13" s="33"/>
    </row>
    <row r="14" spans="1:6" x14ac:dyDescent="0.25">
      <c r="A14" s="160">
        <f t="shared" si="0"/>
        <v>5</v>
      </c>
      <c r="B14" s="110"/>
      <c r="C14" s="176"/>
      <c r="E14" s="152"/>
      <c r="F14" s="33"/>
    </row>
    <row r="15" spans="1:6" x14ac:dyDescent="0.25">
      <c r="A15" s="160">
        <f t="shared" si="0"/>
        <v>6</v>
      </c>
      <c r="B15" s="110"/>
      <c r="C15" s="176"/>
      <c r="E15" s="152"/>
      <c r="F15" s="33"/>
    </row>
    <row r="16" spans="1:6" x14ac:dyDescent="0.25">
      <c r="A16" s="160">
        <f t="shared" si="0"/>
        <v>7</v>
      </c>
      <c r="B16" s="110" t="str">
        <f>+B13</f>
        <v>Pro Forma Interest Expense</v>
      </c>
      <c r="C16" s="176" t="s">
        <v>226</v>
      </c>
      <c r="E16" s="174">
        <f>+E13</f>
        <v>6632.111183745279</v>
      </c>
      <c r="F16" s="33"/>
    </row>
    <row r="17" spans="1:9" ht="16.5" thickBot="1" x14ac:dyDescent="0.3">
      <c r="A17" s="160">
        <f t="shared" si="0"/>
        <v>8</v>
      </c>
      <c r="B17" s="110" t="s">
        <v>227</v>
      </c>
      <c r="C17" s="173" t="s">
        <v>228</v>
      </c>
      <c r="E17" s="174">
        <f>IF([1]PFIS!$Q$10="Company", ([1]PFIS!F47+SUM('[1]Sch 2.2 Co ProForma'!D49:AQ49)), ([1]PFIS!F47+SUM('[1]Sch 3.2 Staff ProForma'!E49:AQ49)))</f>
        <v>0</v>
      </c>
      <c r="F17" s="33"/>
    </row>
    <row r="18" spans="1:9" x14ac:dyDescent="0.25">
      <c r="A18" s="160">
        <f t="shared" si="0"/>
        <v>9</v>
      </c>
      <c r="B18" s="175" t="s">
        <v>229</v>
      </c>
      <c r="C18" s="176" t="s">
        <v>230</v>
      </c>
      <c r="E18" s="180">
        <f>+E16-E17</f>
        <v>6632.111183745279</v>
      </c>
      <c r="F18" s="33"/>
    </row>
    <row r="19" spans="1:9" x14ac:dyDescent="0.25">
      <c r="A19" s="160">
        <f t="shared" si="0"/>
        <v>10</v>
      </c>
      <c r="B19" s="110"/>
      <c r="C19" s="176"/>
      <c r="E19" s="181" t="s">
        <v>96</v>
      </c>
      <c r="F19" s="33"/>
      <c r="H19" s="182"/>
    </row>
    <row r="20" spans="1:9" x14ac:dyDescent="0.25">
      <c r="A20" s="160">
        <f t="shared" si="0"/>
        <v>11</v>
      </c>
      <c r="C20" s="176"/>
      <c r="E20" s="33"/>
      <c r="F20" s="33"/>
    </row>
    <row r="21" spans="1:9" x14ac:dyDescent="0.25">
      <c r="A21" s="160">
        <f t="shared" si="0"/>
        <v>12</v>
      </c>
      <c r="B21" s="183" t="s">
        <v>231</v>
      </c>
      <c r="C21" s="176" t="s">
        <v>232</v>
      </c>
      <c r="E21" s="33"/>
      <c r="F21" s="178">
        <f>(IF(([1]PFIS!I46-[1]PFIS!I47)&lt;'[1]Sch 5 NTG Factor'!C33,'[1]Sch 5 NTG Factor'!F33,(IF(AND('[1]Sch 5 NTG Factor'!B34&lt;([1]PFIS!I46-[1]PFIS!I47),([1]PFIS!I46-[1]PFIS!I47)&lt;'[1]Sch 5 NTG Factor'!C34),'[1]Sch 5 NTG Factor'!F34,(IF(AND('[1]Sch 5 NTG Factor'!B35&lt;([1]PFIS!I46-[1]PFIS!I47),([1]PFIS!I46-[1]PFIS!I47)&lt;'[1]Sch 5 NTG Factor'!C35),'[1]Sch 5 NTG Factor'!F35,(IF(AND('[1]Sch 5 NTG Factor'!B36&lt;([1]PFIS!I46-[1]PFIS!I47),([1]PFIS!I46-[1]PFIS!I47)&lt;'[1]Sch 5 NTG Factor'!C36),'[1]Sch 5 NTG Factor'!F36,(IF(AND('[1]Sch 5 NTG Factor'!B37&lt;([1]PFIS!I46-[1]PFIS!I47),([1]PFIS!I46-[1]PFIS!I47)&lt;'[1]Sch 5 NTG Factor'!C37),'[1]Sch 5 NTG Factor'!F37,(IF(AND('[1]Sch 5 NTG Factor'!B38&lt;([1]PFIS!I46-[1]PFIS!I47),([1]PFIS!I46-[1]PFIS!I47)&lt;'[1]Sch 5 NTG Factor'!C38),'[1]Sch 5 NTG Factor'!F38,(IF(AND('[1]Sch 5 NTG Factor'!B39&lt;([1]PFIS!I46-[1]PFIS!I47),([1]PFIS!I46-[1]PFIS!I47)&lt;'[1]Sch 5 NTG Factor'!C39),'[1]Sch 5 NTG Factor'!F39,(IF('[1]Sch 5 NTG Factor'!B40&lt;=([1]PFIS!I46-[1]PFIS!I47),'[1]Sch 5 NTG Factor'!F40,0))))))))))))))))</f>
        <v>0.15</v>
      </c>
      <c r="H21" s="184"/>
    </row>
    <row r="22" spans="1:9" x14ac:dyDescent="0.25">
      <c r="A22" s="160">
        <f t="shared" si="0"/>
        <v>13</v>
      </c>
      <c r="B22" s="183" t="s">
        <v>233</v>
      </c>
      <c r="C22" s="176" t="s">
        <v>234</v>
      </c>
      <c r="E22" s="33"/>
      <c r="F22" s="174">
        <f>+[1]PFIS!I46</f>
        <v>-8052.5157330721267</v>
      </c>
    </row>
    <row r="23" spans="1:9" ht="16.5" thickBot="1" x14ac:dyDescent="0.3">
      <c r="A23" s="160">
        <f t="shared" si="0"/>
        <v>14</v>
      </c>
      <c r="B23" s="183" t="s">
        <v>224</v>
      </c>
      <c r="C23" s="176" t="s">
        <v>226</v>
      </c>
      <c r="E23" s="33"/>
      <c r="F23" s="174">
        <f>E13</f>
        <v>6632.111183745279</v>
      </c>
    </row>
    <row r="24" spans="1:9" ht="16.5" thickTop="1" x14ac:dyDescent="0.25">
      <c r="A24" s="160">
        <f t="shared" si="0"/>
        <v>15</v>
      </c>
      <c r="B24" s="183" t="s">
        <v>235</v>
      </c>
      <c r="C24" s="176" t="s">
        <v>236</v>
      </c>
      <c r="E24" s="33"/>
      <c r="F24" s="179">
        <f>F22-F23</f>
        <v>-14684.626916817406</v>
      </c>
    </row>
    <row r="25" spans="1:9" x14ac:dyDescent="0.25">
      <c r="A25" s="160">
        <f t="shared" si="0"/>
        <v>16</v>
      </c>
      <c r="C25" s="185"/>
      <c r="E25" s="33"/>
      <c r="F25" s="77"/>
    </row>
    <row r="26" spans="1:9" ht="16.5" thickBot="1" x14ac:dyDescent="0.3">
      <c r="A26" s="160">
        <f t="shared" si="0"/>
        <v>17</v>
      </c>
      <c r="B26" s="183" t="s">
        <v>237</v>
      </c>
      <c r="C26" s="185" t="s">
        <v>238</v>
      </c>
      <c r="E26" s="33"/>
      <c r="F26" s="186">
        <f>(+F24*F21)-[1]PFIS!F48</f>
        <v>-2202.6940375226109</v>
      </c>
      <c r="H26" s="99">
        <f>'[1]Sch 3.2 Staff ProForma'!E50</f>
        <v>-2202.6940375226109</v>
      </c>
      <c r="I26" s="2" t="s">
        <v>33</v>
      </c>
    </row>
    <row r="27" spans="1:9" ht="16.5" thickTop="1" x14ac:dyDescent="0.25">
      <c r="A27" s="160">
        <f t="shared" si="0"/>
        <v>18</v>
      </c>
      <c r="C27" s="176"/>
      <c r="E27" s="33"/>
      <c r="F27" s="181" t="s">
        <v>96</v>
      </c>
    </row>
    <row r="28" spans="1:9" ht="16.5" thickBot="1" x14ac:dyDescent="0.3">
      <c r="A28" s="160">
        <f t="shared" si="0"/>
        <v>19</v>
      </c>
      <c r="B28" s="176"/>
      <c r="C28" s="187"/>
    </row>
    <row r="29" spans="1:9" ht="16.5" thickTop="1" x14ac:dyDescent="0.25">
      <c r="A29" s="160">
        <f t="shared" si="0"/>
        <v>20</v>
      </c>
      <c r="B29" s="161" t="s">
        <v>239</v>
      </c>
      <c r="C29" s="185" t="s">
        <v>240</v>
      </c>
      <c r="E29" s="188"/>
      <c r="F29" s="189">
        <f>F24-F26-[1]PFIS!F48</f>
        <v>-12481.932879294794</v>
      </c>
      <c r="H29" s="99">
        <f>[1]PFIS!I50</f>
        <v>-12481.932879294793</v>
      </c>
      <c r="I29" s="2" t="s">
        <v>33</v>
      </c>
    </row>
    <row r="30" spans="1:9" x14ac:dyDescent="0.25">
      <c r="A30" s="190"/>
      <c r="B30" s="191"/>
      <c r="C30" s="95"/>
      <c r="D30" s="95"/>
      <c r="E30" s="192"/>
      <c r="F30" s="152"/>
      <c r="G30" s="95"/>
    </row>
    <row r="31" spans="1:9" x14ac:dyDescent="0.25">
      <c r="A31" s="190"/>
      <c r="B31" s="191"/>
      <c r="C31" s="95"/>
      <c r="D31" s="95"/>
      <c r="E31" s="192"/>
      <c r="F31" s="152"/>
      <c r="G31" s="95"/>
    </row>
    <row r="32" spans="1:9" x14ac:dyDescent="0.25">
      <c r="A32" s="190"/>
      <c r="B32" s="191"/>
      <c r="C32" s="95"/>
      <c r="D32" s="95"/>
      <c r="E32" s="192"/>
      <c r="F32" s="152"/>
      <c r="G32" s="95"/>
    </row>
    <row r="33" spans="1:7" x14ac:dyDescent="0.25">
      <c r="A33" s="190"/>
      <c r="B33" s="193"/>
      <c r="C33" s="95"/>
      <c r="D33" s="95"/>
      <c r="E33" s="192"/>
      <c r="F33" s="152"/>
      <c r="G33" s="95"/>
    </row>
    <row r="34" spans="1:7" x14ac:dyDescent="0.25">
      <c r="A34" s="190"/>
      <c r="B34" s="193"/>
      <c r="C34" s="95"/>
      <c r="D34" s="95"/>
      <c r="E34" s="192"/>
      <c r="F34" s="152"/>
      <c r="G34" s="95"/>
    </row>
    <row r="35" spans="1:7" x14ac:dyDescent="0.25">
      <c r="A35" s="190"/>
      <c r="B35" s="193"/>
      <c r="C35" s="95"/>
      <c r="D35" s="95"/>
      <c r="E35" s="192"/>
      <c r="F35" s="194"/>
      <c r="G35" s="95"/>
    </row>
    <row r="36" spans="1:7" x14ac:dyDescent="0.25">
      <c r="A36" s="190"/>
      <c r="B36" s="193"/>
      <c r="C36" s="95"/>
      <c r="D36" s="95"/>
      <c r="E36" s="195"/>
      <c r="F36" s="196"/>
      <c r="G36" s="95"/>
    </row>
    <row r="37" spans="1:7" x14ac:dyDescent="0.25">
      <c r="A37" s="190"/>
      <c r="B37" s="95"/>
      <c r="C37" s="95"/>
      <c r="D37" s="95"/>
      <c r="E37" s="57"/>
      <c r="F37" s="95"/>
      <c r="G37" s="197"/>
    </row>
    <row r="38" spans="1:7" x14ac:dyDescent="0.25">
      <c r="A38" s="190"/>
      <c r="B38" s="95"/>
      <c r="C38" s="95"/>
      <c r="D38" s="95"/>
      <c r="E38" s="198"/>
      <c r="F38" s="95"/>
      <c r="G38" s="95"/>
    </row>
    <row r="39" spans="1:7" x14ac:dyDescent="0.25">
      <c r="A39" s="190"/>
      <c r="B39" s="95"/>
      <c r="C39" s="95"/>
      <c r="D39" s="95"/>
      <c r="E39" s="95"/>
      <c r="F39" s="95"/>
      <c r="G39" s="95"/>
    </row>
    <row r="40" spans="1:7" x14ac:dyDescent="0.25">
      <c r="E40" s="199"/>
    </row>
    <row r="42" spans="1:7" x14ac:dyDescent="0.25">
      <c r="E42" s="200"/>
    </row>
    <row r="43" spans="1:7" x14ac:dyDescent="0.25">
      <c r="E43" s="184"/>
    </row>
    <row r="44" spans="1:7" x14ac:dyDescent="0.25">
      <c r="E44" s="200"/>
    </row>
    <row r="57" spans="44:44" s="2" customFormat="1" x14ac:dyDescent="0.25">
      <c r="AR57" s="2">
        <v>0</v>
      </c>
    </row>
  </sheetData>
  <pageMargins left="0.4" right="0.41" top="0.75" bottom="0.75" header="0.3" footer="0.3"/>
  <pageSetup paperSize="0" scale="92" fitToHeight="0" orientation="portrait" r:id="rId1"/>
  <headerFooter>
    <oddFooter>&amp;L&amp;F ! 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R57"/>
  <sheetViews>
    <sheetView workbookViewId="0">
      <selection activeCell="F26" sqref="F26"/>
    </sheetView>
  </sheetViews>
  <sheetFormatPr defaultRowHeight="15.75" x14ac:dyDescent="0.25"/>
  <cols>
    <col min="1" max="1" width="5.85546875" style="148" bestFit="1" customWidth="1"/>
    <col min="2" max="2" width="54.85546875" style="148" bestFit="1" customWidth="1"/>
    <col min="3" max="3" width="18" style="148" customWidth="1"/>
    <col min="4" max="4" width="4.85546875" style="148" bestFit="1" customWidth="1"/>
    <col min="5" max="5" width="20" style="148" customWidth="1"/>
    <col min="6" max="6" width="2.7109375" style="152" customWidth="1"/>
    <col min="7" max="7" width="14.5703125" style="148" customWidth="1"/>
    <col min="8" max="8" width="8.5703125" style="62" bestFit="1" customWidth="1"/>
    <col min="9" max="9" width="12.7109375" style="148" bestFit="1" customWidth="1"/>
    <col min="10" max="10" width="2.140625" style="148" customWidth="1"/>
    <col min="11" max="16384" width="9.140625" style="148"/>
  </cols>
  <sheetData>
    <row r="2" spans="1:10" x14ac:dyDescent="0.25">
      <c r="B2" s="148" t="str">
        <f>+[1]Info!B4</f>
        <v xml:space="preserve">Summit View Waterworks, LLC </v>
      </c>
    </row>
    <row r="3" spans="1:10" x14ac:dyDescent="0.25">
      <c r="B3" s="148" t="str">
        <f>+[1]Info!B5</f>
        <v>UW-110220</v>
      </c>
      <c r="G3" s="171"/>
      <c r="I3" s="148" t="s">
        <v>199</v>
      </c>
    </row>
    <row r="4" spans="1:10" x14ac:dyDescent="0.25">
      <c r="B4" s="148" t="str">
        <f>+[1]Info!B6</f>
        <v>For the test period ending December 31, 2009</v>
      </c>
    </row>
    <row r="5" spans="1:10" x14ac:dyDescent="0.25">
      <c r="B5" s="114" t="str">
        <f>[1]Info!B27</f>
        <v>Beginning End of Year</v>
      </c>
    </row>
    <row r="6" spans="1:10" s="62" customFormat="1" x14ac:dyDescent="0.25">
      <c r="A6" s="148"/>
      <c r="B6" s="62" t="s">
        <v>0</v>
      </c>
      <c r="C6" s="62" t="s">
        <v>1</v>
      </c>
      <c r="D6" s="62" t="s">
        <v>2</v>
      </c>
      <c r="E6" s="62" t="s">
        <v>3</v>
      </c>
      <c r="F6" s="181"/>
      <c r="G6" s="62" t="s">
        <v>4</v>
      </c>
      <c r="I6" s="62" t="s">
        <v>5</v>
      </c>
    </row>
    <row r="7" spans="1:10" s="62" customFormat="1" x14ac:dyDescent="0.25">
      <c r="A7" s="148"/>
      <c r="C7" s="62" t="s">
        <v>241</v>
      </c>
      <c r="D7" s="2"/>
      <c r="E7" s="62" t="s">
        <v>242</v>
      </c>
      <c r="F7" s="181"/>
      <c r="G7" s="62" t="s">
        <v>243</v>
      </c>
      <c r="I7" s="201" t="s">
        <v>244</v>
      </c>
      <c r="J7" s="148"/>
    </row>
    <row r="8" spans="1:10" s="62" customFormat="1" ht="31.5" x14ac:dyDescent="0.25">
      <c r="A8" s="202" t="s">
        <v>8</v>
      </c>
      <c r="B8" s="203" t="s">
        <v>9</v>
      </c>
      <c r="C8" s="204">
        <f>[1]Info!B10</f>
        <v>39814</v>
      </c>
      <c r="D8" s="2"/>
      <c r="E8" s="204">
        <f>[1]Info!B11</f>
        <v>40178</v>
      </c>
      <c r="F8" s="205"/>
      <c r="G8" s="203"/>
      <c r="H8" s="203"/>
      <c r="I8" s="206" t="s">
        <v>245</v>
      </c>
      <c r="J8" s="148"/>
    </row>
    <row r="9" spans="1:10" s="62" customFormat="1" x14ac:dyDescent="0.25">
      <c r="A9" s="148"/>
      <c r="B9" s="207"/>
      <c r="C9" s="208"/>
      <c r="D9" s="2"/>
      <c r="E9" s="208"/>
      <c r="F9" s="205"/>
      <c r="I9" s="209"/>
      <c r="J9" s="148"/>
    </row>
    <row r="10" spans="1:10" x14ac:dyDescent="0.25">
      <c r="A10" s="148">
        <v>1</v>
      </c>
      <c r="B10" s="210" t="s">
        <v>246</v>
      </c>
      <c r="C10" s="211">
        <f>'[1]Sch 9 DEPN'!E16-(SUMIF('[1]Sch 9 DEPN'!D17:D518, '[1]Sch 4 Cap'!K9, ('[1]Sch 9 DEPN'!E17:E518)))</f>
        <v>190021.07929999998</v>
      </c>
      <c r="D10" s="2"/>
      <c r="E10" s="211">
        <f>'[1]Sch 9 DEPN'!E16-'[1]Sch 9 DEPN'!K16</f>
        <v>190021.07929999998</v>
      </c>
      <c r="G10" s="148">
        <f t="shared" ref="G10:G15" si="0">(+E10+C10)/2</f>
        <v>190021.07929999998</v>
      </c>
      <c r="I10" s="212">
        <f t="shared" ref="I10:I15" si="1">+G10-E10</f>
        <v>0</v>
      </c>
    </row>
    <row r="11" spans="1:10" x14ac:dyDescent="0.25">
      <c r="A11" s="148">
        <f t="shared" ref="A11:A41" si="2">1+A10</f>
        <v>2</v>
      </c>
      <c r="B11" s="210" t="s">
        <v>247</v>
      </c>
      <c r="C11" s="211">
        <f>-'[1]Sch 9 DEPN'!T16</f>
        <v>-14148.208779055205</v>
      </c>
      <c r="D11" s="2"/>
      <c r="E11" s="211">
        <f>-'[1]Sch 9 DEPN'!U16</f>
        <v>-18736.817031721879</v>
      </c>
      <c r="G11" s="148">
        <f t="shared" si="0"/>
        <v>-16442.512905388543</v>
      </c>
      <c r="I11" s="212">
        <f t="shared" si="1"/>
        <v>2294.3041263333362</v>
      </c>
    </row>
    <row r="12" spans="1:10" x14ac:dyDescent="0.25">
      <c r="A12" s="148">
        <f t="shared" si="2"/>
        <v>3</v>
      </c>
      <c r="B12" s="210" t="s">
        <v>248</v>
      </c>
      <c r="C12" s="211">
        <f>'[1]Sch 10 CIAC + ACQ'!AK11-(SUMIF('[1]Sch 10 CIAC + ACQ'!AJ12:AJ513, '[1]Sch 4 Cap'!K9, ('[1]Sch 10 CIAC + ACQ'!AK12:AK513)))</f>
        <v>0</v>
      </c>
      <c r="D12" s="2"/>
      <c r="E12" s="211">
        <f>'[1]Sch 10 CIAC + ACQ'!AK11-'[1]Sch 10 CIAC + ACQ'!AQ11</f>
        <v>0</v>
      </c>
      <c r="G12" s="148">
        <f t="shared" si="0"/>
        <v>0</v>
      </c>
      <c r="I12" s="212">
        <f t="shared" si="1"/>
        <v>0</v>
      </c>
    </row>
    <row r="13" spans="1:10" x14ac:dyDescent="0.25">
      <c r="A13" s="148">
        <f t="shared" si="2"/>
        <v>4</v>
      </c>
      <c r="B13" s="210" t="s">
        <v>249</v>
      </c>
      <c r="C13" s="211">
        <f>'[1]Sch 10 CIAC + ACQ'!AZ11</f>
        <v>0</v>
      </c>
      <c r="D13" s="2"/>
      <c r="E13" s="211">
        <f>'[1]Sch 10 CIAC + ACQ'!BA11</f>
        <v>0</v>
      </c>
      <c r="G13" s="148">
        <f t="shared" si="0"/>
        <v>0</v>
      </c>
      <c r="I13" s="212">
        <f t="shared" si="1"/>
        <v>0</v>
      </c>
    </row>
    <row r="14" spans="1:10" x14ac:dyDescent="0.25">
      <c r="A14" s="148">
        <f t="shared" si="2"/>
        <v>5</v>
      </c>
      <c r="B14" s="210" t="s">
        <v>250</v>
      </c>
      <c r="C14" s="211">
        <f>-'[1]Sch 10 CIAC + ACQ'!E11+(SUMIF('[1]Sch 10 CIAC + ACQ'!D12:D513,'[1]Sch 4 Cap'!K9,('[1]Sch 10 CIAC + ACQ'!E12:E513)))</f>
        <v>0</v>
      </c>
      <c r="D14" s="2"/>
      <c r="E14" s="211">
        <f>-'[1]Sch 10 CIAC + ACQ'!E11+'[1]Sch 10 CIAC + ACQ'!K11</f>
        <v>0</v>
      </c>
      <c r="G14" s="148">
        <f t="shared" si="0"/>
        <v>0</v>
      </c>
      <c r="I14" s="212">
        <f t="shared" si="1"/>
        <v>0</v>
      </c>
    </row>
    <row r="15" spans="1:10" ht="16.5" thickBot="1" x14ac:dyDescent="0.3">
      <c r="A15" s="148">
        <f t="shared" si="2"/>
        <v>6</v>
      </c>
      <c r="B15" s="213" t="s">
        <v>249</v>
      </c>
      <c r="C15" s="211">
        <f>-'[1]Sch 10 CIAC + ACQ'!T11</f>
        <v>0</v>
      </c>
      <c r="D15" s="2"/>
      <c r="E15" s="211">
        <f>-'[1]Sch 10 CIAC + ACQ'!U11</f>
        <v>0</v>
      </c>
      <c r="G15" s="148">
        <f t="shared" si="0"/>
        <v>0</v>
      </c>
      <c r="I15" s="212">
        <f t="shared" si="1"/>
        <v>0</v>
      </c>
    </row>
    <row r="16" spans="1:10" x14ac:dyDescent="0.25">
      <c r="A16" s="148">
        <f t="shared" si="2"/>
        <v>7</v>
      </c>
      <c r="B16" s="210" t="s">
        <v>251</v>
      </c>
      <c r="C16" s="214">
        <f>SUM(C10:C15)</f>
        <v>175872.87052094477</v>
      </c>
      <c r="D16" s="2"/>
      <c r="E16" s="214">
        <f>SUM(E10:E15)</f>
        <v>171284.26226827811</v>
      </c>
      <c r="G16" s="214">
        <f>SUM(G10:G15)</f>
        <v>173578.56639461144</v>
      </c>
      <c r="I16" s="215">
        <f>SUM(I10:I15)</f>
        <v>2294.3041263333362</v>
      </c>
    </row>
    <row r="17" spans="1:9" x14ac:dyDescent="0.25">
      <c r="A17" s="148">
        <f t="shared" si="2"/>
        <v>8</v>
      </c>
      <c r="B17" s="210"/>
    </row>
    <row r="18" spans="1:9" x14ac:dyDescent="0.25">
      <c r="A18" s="148">
        <f t="shared" si="2"/>
        <v>9</v>
      </c>
      <c r="B18" s="210" t="s">
        <v>252</v>
      </c>
      <c r="C18" s="148">
        <f>+C10+C11</f>
        <v>175872.87052094477</v>
      </c>
      <c r="E18" s="148">
        <f>+E10+E11</f>
        <v>171284.26226827811</v>
      </c>
      <c r="G18" s="148">
        <f>+G10+G11</f>
        <v>173578.56639461144</v>
      </c>
    </row>
    <row r="19" spans="1:9" x14ac:dyDescent="0.25">
      <c r="A19" s="148">
        <f t="shared" si="2"/>
        <v>10</v>
      </c>
      <c r="B19" s="210" t="s">
        <v>253</v>
      </c>
      <c r="C19" s="148">
        <f>+C12+C13</f>
        <v>0</v>
      </c>
      <c r="E19" s="148">
        <f>+E12+E13</f>
        <v>0</v>
      </c>
      <c r="G19" s="148">
        <f>+G12+G13</f>
        <v>0</v>
      </c>
    </row>
    <row r="20" spans="1:9" ht="16.5" thickBot="1" x14ac:dyDescent="0.3">
      <c r="A20" s="148">
        <f t="shared" si="2"/>
        <v>11</v>
      </c>
      <c r="B20" s="213" t="s">
        <v>254</v>
      </c>
      <c r="C20" s="148">
        <f>+C14+C15</f>
        <v>0</v>
      </c>
      <c r="E20" s="148">
        <f>+E14+E15</f>
        <v>0</v>
      </c>
      <c r="G20" s="148">
        <f>+G14+G15</f>
        <v>0</v>
      </c>
    </row>
    <row r="21" spans="1:9" x14ac:dyDescent="0.25">
      <c r="A21" s="216">
        <f t="shared" si="2"/>
        <v>12</v>
      </c>
      <c r="B21" s="148" t="str">
        <f>+B16</f>
        <v xml:space="preserve"> NET RATE BASE</v>
      </c>
      <c r="C21" s="214">
        <f>SUM(C18:C20)</f>
        <v>175872.87052094477</v>
      </c>
      <c r="E21" s="214">
        <f>SUM(E18:E20)</f>
        <v>171284.26226827811</v>
      </c>
      <c r="G21" s="214">
        <f>SUM(G18:G20)</f>
        <v>173578.56639461144</v>
      </c>
    </row>
    <row r="22" spans="1:9" x14ac:dyDescent="0.25">
      <c r="A22" s="216">
        <f t="shared" si="2"/>
        <v>13</v>
      </c>
    </row>
    <row r="23" spans="1:9" s="217" customFormat="1" x14ac:dyDescent="0.25">
      <c r="A23" s="216">
        <f t="shared" si="2"/>
        <v>14</v>
      </c>
      <c r="F23" s="152"/>
      <c r="H23" s="218"/>
    </row>
    <row r="24" spans="1:9" x14ac:dyDescent="0.25">
      <c r="A24" s="216">
        <f t="shared" si="2"/>
        <v>15</v>
      </c>
      <c r="C24" s="219" t="s">
        <v>255</v>
      </c>
      <c r="D24" s="219"/>
      <c r="E24" s="219"/>
    </row>
    <row r="25" spans="1:9" s="62" customFormat="1" x14ac:dyDescent="0.25">
      <c r="A25" s="216">
        <f t="shared" si="2"/>
        <v>16</v>
      </c>
      <c r="B25" s="62" t="s">
        <v>256</v>
      </c>
      <c r="C25" s="62" t="s">
        <v>257</v>
      </c>
      <c r="E25" s="62" t="s">
        <v>258</v>
      </c>
      <c r="F25" s="181"/>
      <c r="G25" s="62" t="s">
        <v>259</v>
      </c>
      <c r="I25" s="62" t="s">
        <v>260</v>
      </c>
    </row>
    <row r="26" spans="1:9" x14ac:dyDescent="0.25">
      <c r="A26" s="216">
        <f t="shared" si="2"/>
        <v>17</v>
      </c>
      <c r="B26" s="148" t="s">
        <v>261</v>
      </c>
      <c r="C26" s="220">
        <f>'[1]Sch 13 Worksheet Cal Adjs'!D529</f>
        <v>7911.375</v>
      </c>
      <c r="D26" s="181"/>
      <c r="E26" s="148">
        <f>'[1]Sch 13 Worksheet Cal Adjs'!G529</f>
        <v>1582.2750000000001</v>
      </c>
      <c r="G26" s="212">
        <f>+C26/2</f>
        <v>3955.6875</v>
      </c>
      <c r="I26" s="212">
        <f>IF(OR($E26=0, $E26=""), "", $E26/2)</f>
        <v>791.13750000000005</v>
      </c>
    </row>
    <row r="27" spans="1:9" x14ac:dyDescent="0.25">
      <c r="A27" s="216">
        <f t="shared" si="2"/>
        <v>18</v>
      </c>
      <c r="B27" s="148" t="s">
        <v>262</v>
      </c>
      <c r="C27" s="220">
        <f>'[1]Sch 13 Worksheet Cal Adjs'!D533</f>
        <v>3161.89</v>
      </c>
      <c r="D27" s="181"/>
      <c r="E27" s="148">
        <f>'[1]Sch 13 Worksheet Cal Adjs'!G532</f>
        <v>632.37799999999993</v>
      </c>
      <c r="G27" s="212">
        <f>+C27/2</f>
        <v>1580.9449999999999</v>
      </c>
      <c r="I27" s="212">
        <f>IF(OR($E27=0, $E27=""), "", $E27/2)</f>
        <v>316.18899999999996</v>
      </c>
    </row>
    <row r="28" spans="1:9" x14ac:dyDescent="0.25">
      <c r="A28" s="216">
        <f t="shared" si="2"/>
        <v>19</v>
      </c>
      <c r="B28" s="148" t="s">
        <v>263</v>
      </c>
      <c r="C28" s="220">
        <f>'[1]Sch 13 Worksheet Cal Adjs'!D524</f>
        <v>0</v>
      </c>
      <c r="D28" s="181"/>
      <c r="E28" s="148">
        <f>+'[1]Sch 13 Worksheet Cal Adjs'!G524</f>
        <v>0</v>
      </c>
      <c r="G28" s="212">
        <f>+C28/2</f>
        <v>0</v>
      </c>
      <c r="I28" s="212" t="str">
        <f>IF(OR($E28=0, $E28=""), "", $E28/2)</f>
        <v/>
      </c>
    </row>
    <row r="29" spans="1:9" x14ac:dyDescent="0.25">
      <c r="A29" s="216">
        <f t="shared" si="2"/>
        <v>20</v>
      </c>
      <c r="B29" s="148" t="s">
        <v>264</v>
      </c>
      <c r="C29" s="220">
        <f>'[1]Sch 13 Worksheet Cal Adjs'!D523</f>
        <v>1589.57</v>
      </c>
      <c r="D29" s="181"/>
      <c r="E29" s="148">
        <f>+C29/3</f>
        <v>529.85666666666668</v>
      </c>
      <c r="G29" s="212">
        <f>+C29/2</f>
        <v>794.78499999999997</v>
      </c>
      <c r="I29" s="212">
        <f>IF(OR($E29=0, $E29=""), "", $E29/2)</f>
        <v>264.92833333333334</v>
      </c>
    </row>
    <row r="30" spans="1:9" ht="16.5" thickBot="1" x14ac:dyDescent="0.3">
      <c r="A30" s="216">
        <f t="shared" si="2"/>
        <v>21</v>
      </c>
      <c r="C30" s="220"/>
      <c r="D30" s="181"/>
      <c r="E30" s="148" t="str">
        <f>IF($C30&gt;0,(($C30-((VLOOKUP($B30,'[1]Sch 9 DEPN'!$BE$24:$BG$59,3,FALSE))*$C30))/(VLOOKUP($B30,'[1]Sch 9 DEPN'!$BE$24:$BG$59,2,FALSE))),"")</f>
        <v/>
      </c>
      <c r="G30" s="212" t="str">
        <f>IF($C30&gt;0,(($C30-((VLOOKUP($B30,'[1]Sch 9 DEPN'!$BE$24:$BG$59,3,FALSE))*$C30))/2),"")</f>
        <v/>
      </c>
      <c r="I30" s="212" t="str">
        <f>IF(OR($E30=0, $E30=""), "", $E30/2)</f>
        <v/>
      </c>
    </row>
    <row r="31" spans="1:9" x14ac:dyDescent="0.25">
      <c r="A31" s="216">
        <f t="shared" si="2"/>
        <v>22</v>
      </c>
      <c r="C31" s="214">
        <f>SUM(C26:C30)</f>
        <v>12662.834999999999</v>
      </c>
      <c r="D31" s="62"/>
      <c r="E31" s="221">
        <f>SUM(E26:E30)</f>
        <v>2744.5096666666668</v>
      </c>
      <c r="F31" s="147"/>
      <c r="G31" s="222">
        <f>SUM(G26:G30)</f>
        <v>6331.4174999999996</v>
      </c>
      <c r="H31" s="209" t="s">
        <v>96</v>
      </c>
      <c r="I31" s="215">
        <f>SUM(I26:I30)</f>
        <v>1372.2548333333334</v>
      </c>
    </row>
    <row r="32" spans="1:9" x14ac:dyDescent="0.25">
      <c r="A32" s="216">
        <f t="shared" si="2"/>
        <v>23</v>
      </c>
      <c r="B32" s="62" t="s">
        <v>265</v>
      </c>
      <c r="D32" s="62"/>
      <c r="F32" s="147"/>
    </row>
    <row r="33" spans="1:9" x14ac:dyDescent="0.25">
      <c r="A33" s="216">
        <f t="shared" si="2"/>
        <v>24</v>
      </c>
      <c r="C33" s="223"/>
      <c r="D33" s="181"/>
      <c r="E33" s="148" t="str">
        <f>IF($C33&gt;0,(($C33-((VLOOKUP($B33,'[1]Sch 9 DEPN'!$BE$24:$BG$59,3,FALSE))*$C33))/(VLOOKUP($B33,'[1]Sch 9 DEPN'!$BE$24:$BG$59,2,FALSE))),"")</f>
        <v/>
      </c>
      <c r="G33" s="212" t="str">
        <f>IF($C33&gt;0,(($C33-((VLOOKUP($B33,'[1]Sch 9 DEPN'!$BE$24:$BG$59,3,FALSE))*$C33))/2),"")</f>
        <v/>
      </c>
      <c r="I33" s="212" t="str">
        <f>IF(OR($E33=0, $E33=""), "", $E33/2)</f>
        <v/>
      </c>
    </row>
    <row r="34" spans="1:9" x14ac:dyDescent="0.25">
      <c r="A34" s="216">
        <f t="shared" si="2"/>
        <v>25</v>
      </c>
      <c r="C34" s="223"/>
      <c r="D34" s="62"/>
      <c r="E34" s="148" t="str">
        <f>IF($C34&gt;0,(($C34-((VLOOKUP($B34,'[1]Sch 9 DEPN'!$BE$24:$BG$59,3,FALSE))*$C34))/(VLOOKUP($B34,'[1]Sch 9 DEPN'!$BE$24:$BG$59,2,FALSE))),"")</f>
        <v/>
      </c>
      <c r="G34" s="212" t="str">
        <f>IF($C34&gt;0,(($C34-((VLOOKUP($B34,'[1]Sch 9 DEPN'!$BE$24:$BG$59,3,FALSE))*$C34))/2),"")</f>
        <v/>
      </c>
      <c r="I34" s="212" t="str">
        <f>IF(OR($E34=0, $E34=""), "", $E34/2)</f>
        <v/>
      </c>
    </row>
    <row r="35" spans="1:9" x14ac:dyDescent="0.25">
      <c r="A35" s="216">
        <f t="shared" si="2"/>
        <v>26</v>
      </c>
      <c r="C35" s="223"/>
      <c r="E35" s="148" t="str">
        <f>IF($C35&gt;0,(($C35-((VLOOKUP($B35,'[1]Sch 9 DEPN'!$BE$24:$BG$59,3,FALSE))*$C35))/(VLOOKUP($B35,'[1]Sch 9 DEPN'!$BE$24:$BG$59,2,FALSE))),"")</f>
        <v/>
      </c>
      <c r="G35" s="212" t="str">
        <f>IF($C35&gt;0,(($C35-((VLOOKUP($B35,'[1]Sch 9 DEPN'!$BE$24:$BG$59,3,FALSE))*$C35))/2),"")</f>
        <v/>
      </c>
      <c r="I35" s="212" t="str">
        <f>IF(OR($E35=0, $E35=""), "", $E35/2)</f>
        <v/>
      </c>
    </row>
    <row r="36" spans="1:9" ht="16.5" thickBot="1" x14ac:dyDescent="0.3">
      <c r="A36" s="216">
        <f t="shared" si="2"/>
        <v>27</v>
      </c>
      <c r="C36" s="223"/>
      <c r="E36" s="148" t="str">
        <f>IF($C36&gt;0,(($C36-((VLOOKUP($B36,'[1]Sch 9 DEPN'!$BE$24:$BG$59,3,FALSE))*$C36))/(VLOOKUP($B36,'[1]Sch 9 DEPN'!$BE$24:$BG$59,2,FALSE))),"")</f>
        <v/>
      </c>
      <c r="G36" s="212" t="str">
        <f>IF($C36&gt;0,(($C36-((VLOOKUP($B36,'[1]Sch 9 DEPN'!$BE$24:$BG$59,3,FALSE))*$C36))/2),"")</f>
        <v/>
      </c>
      <c r="H36" s="148"/>
      <c r="I36" s="212" t="str">
        <f>IF(OR($E36=0, $E36=""), "", $E36/2)</f>
        <v/>
      </c>
    </row>
    <row r="37" spans="1:9" x14ac:dyDescent="0.25">
      <c r="A37" s="216"/>
      <c r="C37" s="214">
        <f>SUM(C33:C36)</f>
        <v>0</v>
      </c>
      <c r="D37" s="62"/>
      <c r="E37" s="214">
        <f>SUM(E33:E36)</f>
        <v>0</v>
      </c>
      <c r="F37" s="147"/>
      <c r="G37" s="222">
        <f>SUM(G33:G36)</f>
        <v>0</v>
      </c>
      <c r="H37" s="209" t="s">
        <v>96</v>
      </c>
      <c r="I37" s="215">
        <f>SUM(I33:I36)</f>
        <v>0</v>
      </c>
    </row>
    <row r="38" spans="1:9" ht="16.5" thickBot="1" x14ac:dyDescent="0.3">
      <c r="A38" s="216">
        <f>1+A36</f>
        <v>28</v>
      </c>
      <c r="F38" s="148"/>
      <c r="H38" s="148"/>
    </row>
    <row r="39" spans="1:9" ht="16.5" thickTop="1" x14ac:dyDescent="0.25">
      <c r="A39" s="216">
        <f t="shared" si="2"/>
        <v>29</v>
      </c>
      <c r="B39" s="148" t="s">
        <v>266</v>
      </c>
      <c r="C39" s="224">
        <f>-C37+C31</f>
        <v>12662.834999999999</v>
      </c>
      <c r="D39" s="62"/>
      <c r="E39" s="224">
        <f>-E37+E31</f>
        <v>2744.5096666666668</v>
      </c>
      <c r="G39" s="224">
        <f>G31-G37</f>
        <v>6331.4174999999996</v>
      </c>
      <c r="I39" s="224">
        <f>I31-I37</f>
        <v>1372.2548333333334</v>
      </c>
    </row>
    <row r="40" spans="1:9" x14ac:dyDescent="0.25">
      <c r="A40" s="216">
        <f t="shared" si="2"/>
        <v>30</v>
      </c>
    </row>
    <row r="41" spans="1:9" x14ac:dyDescent="0.25">
      <c r="A41" s="216">
        <f t="shared" si="2"/>
        <v>31</v>
      </c>
      <c r="E41" s="148" t="s">
        <v>267</v>
      </c>
      <c r="G41" s="148">
        <f>G21+G31+I37-I31-G37</f>
        <v>178537.72906127811</v>
      </c>
      <c r="H41" s="148"/>
      <c r="I41" s="148">
        <f t="shared" ref="I41" si="3">I21+I31+K37-K31-I37</f>
        <v>1372.2548333333334</v>
      </c>
    </row>
    <row r="44" spans="1:9" x14ac:dyDescent="0.25">
      <c r="E44" s="212"/>
      <c r="G44" s="212"/>
    </row>
    <row r="57" spans="44:44" s="148" customFormat="1" x14ac:dyDescent="0.25">
      <c r="AR57" s="148">
        <v>0</v>
      </c>
    </row>
  </sheetData>
  <protectedRanges>
    <protectedRange password="C6D0" sqref="B26:C30 B33:C36" name="BEOY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">
    <mergeCell ref="C24:E24"/>
  </mergeCells>
  <pageMargins left="0.35" right="0.26" top="0.75" bottom="0.75" header="0.3" footer="0.3"/>
  <pageSetup paperSize="0" scale="69" fitToHeight="0" orientation="portrait" r:id="rId1"/>
  <headerFooter>
    <oddFooter>&amp;L&amp;F ! &amp;A&amp;RPage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lass of Plant" prompt="Select the plant asset description from the drop-down list.">
          <x14:formula1>
            <xm:f>'[1]Sch 9 DEPN'!#REF!</xm:f>
          </x14:formula1>
          <xm:sqref>B33:B36 B26:B30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853"/>
  <sheetViews>
    <sheetView workbookViewId="0">
      <selection activeCell="F26" sqref="F26"/>
    </sheetView>
  </sheetViews>
  <sheetFormatPr defaultRowHeight="15" x14ac:dyDescent="0.25"/>
  <cols>
    <col min="1" max="1" width="10.140625" style="401" customWidth="1"/>
    <col min="2" max="2" width="2.5703125" style="401" customWidth="1"/>
    <col min="3" max="3" width="26.42578125" style="233" customWidth="1"/>
    <col min="4" max="4" width="17.42578125" style="336" customWidth="1"/>
    <col min="5" max="5" width="15.42578125" style="336" customWidth="1"/>
    <col min="6" max="6" width="38" style="336" customWidth="1"/>
    <col min="7" max="7" width="16.42578125" style="336" customWidth="1"/>
    <col min="8" max="8" width="15.85546875" style="233" customWidth="1"/>
    <col min="9" max="9" width="14.42578125" style="233" customWidth="1"/>
    <col min="10" max="10" width="28.28515625" style="233" customWidth="1"/>
    <col min="11" max="11" width="19" style="233" customWidth="1"/>
    <col min="12" max="12" width="14.140625" style="233" bestFit="1" customWidth="1"/>
    <col min="13" max="13" width="16" style="233" customWidth="1"/>
    <col min="14" max="14" width="13.85546875" style="233" bestFit="1" customWidth="1"/>
    <col min="15" max="15" width="9" style="233" bestFit="1" customWidth="1"/>
    <col min="16" max="16384" width="9.140625" style="233"/>
  </cols>
  <sheetData>
    <row r="1" spans="1:16" s="228" customFormat="1" x14ac:dyDescent="0.25">
      <c r="A1" s="225"/>
      <c r="B1" s="225"/>
      <c r="C1" s="226" t="str">
        <f>[1]Info!B4</f>
        <v xml:space="preserve">Summit View Waterworks, LLC </v>
      </c>
      <c r="D1" s="227"/>
      <c r="E1" s="227"/>
      <c r="F1" s="227"/>
      <c r="G1" s="227"/>
    </row>
    <row r="2" spans="1:16" s="228" customFormat="1" x14ac:dyDescent="0.25">
      <c r="A2" s="225"/>
      <c r="B2" s="225"/>
      <c r="C2" s="226" t="str">
        <f>[1]Info!B5</f>
        <v>UW-110220</v>
      </c>
      <c r="D2" s="227"/>
      <c r="E2" s="227"/>
      <c r="F2" s="227"/>
      <c r="G2" s="227"/>
    </row>
    <row r="3" spans="1:16" s="228" customFormat="1" x14ac:dyDescent="0.25">
      <c r="A3" s="225"/>
      <c r="B3" s="225"/>
      <c r="C3" s="226" t="str">
        <f>[1]Info!B6</f>
        <v>For the test period ending December 31, 2009</v>
      </c>
      <c r="D3" s="227"/>
      <c r="E3" s="227"/>
      <c r="F3" s="227"/>
      <c r="G3" s="227"/>
    </row>
    <row r="4" spans="1:16" s="228" customFormat="1" x14ac:dyDescent="0.25">
      <c r="A4" s="225"/>
      <c r="B4" s="225"/>
      <c r="C4" s="226" t="str">
        <f>[1]Info!B33</f>
        <v>Worksheet Calculation Adjustments</v>
      </c>
      <c r="D4" s="227"/>
      <c r="E4" s="227"/>
      <c r="F4" s="227"/>
      <c r="G4" s="227"/>
    </row>
    <row r="5" spans="1:16" s="228" customFormat="1" x14ac:dyDescent="0.25">
      <c r="A5" s="225"/>
      <c r="B5" s="225"/>
      <c r="D5" s="227"/>
      <c r="E5" s="227"/>
      <c r="F5" s="227"/>
      <c r="G5" s="227"/>
    </row>
    <row r="6" spans="1:16" s="228" customFormat="1" x14ac:dyDescent="0.25">
      <c r="A6" s="225" t="s">
        <v>268</v>
      </c>
      <c r="B6" s="225"/>
      <c r="C6" s="225" t="s">
        <v>269</v>
      </c>
      <c r="D6" s="229" t="s">
        <v>270</v>
      </c>
      <c r="E6" s="229" t="s">
        <v>271</v>
      </c>
      <c r="F6" s="229" t="s">
        <v>272</v>
      </c>
      <c r="G6" s="229" t="s">
        <v>273</v>
      </c>
      <c r="H6" s="225" t="s">
        <v>274</v>
      </c>
      <c r="I6" s="225" t="s">
        <v>275</v>
      </c>
      <c r="J6" s="225" t="s">
        <v>276</v>
      </c>
      <c r="K6" s="225" t="s">
        <v>277</v>
      </c>
      <c r="L6" s="225" t="s">
        <v>278</v>
      </c>
      <c r="M6" s="225" t="s">
        <v>279</v>
      </c>
    </row>
    <row r="7" spans="1:16" ht="15.75" thickBot="1" x14ac:dyDescent="0.3">
      <c r="A7" s="230">
        <v>1</v>
      </c>
      <c r="B7" s="231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</row>
    <row r="8" spans="1:16" x14ac:dyDescent="0.25">
      <c r="A8" s="230">
        <v>2</v>
      </c>
      <c r="B8" s="231"/>
      <c r="C8" s="234" t="s">
        <v>280</v>
      </c>
      <c r="D8" s="235" t="s">
        <v>281</v>
      </c>
      <c r="E8" s="235" t="s">
        <v>282</v>
      </c>
      <c r="F8" s="236" t="s">
        <v>283</v>
      </c>
      <c r="G8" s="236" t="s">
        <v>284</v>
      </c>
      <c r="H8" s="235"/>
      <c r="I8" s="237" t="s">
        <v>285</v>
      </c>
      <c r="J8" s="238"/>
      <c r="K8" s="232"/>
      <c r="L8" s="232"/>
      <c r="M8" s="232"/>
      <c r="N8" s="232"/>
      <c r="O8" s="232"/>
      <c r="P8" s="232"/>
    </row>
    <row r="9" spans="1:16" x14ac:dyDescent="0.25">
      <c r="A9" s="230">
        <v>3</v>
      </c>
      <c r="B9" s="232"/>
      <c r="C9" s="239" t="s">
        <v>286</v>
      </c>
      <c r="D9" s="240">
        <v>29.37</v>
      </c>
      <c r="E9" s="241" t="s">
        <v>287</v>
      </c>
      <c r="F9" s="242">
        <v>29.37</v>
      </c>
      <c r="G9" s="242"/>
      <c r="H9" s="241"/>
      <c r="I9" s="243">
        <f>+G9+F9</f>
        <v>29.37</v>
      </c>
      <c r="J9" s="244"/>
      <c r="K9" s="232"/>
      <c r="L9" s="232"/>
      <c r="M9" s="232"/>
      <c r="N9" s="232"/>
      <c r="O9" s="232"/>
      <c r="P9" s="232"/>
    </row>
    <row r="10" spans="1:16" ht="26.25" x14ac:dyDescent="0.25">
      <c r="A10" s="230">
        <v>4</v>
      </c>
      <c r="B10" s="232"/>
      <c r="C10" s="245" t="s">
        <v>288</v>
      </c>
      <c r="D10" s="246">
        <v>15000</v>
      </c>
      <c r="E10" s="247" t="s">
        <v>289</v>
      </c>
      <c r="F10" s="242">
        <f>+D10*G18</f>
        <v>2185.4304635761587</v>
      </c>
      <c r="G10" s="242">
        <f>+D10*G17</f>
        <v>12814.569536423842</v>
      </c>
      <c r="H10" s="248"/>
      <c r="I10" s="243">
        <f>+G10+F10</f>
        <v>15000</v>
      </c>
      <c r="J10" s="244"/>
      <c r="K10" s="232"/>
      <c r="L10" s="232"/>
      <c r="M10" s="232"/>
      <c r="N10" s="232"/>
      <c r="O10" s="232"/>
      <c r="P10" s="232"/>
    </row>
    <row r="11" spans="1:16" x14ac:dyDescent="0.25">
      <c r="A11" s="230">
        <v>5</v>
      </c>
      <c r="B11" s="232"/>
      <c r="C11" s="239" t="s">
        <v>290</v>
      </c>
      <c r="D11" s="240">
        <v>3830.03</v>
      </c>
      <c r="E11" s="241" t="s">
        <v>291</v>
      </c>
      <c r="F11" s="242">
        <v>1915.02</v>
      </c>
      <c r="G11" s="242">
        <v>1915.01</v>
      </c>
      <c r="H11" s="241"/>
      <c r="I11" s="243">
        <f>+G11+F11</f>
        <v>3830.0299999999997</v>
      </c>
      <c r="J11" s="244"/>
      <c r="K11" s="232"/>
      <c r="L11" s="232"/>
      <c r="M11" s="232"/>
      <c r="N11" s="232"/>
      <c r="O11" s="232"/>
      <c r="P11" s="232"/>
    </row>
    <row r="12" spans="1:16" ht="16.5" x14ac:dyDescent="0.35">
      <c r="A12" s="230">
        <v>6</v>
      </c>
      <c r="B12" s="232"/>
      <c r="C12" s="239" t="s">
        <v>292</v>
      </c>
      <c r="D12" s="240">
        <v>600</v>
      </c>
      <c r="E12" s="241" t="s">
        <v>291</v>
      </c>
      <c r="F12" s="249">
        <v>300</v>
      </c>
      <c r="G12" s="249">
        <v>300</v>
      </c>
      <c r="H12" s="250"/>
      <c r="I12" s="251">
        <f>+G12+F12</f>
        <v>600</v>
      </c>
      <c r="J12" s="252"/>
      <c r="K12" s="232"/>
      <c r="L12" s="232"/>
      <c r="M12" s="232"/>
      <c r="N12" s="232"/>
      <c r="O12" s="232"/>
      <c r="P12" s="232"/>
    </row>
    <row r="13" spans="1:16" x14ac:dyDescent="0.25">
      <c r="A13" s="230">
        <v>7</v>
      </c>
      <c r="B13" s="232"/>
      <c r="C13" s="239"/>
      <c r="D13" s="240">
        <f>SUM(D9:D12)</f>
        <v>19459.400000000001</v>
      </c>
      <c r="E13" s="241"/>
      <c r="F13" s="250">
        <f>SUM(F9:F12)</f>
        <v>4429.8204635761585</v>
      </c>
      <c r="G13" s="253">
        <f>SUM(G9:G12)</f>
        <v>15029.579536423842</v>
      </c>
      <c r="I13" s="243">
        <f>SUM(I9:I12)</f>
        <v>19459.400000000001</v>
      </c>
      <c r="J13" s="238"/>
      <c r="K13" s="232"/>
      <c r="L13" s="232"/>
      <c r="M13" s="232"/>
      <c r="N13" s="232"/>
      <c r="O13" s="232"/>
      <c r="P13" s="232"/>
    </row>
    <row r="14" spans="1:16" x14ac:dyDescent="0.25">
      <c r="A14" s="230">
        <v>8</v>
      </c>
      <c r="B14" s="232"/>
      <c r="C14" s="239"/>
      <c r="D14" s="241"/>
      <c r="E14" s="241" t="s">
        <v>293</v>
      </c>
      <c r="F14" s="254">
        <f>+F13/I13</f>
        <v>0.22764424718008563</v>
      </c>
      <c r="G14" s="255">
        <f>+G13/I13</f>
        <v>0.77235575281991431</v>
      </c>
      <c r="I14" s="256"/>
      <c r="J14" s="257"/>
      <c r="K14" s="232"/>
      <c r="L14" s="232"/>
      <c r="M14" s="232"/>
      <c r="N14" s="232"/>
      <c r="O14" s="232"/>
      <c r="P14" s="232"/>
    </row>
    <row r="15" spans="1:16" x14ac:dyDescent="0.25">
      <c r="A15" s="230">
        <v>9</v>
      </c>
      <c r="B15" s="232"/>
      <c r="C15" s="239" t="s">
        <v>294</v>
      </c>
      <c r="D15" s="241"/>
      <c r="E15" s="241"/>
      <c r="F15" s="241"/>
      <c r="G15" s="258">
        <f>+G13*-1</f>
        <v>-15029.579536423842</v>
      </c>
      <c r="H15" s="259" t="s">
        <v>144</v>
      </c>
      <c r="I15" s="256"/>
      <c r="J15" s="257"/>
      <c r="K15" s="232"/>
      <c r="L15" s="232"/>
      <c r="M15" s="232"/>
      <c r="N15" s="232"/>
      <c r="O15" s="232"/>
      <c r="P15" s="232"/>
    </row>
    <row r="16" spans="1:16" x14ac:dyDescent="0.25">
      <c r="A16" s="230">
        <v>10</v>
      </c>
      <c r="B16" s="232"/>
      <c r="C16" s="239" t="s">
        <v>295</v>
      </c>
      <c r="D16" s="241" t="s">
        <v>296</v>
      </c>
      <c r="E16" s="241" t="s">
        <v>297</v>
      </c>
      <c r="F16" s="241" t="s">
        <v>298</v>
      </c>
      <c r="G16" s="241" t="s">
        <v>299</v>
      </c>
      <c r="H16" s="241"/>
      <c r="I16" s="256"/>
      <c r="J16" s="257"/>
      <c r="K16" s="232"/>
      <c r="L16" s="232"/>
      <c r="M16" s="232"/>
      <c r="N16" s="232"/>
      <c r="O16" s="232"/>
      <c r="P16" s="232"/>
    </row>
    <row r="17" spans="1:16384" x14ac:dyDescent="0.25">
      <c r="A17" s="230">
        <v>11</v>
      </c>
      <c r="B17" s="232"/>
      <c r="C17" s="239" t="s">
        <v>284</v>
      </c>
      <c r="D17" s="241">
        <v>12</v>
      </c>
      <c r="E17" s="241">
        <v>86</v>
      </c>
      <c r="F17" s="241">
        <f>+E17*D17</f>
        <v>1032</v>
      </c>
      <c r="G17" s="260">
        <f>+F17/F19</f>
        <v>0.85430463576158944</v>
      </c>
      <c r="H17" s="241"/>
      <c r="I17" s="256"/>
      <c r="J17" s="257"/>
      <c r="K17" s="232"/>
      <c r="L17" s="232"/>
      <c r="M17" s="232"/>
      <c r="N17" s="232"/>
      <c r="O17" s="232"/>
      <c r="P17" s="232"/>
    </row>
    <row r="18" spans="1:16384" x14ac:dyDescent="0.25">
      <c r="A18" s="230">
        <v>12</v>
      </c>
      <c r="B18" s="232"/>
      <c r="C18" s="239" t="s">
        <v>283</v>
      </c>
      <c r="D18" s="241">
        <v>2</v>
      </c>
      <c r="E18" s="241">
        <v>88</v>
      </c>
      <c r="F18" s="241">
        <f>+E18*D18</f>
        <v>176</v>
      </c>
      <c r="G18" s="260">
        <f>+F18/F19</f>
        <v>0.14569536423841059</v>
      </c>
      <c r="H18" s="241"/>
      <c r="I18" s="256"/>
      <c r="J18" s="257"/>
      <c r="K18" s="232"/>
      <c r="L18" s="232"/>
      <c r="M18" s="232"/>
      <c r="N18" s="232"/>
      <c r="O18" s="232"/>
      <c r="P18" s="232"/>
    </row>
    <row r="19" spans="1:16384" ht="15.75" thickBot="1" x14ac:dyDescent="0.3">
      <c r="A19" s="230">
        <v>13</v>
      </c>
      <c r="B19" s="232"/>
      <c r="C19" s="261"/>
      <c r="D19" s="262"/>
      <c r="E19" s="262"/>
      <c r="F19" s="262">
        <f>SUM(F17:F18)</f>
        <v>1208</v>
      </c>
      <c r="G19" s="262"/>
      <c r="H19" s="262"/>
      <c r="I19" s="263"/>
      <c r="J19" s="257"/>
      <c r="K19" s="232"/>
      <c r="L19" s="232"/>
      <c r="M19" s="232"/>
      <c r="N19" s="232"/>
      <c r="O19" s="232"/>
      <c r="P19" s="232"/>
    </row>
    <row r="20" spans="1:16384" x14ac:dyDescent="0.25">
      <c r="A20" s="230">
        <v>14</v>
      </c>
      <c r="B20" s="232"/>
      <c r="C20" s="264"/>
      <c r="D20" s="265"/>
      <c r="E20" s="265"/>
      <c r="F20" s="265"/>
      <c r="G20" s="265"/>
      <c r="H20" s="265"/>
      <c r="I20" s="265"/>
      <c r="J20" s="238"/>
      <c r="K20" s="232"/>
      <c r="L20" s="232"/>
      <c r="M20" s="232"/>
      <c r="N20" s="232"/>
      <c r="O20" s="232"/>
      <c r="P20" s="232"/>
    </row>
    <row r="21" spans="1:16384" ht="16.5" thickBot="1" x14ac:dyDescent="0.3">
      <c r="A21" s="230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  <c r="XFA21" s="4"/>
      <c r="XFB21" s="4"/>
      <c r="XFC21" s="4"/>
      <c r="XFD21" s="4"/>
    </row>
    <row r="22" spans="1:16384" ht="15.75" x14ac:dyDescent="0.25">
      <c r="A22" s="230">
        <v>16</v>
      </c>
      <c r="B22" s="4"/>
      <c r="C22" s="266"/>
      <c r="D22" s="267"/>
      <c r="E22" s="267"/>
      <c r="F22" s="267"/>
      <c r="G22" s="26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  <c r="XEX22" s="4"/>
      <c r="XEY22" s="4"/>
      <c r="XEZ22" s="4"/>
      <c r="XFA22" s="4"/>
      <c r="XFB22" s="4"/>
      <c r="XFC22" s="4"/>
      <c r="XFD22" s="4"/>
    </row>
    <row r="23" spans="1:16384" ht="15.75" x14ac:dyDescent="0.25">
      <c r="A23" s="230">
        <v>17</v>
      </c>
      <c r="B23" s="4"/>
      <c r="C23" s="269" t="s">
        <v>300</v>
      </c>
      <c r="D23" s="62"/>
      <c r="E23" s="62"/>
      <c r="F23" s="62"/>
      <c r="G23" s="27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Y23" s="4"/>
      <c r="XEZ23" s="4"/>
      <c r="XFA23" s="4"/>
      <c r="XFB23" s="4"/>
      <c r="XFC23" s="4"/>
      <c r="XFD23" s="4"/>
    </row>
    <row r="24" spans="1:16384" ht="15.75" x14ac:dyDescent="0.25">
      <c r="A24" s="230">
        <v>18</v>
      </c>
      <c r="B24" s="4"/>
      <c r="C24" s="271" t="s">
        <v>301</v>
      </c>
      <c r="D24" s="62"/>
      <c r="E24" s="62"/>
      <c r="F24" s="62"/>
      <c r="G24" s="27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  <c r="XEX24" s="4"/>
      <c r="XEY24" s="4"/>
      <c r="XEZ24" s="4"/>
      <c r="XFA24" s="4"/>
      <c r="XFB24" s="4"/>
      <c r="XFC24" s="4"/>
      <c r="XFD24" s="4"/>
    </row>
    <row r="25" spans="1:16384" ht="15.75" x14ac:dyDescent="0.25">
      <c r="A25" s="230">
        <v>19</v>
      </c>
      <c r="B25" s="4"/>
      <c r="C25" s="272" t="s">
        <v>44</v>
      </c>
      <c r="D25" s="62">
        <v>10572</v>
      </c>
      <c r="E25" s="273" t="s">
        <v>302</v>
      </c>
      <c r="F25" s="62"/>
      <c r="G25" s="27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4"/>
      <c r="XFD25" s="4"/>
    </row>
    <row r="26" spans="1:16384" ht="15.75" x14ac:dyDescent="0.25">
      <c r="A26" s="230">
        <v>20</v>
      </c>
      <c r="B26" s="4"/>
      <c r="C26" s="274"/>
      <c r="D26" s="62">
        <v>-10572</v>
      </c>
      <c r="E26" s="275" t="s">
        <v>147</v>
      </c>
      <c r="F26" s="62"/>
      <c r="G26" s="27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  <c r="XEX26" s="4"/>
      <c r="XEY26" s="4"/>
      <c r="XEZ26" s="4"/>
      <c r="XFA26" s="4"/>
      <c r="XFB26" s="4"/>
      <c r="XFC26" s="4"/>
      <c r="XFD26" s="4"/>
    </row>
    <row r="27" spans="1:16384" ht="15.75" x14ac:dyDescent="0.25">
      <c r="A27" s="230">
        <v>21</v>
      </c>
      <c r="B27" s="4"/>
      <c r="C27" s="274"/>
      <c r="D27" s="62"/>
      <c r="E27" s="238"/>
      <c r="F27" s="62"/>
      <c r="G27" s="27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  <c r="XEX27" s="4"/>
      <c r="XEY27" s="4"/>
      <c r="XEZ27" s="4"/>
      <c r="XFA27" s="4"/>
      <c r="XFB27" s="4"/>
      <c r="XFC27" s="4"/>
      <c r="XFD27" s="4"/>
    </row>
    <row r="28" spans="1:16384" ht="15.75" x14ac:dyDescent="0.25">
      <c r="A28" s="230">
        <v>22</v>
      </c>
      <c r="B28" s="4"/>
      <c r="C28" s="276" t="s">
        <v>303</v>
      </c>
      <c r="D28" s="62"/>
      <c r="E28" s="238"/>
      <c r="F28" s="62"/>
      <c r="G28" s="27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  <c r="XEX28" s="4"/>
      <c r="XEY28" s="4"/>
      <c r="XEZ28" s="4"/>
      <c r="XFA28" s="4"/>
      <c r="XFB28" s="4"/>
      <c r="XFC28" s="4"/>
      <c r="XFD28" s="4"/>
    </row>
    <row r="29" spans="1:16384" ht="15.75" x14ac:dyDescent="0.25">
      <c r="A29" s="230">
        <v>23</v>
      </c>
      <c r="B29" s="4"/>
      <c r="C29" s="277" t="s">
        <v>304</v>
      </c>
      <c r="D29" s="62">
        <v>15298</v>
      </c>
      <c r="E29" s="273" t="s">
        <v>305</v>
      </c>
      <c r="F29" s="62"/>
      <c r="G29" s="27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ht="15.75" x14ac:dyDescent="0.25">
      <c r="A30" s="230">
        <v>24</v>
      </c>
      <c r="B30" s="4"/>
      <c r="C30" s="277" t="s">
        <v>306</v>
      </c>
      <c r="D30" s="62">
        <f>+'[1]Sch 25 Acreage'!L275-'[1]Sch 13 Worksheet Cal Adjs'!D29</f>
        <v>-830.46140262683366</v>
      </c>
      <c r="E30" s="273" t="s">
        <v>307</v>
      </c>
      <c r="F30" s="62"/>
      <c r="G30" s="27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Y30" s="4"/>
      <c r="XEZ30" s="4"/>
      <c r="XFA30" s="4"/>
      <c r="XFB30" s="4"/>
      <c r="XFC30" s="4"/>
      <c r="XFD30" s="4"/>
    </row>
    <row r="31" spans="1:16384" ht="15.75" x14ac:dyDescent="0.25">
      <c r="A31" s="230">
        <v>25</v>
      </c>
      <c r="B31" s="4"/>
      <c r="C31" s="278"/>
      <c r="D31" s="279">
        <f>+D30+D29</f>
        <v>14467.538597373166</v>
      </c>
      <c r="E31" s="280" t="s">
        <v>308</v>
      </c>
      <c r="F31" s="62"/>
      <c r="G31" s="27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pans="1:16384" ht="15.75" x14ac:dyDescent="0.25">
      <c r="A32" s="230">
        <v>26</v>
      </c>
      <c r="B32" s="4"/>
      <c r="C32" s="274"/>
      <c r="D32" s="62"/>
      <c r="E32" s="62"/>
      <c r="F32" s="62"/>
      <c r="G32" s="27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  <c r="XFD32" s="4"/>
    </row>
    <row r="33" spans="1:16" x14ac:dyDescent="0.25">
      <c r="A33" s="230">
        <v>27</v>
      </c>
      <c r="B33" s="232"/>
      <c r="C33" s="281" t="s">
        <v>309</v>
      </c>
      <c r="D33" s="265"/>
      <c r="E33" s="265"/>
      <c r="F33" s="265"/>
      <c r="G33" s="282"/>
      <c r="H33" s="265"/>
      <c r="I33" s="265"/>
      <c r="J33" s="238"/>
      <c r="K33" s="232"/>
      <c r="L33" s="232"/>
      <c r="M33" s="232"/>
      <c r="N33" s="232"/>
      <c r="O33" s="232"/>
      <c r="P33" s="232"/>
    </row>
    <row r="34" spans="1:16" ht="15.75" thickBot="1" x14ac:dyDescent="0.3">
      <c r="A34" s="230">
        <v>28</v>
      </c>
      <c r="B34" s="232"/>
      <c r="C34" s="283" t="s">
        <v>310</v>
      </c>
      <c r="D34" s="284"/>
      <c r="E34" s="285"/>
      <c r="F34" s="286"/>
      <c r="G34" s="287"/>
      <c r="H34" s="265"/>
      <c r="I34" s="265"/>
      <c r="J34" s="257"/>
      <c r="K34" s="232"/>
      <c r="L34" s="232"/>
      <c r="M34" s="232"/>
      <c r="N34" s="232"/>
      <c r="O34" s="232"/>
      <c r="P34" s="232"/>
    </row>
    <row r="35" spans="1:16" ht="15.75" thickBot="1" x14ac:dyDescent="0.3">
      <c r="A35" s="230">
        <v>29</v>
      </c>
      <c r="B35" s="232"/>
      <c r="C35" s="288"/>
      <c r="D35" s="238"/>
      <c r="E35" s="238"/>
      <c r="F35" s="238"/>
      <c r="G35" s="238"/>
      <c r="H35" s="289"/>
      <c r="I35" s="238"/>
      <c r="J35" s="232"/>
      <c r="K35" s="232"/>
      <c r="L35" s="232"/>
      <c r="M35" s="232"/>
      <c r="N35" s="232"/>
      <c r="O35" s="232"/>
      <c r="P35" s="232"/>
    </row>
    <row r="36" spans="1:16" x14ac:dyDescent="0.25">
      <c r="A36" s="230">
        <v>30</v>
      </c>
      <c r="B36" s="232"/>
      <c r="C36" s="234" t="s">
        <v>46</v>
      </c>
      <c r="D36" s="290"/>
      <c r="E36" s="291"/>
      <c r="F36" s="291"/>
      <c r="G36" s="291"/>
      <c r="H36" s="292"/>
      <c r="I36" s="293"/>
      <c r="J36" s="232"/>
      <c r="K36" s="232"/>
      <c r="L36" s="232"/>
      <c r="M36" s="232"/>
      <c r="N36" s="232"/>
      <c r="O36" s="232"/>
      <c r="P36" s="232"/>
    </row>
    <row r="37" spans="1:16" ht="15.75" x14ac:dyDescent="0.25">
      <c r="A37" s="230">
        <v>31</v>
      </c>
      <c r="B37" s="232"/>
      <c r="C37" s="272" t="s">
        <v>46</v>
      </c>
      <c r="D37" s="294">
        <v>983</v>
      </c>
      <c r="E37" s="238"/>
      <c r="F37" s="238"/>
      <c r="G37" s="238"/>
      <c r="H37" s="295"/>
      <c r="I37" s="238"/>
      <c r="J37" s="232"/>
      <c r="K37" s="232"/>
      <c r="L37" s="232"/>
      <c r="M37" s="232"/>
      <c r="N37" s="232"/>
      <c r="O37" s="232"/>
      <c r="P37" s="232"/>
    </row>
    <row r="38" spans="1:16" ht="15.75" x14ac:dyDescent="0.25">
      <c r="A38" s="230">
        <v>32</v>
      </c>
      <c r="B38" s="232"/>
      <c r="C38" s="272" t="s">
        <v>311</v>
      </c>
      <c r="D38" s="296">
        <v>-983</v>
      </c>
      <c r="E38" s="275" t="s">
        <v>312</v>
      </c>
      <c r="F38" s="238"/>
      <c r="G38" s="238"/>
      <c r="H38" s="295"/>
      <c r="I38" s="238"/>
      <c r="J38" s="232"/>
      <c r="K38" s="232"/>
      <c r="L38" s="232"/>
      <c r="M38" s="232"/>
      <c r="N38" s="232"/>
      <c r="O38" s="232"/>
      <c r="P38" s="232"/>
    </row>
    <row r="39" spans="1:16" x14ac:dyDescent="0.25">
      <c r="A39" s="230">
        <v>33</v>
      </c>
      <c r="B39" s="232"/>
      <c r="C39" s="297"/>
      <c r="D39" s="238"/>
      <c r="E39" s="238"/>
      <c r="F39" s="238"/>
      <c r="G39" s="238"/>
      <c r="H39" s="295"/>
      <c r="I39" s="238"/>
      <c r="J39" s="232"/>
      <c r="K39" s="232"/>
      <c r="L39" s="232"/>
      <c r="M39" s="232"/>
      <c r="N39" s="232"/>
      <c r="O39" s="232"/>
      <c r="P39" s="232"/>
    </row>
    <row r="40" spans="1:16" ht="15.75" thickBot="1" x14ac:dyDescent="0.3">
      <c r="A40" s="230">
        <v>34</v>
      </c>
      <c r="B40" s="232"/>
      <c r="C40" s="298" t="s">
        <v>313</v>
      </c>
      <c r="D40" s="299"/>
      <c r="E40" s="299"/>
      <c r="F40" s="299"/>
      <c r="G40" s="299"/>
      <c r="H40" s="300"/>
      <c r="I40" s="238"/>
      <c r="J40" s="232"/>
      <c r="K40" s="232"/>
      <c r="L40" s="232"/>
      <c r="M40" s="232"/>
      <c r="N40" s="232"/>
      <c r="O40" s="232"/>
      <c r="P40" s="232"/>
    </row>
    <row r="41" spans="1:16" ht="15.75" thickBot="1" x14ac:dyDescent="0.3">
      <c r="A41" s="230">
        <v>35</v>
      </c>
      <c r="B41" s="232"/>
      <c r="C41" s="288"/>
      <c r="D41" s="238"/>
      <c r="E41" s="238"/>
      <c r="F41" s="238"/>
      <c r="G41" s="238"/>
      <c r="H41" s="301"/>
      <c r="I41" s="238"/>
      <c r="J41" s="232"/>
      <c r="K41" s="232"/>
      <c r="L41" s="232"/>
      <c r="M41" s="232"/>
      <c r="N41" s="232"/>
      <c r="O41" s="232"/>
      <c r="P41" s="232"/>
    </row>
    <row r="42" spans="1:16" x14ac:dyDescent="0.25">
      <c r="A42" s="230">
        <v>36</v>
      </c>
      <c r="B42" s="232"/>
      <c r="C42" s="234" t="s">
        <v>314</v>
      </c>
      <c r="D42" s="302"/>
      <c r="E42" s="302"/>
      <c r="F42" s="302"/>
      <c r="G42" s="302"/>
      <c r="H42" s="303"/>
      <c r="I42" s="302"/>
      <c r="J42" s="304"/>
      <c r="K42" s="232"/>
      <c r="L42" s="232"/>
      <c r="M42" s="232"/>
      <c r="N42" s="232"/>
      <c r="O42" s="232"/>
      <c r="P42" s="232"/>
    </row>
    <row r="43" spans="1:16" x14ac:dyDescent="0.25">
      <c r="A43" s="230">
        <v>37</v>
      </c>
      <c r="B43" s="232"/>
      <c r="C43" s="297" t="s">
        <v>48</v>
      </c>
      <c r="D43" s="238">
        <v>8069</v>
      </c>
      <c r="E43" s="238"/>
      <c r="F43" s="238"/>
      <c r="G43" s="238"/>
      <c r="H43" s="301"/>
      <c r="I43" s="238"/>
      <c r="J43" s="305"/>
      <c r="K43" s="232"/>
      <c r="L43" s="232"/>
      <c r="M43" s="232"/>
      <c r="N43" s="232"/>
      <c r="O43" s="232"/>
      <c r="P43" s="232"/>
    </row>
    <row r="44" spans="1:16" x14ac:dyDescent="0.25">
      <c r="A44" s="230">
        <v>38</v>
      </c>
      <c r="B44" s="232"/>
      <c r="C44" s="297"/>
      <c r="D44" s="238"/>
      <c r="E44" s="238"/>
      <c r="F44" s="238"/>
      <c r="G44" s="238"/>
      <c r="H44" s="301"/>
      <c r="I44" s="238"/>
      <c r="J44" s="305"/>
      <c r="K44" s="232"/>
      <c r="L44" s="232"/>
      <c r="M44" s="232"/>
      <c r="N44" s="232"/>
      <c r="O44" s="232"/>
      <c r="P44" s="232"/>
    </row>
    <row r="45" spans="1:16" x14ac:dyDescent="0.25">
      <c r="A45" s="230">
        <v>39</v>
      </c>
      <c r="B45" s="232"/>
      <c r="C45" s="297" t="s">
        <v>315</v>
      </c>
      <c r="D45" s="238" t="s">
        <v>316</v>
      </c>
      <c r="E45" s="238" t="s">
        <v>317</v>
      </c>
      <c r="F45" s="238" t="s">
        <v>318</v>
      </c>
      <c r="G45" s="238" t="s">
        <v>283</v>
      </c>
      <c r="H45" s="301"/>
      <c r="I45" s="238"/>
      <c r="J45" s="305"/>
      <c r="K45" s="232"/>
      <c r="L45" s="232"/>
      <c r="M45" s="232"/>
      <c r="N45" s="232"/>
      <c r="O45" s="232"/>
      <c r="P45" s="232"/>
    </row>
    <row r="46" spans="1:16" x14ac:dyDescent="0.25">
      <c r="A46" s="230">
        <v>40</v>
      </c>
      <c r="B46" s="232"/>
      <c r="C46" s="297" t="s">
        <v>319</v>
      </c>
      <c r="D46" s="306">
        <v>39826</v>
      </c>
      <c r="E46" s="307">
        <v>6.5</v>
      </c>
      <c r="F46" s="307">
        <v>0</v>
      </c>
      <c r="G46" s="307">
        <v>6.5</v>
      </c>
      <c r="H46" s="301" t="s">
        <v>320</v>
      </c>
      <c r="I46" s="238"/>
      <c r="J46" s="305"/>
      <c r="K46" s="232"/>
      <c r="L46" s="232"/>
      <c r="M46" s="232"/>
      <c r="N46" s="232"/>
      <c r="O46" s="232"/>
      <c r="P46" s="232"/>
    </row>
    <row r="47" spans="1:16" x14ac:dyDescent="0.25">
      <c r="A47" s="230">
        <v>41</v>
      </c>
      <c r="B47" s="232"/>
      <c r="C47" s="297" t="s">
        <v>321</v>
      </c>
      <c r="D47" s="306">
        <v>39869</v>
      </c>
      <c r="E47" s="307">
        <v>93.09</v>
      </c>
      <c r="F47" s="307">
        <f>+E47/2</f>
        <v>46.545000000000002</v>
      </c>
      <c r="G47" s="307">
        <f>+E47/2</f>
        <v>46.545000000000002</v>
      </c>
      <c r="H47" s="301" t="s">
        <v>322</v>
      </c>
      <c r="I47" s="238"/>
      <c r="J47" s="305"/>
      <c r="K47" s="232"/>
      <c r="L47" s="232"/>
      <c r="M47" s="232"/>
      <c r="N47" s="232"/>
      <c r="O47" s="232"/>
      <c r="P47" s="232"/>
    </row>
    <row r="48" spans="1:16" x14ac:dyDescent="0.25">
      <c r="A48" s="230">
        <v>42</v>
      </c>
      <c r="B48" s="232"/>
      <c r="C48" s="308" t="s">
        <v>323</v>
      </c>
      <c r="D48" s="306">
        <v>39934</v>
      </c>
      <c r="E48" s="307">
        <v>16.23</v>
      </c>
      <c r="F48" s="307">
        <v>16.23</v>
      </c>
      <c r="G48" s="307"/>
      <c r="H48" s="301" t="s">
        <v>324</v>
      </c>
      <c r="I48" s="238"/>
      <c r="J48" s="305"/>
      <c r="K48" s="232"/>
      <c r="L48" s="232"/>
      <c r="M48" s="232"/>
      <c r="N48" s="232"/>
      <c r="O48" s="232"/>
      <c r="P48" s="232"/>
    </row>
    <row r="49" spans="1:44" x14ac:dyDescent="0.25">
      <c r="A49" s="230">
        <v>43</v>
      </c>
      <c r="B49" s="232"/>
      <c r="C49" s="297" t="s">
        <v>325</v>
      </c>
      <c r="D49" s="306">
        <v>39907</v>
      </c>
      <c r="E49" s="307">
        <v>42.3</v>
      </c>
      <c r="F49" s="307"/>
      <c r="G49" s="307">
        <v>42.3</v>
      </c>
      <c r="H49" s="301" t="s">
        <v>326</v>
      </c>
      <c r="I49" s="238"/>
      <c r="J49" s="305"/>
      <c r="K49" s="232"/>
      <c r="L49" s="232"/>
      <c r="M49" s="232"/>
      <c r="N49" s="232"/>
      <c r="O49" s="232"/>
      <c r="P49" s="232"/>
    </row>
    <row r="50" spans="1:44" x14ac:dyDescent="0.25">
      <c r="A50" s="230">
        <v>44</v>
      </c>
      <c r="B50" s="232"/>
      <c r="C50" s="297" t="s">
        <v>327</v>
      </c>
      <c r="D50" s="306">
        <v>39905</v>
      </c>
      <c r="E50" s="307">
        <v>145.33000000000001</v>
      </c>
      <c r="F50" s="307"/>
      <c r="G50" s="307">
        <v>145.33000000000001</v>
      </c>
      <c r="H50" s="301" t="s">
        <v>328</v>
      </c>
      <c r="I50" s="238"/>
      <c r="J50" s="305"/>
      <c r="K50" s="232"/>
      <c r="L50" s="232"/>
      <c r="M50" s="232"/>
      <c r="N50" s="232"/>
      <c r="O50" s="232"/>
      <c r="P50" s="232"/>
    </row>
    <row r="51" spans="1:44" x14ac:dyDescent="0.25">
      <c r="A51" s="230">
        <v>45</v>
      </c>
      <c r="B51" s="232"/>
      <c r="C51" s="297" t="s">
        <v>327</v>
      </c>
      <c r="D51" s="306">
        <v>39904</v>
      </c>
      <c r="E51" s="307">
        <v>96.72</v>
      </c>
      <c r="F51" s="307"/>
      <c r="G51" s="307">
        <v>96.72</v>
      </c>
      <c r="H51" s="301" t="s">
        <v>328</v>
      </c>
      <c r="I51" s="238"/>
      <c r="J51" s="305"/>
      <c r="K51" s="232"/>
      <c r="L51" s="232"/>
      <c r="M51" s="232"/>
      <c r="N51" s="232"/>
      <c r="O51" s="232"/>
      <c r="P51" s="232"/>
    </row>
    <row r="52" spans="1:44" x14ac:dyDescent="0.25">
      <c r="A52" s="230">
        <v>46</v>
      </c>
      <c r="B52" s="232"/>
      <c r="C52" s="297" t="s">
        <v>325</v>
      </c>
      <c r="D52" s="306">
        <v>40011</v>
      </c>
      <c r="E52" s="307">
        <v>51.43</v>
      </c>
      <c r="F52" s="307"/>
      <c r="G52" s="307">
        <v>51.43</v>
      </c>
      <c r="H52" s="301" t="s">
        <v>329</v>
      </c>
      <c r="I52" s="238"/>
      <c r="J52" s="305"/>
      <c r="K52" s="232"/>
      <c r="L52" s="232"/>
      <c r="M52" s="232"/>
      <c r="N52" s="232"/>
      <c r="O52" s="232"/>
      <c r="P52" s="232"/>
    </row>
    <row r="53" spans="1:44" x14ac:dyDescent="0.25">
      <c r="A53" s="230">
        <v>47</v>
      </c>
      <c r="B53" s="232"/>
      <c r="C53" s="297" t="s">
        <v>325</v>
      </c>
      <c r="D53" s="306">
        <v>40037</v>
      </c>
      <c r="E53" s="307">
        <v>22.24</v>
      </c>
      <c r="F53" s="307"/>
      <c r="G53" s="307">
        <v>22.24</v>
      </c>
      <c r="H53" s="301" t="s">
        <v>329</v>
      </c>
      <c r="I53" s="238"/>
      <c r="J53" s="305"/>
      <c r="K53" s="232"/>
      <c r="L53" s="232"/>
      <c r="M53" s="232"/>
      <c r="N53" s="232"/>
      <c r="O53" s="232"/>
      <c r="P53" s="232"/>
    </row>
    <row r="54" spans="1:44" x14ac:dyDescent="0.25">
      <c r="A54" s="230">
        <v>48</v>
      </c>
      <c r="B54" s="232"/>
      <c r="C54" s="297" t="s">
        <v>325</v>
      </c>
      <c r="D54" s="306">
        <v>40070</v>
      </c>
      <c r="E54" s="307">
        <v>9.74</v>
      </c>
      <c r="F54" s="307"/>
      <c r="G54" s="307">
        <v>9.74</v>
      </c>
      <c r="H54" s="301" t="s">
        <v>330</v>
      </c>
      <c r="I54" s="238"/>
      <c r="J54" s="305"/>
      <c r="K54" s="232"/>
      <c r="L54" s="232"/>
      <c r="M54" s="232"/>
      <c r="N54" s="232"/>
      <c r="O54" s="232"/>
      <c r="P54" s="232"/>
    </row>
    <row r="55" spans="1:44" x14ac:dyDescent="0.25">
      <c r="A55" s="230">
        <v>49</v>
      </c>
      <c r="B55" s="232"/>
      <c r="C55" s="297" t="s">
        <v>331</v>
      </c>
      <c r="D55" s="306">
        <v>40108</v>
      </c>
      <c r="E55" s="307">
        <v>32.47</v>
      </c>
      <c r="F55" s="307">
        <v>32.47</v>
      </c>
      <c r="G55" s="307"/>
      <c r="H55" s="301" t="s">
        <v>332</v>
      </c>
      <c r="I55" s="238"/>
      <c r="J55" s="305"/>
      <c r="K55" s="232"/>
      <c r="L55" s="232"/>
      <c r="M55" s="232"/>
      <c r="N55" s="232"/>
      <c r="O55" s="232"/>
      <c r="P55" s="232"/>
    </row>
    <row r="56" spans="1:44" x14ac:dyDescent="0.25">
      <c r="A56" s="230">
        <v>50</v>
      </c>
      <c r="B56" s="232"/>
      <c r="C56" s="297" t="s">
        <v>333</v>
      </c>
      <c r="D56" s="306">
        <v>39006</v>
      </c>
      <c r="E56" s="307">
        <v>16.13</v>
      </c>
      <c r="F56" s="307"/>
      <c r="G56" s="307">
        <v>16.13</v>
      </c>
      <c r="H56" s="301" t="s">
        <v>334</v>
      </c>
      <c r="I56" s="238"/>
      <c r="J56" s="305"/>
      <c r="K56" s="232"/>
      <c r="L56" s="232"/>
      <c r="M56" s="232"/>
      <c r="N56" s="232"/>
      <c r="O56" s="232"/>
      <c r="P56" s="232"/>
    </row>
    <row r="57" spans="1:44" x14ac:dyDescent="0.25">
      <c r="A57" s="230">
        <v>51</v>
      </c>
      <c r="B57" s="232"/>
      <c r="C57" s="297" t="s">
        <v>335</v>
      </c>
      <c r="D57" s="306">
        <v>40108</v>
      </c>
      <c r="E57" s="307">
        <v>166.61</v>
      </c>
      <c r="F57" s="307">
        <v>166.61</v>
      </c>
      <c r="G57" s="307"/>
      <c r="H57" s="301" t="s">
        <v>329</v>
      </c>
      <c r="I57" s="238"/>
      <c r="J57" s="305"/>
      <c r="K57" s="232"/>
      <c r="L57" s="232"/>
      <c r="M57" s="232"/>
      <c r="N57" s="232"/>
      <c r="O57" s="232"/>
      <c r="P57" s="232"/>
      <c r="AR57" s="233">
        <v>0</v>
      </c>
    </row>
    <row r="58" spans="1:44" x14ac:dyDescent="0.25">
      <c r="A58" s="230">
        <v>52</v>
      </c>
      <c r="B58" s="232"/>
      <c r="C58" s="297" t="s">
        <v>336</v>
      </c>
      <c r="D58" s="306">
        <v>40142</v>
      </c>
      <c r="E58" s="307">
        <v>33.53</v>
      </c>
      <c r="F58" s="307">
        <f>+E58/2</f>
        <v>16.765000000000001</v>
      </c>
      <c r="G58" s="307">
        <v>16.77</v>
      </c>
      <c r="H58" s="301" t="s">
        <v>337</v>
      </c>
      <c r="I58" s="238"/>
      <c r="J58" s="305"/>
      <c r="K58" s="232"/>
      <c r="L58" s="232"/>
      <c r="M58" s="232"/>
      <c r="N58" s="232"/>
      <c r="O58" s="232"/>
      <c r="P58" s="232"/>
    </row>
    <row r="59" spans="1:44" x14ac:dyDescent="0.25">
      <c r="A59" s="230">
        <v>53</v>
      </c>
      <c r="B59" s="232"/>
      <c r="C59" s="297" t="s">
        <v>321</v>
      </c>
      <c r="D59" s="306">
        <v>40148</v>
      </c>
      <c r="E59" s="307">
        <v>21.63</v>
      </c>
      <c r="F59" s="307"/>
      <c r="G59" s="307">
        <v>21.63</v>
      </c>
      <c r="H59" s="301" t="s">
        <v>338</v>
      </c>
      <c r="I59" s="238"/>
      <c r="J59" s="305"/>
      <c r="K59" s="232"/>
      <c r="L59" s="232"/>
      <c r="M59" s="232"/>
      <c r="N59" s="232"/>
      <c r="O59" s="232"/>
      <c r="P59" s="232"/>
    </row>
    <row r="60" spans="1:44" x14ac:dyDescent="0.25">
      <c r="A60" s="230">
        <v>54</v>
      </c>
      <c r="B60" s="232"/>
      <c r="C60" s="297" t="s">
        <v>339</v>
      </c>
      <c r="D60" s="306">
        <v>40148</v>
      </c>
      <c r="E60" s="307">
        <v>52.79</v>
      </c>
      <c r="F60" s="307">
        <f>+E60/2</f>
        <v>26.395</v>
      </c>
      <c r="G60" s="307">
        <v>26.39</v>
      </c>
      <c r="H60" s="301" t="s">
        <v>340</v>
      </c>
      <c r="I60" s="238"/>
      <c r="J60" s="305"/>
      <c r="K60" s="232"/>
      <c r="L60" s="232"/>
      <c r="M60" s="232"/>
      <c r="N60" s="232"/>
      <c r="O60" s="232"/>
      <c r="P60" s="232"/>
    </row>
    <row r="61" spans="1:44" x14ac:dyDescent="0.25">
      <c r="A61" s="230">
        <v>55</v>
      </c>
      <c r="B61" s="232"/>
      <c r="C61" s="297" t="s">
        <v>336</v>
      </c>
      <c r="D61" s="306">
        <v>40133</v>
      </c>
      <c r="E61" s="307">
        <v>38.97</v>
      </c>
      <c r="F61" s="307"/>
      <c r="G61" s="307">
        <v>38.97</v>
      </c>
      <c r="H61" s="301" t="s">
        <v>341</v>
      </c>
      <c r="I61" s="238"/>
      <c r="J61" s="305"/>
      <c r="K61" s="232"/>
      <c r="L61" s="232"/>
      <c r="M61" s="232"/>
      <c r="N61" s="232"/>
      <c r="O61" s="232"/>
      <c r="P61" s="232"/>
    </row>
    <row r="62" spans="1:44" x14ac:dyDescent="0.25">
      <c r="A62" s="230">
        <v>56</v>
      </c>
      <c r="B62" s="232"/>
      <c r="C62" s="308" t="s">
        <v>339</v>
      </c>
      <c r="D62" s="306">
        <v>40169</v>
      </c>
      <c r="E62" s="309">
        <v>54.58</v>
      </c>
      <c r="F62" s="309">
        <f>+E62/2</f>
        <v>27.29</v>
      </c>
      <c r="G62" s="309">
        <v>27.29</v>
      </c>
      <c r="H62" s="301" t="s">
        <v>342</v>
      </c>
      <c r="I62" s="238"/>
      <c r="J62" s="305"/>
      <c r="K62" s="232"/>
      <c r="L62" s="232"/>
      <c r="M62" s="232"/>
      <c r="N62" s="232"/>
      <c r="O62" s="232"/>
      <c r="P62" s="232"/>
    </row>
    <row r="63" spans="1:44" x14ac:dyDescent="0.25">
      <c r="A63" s="230">
        <v>57</v>
      </c>
      <c r="B63" s="232"/>
      <c r="C63" s="297"/>
      <c r="D63" s="306"/>
      <c r="E63" s="307">
        <f>SUM(E46:E62)</f>
        <v>900.29000000000008</v>
      </c>
      <c r="F63" s="307">
        <f>SUM(F46:F62)</f>
        <v>332.30500000000001</v>
      </c>
      <c r="G63" s="307">
        <f>SUM(G46:G62)</f>
        <v>567.9849999999999</v>
      </c>
      <c r="H63" s="301" t="s">
        <v>343</v>
      </c>
      <c r="I63" s="238"/>
      <c r="J63" s="305"/>
      <c r="K63" s="232"/>
      <c r="L63" s="232"/>
      <c r="M63" s="232"/>
      <c r="N63" s="232"/>
      <c r="O63" s="232"/>
      <c r="P63" s="232"/>
    </row>
    <row r="64" spans="1:44" x14ac:dyDescent="0.25">
      <c r="A64" s="230">
        <v>58</v>
      </c>
      <c r="B64" s="232"/>
      <c r="C64" s="308" t="s">
        <v>344</v>
      </c>
      <c r="D64" s="306"/>
      <c r="E64" s="307"/>
      <c r="F64" s="307"/>
      <c r="G64" s="307"/>
      <c r="H64" s="301"/>
      <c r="I64" s="238"/>
      <c r="J64" s="305"/>
      <c r="K64" s="232"/>
      <c r="L64" s="232"/>
      <c r="M64" s="232"/>
      <c r="N64" s="232"/>
      <c r="O64" s="232"/>
      <c r="P64" s="232"/>
    </row>
    <row r="65" spans="1:16" x14ac:dyDescent="0.25">
      <c r="A65" s="230">
        <v>59</v>
      </c>
      <c r="B65" s="232"/>
      <c r="C65" s="297"/>
      <c r="D65" s="306"/>
      <c r="E65" s="307"/>
      <c r="F65" s="307"/>
      <c r="G65" s="307"/>
      <c r="H65" s="301"/>
      <c r="I65" s="238"/>
      <c r="J65" s="305"/>
      <c r="K65" s="232"/>
      <c r="L65" s="232"/>
      <c r="M65" s="232"/>
      <c r="N65" s="232"/>
      <c r="O65" s="232"/>
      <c r="P65" s="232"/>
    </row>
    <row r="66" spans="1:16" x14ac:dyDescent="0.25">
      <c r="A66" s="230">
        <v>60</v>
      </c>
      <c r="B66" s="232"/>
      <c r="C66" s="297" t="s">
        <v>48</v>
      </c>
      <c r="D66" s="310"/>
      <c r="E66" s="310">
        <v>8069</v>
      </c>
      <c r="F66" s="307"/>
      <c r="G66" s="307"/>
      <c r="H66" s="301" t="s">
        <v>345</v>
      </c>
      <c r="I66" s="238"/>
      <c r="J66" s="305"/>
      <c r="K66" s="232"/>
      <c r="L66" s="232"/>
      <c r="M66" s="232"/>
      <c r="N66" s="232"/>
      <c r="O66" s="232"/>
      <c r="P66" s="232"/>
    </row>
    <row r="67" spans="1:16" x14ac:dyDescent="0.25">
      <c r="A67" s="230">
        <v>61</v>
      </c>
      <c r="B67" s="232"/>
      <c r="C67" s="297" t="s">
        <v>346</v>
      </c>
      <c r="D67" s="306"/>
      <c r="E67" s="311">
        <v>6318.93</v>
      </c>
      <c r="F67" s="307" t="s">
        <v>347</v>
      </c>
      <c r="G67" s="307"/>
      <c r="H67" s="312">
        <f>E69</f>
        <v>4729.3599999999997</v>
      </c>
      <c r="I67" s="238" t="s">
        <v>348</v>
      </c>
      <c r="J67" s="305"/>
      <c r="K67" s="232"/>
      <c r="L67" s="232"/>
      <c r="M67" s="232"/>
      <c r="N67" s="232"/>
      <c r="O67" s="232"/>
      <c r="P67" s="232"/>
    </row>
    <row r="68" spans="1:16" x14ac:dyDescent="0.25">
      <c r="A68" s="230">
        <v>62</v>
      </c>
      <c r="B68" s="232"/>
      <c r="C68" s="297" t="s">
        <v>349</v>
      </c>
      <c r="D68" s="306"/>
      <c r="E68" s="313">
        <v>1589.57</v>
      </c>
      <c r="F68" s="307" t="s">
        <v>350</v>
      </c>
      <c r="G68" s="307"/>
      <c r="H68" s="312">
        <f>+E68</f>
        <v>1589.57</v>
      </c>
      <c r="I68" s="238" t="s">
        <v>351</v>
      </c>
      <c r="J68" s="305"/>
      <c r="K68" s="232"/>
      <c r="L68" s="232"/>
      <c r="M68" s="232"/>
      <c r="N68" s="232"/>
      <c r="O68" s="232"/>
      <c r="P68" s="232"/>
    </row>
    <row r="69" spans="1:16" x14ac:dyDescent="0.25">
      <c r="A69" s="230">
        <v>63</v>
      </c>
      <c r="B69" s="232"/>
      <c r="C69" s="297" t="s">
        <v>352</v>
      </c>
      <c r="D69" s="306"/>
      <c r="E69" s="314">
        <v>4729.3599999999997</v>
      </c>
      <c r="F69" s="307" t="s">
        <v>353</v>
      </c>
      <c r="G69" s="307"/>
      <c r="H69" s="312">
        <f>+F63</f>
        <v>332.30500000000001</v>
      </c>
      <c r="I69" s="238" t="s">
        <v>354</v>
      </c>
      <c r="J69" s="305"/>
      <c r="K69" s="232"/>
      <c r="L69" s="232"/>
      <c r="M69" s="232"/>
      <c r="N69" s="232"/>
      <c r="O69" s="232"/>
      <c r="P69" s="232"/>
    </row>
    <row r="70" spans="1:16" x14ac:dyDescent="0.25">
      <c r="A70" s="230">
        <v>64</v>
      </c>
      <c r="B70" s="232"/>
      <c r="C70" s="278"/>
      <c r="D70" s="233"/>
      <c r="E70" s="315">
        <f>+E69+E68</f>
        <v>6318.9299999999994</v>
      </c>
      <c r="F70" s="233"/>
      <c r="G70" s="233"/>
      <c r="H70" s="316">
        <f>+E73/2</f>
        <v>424.88999999999982</v>
      </c>
      <c r="I70" s="288" t="s">
        <v>355</v>
      </c>
      <c r="J70" s="305"/>
      <c r="K70" s="232"/>
      <c r="L70" s="232"/>
      <c r="M70" s="232"/>
      <c r="N70" s="232"/>
      <c r="O70" s="232"/>
      <c r="P70" s="232"/>
    </row>
    <row r="71" spans="1:16" x14ac:dyDescent="0.25">
      <c r="A71" s="230">
        <v>65</v>
      </c>
      <c r="B71" s="232"/>
      <c r="C71" s="278" t="s">
        <v>356</v>
      </c>
      <c r="D71" s="233"/>
      <c r="E71" s="317">
        <f>+E66-E67</f>
        <v>1750.0699999999997</v>
      </c>
      <c r="F71" s="233"/>
      <c r="G71" s="233"/>
      <c r="H71" s="318">
        <f>SUM(H67:H70)</f>
        <v>7076.1249999999991</v>
      </c>
      <c r="I71" s="233" t="s">
        <v>357</v>
      </c>
      <c r="J71" s="305"/>
      <c r="K71" s="232"/>
      <c r="L71" s="232"/>
      <c r="M71" s="232"/>
      <c r="N71" s="232"/>
      <c r="O71" s="232"/>
      <c r="P71" s="232"/>
    </row>
    <row r="72" spans="1:16" x14ac:dyDescent="0.25">
      <c r="A72" s="230">
        <v>66</v>
      </c>
      <c r="B72" s="232"/>
      <c r="C72" s="278" t="s">
        <v>358</v>
      </c>
      <c r="D72" s="306"/>
      <c r="E72" s="310">
        <f>-E63</f>
        <v>-900.29000000000008</v>
      </c>
      <c r="F72" s="307"/>
      <c r="G72" s="307"/>
      <c r="H72" s="301"/>
      <c r="I72" s="238"/>
      <c r="J72" s="305"/>
      <c r="K72" s="232"/>
      <c r="L72" s="232"/>
      <c r="M72" s="232"/>
      <c r="N72" s="232"/>
      <c r="O72" s="232"/>
      <c r="P72" s="232"/>
    </row>
    <row r="73" spans="1:16" x14ac:dyDescent="0.25">
      <c r="A73" s="230">
        <v>67</v>
      </c>
      <c r="B73" s="232"/>
      <c r="C73" s="297" t="s">
        <v>359</v>
      </c>
      <c r="D73" s="306"/>
      <c r="E73" s="310">
        <f>SUM(E71:E72)</f>
        <v>849.77999999999963</v>
      </c>
      <c r="F73" s="319" t="s">
        <v>360</v>
      </c>
      <c r="G73" s="233"/>
      <c r="H73" s="301"/>
      <c r="I73" s="238"/>
      <c r="J73" s="305"/>
      <c r="K73" s="232"/>
      <c r="L73" s="232"/>
      <c r="M73" s="232"/>
      <c r="N73" s="232"/>
      <c r="O73" s="232"/>
      <c r="P73" s="232"/>
    </row>
    <row r="74" spans="1:16" x14ac:dyDescent="0.25">
      <c r="A74" s="230">
        <v>68</v>
      </c>
      <c r="B74" s="232"/>
      <c r="C74" s="297"/>
      <c r="D74" s="306"/>
      <c r="E74" s="307"/>
      <c r="F74" s="288" t="s">
        <v>361</v>
      </c>
      <c r="G74" s="310">
        <v>8069</v>
      </c>
      <c r="H74" s="301"/>
      <c r="I74" s="238"/>
      <c r="J74" s="305"/>
      <c r="K74" s="232"/>
      <c r="L74" s="232"/>
      <c r="M74" s="232"/>
      <c r="N74" s="232"/>
      <c r="O74" s="232"/>
      <c r="P74" s="232"/>
    </row>
    <row r="75" spans="1:16" x14ac:dyDescent="0.25">
      <c r="A75" s="230">
        <v>69</v>
      </c>
      <c r="B75" s="232"/>
      <c r="C75" s="297"/>
      <c r="D75" s="306"/>
      <c r="E75" s="307"/>
      <c r="F75" s="307" t="s">
        <v>362</v>
      </c>
      <c r="G75" s="310">
        <f>+G63</f>
        <v>567.9849999999999</v>
      </c>
      <c r="H75" s="301"/>
      <c r="I75" s="238"/>
      <c r="J75" s="305"/>
      <c r="K75" s="232"/>
      <c r="L75" s="232"/>
      <c r="M75" s="232"/>
      <c r="N75" s="232"/>
      <c r="O75" s="232"/>
      <c r="P75" s="232"/>
    </row>
    <row r="76" spans="1:16" x14ac:dyDescent="0.25">
      <c r="A76" s="230">
        <v>70</v>
      </c>
      <c r="B76" s="232"/>
      <c r="C76" s="297"/>
      <c r="D76" s="306"/>
      <c r="E76" s="307"/>
      <c r="F76" s="307" t="s">
        <v>363</v>
      </c>
      <c r="G76" s="310">
        <f>+E73/2</f>
        <v>424.88999999999982</v>
      </c>
      <c r="H76" s="301"/>
      <c r="I76" s="238"/>
      <c r="J76" s="305"/>
      <c r="K76" s="232"/>
      <c r="L76" s="232"/>
      <c r="M76" s="232"/>
      <c r="N76" s="232"/>
      <c r="O76" s="232"/>
      <c r="P76" s="232"/>
    </row>
    <row r="77" spans="1:16" ht="15.75" x14ac:dyDescent="0.25">
      <c r="A77" s="230">
        <v>71</v>
      </c>
      <c r="B77" s="232"/>
      <c r="C77" s="297"/>
      <c r="D77" s="306"/>
      <c r="E77" s="307"/>
      <c r="F77" s="307" t="s">
        <v>364</v>
      </c>
      <c r="G77" s="320">
        <f>+(G74-G75-G76)*-1</f>
        <v>-7076.1250000000009</v>
      </c>
      <c r="H77" s="321" t="s">
        <v>149</v>
      </c>
      <c r="I77" s="238"/>
      <c r="J77" s="305"/>
      <c r="K77" s="232"/>
      <c r="L77" s="232"/>
      <c r="M77" s="232"/>
      <c r="N77" s="232"/>
      <c r="O77" s="232"/>
      <c r="P77" s="232"/>
    </row>
    <row r="78" spans="1:16" x14ac:dyDescent="0.25">
      <c r="A78" s="230">
        <v>72</v>
      </c>
      <c r="B78" s="232"/>
      <c r="C78" s="322"/>
      <c r="D78" s="238"/>
      <c r="E78" s="323"/>
      <c r="F78" s="233" t="s">
        <v>365</v>
      </c>
      <c r="G78" s="317">
        <f>+G76+G75</f>
        <v>992.87499999999977</v>
      </c>
      <c r="I78" s="238"/>
      <c r="J78" s="305"/>
      <c r="K78" s="232"/>
      <c r="L78" s="232"/>
      <c r="M78" s="232"/>
      <c r="N78" s="232"/>
      <c r="O78" s="232"/>
      <c r="P78" s="232"/>
    </row>
    <row r="79" spans="1:16" ht="15.75" thickBot="1" x14ac:dyDescent="0.3">
      <c r="A79" s="230">
        <v>73</v>
      </c>
      <c r="B79" s="232"/>
      <c r="C79" s="324"/>
      <c r="D79" s="285"/>
      <c r="E79" s="285"/>
      <c r="F79" s="285"/>
      <c r="G79" s="285"/>
      <c r="H79" s="285"/>
      <c r="I79" s="299"/>
      <c r="J79" s="325"/>
      <c r="K79" s="232"/>
      <c r="L79" s="232"/>
      <c r="M79" s="232"/>
      <c r="N79" s="232"/>
      <c r="O79" s="232"/>
      <c r="P79" s="232"/>
    </row>
    <row r="80" spans="1:16" x14ac:dyDescent="0.25">
      <c r="A80" s="230">
        <v>74</v>
      </c>
      <c r="B80" s="232"/>
      <c r="C80" s="187"/>
      <c r="D80" s="187"/>
      <c r="E80" s="187"/>
      <c r="F80" s="187"/>
      <c r="G80" s="187"/>
      <c r="H80" s="187"/>
      <c r="I80" s="187"/>
      <c r="J80" s="232"/>
      <c r="K80" s="232"/>
      <c r="L80" s="232"/>
      <c r="M80" s="232"/>
      <c r="N80" s="232"/>
      <c r="O80" s="232"/>
      <c r="P80" s="232"/>
    </row>
    <row r="81" spans="1:16" ht="15.75" thickBot="1" x14ac:dyDescent="0.3">
      <c r="A81" s="230">
        <v>75</v>
      </c>
      <c r="B81" s="232"/>
      <c r="C81" s="326"/>
      <c r="D81" s="238"/>
      <c r="E81" s="307"/>
      <c r="F81" s="307"/>
      <c r="G81" s="307"/>
      <c r="H81" s="238"/>
      <c r="I81" s="238"/>
      <c r="J81" s="257"/>
      <c r="K81" s="232"/>
      <c r="L81" s="232"/>
      <c r="M81" s="232"/>
      <c r="N81" s="232"/>
      <c r="O81" s="232"/>
      <c r="P81" s="232"/>
    </row>
    <row r="82" spans="1:16" x14ac:dyDescent="0.25">
      <c r="A82" s="230">
        <v>76</v>
      </c>
      <c r="B82" s="232"/>
      <c r="C82" s="327" t="s">
        <v>366</v>
      </c>
      <c r="D82" s="302"/>
      <c r="E82" s="302"/>
      <c r="F82" s="302"/>
      <c r="G82" s="302"/>
      <c r="H82" s="302"/>
      <c r="I82" s="302"/>
      <c r="J82" s="328"/>
      <c r="K82" s="232"/>
      <c r="L82" s="232"/>
      <c r="M82" s="232"/>
      <c r="N82" s="232"/>
      <c r="O82" s="232"/>
      <c r="P82" s="232"/>
    </row>
    <row r="83" spans="1:16" ht="15.75" x14ac:dyDescent="0.25">
      <c r="A83" s="230">
        <v>77</v>
      </c>
      <c r="B83" s="232"/>
      <c r="C83" s="297" t="s">
        <v>50</v>
      </c>
      <c r="D83" s="329">
        <v>3329</v>
      </c>
      <c r="E83" s="238" t="s">
        <v>367</v>
      </c>
      <c r="F83" s="238" t="s">
        <v>368</v>
      </c>
      <c r="G83" s="238"/>
      <c r="H83" s="238"/>
      <c r="I83" s="238"/>
      <c r="J83" s="330"/>
      <c r="K83" s="232"/>
      <c r="L83" s="232"/>
      <c r="M83" s="232"/>
      <c r="N83" s="232"/>
      <c r="O83" s="232"/>
      <c r="P83" s="232"/>
    </row>
    <row r="84" spans="1:16" ht="15.75" x14ac:dyDescent="0.25">
      <c r="A84" s="230">
        <v>78</v>
      </c>
      <c r="B84" s="232"/>
      <c r="C84" s="297"/>
      <c r="D84" s="329"/>
      <c r="E84" s="238"/>
      <c r="F84" s="238"/>
      <c r="G84" s="331"/>
      <c r="H84" s="238"/>
      <c r="I84" s="238"/>
      <c r="J84" s="330"/>
      <c r="K84" s="232"/>
      <c r="L84" s="232"/>
      <c r="M84" s="232"/>
      <c r="N84" s="232"/>
      <c r="O84" s="232"/>
      <c r="P84" s="232"/>
    </row>
    <row r="85" spans="1:16" x14ac:dyDescent="0.25">
      <c r="A85" s="230">
        <v>79</v>
      </c>
      <c r="B85" s="232"/>
      <c r="C85" s="332" t="s">
        <v>369</v>
      </c>
      <c r="D85" s="238"/>
      <c r="E85" s="238" t="s">
        <v>370</v>
      </c>
      <c r="F85" s="326" t="s">
        <v>371</v>
      </c>
      <c r="G85" s="238"/>
      <c r="H85" s="238"/>
      <c r="I85" s="238"/>
      <c r="J85" s="330"/>
      <c r="K85" s="232"/>
      <c r="L85" s="232"/>
      <c r="M85" s="232"/>
      <c r="N85" s="232"/>
      <c r="O85" s="232"/>
      <c r="P85" s="232"/>
    </row>
    <row r="86" spans="1:16" x14ac:dyDescent="0.25">
      <c r="A86" s="230">
        <v>80</v>
      </c>
      <c r="B86" s="232"/>
      <c r="C86" s="333" t="s">
        <v>372</v>
      </c>
      <c r="D86" s="334" t="s">
        <v>373</v>
      </c>
      <c r="E86" s="335">
        <f>+D86*-G99</f>
        <v>-1977.4238161571857</v>
      </c>
      <c r="F86" s="336">
        <f>+E86+D86</f>
        <v>582.82618384281432</v>
      </c>
      <c r="G86" s="337" t="s">
        <v>374</v>
      </c>
      <c r="H86" s="238"/>
      <c r="I86" s="238"/>
      <c r="J86" s="330"/>
      <c r="K86" s="232"/>
      <c r="L86" s="232"/>
      <c r="M86" s="232"/>
      <c r="N86" s="232"/>
      <c r="O86" s="232"/>
      <c r="P86" s="232"/>
    </row>
    <row r="87" spans="1:16" x14ac:dyDescent="0.25">
      <c r="A87" s="230">
        <v>81</v>
      </c>
      <c r="B87" s="232"/>
      <c r="C87" s="333" t="s">
        <v>375</v>
      </c>
      <c r="D87" s="334"/>
      <c r="E87" s="335">
        <v>21</v>
      </c>
      <c r="G87" s="337"/>
      <c r="H87" s="238"/>
      <c r="I87" s="238"/>
      <c r="J87" s="330"/>
      <c r="K87" s="232"/>
      <c r="L87" s="232"/>
      <c r="M87" s="232"/>
      <c r="N87" s="232"/>
      <c r="O87" s="232"/>
      <c r="P87" s="232"/>
    </row>
    <row r="88" spans="1:16" x14ac:dyDescent="0.25">
      <c r="A88" s="230">
        <v>82</v>
      </c>
      <c r="B88" s="232"/>
      <c r="C88" s="333"/>
      <c r="D88" s="334"/>
      <c r="E88" s="335"/>
      <c r="G88" s="337"/>
      <c r="H88" s="238"/>
      <c r="I88" s="238"/>
      <c r="J88" s="330"/>
      <c r="K88" s="232"/>
      <c r="L88" s="232"/>
      <c r="M88" s="232"/>
      <c r="N88" s="232"/>
      <c r="O88" s="232"/>
      <c r="P88" s="232"/>
    </row>
    <row r="89" spans="1:16" ht="16.5" x14ac:dyDescent="0.35">
      <c r="A89" s="230">
        <v>83</v>
      </c>
      <c r="B89" s="232"/>
      <c r="C89" s="333" t="s">
        <v>376</v>
      </c>
      <c r="D89" s="338" t="s">
        <v>377</v>
      </c>
      <c r="E89" s="339">
        <v>-789.62</v>
      </c>
      <c r="F89" s="336">
        <v>0</v>
      </c>
      <c r="G89" s="337" t="s">
        <v>378</v>
      </c>
      <c r="H89" s="238"/>
      <c r="I89" s="238"/>
      <c r="J89" s="330"/>
      <c r="K89" s="232"/>
      <c r="L89" s="232"/>
      <c r="M89" s="232"/>
      <c r="N89" s="232"/>
      <c r="O89" s="232"/>
      <c r="P89" s="232"/>
    </row>
    <row r="90" spans="1:16" x14ac:dyDescent="0.25">
      <c r="A90" s="230">
        <v>84</v>
      </c>
      <c r="B90" s="232"/>
      <c r="C90" s="278"/>
      <c r="D90" s="340">
        <f>+D89+D86</f>
        <v>3349.87</v>
      </c>
      <c r="E90" s="341">
        <f>SUM(E86:E89)</f>
        <v>-2746.0438161571856</v>
      </c>
      <c r="F90" s="238"/>
      <c r="G90" s="238" t="s">
        <v>379</v>
      </c>
      <c r="H90" s="238"/>
      <c r="I90" s="238"/>
      <c r="J90" s="330"/>
      <c r="K90" s="232"/>
      <c r="L90" s="232"/>
      <c r="M90" s="232"/>
      <c r="N90" s="232"/>
      <c r="O90" s="232"/>
      <c r="P90" s="232"/>
    </row>
    <row r="91" spans="1:16" ht="17.25" x14ac:dyDescent="0.4">
      <c r="A91" s="230">
        <v>85</v>
      </c>
      <c r="B91" s="232"/>
      <c r="C91" s="342" t="s">
        <v>380</v>
      </c>
      <c r="D91" s="343">
        <f>+D90-D83</f>
        <v>20.869999999999891</v>
      </c>
      <c r="E91" s="344"/>
      <c r="F91" s="345">
        <v>21</v>
      </c>
      <c r="G91" s="238" t="s">
        <v>381</v>
      </c>
      <c r="H91" s="238"/>
      <c r="I91" s="238"/>
      <c r="J91" s="330"/>
      <c r="K91" s="232"/>
      <c r="L91" s="232"/>
      <c r="M91" s="232"/>
      <c r="N91" s="232"/>
      <c r="O91" s="232"/>
      <c r="P91" s="232"/>
    </row>
    <row r="92" spans="1:16" x14ac:dyDescent="0.25">
      <c r="A92" s="230">
        <v>86</v>
      </c>
      <c r="B92" s="232"/>
      <c r="C92" s="346"/>
      <c r="D92" s="233"/>
      <c r="E92" s="233"/>
      <c r="F92" s="336">
        <f>SUM(F86:F91)</f>
        <v>603.82618384281432</v>
      </c>
      <c r="G92" s="347">
        <f>+E90-F92</f>
        <v>-3349.87</v>
      </c>
      <c r="J92" s="348"/>
      <c r="K92" s="232"/>
      <c r="L92" s="232"/>
      <c r="M92" s="232"/>
      <c r="N92" s="232"/>
      <c r="O92" s="232"/>
      <c r="P92" s="232"/>
    </row>
    <row r="93" spans="1:16" x14ac:dyDescent="0.25">
      <c r="A93" s="230">
        <v>87</v>
      </c>
      <c r="B93" s="232"/>
      <c r="C93" s="349" t="s">
        <v>280</v>
      </c>
      <c r="D93" s="350" t="s">
        <v>281</v>
      </c>
      <c r="E93" s="350" t="s">
        <v>282</v>
      </c>
      <c r="F93" s="350" t="s">
        <v>283</v>
      </c>
      <c r="G93" s="350" t="s">
        <v>284</v>
      </c>
      <c r="H93" s="351"/>
      <c r="I93" s="351" t="s">
        <v>285</v>
      </c>
      <c r="J93" s="348"/>
      <c r="K93" s="232"/>
      <c r="L93" s="232"/>
      <c r="M93" s="232"/>
      <c r="N93" s="232"/>
      <c r="O93" s="232"/>
      <c r="P93" s="232"/>
    </row>
    <row r="94" spans="1:16" x14ac:dyDescent="0.25">
      <c r="A94" s="230">
        <v>88</v>
      </c>
      <c r="B94" s="232"/>
      <c r="C94" s="352" t="s">
        <v>286</v>
      </c>
      <c r="D94" s="353">
        <v>29.37</v>
      </c>
      <c r="E94" s="354" t="s">
        <v>287</v>
      </c>
      <c r="F94" s="336">
        <v>29.37</v>
      </c>
      <c r="I94" s="355">
        <v>29.37</v>
      </c>
      <c r="J94" s="348"/>
      <c r="K94" s="232"/>
      <c r="L94" s="232"/>
      <c r="M94" s="232"/>
      <c r="N94" s="232"/>
      <c r="O94" s="232"/>
      <c r="P94" s="232"/>
    </row>
    <row r="95" spans="1:16" ht="75" x14ac:dyDescent="0.25">
      <c r="A95" s="230">
        <v>89</v>
      </c>
      <c r="B95" s="232"/>
      <c r="C95" s="352" t="s">
        <v>288</v>
      </c>
      <c r="D95" s="353">
        <v>15000</v>
      </c>
      <c r="E95" s="354" t="s">
        <v>382</v>
      </c>
      <c r="F95" s="356">
        <v>2185.4304635761587</v>
      </c>
      <c r="G95" s="356">
        <v>12814.569536423842</v>
      </c>
      <c r="H95" s="356"/>
      <c r="I95" s="356">
        <v>15000</v>
      </c>
      <c r="J95" s="348"/>
      <c r="K95" s="232"/>
      <c r="L95" s="232"/>
      <c r="M95" s="232"/>
      <c r="N95" s="232"/>
      <c r="O95" s="232"/>
      <c r="P95" s="232"/>
    </row>
    <row r="96" spans="1:16" x14ac:dyDescent="0.25">
      <c r="A96" s="230">
        <v>90</v>
      </c>
      <c r="B96" s="232"/>
      <c r="C96" s="352" t="s">
        <v>383</v>
      </c>
      <c r="D96" s="353">
        <v>3830.03</v>
      </c>
      <c r="E96" s="354" t="s">
        <v>384</v>
      </c>
      <c r="F96" s="356">
        <v>1915.02</v>
      </c>
      <c r="G96" s="356">
        <v>1915.01</v>
      </c>
      <c r="H96" s="356"/>
      <c r="I96" s="356">
        <v>3830.0299999999997</v>
      </c>
      <c r="J96" s="348"/>
      <c r="K96" s="232"/>
      <c r="L96" s="232"/>
      <c r="M96" s="232"/>
      <c r="N96" s="232"/>
      <c r="O96" s="232"/>
      <c r="P96" s="232"/>
    </row>
    <row r="97" spans="1:16" x14ac:dyDescent="0.25">
      <c r="A97" s="230">
        <v>91</v>
      </c>
      <c r="B97" s="232"/>
      <c r="C97" s="352" t="s">
        <v>385</v>
      </c>
      <c r="D97" s="353">
        <v>600</v>
      </c>
      <c r="E97" s="354" t="s">
        <v>384</v>
      </c>
      <c r="F97" s="356">
        <v>300</v>
      </c>
      <c r="G97" s="356">
        <v>300</v>
      </c>
      <c r="H97" s="356"/>
      <c r="I97" s="356">
        <v>600</v>
      </c>
      <c r="J97" s="348"/>
      <c r="K97" s="232"/>
      <c r="L97" s="232"/>
      <c r="M97" s="232"/>
      <c r="N97" s="232"/>
      <c r="O97" s="232"/>
      <c r="P97" s="232"/>
    </row>
    <row r="98" spans="1:16" x14ac:dyDescent="0.25">
      <c r="A98" s="230">
        <v>92</v>
      </c>
      <c r="B98" s="232"/>
      <c r="C98" s="278"/>
      <c r="D98" s="355">
        <f>SUM(D94:D97)</f>
        <v>19459.400000000001</v>
      </c>
      <c r="F98" s="356">
        <v>4429.8204635761585</v>
      </c>
      <c r="G98" s="356">
        <v>15029.579536423842</v>
      </c>
      <c r="H98" s="356"/>
      <c r="I98" s="356">
        <v>19459.400000000001</v>
      </c>
      <c r="J98" s="348"/>
      <c r="K98" s="232"/>
      <c r="L98" s="232"/>
      <c r="M98" s="232"/>
      <c r="N98" s="232"/>
      <c r="O98" s="232"/>
      <c r="P98" s="232"/>
    </row>
    <row r="99" spans="1:16" x14ac:dyDescent="0.25">
      <c r="A99" s="230">
        <v>93</v>
      </c>
      <c r="B99" s="232"/>
      <c r="C99" s="278"/>
      <c r="D99" s="355"/>
      <c r="F99" s="357">
        <f>+F98/D98</f>
        <v>0.22764424718008563</v>
      </c>
      <c r="G99" s="357">
        <f>+G98/D98</f>
        <v>0.77235575281991431</v>
      </c>
      <c r="H99" s="356"/>
      <c r="I99" s="356"/>
      <c r="J99" s="348"/>
      <c r="K99" s="232"/>
      <c r="L99" s="232"/>
      <c r="M99" s="232"/>
      <c r="N99" s="232"/>
      <c r="O99" s="232"/>
      <c r="P99" s="232"/>
    </row>
    <row r="100" spans="1:16" x14ac:dyDescent="0.25">
      <c r="A100" s="230">
        <v>94</v>
      </c>
      <c r="B100" s="232"/>
      <c r="C100" s="278" t="s">
        <v>386</v>
      </c>
      <c r="D100" s="358">
        <f>+E86</f>
        <v>-1977.4238161571857</v>
      </c>
      <c r="E100" s="359" t="s">
        <v>151</v>
      </c>
      <c r="F100" s="233"/>
      <c r="G100" s="233"/>
      <c r="H100" s="356"/>
      <c r="I100" s="356"/>
      <c r="J100" s="348"/>
      <c r="K100" s="232"/>
      <c r="L100" s="232"/>
      <c r="M100" s="232"/>
      <c r="N100" s="232"/>
      <c r="O100" s="232"/>
      <c r="P100" s="232"/>
    </row>
    <row r="101" spans="1:16" x14ac:dyDescent="0.25">
      <c r="A101" s="230">
        <v>95</v>
      </c>
      <c r="B101" s="232"/>
      <c r="C101" s="278" t="s">
        <v>386</v>
      </c>
      <c r="D101" s="358">
        <f>-1*D89</f>
        <v>-789.62</v>
      </c>
      <c r="E101" s="359" t="s">
        <v>151</v>
      </c>
      <c r="F101" s="233" t="s">
        <v>387</v>
      </c>
      <c r="G101" s="233"/>
      <c r="H101" s="317">
        <f>+D101+D100</f>
        <v>-2767.0438161571856</v>
      </c>
      <c r="J101" s="360"/>
      <c r="K101" s="232"/>
      <c r="L101" s="232"/>
      <c r="M101" s="232"/>
      <c r="N101" s="232"/>
      <c r="O101" s="232"/>
      <c r="P101" s="232"/>
    </row>
    <row r="102" spans="1:16" x14ac:dyDescent="0.25">
      <c r="A102" s="230">
        <v>96</v>
      </c>
      <c r="B102" s="232"/>
      <c r="C102" s="361" t="s">
        <v>388</v>
      </c>
      <c r="D102" s="358">
        <f>+E87</f>
        <v>21</v>
      </c>
      <c r="E102" s="362" t="s">
        <v>151</v>
      </c>
      <c r="F102" s="232" t="s">
        <v>389</v>
      </c>
      <c r="G102" s="363"/>
      <c r="H102" s="364">
        <f>+H101+D102</f>
        <v>-2746.0438161571856</v>
      </c>
      <c r="I102" s="363"/>
      <c r="J102" s="365"/>
      <c r="K102" s="232"/>
      <c r="L102" s="232"/>
      <c r="M102" s="232"/>
      <c r="N102" s="232"/>
      <c r="O102" s="232"/>
      <c r="P102" s="232"/>
    </row>
    <row r="103" spans="1:16" ht="15.75" x14ac:dyDescent="0.25">
      <c r="A103" s="230">
        <v>97</v>
      </c>
      <c r="B103" s="232"/>
      <c r="C103" s="297" t="s">
        <v>280</v>
      </c>
      <c r="D103" s="366">
        <f>+D89/2</f>
        <v>394.81</v>
      </c>
      <c r="E103" s="275" t="s">
        <v>151</v>
      </c>
      <c r="F103" s="238" t="s">
        <v>390</v>
      </c>
      <c r="G103" s="232"/>
      <c r="H103" s="232"/>
      <c r="I103" s="232"/>
      <c r="J103" s="305"/>
      <c r="K103" s="232"/>
      <c r="L103" s="232"/>
      <c r="M103" s="232"/>
      <c r="N103" s="232"/>
      <c r="O103" s="232"/>
      <c r="P103" s="232"/>
    </row>
    <row r="104" spans="1:16" ht="15.75" thickBot="1" x14ac:dyDescent="0.3">
      <c r="A104" s="230">
        <v>98</v>
      </c>
      <c r="B104" s="232"/>
      <c r="C104" s="324"/>
      <c r="D104" s="285"/>
      <c r="E104" s="285"/>
      <c r="F104" s="285"/>
      <c r="G104" s="367"/>
      <c r="H104" s="367"/>
      <c r="I104" s="367"/>
      <c r="J104" s="325"/>
      <c r="K104" s="232"/>
      <c r="L104" s="232"/>
      <c r="M104" s="232"/>
      <c r="N104" s="232"/>
      <c r="O104" s="232"/>
      <c r="P104" s="232"/>
    </row>
    <row r="105" spans="1:16" ht="15.75" thickBot="1" x14ac:dyDescent="0.3">
      <c r="A105" s="230">
        <v>99</v>
      </c>
      <c r="B105" s="232"/>
      <c r="C105" s="368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</row>
    <row r="106" spans="1:16" x14ac:dyDescent="0.25">
      <c r="A106" s="230">
        <v>100</v>
      </c>
      <c r="B106" s="232"/>
      <c r="C106" s="369" t="s">
        <v>51</v>
      </c>
      <c r="D106" s="370">
        <v>13760</v>
      </c>
      <c r="E106" s="302" t="s">
        <v>285</v>
      </c>
      <c r="F106" s="302"/>
      <c r="G106" s="302"/>
      <c r="H106" s="371"/>
      <c r="I106" s="302"/>
      <c r="J106" s="304"/>
      <c r="K106" s="232"/>
      <c r="L106" s="232"/>
      <c r="M106" s="232"/>
      <c r="N106" s="232"/>
      <c r="O106" s="232"/>
      <c r="P106" s="232"/>
    </row>
    <row r="107" spans="1:16" x14ac:dyDescent="0.25">
      <c r="A107" s="230">
        <v>101</v>
      </c>
      <c r="B107" s="232"/>
      <c r="C107" s="297"/>
      <c r="D107" s="310"/>
      <c r="E107" s="238"/>
      <c r="F107" s="238"/>
      <c r="G107" s="238"/>
      <c r="H107" s="301"/>
      <c r="I107" s="238"/>
      <c r="J107" s="305"/>
      <c r="K107" s="232"/>
      <c r="L107" s="232"/>
      <c r="M107" s="232"/>
      <c r="N107" s="232"/>
      <c r="O107" s="232"/>
      <c r="P107" s="232"/>
    </row>
    <row r="108" spans="1:16" x14ac:dyDescent="0.25">
      <c r="A108" s="230">
        <v>102</v>
      </c>
      <c r="B108" s="232"/>
      <c r="C108" s="297" t="s">
        <v>391</v>
      </c>
      <c r="D108" s="372">
        <f>+D106-D107</f>
        <v>13760</v>
      </c>
      <c r="E108" s="238"/>
      <c r="F108" s="238"/>
      <c r="G108" s="238"/>
      <c r="H108" s="301"/>
      <c r="I108" s="238"/>
      <c r="J108" s="373"/>
      <c r="L108" s="232"/>
      <c r="M108" s="232"/>
      <c r="N108" s="232"/>
      <c r="O108" s="232"/>
      <c r="P108" s="232"/>
    </row>
    <row r="109" spans="1:16" x14ac:dyDescent="0.25">
      <c r="A109" s="230">
        <v>103</v>
      </c>
      <c r="B109" s="232"/>
      <c r="C109" s="297"/>
      <c r="D109" s="372"/>
      <c r="E109" s="238"/>
      <c r="F109" s="238"/>
      <c r="G109" s="238"/>
      <c r="H109" s="301"/>
      <c r="I109" s="238"/>
      <c r="J109" s="374" t="s">
        <v>392</v>
      </c>
      <c r="K109" s="232"/>
      <c r="M109" s="232"/>
      <c r="N109" s="232"/>
      <c r="O109" s="232"/>
      <c r="P109" s="232"/>
    </row>
    <row r="110" spans="1:16" x14ac:dyDescent="0.25">
      <c r="A110" s="230">
        <v>104</v>
      </c>
      <c r="B110" s="232"/>
      <c r="C110" s="375" t="s">
        <v>393</v>
      </c>
      <c r="D110" s="238" t="s">
        <v>394</v>
      </c>
      <c r="E110" s="238"/>
      <c r="F110" s="376"/>
      <c r="G110" s="238" t="s">
        <v>395</v>
      </c>
      <c r="H110" s="301" t="s">
        <v>396</v>
      </c>
      <c r="I110" s="238" t="s">
        <v>397</v>
      </c>
      <c r="J110" s="305" t="s">
        <v>398</v>
      </c>
      <c r="K110" s="232"/>
      <c r="M110" s="232"/>
      <c r="N110" s="232"/>
      <c r="O110" s="232"/>
      <c r="P110" s="232"/>
    </row>
    <row r="111" spans="1:16" ht="24.75" x14ac:dyDescent="0.25">
      <c r="A111" s="230">
        <v>105</v>
      </c>
      <c r="B111" s="232"/>
      <c r="C111" s="377" t="s">
        <v>399</v>
      </c>
      <c r="D111" s="378">
        <v>39836</v>
      </c>
      <c r="E111" s="379">
        <v>81.25</v>
      </c>
      <c r="F111" s="380" t="s">
        <v>400</v>
      </c>
      <c r="G111" s="381">
        <v>81.25</v>
      </c>
      <c r="H111" s="382"/>
      <c r="I111" s="307"/>
      <c r="J111" s="383">
        <f>+E111</f>
        <v>81.25</v>
      </c>
      <c r="K111" s="232"/>
      <c r="M111" s="232"/>
      <c r="N111" s="232"/>
      <c r="O111" s="232"/>
      <c r="P111" s="232"/>
    </row>
    <row r="112" spans="1:16" x14ac:dyDescent="0.25">
      <c r="A112" s="230">
        <v>106</v>
      </c>
      <c r="B112" s="232"/>
      <c r="C112" s="377" t="s">
        <v>399</v>
      </c>
      <c r="D112" s="378">
        <v>39959</v>
      </c>
      <c r="E112" s="379">
        <v>81.25</v>
      </c>
      <c r="F112" s="384" t="s">
        <v>401</v>
      </c>
      <c r="G112" s="381">
        <v>81.25</v>
      </c>
      <c r="H112" s="340"/>
      <c r="I112" s="307"/>
      <c r="J112" s="383">
        <f>+E112</f>
        <v>81.25</v>
      </c>
      <c r="K112" s="232"/>
      <c r="M112" s="232"/>
      <c r="N112" s="232"/>
      <c r="O112" s="232"/>
      <c r="P112" s="232"/>
    </row>
    <row r="113" spans="1:16" x14ac:dyDescent="0.25">
      <c r="A113" s="230">
        <v>107</v>
      </c>
      <c r="B113" s="232"/>
      <c r="C113" s="377" t="s">
        <v>402</v>
      </c>
      <c r="D113" s="378">
        <v>39975</v>
      </c>
      <c r="E113" s="379">
        <v>50</v>
      </c>
      <c r="F113" s="385" t="s">
        <v>403</v>
      </c>
      <c r="G113" s="381">
        <v>50</v>
      </c>
      <c r="H113" s="340"/>
      <c r="I113" s="307"/>
      <c r="J113" s="383">
        <f>+E113</f>
        <v>50</v>
      </c>
      <c r="K113" s="232"/>
      <c r="M113" s="232"/>
      <c r="N113" s="232"/>
      <c r="O113" s="232"/>
      <c r="P113" s="232"/>
    </row>
    <row r="114" spans="1:16" x14ac:dyDescent="0.25">
      <c r="A114" s="230">
        <v>108</v>
      </c>
      <c r="B114" s="232"/>
      <c r="C114" s="377" t="s">
        <v>399</v>
      </c>
      <c r="D114" s="378">
        <v>40019</v>
      </c>
      <c r="E114" s="379">
        <v>435</v>
      </c>
      <c r="F114" s="385" t="s">
        <v>404</v>
      </c>
      <c r="G114" s="381"/>
      <c r="H114" s="340">
        <v>435</v>
      </c>
      <c r="I114" s="307"/>
      <c r="J114" s="305"/>
      <c r="K114" s="232"/>
      <c r="M114" s="232"/>
      <c r="N114" s="232"/>
      <c r="O114" s="232"/>
      <c r="P114" s="232"/>
    </row>
    <row r="115" spans="1:16" x14ac:dyDescent="0.25">
      <c r="A115" s="230">
        <v>109</v>
      </c>
      <c r="B115" s="232"/>
      <c r="C115" s="377" t="s">
        <v>399</v>
      </c>
      <c r="D115" s="378">
        <v>40019</v>
      </c>
      <c r="E115" s="379">
        <v>290</v>
      </c>
      <c r="F115" s="385" t="s">
        <v>405</v>
      </c>
      <c r="G115" s="381"/>
      <c r="H115" s="340">
        <v>290</v>
      </c>
      <c r="I115" s="307"/>
      <c r="J115" s="305"/>
      <c r="K115" s="232"/>
      <c r="M115" s="232"/>
      <c r="N115" s="232"/>
      <c r="O115" s="232"/>
      <c r="P115" s="232"/>
    </row>
    <row r="116" spans="1:16" x14ac:dyDescent="0.25">
      <c r="A116" s="230">
        <v>110</v>
      </c>
      <c r="B116" s="232"/>
      <c r="C116" s="377" t="s">
        <v>399</v>
      </c>
      <c r="D116" s="378">
        <v>40019</v>
      </c>
      <c r="E116" s="379">
        <v>506.25</v>
      </c>
      <c r="F116" s="385" t="s">
        <v>405</v>
      </c>
      <c r="G116" s="381"/>
      <c r="H116" s="340">
        <v>506.25</v>
      </c>
      <c r="I116" s="307"/>
      <c r="J116" s="305"/>
      <c r="K116" s="232"/>
      <c r="M116" s="232"/>
      <c r="N116" s="232"/>
      <c r="O116" s="232"/>
      <c r="P116" s="232"/>
    </row>
    <row r="117" spans="1:16" x14ac:dyDescent="0.25">
      <c r="A117" s="230">
        <v>111</v>
      </c>
      <c r="B117" s="232"/>
      <c r="C117" s="377" t="s">
        <v>399</v>
      </c>
      <c r="D117" s="378">
        <v>40019</v>
      </c>
      <c r="E117" s="379">
        <v>562.5</v>
      </c>
      <c r="F117" s="385" t="s">
        <v>406</v>
      </c>
      <c r="G117" s="381"/>
      <c r="H117" s="340">
        <v>562.5</v>
      </c>
      <c r="I117" s="307"/>
      <c r="J117" s="305"/>
      <c r="K117" s="232"/>
      <c r="M117" s="232"/>
      <c r="N117" s="232"/>
      <c r="O117" s="232"/>
      <c r="P117" s="232"/>
    </row>
    <row r="118" spans="1:16" x14ac:dyDescent="0.25">
      <c r="A118" s="230">
        <v>112</v>
      </c>
      <c r="B118" s="232"/>
      <c r="C118" s="377" t="s">
        <v>399</v>
      </c>
      <c r="D118" s="378">
        <v>40019</v>
      </c>
      <c r="E118" s="379">
        <v>956.25</v>
      </c>
      <c r="F118" s="385" t="s">
        <v>407</v>
      </c>
      <c r="G118" s="381"/>
      <c r="H118" s="340">
        <v>956.25</v>
      </c>
      <c r="I118" s="386"/>
      <c r="J118" s="305"/>
      <c r="K118" s="232"/>
      <c r="M118" s="232"/>
      <c r="N118" s="232"/>
      <c r="O118" s="232"/>
      <c r="P118" s="232"/>
    </row>
    <row r="119" spans="1:16" x14ac:dyDescent="0.25">
      <c r="A119" s="230">
        <v>113</v>
      </c>
      <c r="B119" s="232"/>
      <c r="C119" s="377" t="s">
        <v>399</v>
      </c>
      <c r="D119" s="387">
        <v>40019</v>
      </c>
      <c r="E119" s="388">
        <v>225</v>
      </c>
      <c r="F119" s="389" t="s">
        <v>408</v>
      </c>
      <c r="G119" s="390"/>
      <c r="H119" s="391">
        <v>225</v>
      </c>
      <c r="I119" s="356"/>
      <c r="J119" s="305"/>
      <c r="K119" s="232"/>
      <c r="M119" s="232"/>
      <c r="N119" s="232"/>
      <c r="O119" s="232"/>
      <c r="P119" s="232"/>
    </row>
    <row r="120" spans="1:16" x14ac:dyDescent="0.25">
      <c r="A120" s="230">
        <v>114</v>
      </c>
      <c r="B120" s="232"/>
      <c r="C120" s="377" t="s">
        <v>399</v>
      </c>
      <c r="D120" s="387">
        <v>40019</v>
      </c>
      <c r="E120" s="388">
        <v>145</v>
      </c>
      <c r="F120" s="389" t="s">
        <v>409</v>
      </c>
      <c r="G120" s="390"/>
      <c r="H120" s="391">
        <v>145</v>
      </c>
      <c r="I120" s="356"/>
      <c r="J120" s="305"/>
      <c r="K120" s="232"/>
      <c r="M120" s="232"/>
      <c r="N120" s="232"/>
      <c r="O120" s="232"/>
      <c r="P120" s="232"/>
    </row>
    <row r="121" spans="1:16" x14ac:dyDescent="0.25">
      <c r="A121" s="230">
        <v>115</v>
      </c>
      <c r="B121" s="232"/>
      <c r="C121" s="377" t="s">
        <v>399</v>
      </c>
      <c r="D121" s="378">
        <v>40019</v>
      </c>
      <c r="E121" s="379">
        <v>1015</v>
      </c>
      <c r="F121" s="385" t="s">
        <v>410</v>
      </c>
      <c r="G121" s="381"/>
      <c r="H121" s="391">
        <v>1015</v>
      </c>
      <c r="I121" s="356"/>
      <c r="J121" s="305"/>
      <c r="K121" s="232"/>
      <c r="M121" s="232"/>
      <c r="N121" s="232"/>
      <c r="O121" s="232"/>
      <c r="P121" s="232"/>
    </row>
    <row r="122" spans="1:16" x14ac:dyDescent="0.25">
      <c r="A122" s="230">
        <v>116</v>
      </c>
      <c r="B122" s="232"/>
      <c r="C122" s="377" t="s">
        <v>399</v>
      </c>
      <c r="D122" s="378">
        <v>40019</v>
      </c>
      <c r="E122" s="379">
        <v>1181.25</v>
      </c>
      <c r="F122" s="385" t="s">
        <v>411</v>
      </c>
      <c r="G122" s="381"/>
      <c r="H122" s="391">
        <v>1181.25</v>
      </c>
      <c r="I122" s="356"/>
      <c r="J122" s="305"/>
      <c r="K122" s="232"/>
      <c r="M122" s="232"/>
      <c r="N122" s="232"/>
      <c r="O122" s="232"/>
      <c r="P122" s="232"/>
    </row>
    <row r="123" spans="1:16" x14ac:dyDescent="0.25">
      <c r="A123" s="230">
        <v>117</v>
      </c>
      <c r="B123" s="232"/>
      <c r="C123" s="377" t="s">
        <v>399</v>
      </c>
      <c r="D123" s="378">
        <v>40019</v>
      </c>
      <c r="E123" s="379">
        <v>145</v>
      </c>
      <c r="F123" s="385" t="s">
        <v>412</v>
      </c>
      <c r="G123" s="381"/>
      <c r="H123" s="391">
        <v>145</v>
      </c>
      <c r="I123" s="356"/>
      <c r="J123" s="305"/>
      <c r="K123" s="232"/>
      <c r="M123" s="232"/>
      <c r="N123" s="232"/>
      <c r="O123" s="232"/>
      <c r="P123" s="232"/>
    </row>
    <row r="124" spans="1:16" x14ac:dyDescent="0.25">
      <c r="A124" s="230">
        <v>118</v>
      </c>
      <c r="B124" s="232"/>
      <c r="C124" s="377" t="s">
        <v>399</v>
      </c>
      <c r="D124" s="378">
        <v>40019</v>
      </c>
      <c r="E124" s="379">
        <v>281.25</v>
      </c>
      <c r="F124" s="385" t="s">
        <v>413</v>
      </c>
      <c r="G124" s="233"/>
      <c r="H124" s="381">
        <v>281.25</v>
      </c>
      <c r="I124" s="356"/>
      <c r="J124" s="305"/>
      <c r="K124" s="232"/>
      <c r="M124" s="232"/>
      <c r="N124" s="232"/>
      <c r="O124" s="232"/>
      <c r="P124" s="232"/>
    </row>
    <row r="125" spans="1:16" x14ac:dyDescent="0.25">
      <c r="A125" s="230">
        <v>119</v>
      </c>
      <c r="B125" s="232"/>
      <c r="C125" s="377" t="s">
        <v>399</v>
      </c>
      <c r="D125" s="378">
        <v>40019</v>
      </c>
      <c r="E125" s="379">
        <v>435</v>
      </c>
      <c r="F125" s="385" t="s">
        <v>414</v>
      </c>
      <c r="G125" s="233"/>
      <c r="H125" s="381">
        <v>435</v>
      </c>
      <c r="I125" s="356"/>
      <c r="J125" s="305"/>
      <c r="K125" s="232"/>
      <c r="M125" s="232"/>
      <c r="N125" s="232"/>
      <c r="O125" s="232"/>
      <c r="P125" s="232"/>
    </row>
    <row r="126" spans="1:16" x14ac:dyDescent="0.25">
      <c r="A126" s="230">
        <v>120</v>
      </c>
      <c r="B126" s="232"/>
      <c r="C126" s="377" t="s">
        <v>399</v>
      </c>
      <c r="D126" s="378">
        <v>40019</v>
      </c>
      <c r="E126" s="379">
        <v>506.25</v>
      </c>
      <c r="F126" s="385" t="s">
        <v>415</v>
      </c>
      <c r="G126" s="381"/>
      <c r="H126" s="391">
        <v>506.25</v>
      </c>
      <c r="I126" s="356"/>
      <c r="J126" s="305"/>
      <c r="K126" s="232"/>
      <c r="M126" s="232"/>
      <c r="N126" s="232"/>
      <c r="O126" s="232"/>
      <c r="P126" s="232"/>
    </row>
    <row r="127" spans="1:16" x14ac:dyDescent="0.25">
      <c r="A127" s="230">
        <v>121</v>
      </c>
      <c r="B127" s="232"/>
      <c r="C127" s="377" t="s">
        <v>399</v>
      </c>
      <c r="D127" s="378">
        <v>40019</v>
      </c>
      <c r="E127" s="379">
        <v>56.25</v>
      </c>
      <c r="F127" s="385" t="s">
        <v>416</v>
      </c>
      <c r="G127" s="381"/>
      <c r="H127" s="391">
        <v>56.25</v>
      </c>
      <c r="I127" s="356"/>
      <c r="J127" s="305"/>
      <c r="K127" s="232"/>
      <c r="M127" s="232"/>
      <c r="N127" s="232"/>
      <c r="O127" s="232"/>
      <c r="P127" s="232"/>
    </row>
    <row r="128" spans="1:16" x14ac:dyDescent="0.25">
      <c r="A128" s="230">
        <v>122</v>
      </c>
      <c r="B128" s="232"/>
      <c r="C128" s="377" t="s">
        <v>399</v>
      </c>
      <c r="D128" s="378">
        <v>40019</v>
      </c>
      <c r="E128" s="379">
        <v>112.5</v>
      </c>
      <c r="F128" s="385" t="s">
        <v>417</v>
      </c>
      <c r="G128" s="381">
        <v>112.5</v>
      </c>
      <c r="H128" s="391"/>
      <c r="I128" s="356"/>
      <c r="J128" s="305"/>
      <c r="K128" s="232"/>
      <c r="M128" s="232"/>
      <c r="N128" s="232"/>
      <c r="O128" s="232"/>
      <c r="P128" s="232"/>
    </row>
    <row r="129" spans="1:16" x14ac:dyDescent="0.25">
      <c r="A129" s="230">
        <v>123</v>
      </c>
      <c r="B129" s="232"/>
      <c r="C129" s="377" t="s">
        <v>399</v>
      </c>
      <c r="D129" s="378">
        <v>40019</v>
      </c>
      <c r="E129" s="379">
        <v>956.25</v>
      </c>
      <c r="F129" s="385" t="s">
        <v>408</v>
      </c>
      <c r="G129" s="381"/>
      <c r="H129" s="391">
        <v>956.25</v>
      </c>
      <c r="I129" s="356"/>
      <c r="J129" s="305"/>
      <c r="K129" s="232"/>
      <c r="M129" s="232"/>
      <c r="N129" s="232"/>
      <c r="O129" s="232"/>
      <c r="P129" s="232"/>
    </row>
    <row r="130" spans="1:16" x14ac:dyDescent="0.25">
      <c r="A130" s="230">
        <v>124</v>
      </c>
      <c r="B130" s="232"/>
      <c r="C130" s="377" t="s">
        <v>399</v>
      </c>
      <c r="D130" s="378">
        <v>40019</v>
      </c>
      <c r="E130" s="379">
        <v>168.75</v>
      </c>
      <c r="F130" s="392" t="s">
        <v>408</v>
      </c>
      <c r="G130" s="381"/>
      <c r="H130" s="391">
        <v>168.75</v>
      </c>
      <c r="I130" s="356"/>
      <c r="J130" s="305"/>
      <c r="K130" s="232"/>
      <c r="M130" s="232"/>
      <c r="N130" s="232"/>
      <c r="O130" s="232"/>
      <c r="P130" s="232"/>
    </row>
    <row r="131" spans="1:16" ht="15.75" x14ac:dyDescent="0.25">
      <c r="A131" s="230">
        <v>125</v>
      </c>
      <c r="B131" s="232"/>
      <c r="C131" s="377" t="s">
        <v>399</v>
      </c>
      <c r="D131" s="378">
        <v>40019</v>
      </c>
      <c r="E131" s="379">
        <v>56.25</v>
      </c>
      <c r="F131" s="392" t="s">
        <v>408</v>
      </c>
      <c r="G131" s="381"/>
      <c r="H131" s="391">
        <v>56.25</v>
      </c>
      <c r="I131" s="356"/>
      <c r="J131" s="393"/>
      <c r="K131" s="394"/>
      <c r="M131" s="394"/>
      <c r="N131" s="394"/>
      <c r="O131" s="394"/>
      <c r="P131" s="232"/>
    </row>
    <row r="132" spans="1:16" ht="15.75" x14ac:dyDescent="0.25">
      <c r="A132" s="230">
        <v>126</v>
      </c>
      <c r="B132" s="232"/>
      <c r="C132" s="377" t="s">
        <v>399</v>
      </c>
      <c r="D132" s="378">
        <v>40019</v>
      </c>
      <c r="E132" s="379">
        <v>56.25</v>
      </c>
      <c r="F132" s="392" t="s">
        <v>418</v>
      </c>
      <c r="G132" s="381"/>
      <c r="H132" s="391">
        <v>56.25</v>
      </c>
      <c r="I132" s="356"/>
      <c r="J132" s="393"/>
      <c r="K132" s="394"/>
      <c r="M132" s="394"/>
      <c r="N132" s="394"/>
      <c r="O132" s="394"/>
      <c r="P132" s="232"/>
    </row>
    <row r="133" spans="1:16" ht="15.75" x14ac:dyDescent="0.25">
      <c r="A133" s="230">
        <v>127</v>
      </c>
      <c r="B133" s="232"/>
      <c r="C133" s="377" t="s">
        <v>399</v>
      </c>
      <c r="D133" s="378">
        <v>40019</v>
      </c>
      <c r="E133" s="379">
        <v>281.25</v>
      </c>
      <c r="F133" s="392" t="s">
        <v>419</v>
      </c>
      <c r="G133" s="381"/>
      <c r="H133" s="391">
        <v>281.25</v>
      </c>
      <c r="I133" s="356"/>
      <c r="J133" s="393"/>
      <c r="K133" s="394"/>
      <c r="M133" s="394"/>
      <c r="N133" s="394"/>
      <c r="O133" s="394"/>
      <c r="P133" s="232"/>
    </row>
    <row r="134" spans="1:16" ht="15.75" x14ac:dyDescent="0.25">
      <c r="A134" s="230">
        <v>128</v>
      </c>
      <c r="B134" s="232"/>
      <c r="C134" s="377" t="s">
        <v>399</v>
      </c>
      <c r="D134" s="378">
        <v>40019</v>
      </c>
      <c r="E134" s="379">
        <v>56.5</v>
      </c>
      <c r="F134" s="392" t="s">
        <v>418</v>
      </c>
      <c r="G134" s="381"/>
      <c r="H134" s="391">
        <v>56.5</v>
      </c>
      <c r="I134" s="356"/>
      <c r="J134" s="393"/>
      <c r="K134" s="394"/>
      <c r="M134" s="394"/>
      <c r="N134" s="394"/>
      <c r="O134" s="394"/>
      <c r="P134" s="232"/>
    </row>
    <row r="135" spans="1:16" ht="15.75" x14ac:dyDescent="0.25">
      <c r="A135" s="230">
        <v>129</v>
      </c>
      <c r="B135" s="232"/>
      <c r="C135" s="377" t="s">
        <v>399</v>
      </c>
      <c r="D135" s="378">
        <v>40019</v>
      </c>
      <c r="E135" s="379">
        <v>450</v>
      </c>
      <c r="F135" s="392" t="s">
        <v>420</v>
      </c>
      <c r="G135" s="381"/>
      <c r="H135" s="391">
        <v>450</v>
      </c>
      <c r="I135" s="356"/>
      <c r="J135" s="395">
        <f>SUM(E114:E135)</f>
        <v>8877.75</v>
      </c>
      <c r="K135" s="396"/>
      <c r="M135" s="394"/>
      <c r="N135" s="394"/>
      <c r="O135" s="394"/>
      <c r="P135" s="232"/>
    </row>
    <row r="136" spans="1:16" ht="15.75" x14ac:dyDescent="0.25">
      <c r="A136" s="230">
        <v>130</v>
      </c>
      <c r="B136" s="232"/>
      <c r="C136" s="377" t="s">
        <v>399</v>
      </c>
      <c r="D136" s="378">
        <v>40051</v>
      </c>
      <c r="E136" s="379">
        <v>562.5</v>
      </c>
      <c r="F136" s="392" t="s">
        <v>421</v>
      </c>
      <c r="G136" s="381"/>
      <c r="H136" s="391">
        <v>562.5</v>
      </c>
      <c r="I136" s="356"/>
      <c r="J136" s="393"/>
      <c r="K136" s="397"/>
      <c r="M136" s="394"/>
      <c r="N136" s="394"/>
      <c r="O136" s="398"/>
      <c r="P136" s="232"/>
    </row>
    <row r="137" spans="1:16" ht="15.75" x14ac:dyDescent="0.25">
      <c r="A137" s="230">
        <v>131</v>
      </c>
      <c r="B137" s="232"/>
      <c r="C137" s="377" t="s">
        <v>399</v>
      </c>
      <c r="D137" s="378">
        <v>40051</v>
      </c>
      <c r="E137" s="379">
        <v>225</v>
      </c>
      <c r="F137" s="392" t="s">
        <v>422</v>
      </c>
      <c r="G137" s="381"/>
      <c r="H137" s="391">
        <v>225</v>
      </c>
      <c r="I137" s="356"/>
      <c r="J137" s="393"/>
      <c r="K137" s="397"/>
      <c r="M137" s="394"/>
      <c r="N137" s="394"/>
      <c r="O137" s="398"/>
      <c r="P137" s="232"/>
    </row>
    <row r="138" spans="1:16" ht="15.75" x14ac:dyDescent="0.25">
      <c r="A138" s="230">
        <v>132</v>
      </c>
      <c r="B138" s="232"/>
      <c r="C138" s="377" t="s">
        <v>399</v>
      </c>
      <c r="D138" s="378">
        <v>40051</v>
      </c>
      <c r="E138" s="379">
        <v>56.25</v>
      </c>
      <c r="F138" s="392" t="s">
        <v>422</v>
      </c>
      <c r="G138" s="381"/>
      <c r="H138" s="391">
        <v>56.25</v>
      </c>
      <c r="I138" s="232"/>
      <c r="J138" s="393"/>
      <c r="K138" s="397"/>
      <c r="M138" s="394"/>
      <c r="N138" s="394"/>
      <c r="O138" s="398"/>
      <c r="P138" s="232"/>
    </row>
    <row r="139" spans="1:16" ht="15.75" x14ac:dyDescent="0.25">
      <c r="A139" s="230">
        <v>133</v>
      </c>
      <c r="B139" s="232"/>
      <c r="C139" s="377" t="s">
        <v>399</v>
      </c>
      <c r="D139" s="378">
        <v>40051</v>
      </c>
      <c r="E139" s="379">
        <v>112.5</v>
      </c>
      <c r="F139" s="392" t="s">
        <v>422</v>
      </c>
      <c r="G139" s="381"/>
      <c r="H139" s="391">
        <v>112.5</v>
      </c>
      <c r="I139" s="232"/>
      <c r="J139" s="399">
        <f>SUM(E136:E139)</f>
        <v>956.25</v>
      </c>
      <c r="K139" s="400"/>
      <c r="M139" s="394"/>
      <c r="N139" s="394"/>
      <c r="O139" s="394"/>
      <c r="P139" s="232"/>
    </row>
    <row r="140" spans="1:16" ht="15.75" x14ac:dyDescent="0.25">
      <c r="A140" s="230">
        <v>134</v>
      </c>
      <c r="C140" s="377" t="s">
        <v>399</v>
      </c>
      <c r="D140" s="378">
        <v>40109</v>
      </c>
      <c r="E140" s="379">
        <v>281.25</v>
      </c>
      <c r="F140" s="402" t="s">
        <v>423</v>
      </c>
      <c r="G140" s="381"/>
      <c r="H140" s="391">
        <v>281.25</v>
      </c>
      <c r="J140" s="393"/>
      <c r="K140" s="397"/>
      <c r="M140" s="394"/>
      <c r="N140" s="394"/>
      <c r="O140" s="398"/>
    </row>
    <row r="141" spans="1:16" ht="15.75" x14ac:dyDescent="0.25">
      <c r="A141" s="230">
        <v>135</v>
      </c>
      <c r="C141" s="377" t="s">
        <v>399</v>
      </c>
      <c r="D141" s="378">
        <v>40109</v>
      </c>
      <c r="E141" s="379">
        <v>112.5</v>
      </c>
      <c r="F141" s="402" t="s">
        <v>423</v>
      </c>
      <c r="G141" s="381"/>
      <c r="H141" s="391">
        <v>112.5</v>
      </c>
      <c r="J141" s="393"/>
      <c r="K141" s="397"/>
      <c r="M141" s="394"/>
      <c r="N141" s="394"/>
      <c r="O141" s="398"/>
    </row>
    <row r="142" spans="1:16" ht="15.75" x14ac:dyDescent="0.25">
      <c r="A142" s="230">
        <v>136</v>
      </c>
      <c r="C142" s="377" t="s">
        <v>399</v>
      </c>
      <c r="D142" s="378">
        <v>40109</v>
      </c>
      <c r="E142" s="379">
        <v>393.75</v>
      </c>
      <c r="F142" s="402" t="s">
        <v>423</v>
      </c>
      <c r="G142" s="381"/>
      <c r="H142" s="391">
        <v>393.75</v>
      </c>
      <c r="J142" s="393"/>
      <c r="K142" s="397"/>
      <c r="M142" s="394"/>
      <c r="N142" s="394"/>
      <c r="O142" s="394"/>
    </row>
    <row r="143" spans="1:16" ht="15.75" x14ac:dyDescent="0.25">
      <c r="A143" s="230">
        <v>137</v>
      </c>
      <c r="C143" s="377" t="s">
        <v>399</v>
      </c>
      <c r="D143" s="378">
        <v>40109</v>
      </c>
      <c r="E143" s="379">
        <v>337.5</v>
      </c>
      <c r="F143" s="402" t="s">
        <v>424</v>
      </c>
      <c r="G143" s="381"/>
      <c r="H143" s="391">
        <v>337.5</v>
      </c>
      <c r="I143" s="356"/>
      <c r="J143" s="399">
        <f>SUM(E140:E143)</f>
        <v>1125</v>
      </c>
      <c r="K143" s="400"/>
      <c r="M143" s="394"/>
      <c r="N143" s="394"/>
      <c r="O143" s="394"/>
    </row>
    <row r="144" spans="1:16" ht="15.75" x14ac:dyDescent="0.25">
      <c r="A144" s="230">
        <v>138</v>
      </c>
      <c r="C144" s="377" t="s">
        <v>399</v>
      </c>
      <c r="D144" s="378">
        <v>40141</v>
      </c>
      <c r="E144" s="379">
        <v>225</v>
      </c>
      <c r="F144" s="392" t="s">
        <v>425</v>
      </c>
      <c r="G144" s="381"/>
      <c r="H144" s="391">
        <v>225</v>
      </c>
      <c r="I144" s="356"/>
      <c r="J144" s="403"/>
      <c r="K144" s="404"/>
      <c r="M144" s="394"/>
      <c r="N144" s="394"/>
      <c r="O144" s="394"/>
    </row>
    <row r="145" spans="1:15" ht="15.75" x14ac:dyDescent="0.25">
      <c r="A145" s="230">
        <v>139</v>
      </c>
      <c r="C145" s="377" t="s">
        <v>399</v>
      </c>
      <c r="D145" s="378">
        <v>40141</v>
      </c>
      <c r="E145" s="379">
        <v>168.75</v>
      </c>
      <c r="F145" s="392" t="s">
        <v>425</v>
      </c>
      <c r="G145" s="381"/>
      <c r="H145" s="391">
        <v>168.75</v>
      </c>
      <c r="I145" s="356"/>
      <c r="J145" s="393"/>
      <c r="K145" s="397"/>
      <c r="M145" s="394"/>
      <c r="N145" s="394"/>
      <c r="O145" s="394"/>
    </row>
    <row r="146" spans="1:15" x14ac:dyDescent="0.25">
      <c r="A146" s="230">
        <v>140</v>
      </c>
      <c r="C146" s="377" t="s">
        <v>399</v>
      </c>
      <c r="D146" s="378">
        <v>40141</v>
      </c>
      <c r="E146" s="379">
        <v>618.75</v>
      </c>
      <c r="F146" s="402" t="s">
        <v>426</v>
      </c>
      <c r="G146" s="381"/>
      <c r="H146" s="391">
        <v>618.75</v>
      </c>
      <c r="I146" s="356"/>
      <c r="J146" s="405">
        <f>SUM(E144:E146)</f>
        <v>1012.5</v>
      </c>
      <c r="K146" s="347"/>
    </row>
    <row r="147" spans="1:15" x14ac:dyDescent="0.25">
      <c r="A147" s="230">
        <v>141</v>
      </c>
      <c r="C147" s="377" t="s">
        <v>399</v>
      </c>
      <c r="D147" s="378">
        <v>40081</v>
      </c>
      <c r="E147" s="379">
        <v>506.25</v>
      </c>
      <c r="F147" s="406" t="s">
        <v>427</v>
      </c>
      <c r="G147" s="381"/>
      <c r="H147" s="391">
        <v>506.25</v>
      </c>
      <c r="I147" s="356"/>
      <c r="J147" s="373"/>
    </row>
    <row r="148" spans="1:15" x14ac:dyDescent="0.25">
      <c r="A148" s="230">
        <v>142</v>
      </c>
      <c r="C148" s="377" t="s">
        <v>399</v>
      </c>
      <c r="D148" s="378">
        <v>40081</v>
      </c>
      <c r="E148" s="379">
        <v>507.5</v>
      </c>
      <c r="F148" s="406" t="s">
        <v>427</v>
      </c>
      <c r="G148" s="381"/>
      <c r="H148" s="391">
        <v>507.5</v>
      </c>
      <c r="I148" s="356"/>
      <c r="J148" s="373"/>
    </row>
    <row r="149" spans="1:15" x14ac:dyDescent="0.25">
      <c r="A149" s="230">
        <v>143</v>
      </c>
      <c r="C149" s="377" t="s">
        <v>399</v>
      </c>
      <c r="D149" s="378">
        <v>40081</v>
      </c>
      <c r="E149" s="379">
        <v>56.25</v>
      </c>
      <c r="F149" s="406" t="s">
        <v>427</v>
      </c>
      <c r="G149" s="381"/>
      <c r="H149" s="391">
        <v>56.25</v>
      </c>
      <c r="I149" s="356"/>
      <c r="J149" s="373"/>
    </row>
    <row r="150" spans="1:15" x14ac:dyDescent="0.25">
      <c r="A150" s="230">
        <v>144</v>
      </c>
      <c r="C150" s="377" t="s">
        <v>399</v>
      </c>
      <c r="D150" s="378">
        <v>40081</v>
      </c>
      <c r="E150" s="379">
        <v>281.25</v>
      </c>
      <c r="F150" s="402" t="s">
        <v>426</v>
      </c>
      <c r="G150" s="381"/>
      <c r="H150" s="391">
        <v>281.25</v>
      </c>
      <c r="I150" s="356"/>
      <c r="J150" s="373"/>
    </row>
    <row r="151" spans="1:15" x14ac:dyDescent="0.25">
      <c r="A151" s="230">
        <v>145</v>
      </c>
      <c r="C151" s="377" t="s">
        <v>399</v>
      </c>
      <c r="D151" s="378">
        <v>40081</v>
      </c>
      <c r="E151" s="388">
        <v>112.5</v>
      </c>
      <c r="F151" s="402" t="s">
        <v>423</v>
      </c>
      <c r="G151" s="390"/>
      <c r="H151" s="391">
        <v>112.5</v>
      </c>
      <c r="I151" s="356"/>
      <c r="J151" s="373"/>
    </row>
    <row r="152" spans="1:15" x14ac:dyDescent="0.25">
      <c r="A152" s="230">
        <v>146</v>
      </c>
      <c r="C152" s="377" t="s">
        <v>399</v>
      </c>
      <c r="D152" s="378">
        <v>40081</v>
      </c>
      <c r="E152" s="388">
        <v>112.5</v>
      </c>
      <c r="F152" s="407" t="s">
        <v>428</v>
      </c>
      <c r="G152" s="390">
        <v>112.5</v>
      </c>
      <c r="H152" s="391"/>
      <c r="J152" s="405">
        <f>SUM(E147:E152)</f>
        <v>1576.25</v>
      </c>
    </row>
    <row r="153" spans="1:15" x14ac:dyDescent="0.25">
      <c r="A153" s="230">
        <v>147</v>
      </c>
      <c r="C153" s="408"/>
      <c r="D153" s="409"/>
      <c r="E153" s="388">
        <f>SUM(E111:E152)</f>
        <v>13760.25</v>
      </c>
      <c r="F153" s="409"/>
      <c r="G153" s="410">
        <f>SUM(G111:G152)</f>
        <v>437.5</v>
      </c>
      <c r="H153" s="410">
        <f>SUM(H111:H152)</f>
        <v>13322.75</v>
      </c>
      <c r="I153" s="410">
        <f>SUM(G153:H153)</f>
        <v>13760.25</v>
      </c>
      <c r="J153" s="411">
        <f>SUM(J111:J152)</f>
        <v>13760.25</v>
      </c>
      <c r="K153" s="347"/>
    </row>
    <row r="154" spans="1:15" x14ac:dyDescent="0.25">
      <c r="A154" s="230">
        <v>148</v>
      </c>
      <c r="C154" s="408"/>
      <c r="D154" s="409"/>
      <c r="E154" s="388"/>
      <c r="F154" s="409"/>
      <c r="G154" s="238" t="s">
        <v>395</v>
      </c>
      <c r="H154" s="301" t="s">
        <v>396</v>
      </c>
      <c r="I154" s="410"/>
      <c r="J154" s="411"/>
      <c r="K154" s="347"/>
    </row>
    <row r="155" spans="1:15" ht="15.75" x14ac:dyDescent="0.25">
      <c r="A155" s="230">
        <v>149</v>
      </c>
      <c r="C155" s="408"/>
      <c r="D155" s="409"/>
      <c r="E155" s="388"/>
      <c r="F155" s="412" t="s">
        <v>429</v>
      </c>
      <c r="G155" s="410">
        <v>437.5</v>
      </c>
      <c r="H155" s="410"/>
      <c r="I155" s="410"/>
      <c r="J155" s="411"/>
      <c r="K155" s="347"/>
    </row>
    <row r="156" spans="1:15" ht="15.75" x14ac:dyDescent="0.25">
      <c r="A156" s="230">
        <v>150</v>
      </c>
      <c r="C156" s="408"/>
      <c r="D156" s="409"/>
      <c r="E156" s="388"/>
      <c r="F156" s="412"/>
      <c r="G156" s="410"/>
      <c r="H156" s="410"/>
      <c r="I156" s="410"/>
      <c r="J156" s="411"/>
      <c r="K156" s="347"/>
    </row>
    <row r="157" spans="1:15" ht="15.75" x14ac:dyDescent="0.25">
      <c r="A157" s="230">
        <v>151</v>
      </c>
      <c r="C157" s="408"/>
      <c r="D157" s="409"/>
      <c r="E157" s="388"/>
      <c r="F157" s="412" t="s">
        <v>430</v>
      </c>
      <c r="G157" s="410"/>
      <c r="H157" s="410">
        <f>+H153</f>
        <v>13322.75</v>
      </c>
      <c r="I157" s="410"/>
      <c r="J157" s="411"/>
      <c r="K157" s="347"/>
    </row>
    <row r="158" spans="1:15" x14ac:dyDescent="0.25">
      <c r="A158" s="230">
        <v>152</v>
      </c>
      <c r="C158" s="408"/>
      <c r="D158" s="409"/>
      <c r="E158" s="388"/>
      <c r="F158" s="238" t="s">
        <v>431</v>
      </c>
      <c r="G158" s="410"/>
      <c r="H158" s="410">
        <f>-0.5*H157</f>
        <v>-6661.375</v>
      </c>
      <c r="I158" s="410"/>
      <c r="J158" s="411"/>
      <c r="K158" s="347"/>
    </row>
    <row r="159" spans="1:15" ht="15.75" x14ac:dyDescent="0.25">
      <c r="A159" s="230">
        <v>153</v>
      </c>
      <c r="C159" s="408"/>
      <c r="D159" s="409"/>
      <c r="E159" s="388"/>
      <c r="F159" s="412" t="s">
        <v>432</v>
      </c>
      <c r="G159" s="410"/>
      <c r="H159" s="413">
        <f>SUM(H157:H158)</f>
        <v>6661.375</v>
      </c>
      <c r="I159" s="410"/>
      <c r="J159" s="411"/>
      <c r="K159" s="347"/>
    </row>
    <row r="160" spans="1:15" x14ac:dyDescent="0.25">
      <c r="A160" s="230">
        <v>154</v>
      </c>
      <c r="B160" s="232"/>
      <c r="C160" s="278"/>
      <c r="E160" s="356"/>
      <c r="F160" s="233"/>
      <c r="G160" s="238"/>
      <c r="H160" s="307"/>
      <c r="J160" s="373"/>
    </row>
    <row r="161" spans="1:11" ht="15.75" x14ac:dyDescent="0.25">
      <c r="A161" s="230">
        <v>155</v>
      </c>
      <c r="C161" s="414"/>
      <c r="D161" s="415"/>
      <c r="E161" s="416"/>
      <c r="F161" s="417"/>
      <c r="G161" s="418"/>
      <c r="H161" s="419">
        <f>SUM(H159:H160)</f>
        <v>6661.375</v>
      </c>
      <c r="I161" s="415"/>
      <c r="J161" s="420">
        <v>5</v>
      </c>
      <c r="K161" s="421"/>
    </row>
    <row r="162" spans="1:11" ht="15.75" x14ac:dyDescent="0.25">
      <c r="A162" s="230">
        <v>156</v>
      </c>
      <c r="C162" s="414"/>
      <c r="D162" s="415"/>
      <c r="E162" s="416"/>
      <c r="F162" s="417"/>
      <c r="G162" s="418"/>
      <c r="H162" s="419"/>
      <c r="I162" s="415"/>
      <c r="J162" s="420"/>
      <c r="K162" s="421"/>
    </row>
    <row r="163" spans="1:11" ht="15.75" x14ac:dyDescent="0.25">
      <c r="A163" s="230">
        <v>157</v>
      </c>
      <c r="C163" s="414"/>
      <c r="D163" s="415"/>
      <c r="E163" s="416"/>
      <c r="F163" s="417"/>
      <c r="G163" s="418"/>
      <c r="H163" s="419"/>
      <c r="I163" s="415"/>
      <c r="J163" s="420"/>
      <c r="K163" s="421"/>
    </row>
    <row r="164" spans="1:11" ht="16.5" thickBot="1" x14ac:dyDescent="0.3">
      <c r="A164" s="230">
        <v>158</v>
      </c>
      <c r="C164" s="422"/>
      <c r="D164" s="423"/>
      <c r="E164" s="424"/>
      <c r="F164" s="425" t="s">
        <v>433</v>
      </c>
      <c r="G164" s="426"/>
      <c r="H164" s="427">
        <f>-1*H157</f>
        <v>-13322.75</v>
      </c>
      <c r="I164" s="428" t="s">
        <v>152</v>
      </c>
      <c r="J164" s="429">
        <f>+H161/J161</f>
        <v>1332.2750000000001</v>
      </c>
      <c r="K164" s="417"/>
    </row>
    <row r="165" spans="1:11" ht="16.5" thickBot="1" x14ac:dyDescent="0.3">
      <c r="A165" s="230">
        <v>159</v>
      </c>
      <c r="C165" s="414"/>
      <c r="D165" s="415"/>
      <c r="E165" s="416"/>
      <c r="F165" s="430"/>
      <c r="G165" s="418"/>
      <c r="H165" s="419"/>
      <c r="I165" s="181"/>
      <c r="J165" s="418"/>
      <c r="K165" s="417"/>
    </row>
    <row r="166" spans="1:11" ht="15.75" x14ac:dyDescent="0.25">
      <c r="A166" s="230">
        <v>160</v>
      </c>
      <c r="C166" s="431" t="s">
        <v>434</v>
      </c>
      <c r="D166" s="432"/>
      <c r="E166" s="433"/>
      <c r="F166" s="434"/>
      <c r="G166" s="435"/>
      <c r="H166" s="436"/>
      <c r="I166" s="181"/>
      <c r="J166" s="418"/>
      <c r="K166" s="417"/>
    </row>
    <row r="167" spans="1:11" ht="15.75" x14ac:dyDescent="0.25">
      <c r="A167" s="230">
        <v>161</v>
      </c>
      <c r="C167" s="414" t="s">
        <v>435</v>
      </c>
      <c r="D167" s="415"/>
      <c r="E167" s="416"/>
      <c r="F167" s="430"/>
      <c r="G167" s="418"/>
      <c r="H167" s="437"/>
      <c r="I167" s="181"/>
      <c r="J167" s="418"/>
      <c r="K167" s="417"/>
    </row>
    <row r="168" spans="1:11" ht="15.75" x14ac:dyDescent="0.25">
      <c r="A168" s="230">
        <v>162</v>
      </c>
      <c r="C168" s="414" t="s">
        <v>52</v>
      </c>
      <c r="D168" s="415">
        <v>7969</v>
      </c>
      <c r="E168" s="416"/>
      <c r="F168" s="430"/>
      <c r="G168" s="418"/>
      <c r="H168" s="437"/>
      <c r="I168" s="181"/>
      <c r="J168" s="418"/>
      <c r="K168" s="417"/>
    </row>
    <row r="169" spans="1:11" ht="15.75" x14ac:dyDescent="0.25">
      <c r="A169" s="230">
        <v>163</v>
      </c>
      <c r="C169" s="414"/>
      <c r="D169" s="415"/>
      <c r="E169" s="416"/>
      <c r="F169" s="430"/>
      <c r="G169" s="418"/>
      <c r="H169" s="437"/>
      <c r="I169" s="181"/>
      <c r="J169" s="418"/>
      <c r="K169" s="417"/>
    </row>
    <row r="170" spans="1:11" ht="15.75" x14ac:dyDescent="0.25">
      <c r="A170" s="230">
        <v>164</v>
      </c>
      <c r="C170" s="414" t="s">
        <v>436</v>
      </c>
      <c r="D170" s="415"/>
      <c r="E170" s="416"/>
      <c r="F170" s="430" t="s">
        <v>437</v>
      </c>
      <c r="G170" s="438" t="s">
        <v>438</v>
      </c>
      <c r="H170" s="437"/>
      <c r="I170" s="181"/>
      <c r="J170" s="418"/>
      <c r="K170" s="417"/>
    </row>
    <row r="171" spans="1:11" ht="30" x14ac:dyDescent="0.25">
      <c r="A171" s="230">
        <v>165</v>
      </c>
      <c r="C171" s="439" t="s">
        <v>439</v>
      </c>
      <c r="D171" s="440"/>
      <c r="E171" s="441">
        <v>900</v>
      </c>
      <c r="F171" s="442" t="s">
        <v>440</v>
      </c>
      <c r="G171" s="356">
        <v>-900</v>
      </c>
      <c r="H171" s="437"/>
      <c r="I171" s="181"/>
      <c r="J171" s="418"/>
      <c r="K171" s="417"/>
    </row>
    <row r="172" spans="1:11" ht="15.75" x14ac:dyDescent="0.25">
      <c r="A172" s="230">
        <v>166</v>
      </c>
      <c r="C172" s="439" t="s">
        <v>441</v>
      </c>
      <c r="D172" s="440"/>
      <c r="E172" s="441">
        <v>6323.78</v>
      </c>
      <c r="F172" s="443" t="s">
        <v>442</v>
      </c>
      <c r="G172" s="356">
        <v>-6323.78</v>
      </c>
      <c r="H172" s="437"/>
      <c r="I172" s="181"/>
      <c r="J172" s="418"/>
      <c r="K172" s="417"/>
    </row>
    <row r="173" spans="1:11" ht="15.75" x14ac:dyDescent="0.25">
      <c r="A173" s="230">
        <v>167</v>
      </c>
      <c r="C173" s="439" t="s">
        <v>443</v>
      </c>
      <c r="D173" s="440"/>
      <c r="E173" s="441">
        <v>95</v>
      </c>
      <c r="F173" s="444" t="s">
        <v>444</v>
      </c>
      <c r="G173" s="356">
        <f>-E173/2</f>
        <v>-47.5</v>
      </c>
      <c r="H173" s="437"/>
      <c r="I173" s="181"/>
      <c r="J173" s="418"/>
      <c r="K173" s="417"/>
    </row>
    <row r="174" spans="1:11" ht="15.75" x14ac:dyDescent="0.25">
      <c r="A174" s="230">
        <v>168</v>
      </c>
      <c r="C174" s="439" t="s">
        <v>445</v>
      </c>
      <c r="D174" s="440"/>
      <c r="E174" s="441">
        <v>650</v>
      </c>
      <c r="F174" s="444" t="s">
        <v>444</v>
      </c>
      <c r="G174" s="356">
        <f>-E174/2</f>
        <v>-325</v>
      </c>
      <c r="H174" s="437"/>
      <c r="I174" s="181"/>
      <c r="J174" s="418"/>
      <c r="K174" s="417"/>
    </row>
    <row r="175" spans="1:11" ht="15.75" x14ac:dyDescent="0.25">
      <c r="A175" s="230">
        <v>169</v>
      </c>
      <c r="C175" s="439"/>
      <c r="D175" s="440"/>
      <c r="E175" s="441">
        <f>SUM(E171:E174)</f>
        <v>7968.78</v>
      </c>
      <c r="F175" s="445"/>
      <c r="G175" s="446">
        <f>SUM(G171:G174)</f>
        <v>-7596.28</v>
      </c>
      <c r="H175" s="447" t="s">
        <v>153</v>
      </c>
      <c r="I175" s="181"/>
      <c r="J175" s="418"/>
      <c r="K175" s="417"/>
    </row>
    <row r="176" spans="1:11" ht="15.75" x14ac:dyDescent="0.25">
      <c r="A176" s="230">
        <v>170</v>
      </c>
      <c r="C176" s="278"/>
      <c r="D176" s="233"/>
      <c r="E176" s="356"/>
      <c r="F176" s="233"/>
      <c r="G176" s="233"/>
      <c r="H176" s="373"/>
      <c r="I176" s="181"/>
      <c r="J176" s="418"/>
      <c r="K176" s="417"/>
    </row>
    <row r="177" spans="1:16" ht="15.75" x14ac:dyDescent="0.25">
      <c r="A177" s="230">
        <v>171</v>
      </c>
      <c r="C177" s="278" t="s">
        <v>446</v>
      </c>
      <c r="D177" s="233"/>
      <c r="E177" s="356"/>
      <c r="F177" s="233"/>
      <c r="G177" s="233"/>
      <c r="H177" s="373"/>
      <c r="I177" s="181"/>
      <c r="J177" s="418"/>
      <c r="K177" s="417"/>
    </row>
    <row r="178" spans="1:16" ht="27" thickBot="1" x14ac:dyDescent="0.3">
      <c r="A178" s="230">
        <v>172</v>
      </c>
      <c r="C178" s="448" t="s">
        <v>441</v>
      </c>
      <c r="D178" s="285"/>
      <c r="E178" s="449">
        <v>6323.78</v>
      </c>
      <c r="F178" s="450" t="s">
        <v>447</v>
      </c>
      <c r="G178" s="451">
        <f>6323.78/2</f>
        <v>3161.89</v>
      </c>
      <c r="H178" s="452" t="s">
        <v>448</v>
      </c>
      <c r="I178" s="181"/>
      <c r="J178" s="418"/>
      <c r="K178" s="417"/>
    </row>
    <row r="179" spans="1:16" ht="15.75" x14ac:dyDescent="0.25">
      <c r="A179" s="230">
        <v>173</v>
      </c>
      <c r="D179" s="233"/>
      <c r="E179" s="233"/>
      <c r="F179" s="453"/>
      <c r="G179" s="233"/>
      <c r="H179" s="419"/>
      <c r="I179" s="181"/>
      <c r="J179" s="418"/>
      <c r="K179" s="417"/>
    </row>
    <row r="180" spans="1:16" ht="16.5" thickBot="1" x14ac:dyDescent="0.3">
      <c r="A180" s="230">
        <v>174</v>
      </c>
      <c r="C180" s="414"/>
      <c r="D180" s="415"/>
      <c r="E180" s="416"/>
      <c r="F180" s="430"/>
      <c r="G180" s="418"/>
      <c r="H180" s="419"/>
      <c r="I180" s="181"/>
      <c r="J180" s="418"/>
      <c r="K180" s="417"/>
    </row>
    <row r="181" spans="1:16" ht="15.75" x14ac:dyDescent="0.25">
      <c r="A181" s="230">
        <v>175</v>
      </c>
      <c r="C181" s="454" t="s">
        <v>449</v>
      </c>
      <c r="D181" s="455"/>
      <c r="E181" s="456"/>
      <c r="F181" s="457" t="s">
        <v>450</v>
      </c>
      <c r="G181" s="458"/>
      <c r="H181" s="459"/>
      <c r="I181" s="460"/>
      <c r="J181" s="396"/>
      <c r="K181" s="396"/>
    </row>
    <row r="182" spans="1:16" ht="15.75" x14ac:dyDescent="0.25">
      <c r="A182" s="230">
        <v>176</v>
      </c>
      <c r="C182" s="461" t="s">
        <v>53</v>
      </c>
      <c r="D182" s="233"/>
      <c r="E182" s="462">
        <v>5535</v>
      </c>
      <c r="F182" s="396"/>
      <c r="G182" s="395"/>
      <c r="H182" s="459"/>
      <c r="I182" s="460"/>
      <c r="J182" s="396"/>
      <c r="K182" s="396"/>
    </row>
    <row r="183" spans="1:16" ht="15.75" x14ac:dyDescent="0.25">
      <c r="A183" s="230">
        <v>177</v>
      </c>
      <c r="C183" s="463"/>
      <c r="D183" s="460" t="s">
        <v>451</v>
      </c>
      <c r="E183" s="464"/>
      <c r="F183" s="396" t="s">
        <v>452</v>
      </c>
      <c r="G183" s="395"/>
      <c r="H183" s="465"/>
      <c r="I183" s="460"/>
      <c r="J183" s="396"/>
      <c r="K183" s="396"/>
    </row>
    <row r="184" spans="1:16" ht="15.75" x14ac:dyDescent="0.25">
      <c r="A184" s="230">
        <v>178</v>
      </c>
      <c r="C184" s="463" t="s">
        <v>318</v>
      </c>
      <c r="D184" s="233">
        <v>108</v>
      </c>
      <c r="E184" s="466">
        <f>+D184/D186</f>
        <v>0.48430493273542602</v>
      </c>
      <c r="F184" s="467">
        <f>+E184*E182</f>
        <v>2680.6278026905829</v>
      </c>
      <c r="G184" s="468"/>
      <c r="H184" s="465"/>
      <c r="I184" s="460"/>
      <c r="J184" s="396"/>
      <c r="K184" s="396"/>
    </row>
    <row r="185" spans="1:16" ht="15.75" x14ac:dyDescent="0.25">
      <c r="A185" s="230">
        <v>179</v>
      </c>
      <c r="C185" s="463" t="s">
        <v>283</v>
      </c>
      <c r="D185" s="469">
        <v>115</v>
      </c>
      <c r="E185" s="466">
        <f>+D185/D186</f>
        <v>0.51569506726457404</v>
      </c>
      <c r="F185" s="470">
        <f>+E185*E182</f>
        <v>2854.3721973094175</v>
      </c>
      <c r="G185" s="468"/>
      <c r="H185" s="465"/>
      <c r="I185" s="460"/>
      <c r="J185" s="396"/>
      <c r="K185" s="396"/>
    </row>
    <row r="186" spans="1:16" ht="15.75" x14ac:dyDescent="0.25">
      <c r="A186" s="230">
        <v>180</v>
      </c>
      <c r="C186" s="463"/>
      <c r="D186" s="233">
        <f>SUM(D184:D185)</f>
        <v>223</v>
      </c>
      <c r="E186" s="233"/>
      <c r="F186" s="467">
        <f>SUM(F184:F185)</f>
        <v>5535</v>
      </c>
      <c r="G186" s="468"/>
      <c r="H186" s="465"/>
      <c r="I186" s="460"/>
      <c r="J186" s="396"/>
      <c r="K186" s="396"/>
    </row>
    <row r="187" spans="1:16" ht="15.75" x14ac:dyDescent="0.25">
      <c r="A187" s="230">
        <v>181</v>
      </c>
      <c r="C187" s="471"/>
      <c r="D187" s="233"/>
      <c r="E187" s="233"/>
      <c r="F187" s="460"/>
      <c r="G187" s="395"/>
      <c r="H187" s="465"/>
      <c r="I187" s="460"/>
      <c r="J187" s="396"/>
      <c r="K187" s="396"/>
    </row>
    <row r="188" spans="1:16" ht="16.5" thickBot="1" x14ac:dyDescent="0.3">
      <c r="A188" s="230">
        <v>182</v>
      </c>
      <c r="C188" s="472" t="s">
        <v>453</v>
      </c>
      <c r="D188" s="285"/>
      <c r="E188" s="285"/>
      <c r="F188" s="473">
        <f>+F184*-1</f>
        <v>-2680.6278026905829</v>
      </c>
      <c r="G188" s="474" t="s">
        <v>155</v>
      </c>
      <c r="H188" s="465"/>
      <c r="I188" s="460"/>
      <c r="J188" s="396"/>
      <c r="K188" s="396"/>
    </row>
    <row r="189" spans="1:16" ht="15.75" x14ac:dyDescent="0.25">
      <c r="A189" s="230">
        <v>183</v>
      </c>
      <c r="C189" s="465"/>
      <c r="D189" s="460"/>
      <c r="E189" s="396"/>
      <c r="F189" s="396"/>
      <c r="G189" s="396"/>
      <c r="H189" s="465"/>
      <c r="I189" s="460"/>
      <c r="J189" s="396"/>
      <c r="K189" s="396"/>
    </row>
    <row r="190" spans="1:16" ht="15.75" thickBot="1" x14ac:dyDescent="0.3">
      <c r="A190" s="230">
        <v>184</v>
      </c>
      <c r="B190" s="232"/>
      <c r="C190" s="368"/>
      <c r="D190" s="475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</row>
    <row r="191" spans="1:16" x14ac:dyDescent="0.25">
      <c r="A191" s="230">
        <v>185</v>
      </c>
      <c r="B191" s="232"/>
      <c r="C191" s="476" t="s">
        <v>454</v>
      </c>
      <c r="D191" s="477"/>
      <c r="E191" s="477"/>
      <c r="F191" s="478"/>
      <c r="G191" s="265"/>
      <c r="H191" s="265"/>
      <c r="I191" s="265"/>
      <c r="J191" s="244"/>
      <c r="K191" s="232"/>
      <c r="L191" s="232"/>
      <c r="M191" s="232"/>
      <c r="N191" s="232"/>
      <c r="O191" s="232"/>
      <c r="P191" s="232"/>
    </row>
    <row r="192" spans="1:16" x14ac:dyDescent="0.25">
      <c r="A192" s="230">
        <v>186</v>
      </c>
      <c r="B192" s="232"/>
      <c r="C192" s="479" t="s">
        <v>54</v>
      </c>
      <c r="D192" s="480">
        <v>3266</v>
      </c>
      <c r="E192" s="481"/>
      <c r="F192" s="482"/>
      <c r="G192" s="481"/>
      <c r="H192" s="265"/>
      <c r="I192" s="265"/>
      <c r="J192" s="326"/>
      <c r="K192" s="232"/>
      <c r="L192" s="232"/>
      <c r="M192" s="232"/>
      <c r="N192" s="232"/>
      <c r="O192" s="232"/>
      <c r="P192" s="232"/>
    </row>
    <row r="193" spans="1:16" x14ac:dyDescent="0.25">
      <c r="A193" s="230">
        <v>187</v>
      </c>
      <c r="B193" s="232"/>
      <c r="C193" s="479" t="s">
        <v>455</v>
      </c>
      <c r="D193" s="480">
        <f>+D192*0.5</f>
        <v>1633</v>
      </c>
      <c r="E193" s="483"/>
      <c r="F193" s="484"/>
      <c r="G193" s="483"/>
      <c r="H193" s="265"/>
      <c r="I193" s="265"/>
      <c r="J193" s="244"/>
      <c r="K193" s="232"/>
      <c r="L193" s="232"/>
      <c r="M193" s="232"/>
      <c r="N193" s="232"/>
      <c r="O193" s="232"/>
      <c r="P193" s="232"/>
    </row>
    <row r="194" spans="1:16" x14ac:dyDescent="0.25">
      <c r="A194" s="230">
        <v>188</v>
      </c>
      <c r="B194" s="232"/>
      <c r="C194" s="479"/>
      <c r="D194" s="480"/>
      <c r="E194" s="483"/>
      <c r="F194" s="484"/>
      <c r="G194" s="483"/>
      <c r="H194" s="265"/>
      <c r="I194" s="265"/>
      <c r="J194" s="244"/>
      <c r="K194" s="232"/>
      <c r="L194" s="232"/>
      <c r="M194" s="232"/>
      <c r="N194" s="232"/>
      <c r="O194" s="232"/>
      <c r="P194" s="232"/>
    </row>
    <row r="195" spans="1:16" x14ac:dyDescent="0.25">
      <c r="A195" s="230">
        <v>189</v>
      </c>
      <c r="B195" s="232"/>
      <c r="C195" s="479" t="s">
        <v>456</v>
      </c>
      <c r="D195" s="485"/>
      <c r="E195" s="481"/>
      <c r="F195" s="482"/>
      <c r="G195" s="481"/>
      <c r="H195" s="486"/>
      <c r="I195" s="486"/>
      <c r="J195" s="244"/>
      <c r="K195" s="232"/>
      <c r="L195" s="232"/>
      <c r="M195" s="232"/>
      <c r="N195" s="232"/>
      <c r="O195" s="232"/>
      <c r="P195" s="232"/>
    </row>
    <row r="196" spans="1:16" ht="16.5" thickBot="1" x14ac:dyDescent="0.3">
      <c r="A196" s="230">
        <v>190</v>
      </c>
      <c r="B196" s="232"/>
      <c r="C196" s="283" t="s">
        <v>457</v>
      </c>
      <c r="D196" s="487">
        <f>+D193*-1</f>
        <v>-1633</v>
      </c>
      <c r="E196" s="428" t="s">
        <v>156</v>
      </c>
      <c r="F196" s="287"/>
      <c r="G196" s="481"/>
      <c r="H196" s="486"/>
      <c r="I196" s="486"/>
      <c r="J196" s="244"/>
      <c r="K196" s="232"/>
      <c r="L196" s="232"/>
      <c r="M196" s="232"/>
      <c r="N196" s="232"/>
      <c r="O196" s="232"/>
      <c r="P196" s="232"/>
    </row>
    <row r="197" spans="1:16" x14ac:dyDescent="0.25">
      <c r="A197" s="230">
        <v>191</v>
      </c>
      <c r="B197" s="232"/>
      <c r="C197" s="483"/>
      <c r="D197" s="483"/>
      <c r="E197" s="483"/>
      <c r="F197" s="483"/>
      <c r="G197" s="483"/>
      <c r="H197" s="486"/>
      <c r="I197" s="486"/>
      <c r="J197" s="257"/>
      <c r="K197" s="232"/>
      <c r="L197" s="232"/>
      <c r="M197" s="232"/>
      <c r="N197" s="232"/>
      <c r="O197" s="232"/>
      <c r="P197" s="232"/>
    </row>
    <row r="198" spans="1:16" ht="15.75" thickBot="1" x14ac:dyDescent="0.3">
      <c r="A198" s="230">
        <v>192</v>
      </c>
      <c r="B198" s="232"/>
      <c r="C198" s="483"/>
      <c r="D198" s="483"/>
      <c r="E198" s="483"/>
      <c r="F198" s="483"/>
      <c r="G198" s="483"/>
      <c r="H198" s="486"/>
      <c r="I198" s="486"/>
      <c r="J198" s="257"/>
      <c r="K198" s="232"/>
      <c r="L198" s="232"/>
      <c r="M198" s="232"/>
      <c r="N198" s="232"/>
      <c r="O198" s="232"/>
      <c r="P198" s="232"/>
    </row>
    <row r="199" spans="1:16" x14ac:dyDescent="0.25">
      <c r="A199" s="230">
        <v>193</v>
      </c>
      <c r="B199" s="232"/>
      <c r="C199" s="488" t="s">
        <v>458</v>
      </c>
      <c r="D199" s="489"/>
      <c r="E199" s="489"/>
      <c r="F199" s="489"/>
      <c r="G199" s="490"/>
      <c r="H199" s="486"/>
      <c r="I199" s="486"/>
      <c r="J199" s="257"/>
      <c r="K199" s="232"/>
      <c r="L199" s="232"/>
      <c r="M199" s="232"/>
      <c r="N199" s="232"/>
      <c r="O199" s="232"/>
      <c r="P199" s="232"/>
    </row>
    <row r="200" spans="1:16" x14ac:dyDescent="0.25">
      <c r="A200" s="230">
        <v>194</v>
      </c>
      <c r="B200" s="232"/>
      <c r="C200" s="479" t="s">
        <v>55</v>
      </c>
      <c r="D200" s="491">
        <v>2738</v>
      </c>
      <c r="E200" s="483"/>
      <c r="F200" s="483"/>
      <c r="G200" s="484"/>
      <c r="H200" s="486"/>
      <c r="I200" s="486"/>
      <c r="J200" s="257"/>
      <c r="K200" s="232"/>
      <c r="L200" s="232"/>
      <c r="M200" s="232"/>
      <c r="N200" s="232"/>
      <c r="O200" s="232"/>
      <c r="P200" s="232"/>
    </row>
    <row r="201" spans="1:16" ht="15.75" x14ac:dyDescent="0.25">
      <c r="A201" s="230">
        <v>195</v>
      </c>
      <c r="B201" s="232"/>
      <c r="C201" s="479" t="s">
        <v>459</v>
      </c>
      <c r="D201" s="491"/>
      <c r="E201" s="62"/>
      <c r="F201" s="483"/>
      <c r="G201" s="484"/>
      <c r="H201" s="486"/>
      <c r="I201" s="486"/>
      <c r="J201" s="257"/>
      <c r="K201" s="232"/>
      <c r="L201" s="232"/>
      <c r="M201" s="232"/>
      <c r="N201" s="232"/>
      <c r="O201" s="232"/>
      <c r="P201" s="232"/>
    </row>
    <row r="202" spans="1:16" ht="15.75" x14ac:dyDescent="0.25">
      <c r="A202" s="230">
        <v>196</v>
      </c>
      <c r="B202" s="232"/>
      <c r="C202" s="281" t="s">
        <v>460</v>
      </c>
      <c r="D202" s="492">
        <f>+D200*-0.5</f>
        <v>-1369</v>
      </c>
      <c r="E202" s="321" t="s">
        <v>157</v>
      </c>
      <c r="F202" s="483"/>
      <c r="G202" s="484"/>
      <c r="H202" s="486"/>
      <c r="I202" s="486"/>
      <c r="J202" s="257"/>
      <c r="K202" s="232"/>
      <c r="L202" s="232"/>
      <c r="M202" s="232"/>
      <c r="N202" s="232"/>
      <c r="O202" s="232"/>
      <c r="P202" s="232"/>
    </row>
    <row r="203" spans="1:16" x14ac:dyDescent="0.25">
      <c r="A203" s="230">
        <v>197</v>
      </c>
      <c r="B203" s="232"/>
      <c r="C203" s="278"/>
      <c r="D203" s="483"/>
      <c r="E203" s="483"/>
      <c r="F203" s="483"/>
      <c r="G203" s="484"/>
      <c r="H203" s="486"/>
      <c r="I203" s="486"/>
      <c r="J203" s="257"/>
      <c r="K203" s="232"/>
      <c r="L203" s="232"/>
      <c r="M203" s="232"/>
      <c r="N203" s="232"/>
      <c r="O203" s="232"/>
      <c r="P203" s="232"/>
    </row>
    <row r="204" spans="1:16" ht="15.75" x14ac:dyDescent="0.25">
      <c r="A204" s="230">
        <v>198</v>
      </c>
      <c r="B204" s="232"/>
      <c r="C204" s="278" t="s">
        <v>461</v>
      </c>
      <c r="D204" s="233"/>
      <c r="E204" s="62"/>
      <c r="F204" s="483"/>
      <c r="G204" s="484"/>
      <c r="H204" s="486"/>
      <c r="I204" s="486"/>
      <c r="J204" s="257"/>
      <c r="K204" s="232"/>
      <c r="L204" s="232"/>
      <c r="M204" s="232"/>
      <c r="N204" s="232"/>
      <c r="O204" s="232"/>
      <c r="P204" s="232"/>
    </row>
    <row r="205" spans="1:16" ht="15.75" x14ac:dyDescent="0.25">
      <c r="A205" s="230">
        <v>199</v>
      </c>
      <c r="B205" s="232"/>
      <c r="C205" s="493" t="s">
        <v>462</v>
      </c>
      <c r="D205" s="491">
        <v>294.88</v>
      </c>
      <c r="E205" s="62"/>
      <c r="F205" s="483" t="s">
        <v>463</v>
      </c>
      <c r="G205" s="484"/>
      <c r="H205" s="486"/>
      <c r="I205" s="486"/>
      <c r="J205" s="257"/>
      <c r="K205" s="232"/>
      <c r="L205" s="232"/>
      <c r="M205" s="232"/>
      <c r="N205" s="232"/>
      <c r="O205" s="232"/>
      <c r="P205" s="232"/>
    </row>
    <row r="206" spans="1:16" x14ac:dyDescent="0.25">
      <c r="A206" s="230">
        <v>200</v>
      </c>
      <c r="B206" s="232"/>
      <c r="C206" s="278" t="s">
        <v>464</v>
      </c>
      <c r="D206" s="494">
        <f>+D205*-E206</f>
        <v>-227.64735999999999</v>
      </c>
      <c r="E206" s="255">
        <v>0.77200000000000002</v>
      </c>
      <c r="F206" s="483" t="s">
        <v>465</v>
      </c>
      <c r="G206" s="484"/>
      <c r="H206" s="486"/>
      <c r="I206" s="486"/>
      <c r="J206" s="257"/>
      <c r="K206" s="232"/>
      <c r="L206" s="232"/>
      <c r="M206" s="232"/>
      <c r="N206" s="232"/>
      <c r="O206" s="232"/>
      <c r="P206" s="232"/>
    </row>
    <row r="207" spans="1:16" x14ac:dyDescent="0.25">
      <c r="A207" s="230">
        <v>201</v>
      </c>
      <c r="B207" s="232"/>
      <c r="C207" s="278" t="s">
        <v>466</v>
      </c>
      <c r="D207" s="495">
        <f>SUM(D205:D206)</f>
        <v>67.232640000000004</v>
      </c>
      <c r="E207" s="351" t="s">
        <v>157</v>
      </c>
      <c r="F207" s="483" t="s">
        <v>467</v>
      </c>
      <c r="G207" s="484"/>
      <c r="H207" s="486"/>
      <c r="I207" s="486"/>
      <c r="J207" s="257"/>
      <c r="K207" s="232"/>
      <c r="L207" s="232"/>
      <c r="M207" s="232"/>
      <c r="N207" s="232"/>
      <c r="O207" s="232"/>
      <c r="P207" s="232"/>
    </row>
    <row r="208" spans="1:16" ht="15.75" x14ac:dyDescent="0.25">
      <c r="A208" s="230">
        <v>202</v>
      </c>
      <c r="C208" s="414"/>
      <c r="D208" s="496"/>
      <c r="E208" s="416"/>
      <c r="F208" s="430"/>
      <c r="G208" s="497"/>
      <c r="H208" s="419"/>
      <c r="I208" s="181"/>
      <c r="J208" s="418"/>
      <c r="K208" s="417"/>
    </row>
    <row r="209" spans="1:11" ht="16.5" thickBot="1" x14ac:dyDescent="0.3">
      <c r="A209" s="230">
        <v>203</v>
      </c>
      <c r="C209" s="422" t="s">
        <v>468</v>
      </c>
      <c r="D209" s="498">
        <f>+D207+D202</f>
        <v>-1301.7673600000001</v>
      </c>
      <c r="E209" s="424"/>
      <c r="F209" s="499"/>
      <c r="G209" s="429"/>
      <c r="H209" s="419"/>
      <c r="J209" s="418"/>
      <c r="K209" s="417"/>
    </row>
    <row r="210" spans="1:11" ht="15.75" x14ac:dyDescent="0.25">
      <c r="A210" s="230">
        <v>204</v>
      </c>
      <c r="C210" s="500"/>
      <c r="D210" s="496"/>
      <c r="E210" s="416"/>
      <c r="F210" s="417"/>
      <c r="G210" s="418"/>
      <c r="H210" s="419"/>
      <c r="I210" s="181"/>
      <c r="J210" s="418"/>
      <c r="K210" s="417"/>
    </row>
    <row r="211" spans="1:11" ht="16.5" thickBot="1" x14ac:dyDescent="0.3">
      <c r="A211" s="230">
        <v>205</v>
      </c>
      <c r="C211" s="501"/>
      <c r="D211" s="502"/>
      <c r="E211" s="503"/>
      <c r="F211" s="417"/>
      <c r="G211" s="418"/>
      <c r="H211" s="419"/>
      <c r="I211" s="181"/>
      <c r="J211" s="418"/>
      <c r="K211" s="417"/>
    </row>
    <row r="212" spans="1:11" ht="15.75" x14ac:dyDescent="0.25">
      <c r="A212" s="230">
        <v>206</v>
      </c>
      <c r="C212" s="504" t="s">
        <v>469</v>
      </c>
      <c r="D212" s="505"/>
      <c r="E212" s="433"/>
      <c r="F212" s="506"/>
      <c r="G212" s="507"/>
      <c r="H212" s="419"/>
      <c r="I212" s="181"/>
      <c r="J212" s="418"/>
      <c r="K212" s="417"/>
    </row>
    <row r="213" spans="1:11" ht="15.75" x14ac:dyDescent="0.25">
      <c r="A213" s="230">
        <v>207</v>
      </c>
      <c r="C213" s="508" t="s">
        <v>470</v>
      </c>
      <c r="D213" s="509">
        <v>146</v>
      </c>
      <c r="E213" s="416">
        <f>+D213/2</f>
        <v>73</v>
      </c>
      <c r="F213" s="417" t="s">
        <v>471</v>
      </c>
      <c r="G213" s="497"/>
      <c r="H213" s="419"/>
      <c r="I213" s="181"/>
      <c r="J213" s="418"/>
      <c r="K213" s="417"/>
    </row>
    <row r="214" spans="1:11" ht="15.75" x14ac:dyDescent="0.25">
      <c r="A214" s="230">
        <v>208</v>
      </c>
      <c r="C214" s="508" t="s">
        <v>472</v>
      </c>
      <c r="D214" s="509">
        <v>50</v>
      </c>
      <c r="E214" s="416">
        <f>+D214/2</f>
        <v>25</v>
      </c>
      <c r="F214" s="417" t="s">
        <v>471</v>
      </c>
      <c r="G214" s="497"/>
      <c r="H214" s="419"/>
      <c r="I214" s="181"/>
      <c r="J214" s="418"/>
      <c r="K214" s="417"/>
    </row>
    <row r="215" spans="1:11" ht="15.75" x14ac:dyDescent="0.25">
      <c r="A215" s="230">
        <v>209</v>
      </c>
      <c r="C215" s="508" t="s">
        <v>473</v>
      </c>
      <c r="D215" s="510">
        <v>208</v>
      </c>
      <c r="E215" s="511">
        <f>+D215/2</f>
        <v>104</v>
      </c>
      <c r="F215" s="417" t="s">
        <v>471</v>
      </c>
      <c r="G215" s="497"/>
      <c r="H215" s="419"/>
      <c r="I215" s="181"/>
      <c r="J215" s="418"/>
      <c r="K215" s="417"/>
    </row>
    <row r="216" spans="1:11" ht="15.75" x14ac:dyDescent="0.25">
      <c r="A216" s="230">
        <v>210</v>
      </c>
      <c r="C216" s="414"/>
      <c r="D216" s="415">
        <f>SUM(D213:D215)</f>
        <v>404</v>
      </c>
      <c r="E216" s="512">
        <f>-E215-E214-E213</f>
        <v>-202</v>
      </c>
      <c r="F216" s="513" t="s">
        <v>160</v>
      </c>
      <c r="G216" s="497"/>
      <c r="H216" s="419"/>
      <c r="I216" s="181"/>
      <c r="J216" s="418"/>
      <c r="K216" s="417"/>
    </row>
    <row r="217" spans="1:11" ht="16.5" thickBot="1" x14ac:dyDescent="0.3">
      <c r="A217" s="230">
        <v>211</v>
      </c>
      <c r="C217" s="422" t="s">
        <v>474</v>
      </c>
      <c r="D217" s="423"/>
      <c r="E217" s="424"/>
      <c r="F217" s="499"/>
      <c r="G217" s="429"/>
      <c r="H217" s="419"/>
      <c r="I217" s="181"/>
      <c r="J217" s="418"/>
      <c r="K217" s="417"/>
    </row>
    <row r="218" spans="1:11" ht="16.5" thickBot="1" x14ac:dyDescent="0.3">
      <c r="A218" s="230">
        <v>212</v>
      </c>
      <c r="C218" s="500"/>
      <c r="D218" s="415"/>
      <c r="E218" s="416"/>
      <c r="F218" s="233"/>
      <c r="G218" s="418"/>
      <c r="H218" s="500"/>
      <c r="I218" s="415"/>
      <c r="J218" s="418"/>
      <c r="K218" s="417"/>
    </row>
    <row r="219" spans="1:11" ht="15.75" x14ac:dyDescent="0.25">
      <c r="A219" s="230">
        <v>213</v>
      </c>
      <c r="C219" s="514" t="s">
        <v>475</v>
      </c>
      <c r="D219" s="505"/>
      <c r="E219" s="433" t="s">
        <v>318</v>
      </c>
      <c r="F219" s="506" t="s">
        <v>476</v>
      </c>
      <c r="G219" s="507"/>
      <c r="H219" s="500"/>
      <c r="I219" s="415"/>
      <c r="J219" s="418"/>
      <c r="K219" s="417"/>
    </row>
    <row r="220" spans="1:11" ht="47.25" x14ac:dyDescent="0.25">
      <c r="A220" s="230">
        <v>214</v>
      </c>
      <c r="C220" s="508" t="s">
        <v>477</v>
      </c>
      <c r="D220" s="515">
        <v>1259</v>
      </c>
      <c r="E220" s="516">
        <f>+D220*0.85</f>
        <v>1070.1499999999999</v>
      </c>
      <c r="F220" s="517">
        <f>+D220-E220</f>
        <v>188.85000000000014</v>
      </c>
      <c r="G220" s="518" t="s">
        <v>478</v>
      </c>
      <c r="H220" s="500"/>
      <c r="I220" s="187"/>
      <c r="J220" s="187"/>
      <c r="K220" s="417"/>
    </row>
    <row r="221" spans="1:11" ht="105" x14ac:dyDescent="0.25">
      <c r="A221" s="230">
        <v>215</v>
      </c>
      <c r="C221" s="519" t="s">
        <v>479</v>
      </c>
      <c r="D221" s="515">
        <v>1264</v>
      </c>
      <c r="E221" s="520">
        <f>+D221/2</f>
        <v>632</v>
      </c>
      <c r="F221" s="336">
        <v>632</v>
      </c>
      <c r="G221" s="521" t="s">
        <v>480</v>
      </c>
      <c r="H221" s="522" t="s">
        <v>481</v>
      </c>
      <c r="I221" s="187"/>
      <c r="J221" s="187"/>
      <c r="K221" s="417"/>
    </row>
    <row r="222" spans="1:11" ht="15.75" x14ac:dyDescent="0.25">
      <c r="A222" s="230">
        <v>216</v>
      </c>
      <c r="C222" s="519"/>
      <c r="D222" s="515"/>
      <c r="E222" s="516">
        <f>+D222/2</f>
        <v>0</v>
      </c>
      <c r="F222" s="517">
        <f>+D222/2</f>
        <v>0</v>
      </c>
      <c r="G222" s="437" t="s">
        <v>471</v>
      </c>
      <c r="H222" s="500"/>
      <c r="I222" s="187"/>
      <c r="J222" s="187"/>
      <c r="K222" s="417"/>
    </row>
    <row r="223" spans="1:11" ht="47.25" x14ac:dyDescent="0.25">
      <c r="A223" s="230">
        <v>217</v>
      </c>
      <c r="C223" s="508" t="s">
        <v>482</v>
      </c>
      <c r="D223" s="515">
        <v>876</v>
      </c>
      <c r="E223" s="516">
        <f>+D223*0.85</f>
        <v>744.6</v>
      </c>
      <c r="F223" s="517">
        <f>+D223-E223</f>
        <v>131.39999999999998</v>
      </c>
      <c r="G223" s="518" t="s">
        <v>483</v>
      </c>
      <c r="H223" s="500"/>
      <c r="I223" s="187"/>
      <c r="J223" s="187"/>
      <c r="K223" s="417"/>
    </row>
    <row r="224" spans="1:11" ht="18" x14ac:dyDescent="0.4">
      <c r="A224" s="230">
        <v>218</v>
      </c>
      <c r="C224" s="508" t="s">
        <v>484</v>
      </c>
      <c r="D224" s="523">
        <v>49</v>
      </c>
      <c r="E224" s="524">
        <v>24</v>
      </c>
      <c r="F224" s="525">
        <v>25</v>
      </c>
      <c r="G224" s="437" t="s">
        <v>471</v>
      </c>
      <c r="H224" s="459"/>
      <c r="I224" s="460"/>
      <c r="J224" s="396"/>
      <c r="K224" s="396"/>
    </row>
    <row r="225" spans="1:11" ht="15.75" x14ac:dyDescent="0.25">
      <c r="A225" s="230">
        <v>219</v>
      </c>
      <c r="C225" s="461" t="s">
        <v>59</v>
      </c>
      <c r="D225" s="467">
        <f>SUM(D220:D224)</f>
        <v>3448</v>
      </c>
      <c r="E225" s="509">
        <f>SUM(E220:E224)</f>
        <v>2470.75</v>
      </c>
      <c r="F225" s="509">
        <f>SUM(F220:F224)</f>
        <v>977.25000000000011</v>
      </c>
      <c r="G225" s="395">
        <f>+F225+E225</f>
        <v>3448</v>
      </c>
      <c r="H225" s="526"/>
      <c r="I225" s="460"/>
      <c r="J225" s="396"/>
      <c r="K225" s="396"/>
    </row>
    <row r="226" spans="1:11" ht="15.75" x14ac:dyDescent="0.25">
      <c r="A226" s="230">
        <v>220</v>
      </c>
      <c r="C226" s="463"/>
      <c r="D226" s="460"/>
      <c r="E226" s="527">
        <f>+E225*-1</f>
        <v>-2470.75</v>
      </c>
      <c r="F226" s="321" t="s">
        <v>161</v>
      </c>
      <c r="G226" s="395"/>
      <c r="H226" s="459"/>
      <c r="I226" s="460"/>
      <c r="J226" s="396"/>
      <c r="K226" s="396"/>
    </row>
    <row r="227" spans="1:11" ht="16.5" thickBot="1" x14ac:dyDescent="0.3">
      <c r="A227" s="230">
        <v>221</v>
      </c>
      <c r="C227" s="472"/>
      <c r="D227" s="528"/>
      <c r="E227" s="529"/>
      <c r="F227" s="530"/>
      <c r="G227" s="531"/>
      <c r="H227" s="459"/>
      <c r="I227" s="460"/>
      <c r="J227" s="396"/>
      <c r="K227" s="396"/>
    </row>
    <row r="228" spans="1:11" ht="16.5" thickBot="1" x14ac:dyDescent="0.3">
      <c r="A228" s="230">
        <v>222</v>
      </c>
      <c r="C228" s="465"/>
      <c r="D228" s="460"/>
      <c r="E228" s="396"/>
      <c r="F228" s="396"/>
      <c r="G228" s="396"/>
      <c r="H228" s="465"/>
      <c r="I228" s="460"/>
      <c r="J228" s="396"/>
      <c r="K228" s="396"/>
    </row>
    <row r="229" spans="1:11" ht="15.75" x14ac:dyDescent="0.25">
      <c r="A229" s="230">
        <v>223</v>
      </c>
      <c r="C229" s="532" t="s">
        <v>485</v>
      </c>
      <c r="D229" s="455"/>
      <c r="E229" s="533" t="s">
        <v>318</v>
      </c>
      <c r="F229" s="533" t="s">
        <v>476</v>
      </c>
      <c r="G229" s="533" t="s">
        <v>486</v>
      </c>
      <c r="H229" s="534" t="s">
        <v>487</v>
      </c>
      <c r="I229" s="455"/>
      <c r="J229" s="458"/>
      <c r="K229" s="396"/>
    </row>
    <row r="230" spans="1:11" ht="15.75" x14ac:dyDescent="0.25">
      <c r="A230" s="230">
        <v>224</v>
      </c>
      <c r="B230" s="535"/>
      <c r="C230" s="463" t="s">
        <v>488</v>
      </c>
      <c r="D230" s="460">
        <v>372.42</v>
      </c>
      <c r="E230" s="396">
        <v>372.42</v>
      </c>
      <c r="F230" s="396"/>
      <c r="G230" s="396"/>
      <c r="H230" s="465" t="s">
        <v>489</v>
      </c>
      <c r="I230" s="460"/>
      <c r="J230" s="395"/>
      <c r="K230" s="396"/>
    </row>
    <row r="231" spans="1:11" ht="15.75" x14ac:dyDescent="0.25">
      <c r="A231" s="230">
        <v>225</v>
      </c>
      <c r="B231" s="535"/>
      <c r="C231" s="463" t="s">
        <v>335</v>
      </c>
      <c r="D231" s="460">
        <v>47.21</v>
      </c>
      <c r="E231" s="396">
        <f>+D231/2</f>
        <v>23.605</v>
      </c>
      <c r="F231" s="396">
        <v>23.6</v>
      </c>
      <c r="G231" s="396"/>
      <c r="H231" s="465" t="s">
        <v>490</v>
      </c>
      <c r="I231" s="460"/>
      <c r="J231" s="395"/>
      <c r="K231" s="396"/>
    </row>
    <row r="232" spans="1:11" ht="15.75" x14ac:dyDescent="0.25">
      <c r="A232" s="230">
        <v>226</v>
      </c>
      <c r="B232" s="535"/>
      <c r="C232" s="463" t="s">
        <v>335</v>
      </c>
      <c r="D232" s="460">
        <v>1349.77</v>
      </c>
      <c r="E232" s="396">
        <v>1349.77</v>
      </c>
      <c r="F232" s="396">
        <v>0</v>
      </c>
      <c r="G232" s="396"/>
      <c r="H232" s="459" t="s">
        <v>491</v>
      </c>
      <c r="I232" s="460"/>
      <c r="J232" s="395"/>
      <c r="K232" s="396"/>
    </row>
    <row r="233" spans="1:11" ht="15.75" x14ac:dyDescent="0.25">
      <c r="A233" s="230">
        <v>227</v>
      </c>
      <c r="B233" s="535"/>
      <c r="C233" s="463" t="s">
        <v>335</v>
      </c>
      <c r="D233" s="460">
        <v>361.77</v>
      </c>
      <c r="E233" s="396">
        <v>361.77</v>
      </c>
      <c r="F233" s="396">
        <v>0</v>
      </c>
      <c r="G233" s="396"/>
      <c r="H233" s="459" t="s">
        <v>491</v>
      </c>
      <c r="I233" s="460"/>
      <c r="J233" s="395"/>
      <c r="K233" s="396"/>
    </row>
    <row r="234" spans="1:11" ht="15.75" x14ac:dyDescent="0.25">
      <c r="A234" s="230">
        <v>228</v>
      </c>
      <c r="B234" s="535"/>
      <c r="C234" s="463" t="s">
        <v>335</v>
      </c>
      <c r="D234" s="460">
        <v>387.5</v>
      </c>
      <c r="E234" s="396"/>
      <c r="F234" s="396">
        <v>387.5</v>
      </c>
      <c r="G234" s="396"/>
      <c r="H234" s="465" t="s">
        <v>492</v>
      </c>
      <c r="I234" s="460"/>
      <c r="J234" s="395"/>
      <c r="K234" s="396"/>
    </row>
    <row r="235" spans="1:11" ht="15.75" x14ac:dyDescent="0.25">
      <c r="A235" s="230">
        <v>229</v>
      </c>
      <c r="B235" s="535"/>
      <c r="C235" s="463" t="s">
        <v>493</v>
      </c>
      <c r="D235" s="460">
        <v>28.24</v>
      </c>
      <c r="E235" s="396"/>
      <c r="F235" s="396"/>
      <c r="G235" s="396">
        <v>28.24</v>
      </c>
      <c r="H235" s="465" t="s">
        <v>494</v>
      </c>
      <c r="I235" s="460"/>
      <c r="J235" s="395"/>
      <c r="K235" s="396"/>
    </row>
    <row r="236" spans="1:11" ht="15.75" x14ac:dyDescent="0.25">
      <c r="A236" s="230">
        <v>230</v>
      </c>
      <c r="B236" s="535"/>
      <c r="C236" s="463" t="s">
        <v>493</v>
      </c>
      <c r="D236" s="460">
        <v>150.84</v>
      </c>
      <c r="E236" s="396"/>
      <c r="F236" s="396">
        <v>150.84</v>
      </c>
      <c r="G236" s="396"/>
      <c r="H236" s="465" t="s">
        <v>495</v>
      </c>
      <c r="I236" s="460"/>
      <c r="J236" s="395"/>
      <c r="K236" s="396"/>
    </row>
    <row r="237" spans="1:11" ht="15.75" x14ac:dyDescent="0.25">
      <c r="A237" s="230">
        <v>231</v>
      </c>
      <c r="B237" s="535"/>
      <c r="C237" s="463" t="s">
        <v>493</v>
      </c>
      <c r="D237" s="460">
        <v>16.22</v>
      </c>
      <c r="E237" s="396">
        <f>+D237/2</f>
        <v>8.11</v>
      </c>
      <c r="F237" s="396">
        <v>8.11</v>
      </c>
      <c r="G237" s="396"/>
      <c r="H237" s="465" t="s">
        <v>490</v>
      </c>
      <c r="I237" s="460"/>
      <c r="J237" s="395"/>
      <c r="K237" s="396"/>
    </row>
    <row r="238" spans="1:11" ht="15.75" x14ac:dyDescent="0.25">
      <c r="A238" s="230">
        <v>232</v>
      </c>
      <c r="B238" s="535"/>
      <c r="C238" s="463" t="s">
        <v>493</v>
      </c>
      <c r="D238" s="460">
        <v>11.9</v>
      </c>
      <c r="E238" s="396"/>
      <c r="F238" s="396">
        <v>11.9</v>
      </c>
      <c r="G238" s="396"/>
      <c r="H238" s="465" t="s">
        <v>495</v>
      </c>
      <c r="I238" s="460"/>
      <c r="J238" s="395"/>
      <c r="K238" s="396"/>
    </row>
    <row r="239" spans="1:11" ht="15.75" x14ac:dyDescent="0.25">
      <c r="A239" s="230">
        <v>233</v>
      </c>
      <c r="B239" s="535"/>
      <c r="C239" s="463" t="s">
        <v>493</v>
      </c>
      <c r="D239" s="460">
        <v>10.81</v>
      </c>
      <c r="E239" s="396"/>
      <c r="F239" s="396">
        <v>10.81</v>
      </c>
      <c r="G239" s="396"/>
      <c r="H239" s="465" t="s">
        <v>495</v>
      </c>
      <c r="I239" s="460"/>
      <c r="J239" s="395"/>
      <c r="K239" s="396"/>
    </row>
    <row r="240" spans="1:11" ht="15.75" x14ac:dyDescent="0.25">
      <c r="A240" s="230">
        <v>234</v>
      </c>
      <c r="B240" s="535"/>
      <c r="C240" s="463" t="s">
        <v>493</v>
      </c>
      <c r="D240" s="460">
        <v>117.53</v>
      </c>
      <c r="E240" s="396"/>
      <c r="F240" s="396">
        <v>117.53</v>
      </c>
      <c r="G240" s="396"/>
      <c r="H240" s="465" t="s">
        <v>496</v>
      </c>
      <c r="I240" s="460"/>
      <c r="J240" s="395"/>
      <c r="K240" s="396"/>
    </row>
    <row r="241" spans="1:11" ht="15.75" x14ac:dyDescent="0.25">
      <c r="A241" s="230">
        <v>235</v>
      </c>
      <c r="B241" s="535"/>
      <c r="C241" s="463" t="s">
        <v>493</v>
      </c>
      <c r="D241" s="460">
        <v>10.25</v>
      </c>
      <c r="E241" s="396"/>
      <c r="F241" s="396">
        <v>10.25</v>
      </c>
      <c r="G241" s="396"/>
      <c r="H241" s="465" t="s">
        <v>497</v>
      </c>
      <c r="I241" s="460"/>
      <c r="J241" s="395"/>
      <c r="K241" s="396"/>
    </row>
    <row r="242" spans="1:11" ht="15.75" x14ac:dyDescent="0.25">
      <c r="A242" s="230">
        <v>236</v>
      </c>
      <c r="B242" s="535"/>
      <c r="C242" s="463" t="s">
        <v>498</v>
      </c>
      <c r="D242" s="460">
        <v>53.11</v>
      </c>
      <c r="E242" s="396"/>
      <c r="F242" s="396">
        <v>53.11</v>
      </c>
      <c r="G242" s="396"/>
      <c r="H242" s="465" t="s">
        <v>499</v>
      </c>
      <c r="I242" s="460"/>
      <c r="J242" s="395"/>
      <c r="K242" s="396"/>
    </row>
    <row r="243" spans="1:11" ht="15.75" x14ac:dyDescent="0.25">
      <c r="A243" s="230">
        <v>237</v>
      </c>
      <c r="B243" s="535"/>
      <c r="C243" s="463" t="s">
        <v>500</v>
      </c>
      <c r="D243" s="460">
        <v>113.68</v>
      </c>
      <c r="E243" s="396">
        <f>+D243/2</f>
        <v>56.84</v>
      </c>
      <c r="F243" s="396">
        <v>56.84</v>
      </c>
      <c r="G243" s="396"/>
      <c r="H243" s="465" t="s">
        <v>501</v>
      </c>
      <c r="I243" s="460"/>
      <c r="J243" s="395"/>
      <c r="K243" s="396"/>
    </row>
    <row r="244" spans="1:11" ht="15.75" x14ac:dyDescent="0.25">
      <c r="A244" s="230">
        <v>238</v>
      </c>
      <c r="B244" s="535"/>
      <c r="C244" s="463" t="s">
        <v>502</v>
      </c>
      <c r="D244" s="460">
        <v>32.49</v>
      </c>
      <c r="E244" s="396"/>
      <c r="F244" s="396">
        <v>32.49</v>
      </c>
      <c r="G244" s="396"/>
      <c r="H244" s="465" t="s">
        <v>503</v>
      </c>
      <c r="I244" s="460"/>
      <c r="J244" s="395"/>
      <c r="K244" s="396"/>
    </row>
    <row r="245" spans="1:11" ht="15.75" x14ac:dyDescent="0.25">
      <c r="A245" s="230">
        <v>239</v>
      </c>
      <c r="B245" s="535"/>
      <c r="C245" s="463" t="s">
        <v>504</v>
      </c>
      <c r="D245" s="460">
        <v>426.04</v>
      </c>
      <c r="E245" s="396">
        <v>426.04</v>
      </c>
      <c r="F245" s="396"/>
      <c r="G245" s="396"/>
      <c r="H245" s="465" t="s">
        <v>505</v>
      </c>
      <c r="I245" s="460"/>
      <c r="J245" s="395"/>
      <c r="K245" s="396"/>
    </row>
    <row r="246" spans="1:11" ht="15.75" x14ac:dyDescent="0.25">
      <c r="A246" s="230">
        <v>240</v>
      </c>
      <c r="B246" s="535"/>
      <c r="C246" s="463" t="s">
        <v>335</v>
      </c>
      <c r="D246" s="460">
        <v>974.89</v>
      </c>
      <c r="E246" s="396">
        <v>974.89</v>
      </c>
      <c r="F246" s="396"/>
      <c r="G246" s="396"/>
      <c r="H246" s="465" t="s">
        <v>506</v>
      </c>
      <c r="I246" s="460"/>
      <c r="J246" s="395"/>
      <c r="K246" s="396"/>
    </row>
    <row r="247" spans="1:11" ht="15.75" x14ac:dyDescent="0.25">
      <c r="A247" s="230">
        <v>241</v>
      </c>
      <c r="B247" s="535"/>
      <c r="C247" s="463" t="s">
        <v>507</v>
      </c>
      <c r="D247" s="460">
        <v>28.14</v>
      </c>
      <c r="E247" s="396">
        <v>14.07</v>
      </c>
      <c r="F247" s="396">
        <v>14.07</v>
      </c>
      <c r="G247" s="396"/>
      <c r="H247" s="465" t="s">
        <v>501</v>
      </c>
      <c r="I247" s="460"/>
      <c r="J247" s="395"/>
      <c r="K247" s="396"/>
    </row>
    <row r="248" spans="1:11" ht="15.75" x14ac:dyDescent="0.25">
      <c r="A248" s="230">
        <v>242</v>
      </c>
      <c r="B248" s="535"/>
      <c r="C248" s="463" t="s">
        <v>508</v>
      </c>
      <c r="D248" s="460"/>
      <c r="E248" s="396"/>
      <c r="F248" s="396"/>
      <c r="G248" s="396"/>
      <c r="H248" s="465"/>
      <c r="I248" s="460"/>
      <c r="J248" s="395"/>
      <c r="K248" s="396"/>
    </row>
    <row r="249" spans="1:11" ht="15.75" x14ac:dyDescent="0.25">
      <c r="A249" s="230">
        <v>243</v>
      </c>
      <c r="B249" s="535"/>
      <c r="C249" s="463" t="s">
        <v>509</v>
      </c>
      <c r="D249" s="460">
        <v>460.71</v>
      </c>
      <c r="E249" s="396">
        <f>+D249/2</f>
        <v>230.35499999999999</v>
      </c>
      <c r="F249" s="396">
        <v>230.35</v>
      </c>
      <c r="G249" s="396"/>
      <c r="H249" s="465" t="s">
        <v>510</v>
      </c>
      <c r="I249" s="460"/>
      <c r="J249" s="395"/>
      <c r="K249" s="396"/>
    </row>
    <row r="250" spans="1:11" ht="15.75" x14ac:dyDescent="0.25">
      <c r="A250" s="230">
        <v>244</v>
      </c>
      <c r="B250" s="535"/>
      <c r="C250" s="463" t="s">
        <v>511</v>
      </c>
      <c r="D250" s="460">
        <v>96.88</v>
      </c>
      <c r="E250" s="396">
        <f>+D250/2</f>
        <v>48.44</v>
      </c>
      <c r="F250" s="396">
        <v>48.44</v>
      </c>
      <c r="G250" s="396"/>
      <c r="H250" s="465" t="s">
        <v>512</v>
      </c>
      <c r="I250" s="460"/>
      <c r="J250" s="395"/>
      <c r="K250" s="396"/>
    </row>
    <row r="251" spans="1:11" ht="15.75" x14ac:dyDescent="0.25">
      <c r="A251" s="230">
        <v>245</v>
      </c>
      <c r="B251" s="535"/>
      <c r="C251" s="463" t="s">
        <v>507</v>
      </c>
      <c r="D251" s="460">
        <v>259.89999999999998</v>
      </c>
      <c r="E251" s="396">
        <f>+D251/2</f>
        <v>129.94999999999999</v>
      </c>
      <c r="F251" s="396">
        <v>129.94999999999999</v>
      </c>
      <c r="G251" s="396"/>
      <c r="H251" s="465" t="s">
        <v>513</v>
      </c>
      <c r="I251" s="460"/>
      <c r="J251" s="395"/>
      <c r="K251" s="396"/>
    </row>
    <row r="252" spans="1:11" ht="15.75" x14ac:dyDescent="0.25">
      <c r="A252" s="230">
        <v>246</v>
      </c>
      <c r="B252" s="535"/>
      <c r="C252" s="463" t="s">
        <v>514</v>
      </c>
      <c r="D252" s="460">
        <v>151.62</v>
      </c>
      <c r="E252" s="396"/>
      <c r="F252" s="396">
        <v>151.62</v>
      </c>
      <c r="G252" s="396"/>
      <c r="H252" s="465" t="s">
        <v>515</v>
      </c>
      <c r="I252" s="460"/>
      <c r="J252" s="395"/>
      <c r="K252" s="396"/>
    </row>
    <row r="253" spans="1:11" ht="15.75" x14ac:dyDescent="0.25">
      <c r="A253" s="230">
        <v>247</v>
      </c>
      <c r="B253" s="535"/>
      <c r="C253" s="463" t="s">
        <v>514</v>
      </c>
      <c r="D253" s="460">
        <v>70.27</v>
      </c>
      <c r="E253" s="396">
        <v>70.27</v>
      </c>
      <c r="F253" s="396"/>
      <c r="G253" s="396"/>
      <c r="H253" s="465" t="s">
        <v>516</v>
      </c>
      <c r="I253" s="460"/>
      <c r="J253" s="395"/>
      <c r="K253" s="396"/>
    </row>
    <row r="254" spans="1:11" ht="15.75" x14ac:dyDescent="0.25">
      <c r="A254" s="230">
        <v>248</v>
      </c>
      <c r="B254" s="535"/>
      <c r="C254" s="463" t="s">
        <v>514</v>
      </c>
      <c r="D254" s="460">
        <v>157.72</v>
      </c>
      <c r="E254" s="396"/>
      <c r="F254" s="396">
        <v>157.72</v>
      </c>
      <c r="G254" s="396"/>
      <c r="H254" s="465" t="s">
        <v>517</v>
      </c>
      <c r="I254" s="460"/>
      <c r="J254" s="395"/>
      <c r="K254" s="396"/>
    </row>
    <row r="255" spans="1:11" ht="15.75" x14ac:dyDescent="0.25">
      <c r="A255" s="230">
        <v>249</v>
      </c>
      <c r="B255" s="535"/>
      <c r="C255" s="463" t="s">
        <v>514</v>
      </c>
      <c r="D255" s="460">
        <v>157.72</v>
      </c>
      <c r="E255" s="396"/>
      <c r="F255" s="396">
        <v>157.72</v>
      </c>
      <c r="G255" s="396"/>
      <c r="H255" s="465" t="s">
        <v>517</v>
      </c>
      <c r="I255" s="460"/>
      <c r="J255" s="395"/>
      <c r="K255" s="396"/>
    </row>
    <row r="256" spans="1:11" ht="15.75" x14ac:dyDescent="0.25">
      <c r="A256" s="230">
        <v>250</v>
      </c>
      <c r="B256" s="535"/>
      <c r="C256" s="463" t="s">
        <v>514</v>
      </c>
      <c r="D256" s="460">
        <v>70.27</v>
      </c>
      <c r="E256" s="396">
        <v>70.27</v>
      </c>
      <c r="F256" s="396"/>
      <c r="G256" s="396"/>
      <c r="H256" s="465" t="s">
        <v>516</v>
      </c>
      <c r="I256" s="460"/>
      <c r="J256" s="395"/>
      <c r="K256" s="396"/>
    </row>
    <row r="257" spans="1:11" ht="15.75" x14ac:dyDescent="0.25">
      <c r="A257" s="230">
        <v>251</v>
      </c>
      <c r="B257" s="535"/>
      <c r="C257" s="463" t="s">
        <v>514</v>
      </c>
      <c r="D257" s="460">
        <v>157.72</v>
      </c>
      <c r="E257" s="396"/>
      <c r="F257" s="396">
        <v>157.72</v>
      </c>
      <c r="G257" s="396"/>
      <c r="H257" s="465" t="s">
        <v>517</v>
      </c>
      <c r="I257" s="460"/>
      <c r="J257" s="395"/>
      <c r="K257" s="396"/>
    </row>
    <row r="258" spans="1:11" ht="15.75" x14ac:dyDescent="0.25">
      <c r="A258" s="230">
        <v>252</v>
      </c>
      <c r="B258" s="535"/>
      <c r="C258" s="463" t="s">
        <v>514</v>
      </c>
      <c r="D258" s="460">
        <v>70.27</v>
      </c>
      <c r="E258" s="396">
        <v>70.27</v>
      </c>
      <c r="F258" s="396"/>
      <c r="G258" s="396"/>
      <c r="H258" s="465" t="s">
        <v>516</v>
      </c>
      <c r="I258" s="460"/>
      <c r="J258" s="395"/>
      <c r="K258" s="396"/>
    </row>
    <row r="259" spans="1:11" ht="15.75" x14ac:dyDescent="0.25">
      <c r="A259" s="230">
        <v>253</v>
      </c>
      <c r="B259" s="535"/>
      <c r="C259" s="463" t="s">
        <v>514</v>
      </c>
      <c r="D259" s="460">
        <v>227.98</v>
      </c>
      <c r="E259" s="396">
        <v>70.27</v>
      </c>
      <c r="F259" s="396">
        <v>157.71</v>
      </c>
      <c r="G259" s="396"/>
      <c r="H259" s="465" t="s">
        <v>518</v>
      </c>
      <c r="I259" s="460"/>
      <c r="J259" s="395"/>
      <c r="K259" s="396"/>
    </row>
    <row r="260" spans="1:11" ht="15.75" x14ac:dyDescent="0.25">
      <c r="A260" s="230">
        <v>254</v>
      </c>
      <c r="B260" s="535"/>
      <c r="C260" s="463" t="s">
        <v>511</v>
      </c>
      <c r="D260" s="460">
        <v>96.88</v>
      </c>
      <c r="E260" s="396">
        <v>48.44</v>
      </c>
      <c r="F260" s="396">
        <v>48.44</v>
      </c>
      <c r="G260" s="396"/>
      <c r="H260" s="465" t="s">
        <v>512</v>
      </c>
      <c r="I260" s="460"/>
      <c r="J260" s="395"/>
      <c r="K260" s="396"/>
    </row>
    <row r="261" spans="1:11" ht="15.75" x14ac:dyDescent="0.25">
      <c r="A261" s="230">
        <v>255</v>
      </c>
      <c r="B261" s="535"/>
      <c r="C261" s="463" t="s">
        <v>514</v>
      </c>
      <c r="D261" s="460">
        <v>227.98</v>
      </c>
      <c r="E261" s="396">
        <v>70.27</v>
      </c>
      <c r="F261" s="396">
        <v>157.71</v>
      </c>
      <c r="G261" s="396"/>
      <c r="H261" s="465" t="s">
        <v>518</v>
      </c>
      <c r="I261" s="460"/>
      <c r="J261" s="395"/>
      <c r="K261" s="396"/>
    </row>
    <row r="262" spans="1:11" ht="15.75" x14ac:dyDescent="0.25">
      <c r="A262" s="230">
        <v>256</v>
      </c>
      <c r="B262" s="535"/>
      <c r="C262" s="463" t="s">
        <v>511</v>
      </c>
      <c r="D262" s="460">
        <v>96.88</v>
      </c>
      <c r="E262" s="396">
        <v>48.44</v>
      </c>
      <c r="F262" s="396">
        <v>48.44</v>
      </c>
      <c r="G262" s="396"/>
      <c r="H262" s="465" t="s">
        <v>512</v>
      </c>
      <c r="I262" s="460"/>
      <c r="J262" s="395"/>
      <c r="K262" s="396"/>
    </row>
    <row r="263" spans="1:11" ht="15.75" x14ac:dyDescent="0.25">
      <c r="A263" s="230">
        <v>257</v>
      </c>
      <c r="B263" s="535"/>
      <c r="C263" s="463" t="s">
        <v>514</v>
      </c>
      <c r="D263" s="460">
        <v>227.98</v>
      </c>
      <c r="E263" s="396">
        <v>70.27</v>
      </c>
      <c r="F263" s="396">
        <v>157.71</v>
      </c>
      <c r="G263" s="396"/>
      <c r="H263" s="465" t="s">
        <v>518</v>
      </c>
      <c r="I263" s="460"/>
      <c r="J263" s="395"/>
      <c r="K263" s="396"/>
    </row>
    <row r="264" spans="1:11" ht="15.75" x14ac:dyDescent="0.25">
      <c r="A264" s="230">
        <v>258</v>
      </c>
      <c r="B264" s="535"/>
      <c r="C264" s="463"/>
      <c r="D264" s="460"/>
      <c r="E264" s="396"/>
      <c r="F264" s="396"/>
      <c r="G264" s="396"/>
      <c r="H264" s="465"/>
      <c r="I264" s="460"/>
      <c r="J264" s="395"/>
      <c r="K264" s="396"/>
    </row>
    <row r="265" spans="1:11" ht="15.75" x14ac:dyDescent="0.25">
      <c r="A265" s="230">
        <v>259</v>
      </c>
      <c r="B265" s="535"/>
      <c r="C265" s="463"/>
      <c r="D265" s="460">
        <f>SUM(D230:D263)</f>
        <v>7023.5900000000011</v>
      </c>
      <c r="E265" s="460">
        <f>SUM(E230:E263)</f>
        <v>4514.7600000000011</v>
      </c>
      <c r="F265" s="460">
        <f>SUM(F230:F263)</f>
        <v>2480.5800000000004</v>
      </c>
      <c r="G265" s="460">
        <f>SUM(G230:G263)</f>
        <v>28.24</v>
      </c>
      <c r="H265" s="536">
        <f>SUM(E265:G265)</f>
        <v>7023.5800000000017</v>
      </c>
      <c r="I265" s="460"/>
      <c r="J265" s="395"/>
      <c r="K265" s="396"/>
    </row>
    <row r="266" spans="1:11" ht="15.75" x14ac:dyDescent="0.25">
      <c r="A266" s="230">
        <v>260</v>
      </c>
      <c r="B266" s="535"/>
      <c r="C266" s="463"/>
      <c r="D266" s="460"/>
      <c r="E266" s="396"/>
      <c r="F266" s="396"/>
      <c r="G266" s="396"/>
      <c r="H266" s="465"/>
      <c r="I266" s="460"/>
      <c r="J266" s="395"/>
      <c r="K266" s="396"/>
    </row>
    <row r="267" spans="1:11" ht="15.75" x14ac:dyDescent="0.25">
      <c r="A267" s="230">
        <v>261</v>
      </c>
      <c r="B267" s="535"/>
      <c r="C267" s="463"/>
      <c r="D267" s="516"/>
      <c r="E267" s="396"/>
      <c r="F267" s="396"/>
      <c r="G267" s="396"/>
      <c r="H267" s="394"/>
      <c r="I267" s="394"/>
      <c r="J267" s="393"/>
      <c r="K267" s="394"/>
    </row>
    <row r="268" spans="1:11" ht="16.5" thickBot="1" x14ac:dyDescent="0.3">
      <c r="A268" s="230">
        <v>262</v>
      </c>
      <c r="B268" s="535"/>
      <c r="C268" s="537"/>
      <c r="D268" s="538">
        <f>+(E265+G265)*-1</f>
        <v>-4543.0000000000009</v>
      </c>
      <c r="E268" s="539" t="s">
        <v>163</v>
      </c>
      <c r="F268" s="530" t="s">
        <v>519</v>
      </c>
      <c r="G268" s="530"/>
      <c r="H268" s="540"/>
      <c r="I268" s="528"/>
      <c r="J268" s="541"/>
      <c r="K268" s="396"/>
    </row>
    <row r="269" spans="1:11" ht="15.75" x14ac:dyDescent="0.25">
      <c r="A269" s="230">
        <v>263</v>
      </c>
      <c r="B269" s="535"/>
      <c r="C269" s="542"/>
      <c r="D269" s="516"/>
      <c r="E269" s="181"/>
      <c r="F269" s="396"/>
      <c r="G269" s="396"/>
      <c r="H269" s="394"/>
      <c r="I269" s="460"/>
      <c r="J269" s="394"/>
      <c r="K269" s="396"/>
    </row>
    <row r="270" spans="1:11" ht="16.5" thickBot="1" x14ac:dyDescent="0.3">
      <c r="A270" s="230">
        <v>264</v>
      </c>
      <c r="B270" s="535"/>
      <c r="C270" s="542"/>
      <c r="D270" s="516"/>
      <c r="E270" s="181"/>
      <c r="F270" s="396"/>
      <c r="G270" s="396"/>
      <c r="H270" s="394"/>
      <c r="I270" s="460"/>
      <c r="J270" s="394"/>
      <c r="K270" s="396"/>
    </row>
    <row r="271" spans="1:11" ht="15.75" x14ac:dyDescent="0.25">
      <c r="A271" s="230">
        <v>265</v>
      </c>
      <c r="B271" s="535"/>
      <c r="C271" s="543" t="s">
        <v>520</v>
      </c>
      <c r="D271" s="544"/>
      <c r="E271" s="545"/>
      <c r="F271" s="458"/>
      <c r="G271" s="396"/>
      <c r="H271" s="394"/>
      <c r="I271" s="460"/>
      <c r="J271" s="394"/>
      <c r="K271" s="396"/>
    </row>
    <row r="272" spans="1:11" ht="15.75" x14ac:dyDescent="0.25">
      <c r="A272" s="230">
        <v>266</v>
      </c>
      <c r="B272" s="535"/>
      <c r="C272" s="461" t="s">
        <v>521</v>
      </c>
      <c r="D272" s="516"/>
      <c r="E272" s="181"/>
      <c r="F272" s="395"/>
      <c r="G272" s="396"/>
      <c r="H272" s="394"/>
      <c r="I272" s="460"/>
      <c r="J272" s="394"/>
      <c r="K272" s="396"/>
    </row>
    <row r="273" spans="1:11" ht="45.75" x14ac:dyDescent="0.25">
      <c r="A273" s="230">
        <v>267</v>
      </c>
      <c r="B273" s="535"/>
      <c r="C273" s="546" t="s">
        <v>522</v>
      </c>
      <c r="D273" s="547"/>
      <c r="E273" s="548" t="s">
        <v>523</v>
      </c>
      <c r="F273" s="549"/>
      <c r="G273" s="550"/>
      <c r="H273" s="394"/>
      <c r="I273" s="460"/>
      <c r="J273" s="394"/>
      <c r="K273" s="396"/>
    </row>
    <row r="274" spans="1:11" ht="15.75" x14ac:dyDescent="0.25">
      <c r="A274" s="230">
        <v>268</v>
      </c>
      <c r="B274" s="535"/>
      <c r="C274" s="551" t="s">
        <v>524</v>
      </c>
      <c r="D274" s="550">
        <v>22131.58</v>
      </c>
      <c r="E274" s="552">
        <v>443</v>
      </c>
      <c r="F274" s="549"/>
      <c r="G274" s="233"/>
      <c r="H274" s="394"/>
      <c r="I274" s="460"/>
      <c r="J274" s="394"/>
      <c r="K274" s="396"/>
    </row>
    <row r="275" spans="1:11" ht="15.75" x14ac:dyDescent="0.25">
      <c r="A275" s="230">
        <v>269</v>
      </c>
      <c r="B275" s="535"/>
      <c r="C275" s="546" t="s">
        <v>525</v>
      </c>
      <c r="D275" s="550"/>
      <c r="E275" s="552"/>
      <c r="F275" s="549"/>
      <c r="G275" s="233"/>
      <c r="H275" s="394"/>
      <c r="I275" s="460"/>
      <c r="J275" s="394"/>
      <c r="K275" s="396"/>
    </row>
    <row r="276" spans="1:11" ht="30" x14ac:dyDescent="0.25">
      <c r="A276" s="230">
        <v>270</v>
      </c>
      <c r="B276" s="535"/>
      <c r="C276" s="553" t="s">
        <v>526</v>
      </c>
      <c r="D276" s="550">
        <v>19504</v>
      </c>
      <c r="E276" s="552">
        <v>975</v>
      </c>
      <c r="F276" s="549"/>
      <c r="G276" s="233"/>
      <c r="H276" s="394"/>
      <c r="I276" s="460"/>
      <c r="J276" s="394"/>
      <c r="K276" s="396"/>
    </row>
    <row r="277" spans="1:11" ht="30" x14ac:dyDescent="0.25">
      <c r="A277" s="230">
        <v>271</v>
      </c>
      <c r="B277" s="535"/>
      <c r="C277" s="553" t="s">
        <v>527</v>
      </c>
      <c r="D277" s="550">
        <v>18000</v>
      </c>
      <c r="E277" s="554">
        <v>3000</v>
      </c>
      <c r="F277" s="549"/>
      <c r="G277" s="233"/>
      <c r="H277" s="394"/>
      <c r="I277" s="460"/>
      <c r="J277" s="394"/>
      <c r="K277" s="396"/>
    </row>
    <row r="278" spans="1:11" ht="15.75" x14ac:dyDescent="0.25">
      <c r="A278" s="230">
        <v>272</v>
      </c>
      <c r="B278" s="535"/>
      <c r="C278" s="555"/>
      <c r="D278" s="550"/>
      <c r="E278" s="552">
        <f>SUM(E274:E277)</f>
        <v>4418</v>
      </c>
      <c r="F278" s="549"/>
      <c r="G278" s="233"/>
      <c r="H278" s="394"/>
      <c r="I278" s="460"/>
      <c r="J278" s="394"/>
      <c r="K278" s="396"/>
    </row>
    <row r="279" spans="1:11" ht="15.75" x14ac:dyDescent="0.25">
      <c r="A279" s="230">
        <v>273</v>
      </c>
      <c r="B279" s="535"/>
      <c r="C279" s="556" t="s">
        <v>528</v>
      </c>
      <c r="D279" s="547"/>
      <c r="E279" s="547"/>
      <c r="F279" s="549"/>
      <c r="G279" s="550"/>
      <c r="H279" s="394"/>
      <c r="I279" s="460"/>
      <c r="J279" s="394"/>
      <c r="K279" s="396"/>
    </row>
    <row r="280" spans="1:11" ht="15.75" x14ac:dyDescent="0.25">
      <c r="A280" s="230">
        <v>274</v>
      </c>
      <c r="B280" s="535"/>
      <c r="C280" s="551" t="s">
        <v>529</v>
      </c>
      <c r="D280" s="547"/>
      <c r="E280" s="547"/>
      <c r="F280" s="549"/>
      <c r="G280" s="550"/>
      <c r="H280" s="394"/>
      <c r="I280" s="460"/>
      <c r="J280" s="394"/>
      <c r="K280" s="396"/>
    </row>
    <row r="281" spans="1:11" ht="15.75" x14ac:dyDescent="0.25">
      <c r="A281" s="230">
        <v>275</v>
      </c>
      <c r="B281" s="535"/>
      <c r="C281" s="557" t="s">
        <v>530</v>
      </c>
      <c r="D281" s="516"/>
      <c r="E281" s="181"/>
      <c r="F281" s="395"/>
      <c r="G281" s="396"/>
      <c r="H281" s="394"/>
      <c r="I281" s="460"/>
      <c r="J281" s="394"/>
      <c r="K281" s="396"/>
    </row>
    <row r="282" spans="1:11" ht="15.75" x14ac:dyDescent="0.25">
      <c r="A282" s="230">
        <v>276</v>
      </c>
      <c r="B282" s="535"/>
      <c r="C282" s="557" t="s">
        <v>531</v>
      </c>
      <c r="D282" s="516"/>
      <c r="E282" s="181"/>
      <c r="F282" s="395"/>
      <c r="G282" s="396"/>
      <c r="H282" s="394"/>
      <c r="I282" s="460"/>
      <c r="J282" s="394"/>
      <c r="K282" s="396"/>
    </row>
    <row r="283" spans="1:11" ht="15.75" x14ac:dyDescent="0.25">
      <c r="A283" s="230">
        <v>277</v>
      </c>
      <c r="B283" s="535"/>
      <c r="C283" s="461"/>
      <c r="D283" s="516"/>
      <c r="E283" s="181"/>
      <c r="F283" s="395"/>
      <c r="G283" s="396"/>
      <c r="H283" s="394"/>
      <c r="I283" s="460"/>
      <c r="J283" s="394"/>
      <c r="K283" s="396"/>
    </row>
    <row r="284" spans="1:11" ht="26.25" x14ac:dyDescent="0.25">
      <c r="A284" s="230">
        <v>278</v>
      </c>
      <c r="B284" s="535"/>
      <c r="C284" s="558" t="s">
        <v>532</v>
      </c>
      <c r="D284" s="516">
        <v>-8080</v>
      </c>
      <c r="E284" s="181" t="s">
        <v>164</v>
      </c>
      <c r="F284" s="395"/>
      <c r="G284" s="396"/>
      <c r="H284" s="394"/>
      <c r="I284" s="460"/>
      <c r="J284" s="394"/>
      <c r="K284" s="396"/>
    </row>
    <row r="285" spans="1:11" ht="15.75" x14ac:dyDescent="0.25">
      <c r="A285" s="230">
        <v>279</v>
      </c>
      <c r="B285" s="535"/>
      <c r="C285" s="558"/>
      <c r="D285" s="516"/>
      <c r="E285" s="181"/>
      <c r="F285" s="395"/>
      <c r="G285" s="396"/>
      <c r="H285" s="394"/>
      <c r="I285" s="460"/>
      <c r="J285" s="394"/>
      <c r="K285" s="396"/>
    </row>
    <row r="286" spans="1:11" ht="15.75" x14ac:dyDescent="0.25">
      <c r="A286" s="230">
        <v>280</v>
      </c>
      <c r="B286" s="535"/>
      <c r="C286" s="346" t="s">
        <v>533</v>
      </c>
      <c r="D286" s="559"/>
      <c r="E286" s="559"/>
      <c r="F286" s="560"/>
      <c r="G286" s="396"/>
      <c r="H286" s="394"/>
      <c r="I286" s="460"/>
      <c r="J286" s="394"/>
      <c r="K286" s="396"/>
    </row>
    <row r="287" spans="1:11" ht="15.75" x14ac:dyDescent="0.25">
      <c r="A287" s="230">
        <v>281</v>
      </c>
      <c r="B287" s="535"/>
      <c r="C287" s="278" t="s">
        <v>534</v>
      </c>
      <c r="D287" s="559"/>
      <c r="E287" s="559"/>
      <c r="F287" s="560"/>
      <c r="G287" s="396"/>
      <c r="H287" s="394"/>
      <c r="I287" s="460"/>
      <c r="J287" s="394"/>
      <c r="K287" s="396"/>
    </row>
    <row r="288" spans="1:11" ht="60" x14ac:dyDescent="0.25">
      <c r="A288" s="230">
        <v>282</v>
      </c>
      <c r="B288" s="535"/>
      <c r="C288" s="352" t="s">
        <v>535</v>
      </c>
      <c r="D288" s="336">
        <f>'[1]Sch 9 DEPN'!N16</f>
        <v>4588.6082526666669</v>
      </c>
      <c r="E288" s="181" t="s">
        <v>164</v>
      </c>
      <c r="F288" s="373" t="s">
        <v>536</v>
      </c>
      <c r="G288" s="396"/>
      <c r="H288" s="394"/>
      <c r="I288" s="460"/>
      <c r="J288" s="394"/>
      <c r="K288" s="396"/>
    </row>
    <row r="289" spans="1:11" ht="15.75" x14ac:dyDescent="0.25">
      <c r="A289" s="230">
        <v>283</v>
      </c>
      <c r="B289" s="535"/>
      <c r="C289" s="352"/>
      <c r="E289" s="181"/>
      <c r="F289" s="373"/>
      <c r="G289" s="396"/>
      <c r="H289" s="394"/>
      <c r="I289" s="460"/>
      <c r="J289" s="394"/>
      <c r="K289" s="396"/>
    </row>
    <row r="290" spans="1:11" ht="15.75" x14ac:dyDescent="0.25">
      <c r="A290" s="230">
        <v>284</v>
      </c>
      <c r="B290" s="535"/>
      <c r="C290" s="352"/>
      <c r="D290" s="359">
        <f>+D288+D284</f>
        <v>-3491.3917473333331</v>
      </c>
      <c r="E290" s="321" t="s">
        <v>164</v>
      </c>
      <c r="F290" s="373" t="s">
        <v>537</v>
      </c>
      <c r="G290" s="396"/>
      <c r="H290" s="394"/>
      <c r="I290" s="460"/>
      <c r="J290" s="394"/>
      <c r="K290" s="396"/>
    </row>
    <row r="291" spans="1:11" ht="16.5" thickBot="1" x14ac:dyDescent="0.3">
      <c r="A291" s="230">
        <v>285</v>
      </c>
      <c r="B291" s="535"/>
      <c r="C291" s="537"/>
      <c r="D291" s="561"/>
      <c r="E291" s="562"/>
      <c r="F291" s="531"/>
      <c r="G291" s="396"/>
      <c r="H291" s="394"/>
      <c r="I291" s="460"/>
      <c r="J291" s="394"/>
      <c r="K291" s="396"/>
    </row>
    <row r="292" spans="1:11" ht="15.75" x14ac:dyDescent="0.25">
      <c r="A292" s="230">
        <v>286</v>
      </c>
      <c r="B292" s="535"/>
      <c r="C292" s="542"/>
      <c r="D292" s="516"/>
      <c r="E292" s="181"/>
      <c r="F292" s="396"/>
      <c r="G292" s="396"/>
      <c r="H292" s="394"/>
      <c r="I292" s="460"/>
      <c r="J292" s="394"/>
      <c r="K292" s="396"/>
    </row>
    <row r="293" spans="1:11" ht="16.5" thickBot="1" x14ac:dyDescent="0.3">
      <c r="A293" s="230">
        <v>287</v>
      </c>
      <c r="B293" s="535"/>
      <c r="C293" s="465"/>
      <c r="D293" s="460"/>
      <c r="E293" s="396"/>
      <c r="F293" s="396"/>
      <c r="G293" s="396"/>
      <c r="H293" s="394"/>
      <c r="I293" s="394"/>
      <c r="J293" s="394"/>
      <c r="K293" s="394"/>
    </row>
    <row r="294" spans="1:11" ht="15.75" x14ac:dyDescent="0.25">
      <c r="A294" s="230">
        <v>288</v>
      </c>
      <c r="B294" s="535"/>
      <c r="C294" s="563" t="s">
        <v>538</v>
      </c>
      <c r="D294" s="564"/>
      <c r="E294" s="457" t="s">
        <v>539</v>
      </c>
      <c r="F294" s="565"/>
      <c r="G294" s="396"/>
      <c r="H294" s="394"/>
      <c r="I294" s="265"/>
      <c r="K294" s="394"/>
    </row>
    <row r="295" spans="1:11" x14ac:dyDescent="0.25">
      <c r="A295" s="230">
        <v>289</v>
      </c>
      <c r="B295" s="535"/>
      <c r="C295" s="566" t="s">
        <v>178</v>
      </c>
      <c r="D295" s="567">
        <v>32316</v>
      </c>
      <c r="E295" s="568">
        <f>+D295*0.0529</f>
        <v>1709.5164</v>
      </c>
      <c r="F295" s="569" t="s">
        <v>540</v>
      </c>
    </row>
    <row r="296" spans="1:11" ht="15.75" x14ac:dyDescent="0.25">
      <c r="A296" s="230">
        <v>290</v>
      </c>
      <c r="B296" s="535"/>
      <c r="C296" s="479" t="s">
        <v>27</v>
      </c>
      <c r="D296" s="570">
        <v>24739</v>
      </c>
      <c r="E296" s="571">
        <f>+D296*0.0529</f>
        <v>1308.6931</v>
      </c>
      <c r="F296" s="572" t="s">
        <v>540</v>
      </c>
      <c r="G296" s="394"/>
    </row>
    <row r="297" spans="1:11" ht="15.75" x14ac:dyDescent="0.25">
      <c r="A297" s="230">
        <v>291</v>
      </c>
      <c r="B297" s="535"/>
      <c r="C297" s="479"/>
      <c r="D297" s="491"/>
      <c r="E297" s="568">
        <f>SUM(E295:E296)</f>
        <v>3018.2094999999999</v>
      </c>
      <c r="F297" s="573"/>
      <c r="G297" s="574"/>
    </row>
    <row r="298" spans="1:11" ht="15.75" x14ac:dyDescent="0.25">
      <c r="A298" s="230">
        <v>292</v>
      </c>
      <c r="B298" s="535"/>
      <c r="C298" s="479"/>
      <c r="D298" s="575"/>
      <c r="E298" s="576"/>
      <c r="F298" s="573" t="s">
        <v>541</v>
      </c>
      <c r="G298" s="574"/>
    </row>
    <row r="299" spans="1:11" ht="15.75" x14ac:dyDescent="0.25">
      <c r="A299" s="230">
        <v>293</v>
      </c>
      <c r="B299" s="535"/>
      <c r="C299" s="479" t="s">
        <v>63</v>
      </c>
      <c r="D299" s="491">
        <v>3125</v>
      </c>
      <c r="E299" s="576"/>
      <c r="F299" s="573" t="s">
        <v>542</v>
      </c>
      <c r="G299" s="574"/>
    </row>
    <row r="300" spans="1:11" ht="15.75" x14ac:dyDescent="0.25">
      <c r="A300" s="230">
        <v>294</v>
      </c>
      <c r="C300" s="577" t="s">
        <v>543</v>
      </c>
      <c r="D300" s="578">
        <f>+E295*-1</f>
        <v>-1709.5164</v>
      </c>
      <c r="E300" s="513" t="s">
        <v>165</v>
      </c>
      <c r="F300" s="579" t="s">
        <v>544</v>
      </c>
      <c r="G300" s="394"/>
    </row>
    <row r="301" spans="1:11" ht="15.75" x14ac:dyDescent="0.25">
      <c r="A301" s="230">
        <v>295</v>
      </c>
      <c r="C301" s="479" t="s">
        <v>545</v>
      </c>
      <c r="D301" s="491">
        <f>SUM(D299:D300)</f>
        <v>1415.4836</v>
      </c>
      <c r="E301" s="576"/>
      <c r="F301" s="579"/>
      <c r="G301" s="394"/>
    </row>
    <row r="302" spans="1:11" ht="15.75" thickBot="1" x14ac:dyDescent="0.3">
      <c r="A302" s="230">
        <v>296</v>
      </c>
      <c r="C302" s="324"/>
      <c r="D302" s="580"/>
      <c r="E302" s="580"/>
      <c r="F302" s="581"/>
    </row>
    <row r="303" spans="1:11" ht="16.5" thickBot="1" x14ac:dyDescent="0.3">
      <c r="A303" s="230">
        <v>297</v>
      </c>
      <c r="C303" s="582"/>
      <c r="E303" s="583"/>
      <c r="F303" s="584"/>
    </row>
    <row r="304" spans="1:11" x14ac:dyDescent="0.25">
      <c r="A304" s="230">
        <v>298</v>
      </c>
      <c r="C304" s="585" t="s">
        <v>546</v>
      </c>
      <c r="D304" s="586"/>
      <c r="E304" s="586"/>
      <c r="F304" s="586" t="s">
        <v>283</v>
      </c>
      <c r="G304" s="586" t="s">
        <v>284</v>
      </c>
      <c r="H304" s="587"/>
      <c r="I304" s="588"/>
    </row>
    <row r="305" spans="1:9" x14ac:dyDescent="0.25">
      <c r="A305" s="230">
        <v>299</v>
      </c>
      <c r="C305" s="278" t="s">
        <v>65</v>
      </c>
      <c r="D305" s="336">
        <v>2238</v>
      </c>
      <c r="F305" s="336">
        <f>+D305*F315</f>
        <v>509.46782518903166</v>
      </c>
      <c r="G305" s="336">
        <f>+G315*D305</f>
        <v>1728.5321748109682</v>
      </c>
      <c r="I305" s="373"/>
    </row>
    <row r="306" spans="1:9" ht="15.75" x14ac:dyDescent="0.25">
      <c r="A306" s="230">
        <v>300</v>
      </c>
      <c r="C306" s="278" t="s">
        <v>547</v>
      </c>
      <c r="G306" s="589">
        <f>+G305*-1</f>
        <v>-1728.5321748109682</v>
      </c>
      <c r="H306" s="321" t="s">
        <v>167</v>
      </c>
      <c r="I306" s="373"/>
    </row>
    <row r="307" spans="1:9" x14ac:dyDescent="0.25">
      <c r="A307" s="230">
        <v>301</v>
      </c>
      <c r="C307" s="278"/>
      <c r="F307" s="357">
        <f>+F315</f>
        <v>0.22764424718008563</v>
      </c>
      <c r="G307" s="357">
        <f>+G315</f>
        <v>0.77235575281991431</v>
      </c>
      <c r="I307" s="373"/>
    </row>
    <row r="308" spans="1:9" ht="15.75" x14ac:dyDescent="0.25">
      <c r="A308" s="230">
        <v>302</v>
      </c>
      <c r="C308" s="493" t="s">
        <v>548</v>
      </c>
      <c r="I308" s="373"/>
    </row>
    <row r="309" spans="1:9" x14ac:dyDescent="0.25">
      <c r="A309" s="230">
        <v>303</v>
      </c>
      <c r="C309" s="590" t="s">
        <v>280</v>
      </c>
      <c r="D309" s="591" t="s">
        <v>281</v>
      </c>
      <c r="E309" s="591" t="s">
        <v>282</v>
      </c>
      <c r="F309" s="591" t="s">
        <v>283</v>
      </c>
      <c r="G309" s="591" t="s">
        <v>284</v>
      </c>
      <c r="H309" s="590"/>
      <c r="I309" s="590" t="s">
        <v>285</v>
      </c>
    </row>
    <row r="310" spans="1:9" x14ac:dyDescent="0.25">
      <c r="A310" s="230">
        <v>304</v>
      </c>
      <c r="C310" s="278" t="s">
        <v>286</v>
      </c>
      <c r="D310" s="336">
        <v>29.37</v>
      </c>
      <c r="E310" s="354" t="s">
        <v>287</v>
      </c>
      <c r="F310" s="336">
        <v>29.37</v>
      </c>
      <c r="I310" s="592">
        <v>29.37</v>
      </c>
    </row>
    <row r="311" spans="1:9" ht="30" x14ac:dyDescent="0.25">
      <c r="A311" s="230">
        <v>305</v>
      </c>
      <c r="B311" s="232"/>
      <c r="C311" s="352" t="s">
        <v>288</v>
      </c>
      <c r="D311" s="336">
        <v>15000</v>
      </c>
      <c r="E311" s="354" t="s">
        <v>289</v>
      </c>
      <c r="F311" s="336">
        <v>2185.4304635761587</v>
      </c>
      <c r="G311" s="336">
        <v>12814.569536423842</v>
      </c>
      <c r="I311" s="592">
        <v>15000</v>
      </c>
    </row>
    <row r="312" spans="1:9" x14ac:dyDescent="0.25">
      <c r="A312" s="230">
        <v>306</v>
      </c>
      <c r="C312" s="278" t="s">
        <v>383</v>
      </c>
      <c r="D312" s="336">
        <v>3830.03</v>
      </c>
      <c r="E312" s="354" t="s">
        <v>384</v>
      </c>
      <c r="F312" s="336">
        <v>1915.02</v>
      </c>
      <c r="G312" s="336">
        <v>1915.01</v>
      </c>
      <c r="I312" s="592">
        <v>3830.0299999999997</v>
      </c>
    </row>
    <row r="313" spans="1:9" x14ac:dyDescent="0.25">
      <c r="A313" s="230">
        <v>307</v>
      </c>
      <c r="C313" s="278" t="s">
        <v>385</v>
      </c>
      <c r="D313" s="593">
        <v>600</v>
      </c>
      <c r="E313" s="354" t="s">
        <v>384</v>
      </c>
      <c r="F313" s="593">
        <v>300</v>
      </c>
      <c r="G313" s="593">
        <v>300</v>
      </c>
      <c r="I313" s="594">
        <v>600</v>
      </c>
    </row>
    <row r="314" spans="1:9" x14ac:dyDescent="0.25">
      <c r="A314" s="230">
        <v>308</v>
      </c>
      <c r="C314" s="278"/>
      <c r="D314" s="355">
        <f>SUM(D310:D313)</f>
        <v>19459.400000000001</v>
      </c>
      <c r="F314" s="336">
        <v>4429.8204635761585</v>
      </c>
      <c r="G314" s="336">
        <v>15029.579536423842</v>
      </c>
      <c r="I314" s="373">
        <v>19459.400000000001</v>
      </c>
    </row>
    <row r="315" spans="1:9" ht="15.75" thickBot="1" x14ac:dyDescent="0.3">
      <c r="A315" s="230">
        <v>309</v>
      </c>
      <c r="C315" s="324"/>
      <c r="D315" s="595"/>
      <c r="E315" s="580" t="s">
        <v>549</v>
      </c>
      <c r="F315" s="596">
        <f>+F314/D314</f>
        <v>0.22764424718008563</v>
      </c>
      <c r="G315" s="596">
        <f>+G314/D314</f>
        <v>0.77235575281991431</v>
      </c>
      <c r="H315" s="285"/>
      <c r="I315" s="452"/>
    </row>
    <row r="316" spans="1:9" ht="15.75" thickBot="1" x14ac:dyDescent="0.3">
      <c r="A316" s="230">
        <v>310</v>
      </c>
      <c r="D316" s="355"/>
    </row>
    <row r="317" spans="1:9" x14ac:dyDescent="0.25">
      <c r="A317" s="230">
        <v>311</v>
      </c>
      <c r="C317" s="585" t="s">
        <v>66</v>
      </c>
      <c r="D317" s="597"/>
      <c r="E317" s="586"/>
      <c r="F317" s="598"/>
    </row>
    <row r="318" spans="1:9" x14ac:dyDescent="0.25">
      <c r="A318" s="230">
        <v>312</v>
      </c>
      <c r="C318" s="278" t="s">
        <v>435</v>
      </c>
      <c r="D318" s="355"/>
      <c r="F318" s="560"/>
    </row>
    <row r="319" spans="1:9" ht="30" x14ac:dyDescent="0.25">
      <c r="A319" s="230">
        <v>313</v>
      </c>
      <c r="C319" s="352" t="s">
        <v>66</v>
      </c>
      <c r="D319" s="355">
        <v>406</v>
      </c>
      <c r="F319" s="560"/>
    </row>
    <row r="320" spans="1:9" x14ac:dyDescent="0.25">
      <c r="A320" s="230">
        <v>314</v>
      </c>
      <c r="C320" s="278"/>
      <c r="D320" s="355"/>
      <c r="F320" s="560"/>
    </row>
    <row r="321" spans="1:10" x14ac:dyDescent="0.25">
      <c r="A321" s="230">
        <v>315</v>
      </c>
      <c r="C321" s="278" t="s">
        <v>550</v>
      </c>
      <c r="D321" s="355"/>
      <c r="E321" s="336" t="s">
        <v>551</v>
      </c>
      <c r="F321" s="560"/>
    </row>
    <row r="322" spans="1:10" ht="16.5" thickBot="1" x14ac:dyDescent="0.3">
      <c r="A322" s="230">
        <v>316</v>
      </c>
      <c r="C322" s="324" t="s">
        <v>370</v>
      </c>
      <c r="D322" s="599">
        <f>+D321-D319</f>
        <v>-406</v>
      </c>
      <c r="E322" s="428" t="s">
        <v>168</v>
      </c>
      <c r="F322" s="581"/>
    </row>
    <row r="323" spans="1:10" ht="15.75" x14ac:dyDescent="0.25">
      <c r="A323" s="230">
        <v>317</v>
      </c>
      <c r="E323" s="181"/>
    </row>
    <row r="324" spans="1:10" ht="16.5" thickBot="1" x14ac:dyDescent="0.3">
      <c r="A324" s="230">
        <v>318</v>
      </c>
      <c r="E324" s="181"/>
    </row>
    <row r="325" spans="1:10" ht="15.75" x14ac:dyDescent="0.25">
      <c r="A325" s="230">
        <v>319</v>
      </c>
      <c r="C325" s="600" t="s">
        <v>552</v>
      </c>
      <c r="D325" s="586"/>
      <c r="E325" s="545"/>
      <c r="F325" s="586"/>
      <c r="G325" s="586"/>
      <c r="H325" s="587"/>
      <c r="I325" s="587"/>
      <c r="J325" s="588"/>
    </row>
    <row r="326" spans="1:10" ht="15.75" x14ac:dyDescent="0.25">
      <c r="A326" s="230">
        <v>320</v>
      </c>
      <c r="C326" s="278" t="s">
        <v>553</v>
      </c>
      <c r="E326" s="181"/>
      <c r="J326" s="373"/>
    </row>
    <row r="327" spans="1:10" ht="15.75" x14ac:dyDescent="0.25">
      <c r="A327" s="230">
        <v>321</v>
      </c>
      <c r="C327" s="278" t="s">
        <v>554</v>
      </c>
      <c r="E327" s="181"/>
      <c r="J327" s="373"/>
    </row>
    <row r="328" spans="1:10" ht="15.75" x14ac:dyDescent="0.25">
      <c r="A328" s="230">
        <v>322</v>
      </c>
      <c r="C328" s="278"/>
      <c r="E328" s="181"/>
      <c r="J328" s="373"/>
    </row>
    <row r="329" spans="1:10" ht="60" x14ac:dyDescent="0.25">
      <c r="A329" s="230">
        <v>323</v>
      </c>
      <c r="C329" s="278"/>
      <c r="D329" s="601" t="s">
        <v>555</v>
      </c>
      <c r="E329" s="602" t="s">
        <v>556</v>
      </c>
      <c r="F329" s="354" t="s">
        <v>557</v>
      </c>
      <c r="G329" s="354" t="s">
        <v>558</v>
      </c>
      <c r="H329" s="603" t="s">
        <v>559</v>
      </c>
      <c r="I329" s="603" t="s">
        <v>560</v>
      </c>
      <c r="J329" s="521"/>
    </row>
    <row r="330" spans="1:10" ht="15.75" x14ac:dyDescent="0.25">
      <c r="A330" s="230">
        <v>324</v>
      </c>
      <c r="C330" s="278" t="s">
        <v>561</v>
      </c>
      <c r="D330" s="336">
        <v>18</v>
      </c>
      <c r="E330" s="181">
        <v>0</v>
      </c>
      <c r="F330" s="336">
        <v>18</v>
      </c>
      <c r="G330" s="336">
        <v>20</v>
      </c>
      <c r="I330" s="233">
        <v>20</v>
      </c>
      <c r="J330" s="604"/>
    </row>
    <row r="331" spans="1:10" ht="15.75" x14ac:dyDescent="0.25">
      <c r="A331" s="230">
        <v>325</v>
      </c>
      <c r="C331" s="278" t="s">
        <v>562</v>
      </c>
      <c r="D331" s="336">
        <v>9</v>
      </c>
      <c r="E331" s="181">
        <v>1</v>
      </c>
      <c r="F331" s="336">
        <v>10</v>
      </c>
      <c r="G331" s="336">
        <v>12</v>
      </c>
      <c r="I331" s="233">
        <v>12</v>
      </c>
      <c r="J331" s="604"/>
    </row>
    <row r="332" spans="1:10" ht="15.75" x14ac:dyDescent="0.25">
      <c r="A332" s="230">
        <v>326</v>
      </c>
      <c r="C332" s="278" t="s">
        <v>563</v>
      </c>
      <c r="D332" s="336">
        <v>17</v>
      </c>
      <c r="E332" s="181">
        <v>2</v>
      </c>
      <c r="F332" s="336">
        <v>19</v>
      </c>
      <c r="G332" s="336">
        <v>44</v>
      </c>
      <c r="I332" s="233">
        <v>44</v>
      </c>
      <c r="J332" s="604"/>
    </row>
    <row r="333" spans="1:10" ht="15.75" x14ac:dyDescent="0.25">
      <c r="A333" s="230">
        <v>327</v>
      </c>
      <c r="C333" s="278" t="s">
        <v>564</v>
      </c>
      <c r="D333" s="336">
        <v>27</v>
      </c>
      <c r="E333" s="181">
        <v>4</v>
      </c>
      <c r="F333" s="336">
        <v>31</v>
      </c>
      <c r="G333" s="336">
        <v>63</v>
      </c>
      <c r="I333" s="233">
        <v>63</v>
      </c>
      <c r="J333" s="604"/>
    </row>
    <row r="334" spans="1:10" ht="15.75" x14ac:dyDescent="0.25">
      <c r="A334" s="230">
        <v>328</v>
      </c>
      <c r="C334" s="278" t="s">
        <v>565</v>
      </c>
      <c r="D334" s="336">
        <v>15</v>
      </c>
      <c r="E334" s="181">
        <v>7</v>
      </c>
      <c r="F334" s="336">
        <v>22</v>
      </c>
      <c r="G334" s="336">
        <v>43</v>
      </c>
      <c r="I334" s="233">
        <v>43</v>
      </c>
      <c r="J334" s="604"/>
    </row>
    <row r="335" spans="1:10" ht="15.75" x14ac:dyDescent="0.25">
      <c r="A335" s="230">
        <v>329</v>
      </c>
      <c r="C335" s="278" t="s">
        <v>566</v>
      </c>
      <c r="D335" s="336">
        <v>1</v>
      </c>
      <c r="E335" s="181">
        <v>7</v>
      </c>
      <c r="F335" s="336">
        <v>8</v>
      </c>
      <c r="G335" s="336">
        <v>34</v>
      </c>
      <c r="I335" s="233">
        <v>34</v>
      </c>
      <c r="J335" s="604"/>
    </row>
    <row r="336" spans="1:10" ht="15.75" x14ac:dyDescent="0.25">
      <c r="A336" s="230">
        <v>330</v>
      </c>
      <c r="C336" s="346" t="s">
        <v>567</v>
      </c>
      <c r="D336" s="605">
        <v>87</v>
      </c>
      <c r="E336" s="181">
        <v>21</v>
      </c>
      <c r="F336" s="336">
        <v>108</v>
      </c>
      <c r="G336" s="605"/>
      <c r="H336" s="606"/>
      <c r="I336" s="606"/>
      <c r="J336" s="373"/>
    </row>
    <row r="337" spans="1:10" ht="15.75" x14ac:dyDescent="0.25">
      <c r="A337" s="230">
        <v>331</v>
      </c>
      <c r="C337" s="278"/>
      <c r="E337" s="181"/>
      <c r="J337" s="373"/>
    </row>
    <row r="338" spans="1:10" ht="15.75" x14ac:dyDescent="0.25">
      <c r="A338" s="230">
        <v>332</v>
      </c>
      <c r="C338" s="278" t="s">
        <v>568</v>
      </c>
      <c r="D338" s="336">
        <v>0</v>
      </c>
      <c r="E338" s="181">
        <v>0</v>
      </c>
      <c r="F338" s="336">
        <v>0</v>
      </c>
      <c r="G338" s="336">
        <v>0</v>
      </c>
      <c r="H338" s="606">
        <v>5</v>
      </c>
      <c r="I338" s="233">
        <v>12</v>
      </c>
      <c r="J338" s="373"/>
    </row>
    <row r="339" spans="1:10" ht="15.75" x14ac:dyDescent="0.25">
      <c r="A339" s="230">
        <v>333</v>
      </c>
      <c r="C339" s="278" t="s">
        <v>569</v>
      </c>
      <c r="D339" s="336">
        <v>0</v>
      </c>
      <c r="E339" s="181">
        <v>0</v>
      </c>
      <c r="F339" s="336">
        <v>0</v>
      </c>
      <c r="G339" s="336">
        <v>0</v>
      </c>
      <c r="H339" s="606">
        <v>19</v>
      </c>
      <c r="I339" s="233">
        <v>24</v>
      </c>
      <c r="J339" s="373"/>
    </row>
    <row r="340" spans="1:10" ht="15.75" x14ac:dyDescent="0.25">
      <c r="A340" s="230">
        <v>334</v>
      </c>
      <c r="C340" s="278"/>
      <c r="E340" s="181"/>
      <c r="J340" s="373"/>
    </row>
    <row r="341" spans="1:10" ht="15.75" x14ac:dyDescent="0.25">
      <c r="A341" s="230">
        <v>335</v>
      </c>
      <c r="C341" s="278"/>
      <c r="E341" s="181"/>
      <c r="J341" s="373"/>
    </row>
    <row r="342" spans="1:10" ht="15.75" x14ac:dyDescent="0.25">
      <c r="A342" s="230">
        <v>336</v>
      </c>
      <c r="C342" s="278" t="s">
        <v>570</v>
      </c>
      <c r="E342" s="181"/>
      <c r="J342" s="373"/>
    </row>
    <row r="343" spans="1:10" ht="15.75" x14ac:dyDescent="0.25">
      <c r="A343" s="230">
        <v>337</v>
      </c>
      <c r="C343" s="278" t="s">
        <v>571</v>
      </c>
      <c r="D343" s="336">
        <f>+D336</f>
        <v>87</v>
      </c>
      <c r="E343" s="181"/>
      <c r="G343" s="233"/>
      <c r="J343" s="373"/>
    </row>
    <row r="344" spans="1:10" ht="15.75" x14ac:dyDescent="0.25">
      <c r="A344" s="230">
        <v>338</v>
      </c>
      <c r="C344" s="278" t="s">
        <v>568</v>
      </c>
      <c r="D344" s="336">
        <f>+H338</f>
        <v>5</v>
      </c>
      <c r="E344" s="181"/>
      <c r="J344" s="373"/>
    </row>
    <row r="345" spans="1:10" ht="15.75" x14ac:dyDescent="0.25">
      <c r="A345" s="230">
        <v>339</v>
      </c>
      <c r="C345" s="278" t="s">
        <v>572</v>
      </c>
      <c r="D345" s="336">
        <f>+H339</f>
        <v>19</v>
      </c>
      <c r="E345" s="181"/>
      <c r="J345" s="373"/>
    </row>
    <row r="346" spans="1:10" ht="15.75" x14ac:dyDescent="0.25">
      <c r="A346" s="230">
        <v>340</v>
      </c>
      <c r="C346" s="346" t="s">
        <v>573</v>
      </c>
      <c r="D346" s="605">
        <f>SUM(D343:D345)</f>
        <v>111</v>
      </c>
      <c r="E346" s="607" t="s">
        <v>574</v>
      </c>
      <c r="J346" s="373"/>
    </row>
    <row r="347" spans="1:10" ht="15.75" x14ac:dyDescent="0.25">
      <c r="A347" s="230">
        <v>341</v>
      </c>
      <c r="C347" s="346"/>
      <c r="D347" s="605"/>
      <c r="E347" s="607"/>
      <c r="J347" s="373"/>
    </row>
    <row r="348" spans="1:10" ht="15.75" x14ac:dyDescent="0.25">
      <c r="A348" s="230">
        <v>342</v>
      </c>
      <c r="C348" s="346"/>
      <c r="D348" s="605" t="s">
        <v>575</v>
      </c>
      <c r="E348" s="607" t="s">
        <v>576</v>
      </c>
      <c r="H348" s="233" t="s">
        <v>577</v>
      </c>
      <c r="J348" s="373"/>
    </row>
    <row r="349" spans="1:10" ht="15.75" x14ac:dyDescent="0.25">
      <c r="A349" s="230">
        <v>343</v>
      </c>
      <c r="C349" s="346" t="s">
        <v>578</v>
      </c>
      <c r="D349" s="605">
        <v>115</v>
      </c>
      <c r="E349" s="181">
        <f>+[1]Input!B9</f>
        <v>88</v>
      </c>
      <c r="F349" s="336" t="s">
        <v>579</v>
      </c>
      <c r="H349" s="233" t="s">
        <v>580</v>
      </c>
      <c r="J349" s="373"/>
    </row>
    <row r="350" spans="1:10" ht="15.75" x14ac:dyDescent="0.25">
      <c r="A350" s="230">
        <v>344</v>
      </c>
      <c r="C350" s="346" t="s">
        <v>581</v>
      </c>
      <c r="D350" s="605">
        <f>+D349-E349</f>
        <v>27</v>
      </c>
      <c r="E350" s="181"/>
      <c r="J350" s="373"/>
    </row>
    <row r="351" spans="1:10" ht="15.75" x14ac:dyDescent="0.25">
      <c r="A351" s="230">
        <v>345</v>
      </c>
      <c r="C351" s="346" t="s">
        <v>582</v>
      </c>
      <c r="D351" s="357">
        <f>+D350/E349</f>
        <v>0.30681818181818182</v>
      </c>
      <c r="E351" s="181"/>
      <c r="J351" s="373"/>
    </row>
    <row r="352" spans="1:10" ht="15.75" x14ac:dyDescent="0.25">
      <c r="A352" s="230">
        <v>346</v>
      </c>
      <c r="C352" s="346"/>
      <c r="D352" s="605"/>
      <c r="E352" s="181"/>
      <c r="J352" s="373"/>
    </row>
    <row r="353" spans="1:10" x14ac:dyDescent="0.25">
      <c r="A353" s="230">
        <v>347</v>
      </c>
      <c r="C353" s="278" t="s">
        <v>583</v>
      </c>
      <c r="D353" s="355">
        <f>+D349*400</f>
        <v>46000</v>
      </c>
      <c r="J353" s="373"/>
    </row>
    <row r="354" spans="1:10" x14ac:dyDescent="0.25">
      <c r="A354" s="230">
        <v>348</v>
      </c>
      <c r="C354" s="278" t="s">
        <v>584</v>
      </c>
      <c r="D354" s="355">
        <v>24739</v>
      </c>
      <c r="J354" s="373"/>
    </row>
    <row r="355" spans="1:10" ht="15.75" x14ac:dyDescent="0.25">
      <c r="A355" s="230">
        <v>349</v>
      </c>
      <c r="C355" s="278" t="s">
        <v>585</v>
      </c>
      <c r="D355" s="358">
        <f>+D353-D354</f>
        <v>21261</v>
      </c>
      <c r="E355" s="321" t="s">
        <v>586</v>
      </c>
      <c r="F355" s="255">
        <f>+D355/D354</f>
        <v>0.85941226403654147</v>
      </c>
      <c r="J355" s="373"/>
    </row>
    <row r="356" spans="1:10" ht="15.75" x14ac:dyDescent="0.25">
      <c r="A356" s="230">
        <v>350</v>
      </c>
      <c r="C356" s="278"/>
      <c r="D356" s="355"/>
      <c r="E356" s="181"/>
      <c r="J356" s="373"/>
    </row>
    <row r="357" spans="1:10" ht="15.75" x14ac:dyDescent="0.25">
      <c r="A357" s="230">
        <v>351</v>
      </c>
      <c r="C357" s="346" t="s">
        <v>587</v>
      </c>
      <c r="D357" s="355" t="s">
        <v>588</v>
      </c>
      <c r="E357" s="607" t="s">
        <v>589</v>
      </c>
      <c r="G357" s="336" t="s">
        <v>590</v>
      </c>
      <c r="H357" s="608" t="s">
        <v>591</v>
      </c>
      <c r="J357" s="373"/>
    </row>
    <row r="358" spans="1:10" x14ac:dyDescent="0.25">
      <c r="A358" s="230">
        <v>352</v>
      </c>
      <c r="C358" s="278"/>
      <c r="E358" s="350"/>
      <c r="F358" s="350"/>
      <c r="H358" s="233" t="s">
        <v>592</v>
      </c>
      <c r="J358" s="373"/>
    </row>
    <row r="359" spans="1:10" ht="15.75" x14ac:dyDescent="0.25">
      <c r="A359" s="230">
        <v>353</v>
      </c>
      <c r="C359" s="278" t="s">
        <v>593</v>
      </c>
      <c r="D359" s="355">
        <v>14468</v>
      </c>
      <c r="E359" s="321">
        <f>+D359*G359</f>
        <v>7693.2748837209283</v>
      </c>
      <c r="F359" s="350" t="s">
        <v>586</v>
      </c>
      <c r="G359" s="609">
        <f>+F366</f>
        <v>0.53174418604651152</v>
      </c>
      <c r="H359" s="233" t="s">
        <v>594</v>
      </c>
      <c r="J359" s="373"/>
    </row>
    <row r="360" spans="1:10" ht="15.75" x14ac:dyDescent="0.25">
      <c r="A360" s="230">
        <v>354</v>
      </c>
      <c r="C360" s="278" t="s">
        <v>595</v>
      </c>
      <c r="D360" s="355">
        <f>F220</f>
        <v>188.85000000000014</v>
      </c>
      <c r="E360" s="321">
        <f>+D360*D351</f>
        <v>57.942613636363681</v>
      </c>
      <c r="F360" s="350" t="s">
        <v>586</v>
      </c>
      <c r="G360" s="255">
        <f>+D351</f>
        <v>0.30681818181818182</v>
      </c>
      <c r="H360" s="233" t="s">
        <v>596</v>
      </c>
      <c r="J360" s="373"/>
    </row>
    <row r="361" spans="1:10" ht="15.75" x14ac:dyDescent="0.25">
      <c r="A361" s="230">
        <v>355</v>
      </c>
      <c r="C361" s="278" t="s">
        <v>597</v>
      </c>
      <c r="D361" s="355">
        <f>+F223</f>
        <v>131.39999999999998</v>
      </c>
      <c r="E361" s="610">
        <f>+D361*D351</f>
        <v>40.315909090909088</v>
      </c>
      <c r="F361" s="350" t="s">
        <v>586</v>
      </c>
      <c r="G361" s="255">
        <f>+D351</f>
        <v>0.30681818181818182</v>
      </c>
      <c r="H361" s="233" t="s">
        <v>598</v>
      </c>
      <c r="J361" s="373"/>
    </row>
    <row r="362" spans="1:10" ht="15.75" x14ac:dyDescent="0.25">
      <c r="A362" s="230">
        <v>356</v>
      </c>
      <c r="C362" s="611"/>
      <c r="D362" s="355"/>
      <c r="E362" s="181">
        <f>SUM(E359:E361)</f>
        <v>7791.5334064482013</v>
      </c>
      <c r="F362" s="612"/>
      <c r="H362" s="233" t="s">
        <v>599</v>
      </c>
      <c r="J362" s="373"/>
    </row>
    <row r="363" spans="1:10" ht="15.75" x14ac:dyDescent="0.25">
      <c r="A363" s="230">
        <v>357</v>
      </c>
      <c r="C363" s="278"/>
      <c r="D363" s="355"/>
      <c r="E363" s="181"/>
      <c r="F363" s="612"/>
      <c r="J363" s="373"/>
    </row>
    <row r="364" spans="1:10" ht="15.75" x14ac:dyDescent="0.25">
      <c r="A364" s="230">
        <v>358</v>
      </c>
      <c r="C364" s="278" t="s">
        <v>600</v>
      </c>
      <c r="D364" s="355"/>
      <c r="E364" s="181"/>
      <c r="F364" s="612"/>
      <c r="J364" s="373"/>
    </row>
    <row r="365" spans="1:10" ht="15.75" x14ac:dyDescent="0.25">
      <c r="A365" s="230">
        <v>359</v>
      </c>
      <c r="C365" s="278"/>
      <c r="D365" s="613">
        <v>2009</v>
      </c>
      <c r="E365" s="614">
        <v>2011</v>
      </c>
      <c r="F365" s="612" t="s">
        <v>601</v>
      </c>
      <c r="J365" s="373"/>
    </row>
    <row r="366" spans="1:10" ht="15.75" x14ac:dyDescent="0.25">
      <c r="A366" s="230">
        <v>360</v>
      </c>
      <c r="C366" s="278" t="s">
        <v>602</v>
      </c>
      <c r="D366" s="615">
        <v>86</v>
      </c>
      <c r="E366" s="616">
        <v>131.72999999999999</v>
      </c>
      <c r="F366" s="617">
        <f>+(E366-D366)/D366</f>
        <v>0.53174418604651152</v>
      </c>
      <c r="G366" s="336" t="s">
        <v>603</v>
      </c>
      <c r="J366" s="373"/>
    </row>
    <row r="367" spans="1:10" ht="15.75" thickBot="1" x14ac:dyDescent="0.3">
      <c r="A367" s="230">
        <v>361</v>
      </c>
      <c r="C367" s="324" t="s">
        <v>604</v>
      </c>
      <c r="D367" s="618">
        <v>583</v>
      </c>
      <c r="E367" s="619">
        <v>525.67999999999995</v>
      </c>
      <c r="F367" s="620">
        <f>+(E367-D367)/D367</f>
        <v>-9.8319039451115003E-2</v>
      </c>
      <c r="G367" s="580" t="s">
        <v>605</v>
      </c>
      <c r="H367" s="285"/>
      <c r="I367" s="285"/>
      <c r="J367" s="452"/>
    </row>
    <row r="368" spans="1:10" ht="15.75" thickBot="1" x14ac:dyDescent="0.3">
      <c r="A368" s="230">
        <v>362</v>
      </c>
      <c r="D368" s="615"/>
      <c r="E368" s="621"/>
    </row>
    <row r="369" spans="1:13" ht="15.75" x14ac:dyDescent="0.25">
      <c r="A369" s="230">
        <v>363</v>
      </c>
      <c r="C369" s="266"/>
      <c r="D369" s="267"/>
      <c r="E369" s="267"/>
      <c r="F369" s="267"/>
      <c r="G369" s="268"/>
    </row>
    <row r="370" spans="1:13" ht="15.75" x14ac:dyDescent="0.25">
      <c r="A370" s="230">
        <v>364</v>
      </c>
      <c r="C370" s="271" t="s">
        <v>300</v>
      </c>
      <c r="D370" s="62"/>
      <c r="E370" s="62"/>
      <c r="F370" s="62"/>
      <c r="G370" s="270"/>
    </row>
    <row r="371" spans="1:13" ht="15.75" x14ac:dyDescent="0.25">
      <c r="A371" s="230">
        <v>365</v>
      </c>
      <c r="C371" s="271" t="s">
        <v>301</v>
      </c>
      <c r="D371" s="62"/>
      <c r="E371" s="62"/>
      <c r="F371" s="62"/>
      <c r="G371" s="270"/>
    </row>
    <row r="372" spans="1:13" ht="15.75" x14ac:dyDescent="0.25">
      <c r="A372" s="230">
        <v>366</v>
      </c>
      <c r="C372" s="272" t="s">
        <v>44</v>
      </c>
      <c r="D372" s="62">
        <v>10572</v>
      </c>
      <c r="E372" s="273" t="s">
        <v>302</v>
      </c>
      <c r="F372" s="62"/>
      <c r="G372" s="270"/>
    </row>
    <row r="373" spans="1:13" ht="15.75" x14ac:dyDescent="0.25">
      <c r="A373" s="230">
        <v>367</v>
      </c>
      <c r="C373" s="274"/>
      <c r="D373" s="62">
        <v>-10572</v>
      </c>
      <c r="E373" s="622" t="s">
        <v>147</v>
      </c>
      <c r="F373" s="62"/>
      <c r="G373" s="270"/>
    </row>
    <row r="374" spans="1:13" ht="15.75" x14ac:dyDescent="0.25">
      <c r="A374" s="230">
        <v>368</v>
      </c>
      <c r="C374" s="274"/>
      <c r="D374" s="62"/>
      <c r="E374" s="238"/>
      <c r="F374" s="62"/>
      <c r="G374" s="270"/>
    </row>
    <row r="375" spans="1:13" ht="15.75" x14ac:dyDescent="0.25">
      <c r="A375" s="230">
        <v>369</v>
      </c>
      <c r="C375" s="276" t="s">
        <v>303</v>
      </c>
      <c r="D375" s="62"/>
      <c r="E375" s="238"/>
      <c r="F375" s="62"/>
      <c r="G375" s="270"/>
    </row>
    <row r="376" spans="1:13" ht="15.75" x14ac:dyDescent="0.25">
      <c r="A376" s="230">
        <v>370</v>
      </c>
      <c r="C376" s="277" t="s">
        <v>304</v>
      </c>
      <c r="D376" s="62">
        <v>15298</v>
      </c>
      <c r="E376" s="273" t="s">
        <v>305</v>
      </c>
      <c r="F376" s="62"/>
      <c r="G376" s="270"/>
    </row>
    <row r="377" spans="1:13" ht="15.75" x14ac:dyDescent="0.25">
      <c r="A377" s="230">
        <v>371</v>
      </c>
      <c r="C377" s="277" t="s">
        <v>306</v>
      </c>
      <c r="D377" s="62">
        <v>-830</v>
      </c>
      <c r="E377" s="273" t="s">
        <v>307</v>
      </c>
      <c r="F377" s="62"/>
      <c r="G377" s="270"/>
    </row>
    <row r="378" spans="1:13" ht="15.75" x14ac:dyDescent="0.25">
      <c r="A378" s="230">
        <v>372</v>
      </c>
      <c r="C378" s="278"/>
      <c r="D378" s="623">
        <f>+D377+D376</f>
        <v>14468</v>
      </c>
      <c r="E378" s="280" t="s">
        <v>308</v>
      </c>
      <c r="F378" s="62"/>
      <c r="G378" s="270"/>
    </row>
    <row r="379" spans="1:13" ht="15.75" x14ac:dyDescent="0.25">
      <c r="A379" s="230">
        <v>373</v>
      </c>
      <c r="C379" s="274"/>
      <c r="D379" s="62"/>
      <c r="E379" s="62"/>
      <c r="F379" s="62"/>
      <c r="G379" s="270"/>
    </row>
    <row r="380" spans="1:13" x14ac:dyDescent="0.25">
      <c r="A380" s="230">
        <v>374</v>
      </c>
      <c r="C380" s="281" t="s">
        <v>309</v>
      </c>
      <c r="D380" s="265"/>
      <c r="E380" s="265"/>
      <c r="F380" s="265"/>
      <c r="G380" s="282"/>
    </row>
    <row r="381" spans="1:13" ht="15.75" thickBot="1" x14ac:dyDescent="0.3">
      <c r="A381" s="230">
        <v>375</v>
      </c>
      <c r="C381" s="283" t="s">
        <v>310</v>
      </c>
      <c r="D381" s="284"/>
      <c r="E381" s="285"/>
      <c r="F381" s="286"/>
      <c r="G381" s="287"/>
    </row>
    <row r="382" spans="1:13" x14ac:dyDescent="0.25">
      <c r="A382" s="230">
        <v>376</v>
      </c>
    </row>
    <row r="383" spans="1:13" ht="15.75" thickBot="1" x14ac:dyDescent="0.3">
      <c r="A383" s="230">
        <v>377</v>
      </c>
      <c r="C383" s="559"/>
    </row>
    <row r="384" spans="1:13" ht="45" x14ac:dyDescent="0.25">
      <c r="A384" s="230">
        <v>378</v>
      </c>
      <c r="C384" s="624" t="s">
        <v>606</v>
      </c>
      <c r="D384" s="625" t="s">
        <v>607</v>
      </c>
      <c r="E384" s="626" t="s">
        <v>608</v>
      </c>
      <c r="F384" s="626" t="s">
        <v>295</v>
      </c>
      <c r="G384" s="626" t="s">
        <v>609</v>
      </c>
      <c r="H384" s="626" t="s">
        <v>610</v>
      </c>
      <c r="I384" s="627" t="s">
        <v>611</v>
      </c>
      <c r="J384" s="628" t="s">
        <v>612</v>
      </c>
      <c r="K384" s="628" t="s">
        <v>613</v>
      </c>
      <c r="L384" s="629" t="s">
        <v>614</v>
      </c>
      <c r="M384" s="630" t="s">
        <v>615</v>
      </c>
    </row>
    <row r="385" spans="1:13" x14ac:dyDescent="0.25">
      <c r="A385" s="230">
        <v>379</v>
      </c>
      <c r="C385" s="631" t="s">
        <v>616</v>
      </c>
      <c r="D385" s="632"/>
      <c r="E385" s="359"/>
      <c r="F385" s="359"/>
      <c r="G385" s="359"/>
      <c r="H385" s="359"/>
      <c r="I385" s="633"/>
      <c r="J385" s="634"/>
      <c r="K385" s="634"/>
      <c r="L385" s="635"/>
      <c r="M385" s="636"/>
    </row>
    <row r="386" spans="1:13" ht="15.75" x14ac:dyDescent="0.25">
      <c r="A386" s="230">
        <v>380</v>
      </c>
      <c r="C386" s="637">
        <v>20415</v>
      </c>
      <c r="D386" s="638">
        <v>40238</v>
      </c>
      <c r="E386" s="638">
        <v>40189</v>
      </c>
      <c r="F386" s="394" t="s">
        <v>617</v>
      </c>
      <c r="G386" s="356">
        <v>200</v>
      </c>
      <c r="H386" s="356"/>
      <c r="I386" s="639"/>
      <c r="J386" s="356"/>
      <c r="K386" s="356"/>
      <c r="L386" s="347">
        <f>SUM(G386:K386)</f>
        <v>200</v>
      </c>
      <c r="M386" s="640">
        <f>+L386</f>
        <v>200</v>
      </c>
    </row>
    <row r="387" spans="1:13" ht="15.75" x14ac:dyDescent="0.25">
      <c r="A387" s="230">
        <v>381</v>
      </c>
      <c r="C387" s="641">
        <v>20469</v>
      </c>
      <c r="D387" s="642">
        <v>40269</v>
      </c>
      <c r="E387" s="638">
        <v>40254</v>
      </c>
      <c r="F387" s="394" t="s">
        <v>618</v>
      </c>
      <c r="G387" s="356"/>
      <c r="H387" s="356">
        <v>50</v>
      </c>
      <c r="I387" s="639"/>
      <c r="J387" s="356"/>
      <c r="K387" s="356"/>
      <c r="L387" s="347">
        <f t="shared" ref="L387:L450" si="0">SUM(G387:K387)</f>
        <v>50</v>
      </c>
      <c r="M387" s="373"/>
    </row>
    <row r="388" spans="1:13" ht="15.75" x14ac:dyDescent="0.25">
      <c r="A388" s="230">
        <v>382</v>
      </c>
      <c r="C388" s="641">
        <v>20469</v>
      </c>
      <c r="D388" s="642">
        <v>40269</v>
      </c>
      <c r="E388" s="638">
        <v>40259</v>
      </c>
      <c r="F388" s="394" t="s">
        <v>619</v>
      </c>
      <c r="G388" s="356">
        <v>200</v>
      </c>
      <c r="H388" s="356"/>
      <c r="I388" s="639"/>
      <c r="J388" s="356"/>
      <c r="K388" s="356"/>
      <c r="L388" s="347">
        <f t="shared" si="0"/>
        <v>200</v>
      </c>
      <c r="M388" s="373"/>
    </row>
    <row r="389" spans="1:13" ht="15.75" x14ac:dyDescent="0.25">
      <c r="A389" s="230">
        <v>383</v>
      </c>
      <c r="C389" s="641">
        <v>20469</v>
      </c>
      <c r="D389" s="642">
        <v>40269</v>
      </c>
      <c r="E389" s="638">
        <v>40262</v>
      </c>
      <c r="F389" s="582" t="s">
        <v>620</v>
      </c>
      <c r="G389" s="643">
        <v>200</v>
      </c>
      <c r="H389" s="643"/>
      <c r="I389" s="639"/>
      <c r="J389" s="644"/>
      <c r="K389" s="644"/>
      <c r="L389" s="347">
        <f t="shared" si="0"/>
        <v>200</v>
      </c>
      <c r="M389" s="645"/>
    </row>
    <row r="390" spans="1:13" ht="15.75" x14ac:dyDescent="0.25">
      <c r="A390" s="230">
        <v>384</v>
      </c>
      <c r="C390" s="641">
        <v>20469</v>
      </c>
      <c r="D390" s="642">
        <v>40269</v>
      </c>
      <c r="E390" s="646">
        <v>40263</v>
      </c>
      <c r="F390" s="509" t="s">
        <v>621</v>
      </c>
      <c r="G390" s="464">
        <v>100</v>
      </c>
      <c r="H390" s="464"/>
      <c r="I390" s="639"/>
      <c r="J390" s="644"/>
      <c r="K390" s="644"/>
      <c r="L390" s="347">
        <f t="shared" si="0"/>
        <v>100</v>
      </c>
      <c r="M390" s="647"/>
    </row>
    <row r="391" spans="1:13" ht="15.75" x14ac:dyDescent="0.25">
      <c r="A391" s="230">
        <v>385</v>
      </c>
      <c r="C391" s="641">
        <v>20469</v>
      </c>
      <c r="D391" s="642">
        <v>40269</v>
      </c>
      <c r="E391" s="646">
        <v>40266</v>
      </c>
      <c r="F391" s="509" t="s">
        <v>622</v>
      </c>
      <c r="G391" s="464">
        <v>125</v>
      </c>
      <c r="H391" s="464"/>
      <c r="I391" s="639"/>
      <c r="J391" s="644"/>
      <c r="K391" s="644"/>
      <c r="L391" s="347">
        <f t="shared" si="0"/>
        <v>125</v>
      </c>
      <c r="M391" s="648"/>
    </row>
    <row r="392" spans="1:13" ht="15.75" x14ac:dyDescent="0.25">
      <c r="A392" s="230">
        <v>386</v>
      </c>
      <c r="C392" s="641">
        <v>20469</v>
      </c>
      <c r="D392" s="642">
        <v>40269</v>
      </c>
      <c r="E392" s="646">
        <v>40268</v>
      </c>
      <c r="F392" s="509" t="s">
        <v>623</v>
      </c>
      <c r="G392" s="464">
        <v>100</v>
      </c>
      <c r="H392" s="464"/>
      <c r="I392" s="639"/>
      <c r="J392" s="356"/>
      <c r="K392" s="356"/>
      <c r="L392" s="347">
        <f t="shared" si="0"/>
        <v>100</v>
      </c>
      <c r="M392" s="640">
        <f>SUM(L387:L392)</f>
        <v>775</v>
      </c>
    </row>
    <row r="393" spans="1:13" ht="15.75" x14ac:dyDescent="0.25">
      <c r="A393" s="230">
        <v>387</v>
      </c>
      <c r="C393" s="641">
        <v>20525</v>
      </c>
      <c r="D393" s="646">
        <v>40301</v>
      </c>
      <c r="E393" s="646">
        <v>40270</v>
      </c>
      <c r="F393" s="509" t="s">
        <v>624</v>
      </c>
      <c r="G393" s="464"/>
      <c r="H393" s="464"/>
      <c r="I393" s="639"/>
      <c r="J393" s="356">
        <v>75</v>
      </c>
      <c r="K393" s="356"/>
      <c r="L393" s="347">
        <f t="shared" si="0"/>
        <v>75</v>
      </c>
      <c r="M393" s="373"/>
    </row>
    <row r="394" spans="1:13" ht="15.75" x14ac:dyDescent="0.25">
      <c r="A394" s="230">
        <v>388</v>
      </c>
      <c r="C394" s="641">
        <v>20525</v>
      </c>
      <c r="D394" s="646">
        <v>40301</v>
      </c>
      <c r="E394" s="646">
        <v>40273</v>
      </c>
      <c r="F394" s="509" t="s">
        <v>625</v>
      </c>
      <c r="G394" s="464"/>
      <c r="H394" s="464"/>
      <c r="I394" s="639"/>
      <c r="J394" s="356">
        <v>50</v>
      </c>
      <c r="K394" s="356"/>
      <c r="L394" s="347">
        <f t="shared" si="0"/>
        <v>50</v>
      </c>
      <c r="M394" s="373"/>
    </row>
    <row r="395" spans="1:13" ht="15.75" x14ac:dyDescent="0.25">
      <c r="A395" s="230">
        <v>389</v>
      </c>
      <c r="C395" s="641">
        <v>20525</v>
      </c>
      <c r="D395" s="649">
        <v>40301</v>
      </c>
      <c r="E395" s="646">
        <v>40275</v>
      </c>
      <c r="F395" s="509" t="s">
        <v>626</v>
      </c>
      <c r="G395" s="464"/>
      <c r="H395" s="464"/>
      <c r="I395" s="639">
        <v>125</v>
      </c>
      <c r="J395" s="356"/>
      <c r="K395" s="356"/>
      <c r="L395" s="347">
        <f t="shared" si="0"/>
        <v>125</v>
      </c>
      <c r="M395" s="373"/>
    </row>
    <row r="396" spans="1:13" ht="15.75" x14ac:dyDescent="0.25">
      <c r="A396" s="230">
        <v>390</v>
      </c>
      <c r="C396" s="641">
        <v>20525</v>
      </c>
      <c r="D396" s="646">
        <v>40301</v>
      </c>
      <c r="E396" s="646">
        <v>40288</v>
      </c>
      <c r="F396" s="509" t="s">
        <v>627</v>
      </c>
      <c r="G396" s="464">
        <v>325</v>
      </c>
      <c r="H396" s="464"/>
      <c r="I396" s="639"/>
      <c r="J396" s="356"/>
      <c r="K396" s="356"/>
      <c r="L396" s="347">
        <f t="shared" si="0"/>
        <v>325</v>
      </c>
      <c r="M396" s="373"/>
    </row>
    <row r="397" spans="1:13" ht="15.75" x14ac:dyDescent="0.25">
      <c r="A397" s="230">
        <v>391</v>
      </c>
      <c r="C397" s="641">
        <v>20525</v>
      </c>
      <c r="D397" s="646">
        <v>40301</v>
      </c>
      <c r="E397" s="646">
        <v>40289</v>
      </c>
      <c r="F397" s="509" t="s">
        <v>628</v>
      </c>
      <c r="G397" s="464">
        <v>100</v>
      </c>
      <c r="H397" s="464"/>
      <c r="I397" s="639"/>
      <c r="J397" s="356"/>
      <c r="K397" s="356"/>
      <c r="L397" s="347">
        <f t="shared" si="0"/>
        <v>100</v>
      </c>
      <c r="M397" s="373"/>
    </row>
    <row r="398" spans="1:13" ht="15.75" x14ac:dyDescent="0.25">
      <c r="A398" s="230">
        <v>392</v>
      </c>
      <c r="C398" s="641">
        <v>20525</v>
      </c>
      <c r="D398" s="646">
        <v>40301</v>
      </c>
      <c r="E398" s="646">
        <v>40290</v>
      </c>
      <c r="F398" s="509" t="s">
        <v>629</v>
      </c>
      <c r="G398" s="464">
        <v>125</v>
      </c>
      <c r="H398" s="464"/>
      <c r="I398" s="639"/>
      <c r="J398" s="356"/>
      <c r="K398" s="356"/>
      <c r="L398" s="347">
        <f t="shared" si="0"/>
        <v>125</v>
      </c>
      <c r="M398" s="373"/>
    </row>
    <row r="399" spans="1:13" ht="15.75" x14ac:dyDescent="0.25">
      <c r="A399" s="230">
        <v>393</v>
      </c>
      <c r="C399" s="641">
        <v>20525</v>
      </c>
      <c r="D399" s="646">
        <v>40301</v>
      </c>
      <c r="E399" s="646">
        <v>40295</v>
      </c>
      <c r="F399" s="509" t="s">
        <v>630</v>
      </c>
      <c r="G399" s="464"/>
      <c r="H399" s="464"/>
      <c r="I399" s="639"/>
      <c r="J399" s="356"/>
      <c r="K399" s="356">
        <v>125</v>
      </c>
      <c r="L399" s="347">
        <f t="shared" si="0"/>
        <v>125</v>
      </c>
      <c r="M399" s="640">
        <f>SUM(L393:L399)</f>
        <v>925</v>
      </c>
    </row>
    <row r="400" spans="1:13" ht="15.75" x14ac:dyDescent="0.25">
      <c r="A400" s="230">
        <v>394</v>
      </c>
      <c r="C400" s="641">
        <v>20554</v>
      </c>
      <c r="D400" s="649">
        <v>40330</v>
      </c>
      <c r="E400" s="646">
        <v>43956</v>
      </c>
      <c r="F400" s="509" t="s">
        <v>631</v>
      </c>
      <c r="G400" s="464"/>
      <c r="H400" s="464"/>
      <c r="I400" s="639">
        <v>200</v>
      </c>
      <c r="J400" s="356"/>
      <c r="K400" s="356"/>
      <c r="L400" s="347">
        <f t="shared" si="0"/>
        <v>200</v>
      </c>
      <c r="M400" s="373"/>
    </row>
    <row r="401" spans="1:13" ht="15.75" x14ac:dyDescent="0.25">
      <c r="A401" s="230">
        <v>395</v>
      </c>
      <c r="C401" s="641">
        <v>20554</v>
      </c>
      <c r="D401" s="646">
        <v>40330</v>
      </c>
      <c r="E401" s="646">
        <v>40311</v>
      </c>
      <c r="F401" s="509" t="s">
        <v>632</v>
      </c>
      <c r="G401" s="464">
        <v>100</v>
      </c>
      <c r="H401" s="464"/>
      <c r="I401" s="639"/>
      <c r="J401" s="356"/>
      <c r="K401" s="356"/>
      <c r="L401" s="347">
        <f t="shared" si="0"/>
        <v>100</v>
      </c>
      <c r="M401" s="373"/>
    </row>
    <row r="402" spans="1:13" ht="18.75" x14ac:dyDescent="0.3">
      <c r="A402" s="230">
        <v>396</v>
      </c>
      <c r="C402" s="641">
        <v>20554</v>
      </c>
      <c r="D402" s="646">
        <v>40330</v>
      </c>
      <c r="E402" s="650">
        <v>40312</v>
      </c>
      <c r="F402" s="567" t="s">
        <v>633</v>
      </c>
      <c r="G402" s="651">
        <v>125</v>
      </c>
      <c r="H402" s="651"/>
      <c r="I402" s="639"/>
      <c r="J402" s="356"/>
      <c r="K402" s="356"/>
      <c r="L402" s="347">
        <f t="shared" si="0"/>
        <v>125</v>
      </c>
      <c r="M402" s="373"/>
    </row>
    <row r="403" spans="1:13" ht="15.75" x14ac:dyDescent="0.25">
      <c r="A403" s="230">
        <v>397</v>
      </c>
      <c r="C403" s="641">
        <v>20554</v>
      </c>
      <c r="D403" s="646">
        <v>40330</v>
      </c>
      <c r="E403" s="559">
        <v>40322</v>
      </c>
      <c r="F403" s="336" t="s">
        <v>634</v>
      </c>
      <c r="G403" s="356">
        <v>50</v>
      </c>
      <c r="H403" s="356"/>
      <c r="I403" s="639"/>
      <c r="J403" s="356"/>
      <c r="K403" s="356"/>
      <c r="L403" s="347">
        <f t="shared" si="0"/>
        <v>50</v>
      </c>
      <c r="M403" s="373"/>
    </row>
    <row r="404" spans="1:13" ht="15.75" x14ac:dyDescent="0.25">
      <c r="A404" s="230">
        <v>398</v>
      </c>
      <c r="C404" s="641">
        <v>20554</v>
      </c>
      <c r="D404" s="646">
        <v>40330</v>
      </c>
      <c r="E404" s="559">
        <v>40325</v>
      </c>
      <c r="F404" s="336" t="s">
        <v>635</v>
      </c>
      <c r="G404" s="356"/>
      <c r="H404" s="356"/>
      <c r="I404" s="639">
        <v>50</v>
      </c>
      <c r="J404" s="356"/>
      <c r="K404" s="356"/>
      <c r="L404" s="347">
        <f t="shared" si="0"/>
        <v>50</v>
      </c>
      <c r="M404" s="640">
        <f>SUM(L400:L404)</f>
        <v>525</v>
      </c>
    </row>
    <row r="405" spans="1:13" x14ac:dyDescent="0.25">
      <c r="A405" s="230">
        <v>399</v>
      </c>
      <c r="C405" s="637">
        <v>20669</v>
      </c>
      <c r="D405" s="652">
        <v>40422</v>
      </c>
      <c r="E405" s="559">
        <v>40401</v>
      </c>
      <c r="F405" s="336" t="s">
        <v>636</v>
      </c>
      <c r="G405" s="356"/>
      <c r="H405" s="356"/>
      <c r="I405" s="639"/>
      <c r="J405" s="356">
        <v>50</v>
      </c>
      <c r="K405" s="356"/>
      <c r="L405" s="347">
        <f t="shared" si="0"/>
        <v>50</v>
      </c>
      <c r="M405" s="373"/>
    </row>
    <row r="406" spans="1:13" x14ac:dyDescent="0.25">
      <c r="A406" s="230">
        <v>400</v>
      </c>
      <c r="C406" s="637">
        <v>20669</v>
      </c>
      <c r="D406" s="559">
        <v>40422</v>
      </c>
      <c r="E406" s="559">
        <v>40402</v>
      </c>
      <c r="F406" s="336" t="s">
        <v>637</v>
      </c>
      <c r="G406" s="356"/>
      <c r="H406" s="356"/>
      <c r="I406" s="639">
        <v>50</v>
      </c>
      <c r="J406" s="356"/>
      <c r="K406" s="356"/>
      <c r="L406" s="347">
        <f t="shared" si="0"/>
        <v>50</v>
      </c>
      <c r="M406" s="373"/>
    </row>
    <row r="407" spans="1:13" x14ac:dyDescent="0.25">
      <c r="A407" s="230">
        <v>401</v>
      </c>
      <c r="C407" s="637">
        <v>20669</v>
      </c>
      <c r="D407" s="559">
        <v>40422</v>
      </c>
      <c r="E407" s="559">
        <v>40403</v>
      </c>
      <c r="F407" s="336" t="s">
        <v>638</v>
      </c>
      <c r="G407" s="356"/>
      <c r="H407" s="356"/>
      <c r="I407" s="639">
        <v>25</v>
      </c>
      <c r="J407" s="356"/>
      <c r="K407" s="356"/>
      <c r="L407" s="347">
        <f t="shared" si="0"/>
        <v>25</v>
      </c>
      <c r="M407" s="373"/>
    </row>
    <row r="408" spans="1:13" x14ac:dyDescent="0.25">
      <c r="A408" s="230">
        <v>402</v>
      </c>
      <c r="C408" s="637">
        <v>20669</v>
      </c>
      <c r="D408" s="559">
        <v>40422</v>
      </c>
      <c r="E408" s="559">
        <v>40414</v>
      </c>
      <c r="F408" s="336" t="s">
        <v>639</v>
      </c>
      <c r="G408" s="356"/>
      <c r="H408" s="356"/>
      <c r="I408" s="639">
        <v>75</v>
      </c>
      <c r="J408" s="356"/>
      <c r="K408" s="356"/>
      <c r="L408" s="347">
        <f t="shared" si="0"/>
        <v>75</v>
      </c>
      <c r="M408" s="373"/>
    </row>
    <row r="409" spans="1:13" x14ac:dyDescent="0.25">
      <c r="A409" s="230">
        <v>403</v>
      </c>
      <c r="C409" s="637">
        <v>20669</v>
      </c>
      <c r="D409" s="559">
        <v>40422</v>
      </c>
      <c r="E409" s="559">
        <v>40415</v>
      </c>
      <c r="F409" s="336" t="s">
        <v>640</v>
      </c>
      <c r="G409" s="356"/>
      <c r="H409" s="356"/>
      <c r="I409" s="639">
        <v>25</v>
      </c>
      <c r="J409" s="356"/>
      <c r="K409" s="356"/>
      <c r="L409" s="347">
        <f t="shared" si="0"/>
        <v>25</v>
      </c>
      <c r="M409" s="373"/>
    </row>
    <row r="410" spans="1:13" x14ac:dyDescent="0.25">
      <c r="A410" s="230">
        <v>404</v>
      </c>
      <c r="C410" s="637">
        <v>20669</v>
      </c>
      <c r="D410" s="559">
        <v>40422</v>
      </c>
      <c r="E410" s="559">
        <v>40417</v>
      </c>
      <c r="F410" s="336" t="s">
        <v>641</v>
      </c>
      <c r="G410" s="356"/>
      <c r="H410" s="356"/>
      <c r="I410" s="639">
        <v>25</v>
      </c>
      <c r="J410" s="356"/>
      <c r="K410" s="356"/>
      <c r="L410" s="347">
        <f t="shared" si="0"/>
        <v>25</v>
      </c>
      <c r="M410" s="373"/>
    </row>
    <row r="411" spans="1:13" x14ac:dyDescent="0.25">
      <c r="A411" s="230">
        <v>405</v>
      </c>
      <c r="C411" s="637">
        <v>20669</v>
      </c>
      <c r="D411" s="559">
        <v>40422</v>
      </c>
      <c r="E411" s="559">
        <v>40420</v>
      </c>
      <c r="F411" s="336" t="s">
        <v>642</v>
      </c>
      <c r="G411" s="356">
        <v>200</v>
      </c>
      <c r="H411" s="356"/>
      <c r="I411" s="639"/>
      <c r="J411" s="356"/>
      <c r="K411" s="356"/>
      <c r="L411" s="347">
        <f t="shared" si="0"/>
        <v>200</v>
      </c>
      <c r="M411" s="373"/>
    </row>
    <row r="412" spans="1:13" x14ac:dyDescent="0.25">
      <c r="A412" s="230">
        <v>406</v>
      </c>
      <c r="C412" s="637">
        <v>20669</v>
      </c>
      <c r="D412" s="559">
        <v>40422</v>
      </c>
      <c r="E412" s="559">
        <v>40421</v>
      </c>
      <c r="F412" s="336" t="s">
        <v>643</v>
      </c>
      <c r="G412" s="356">
        <v>25</v>
      </c>
      <c r="H412" s="356"/>
      <c r="I412" s="639"/>
      <c r="J412" s="356"/>
      <c r="K412" s="356"/>
      <c r="L412" s="347">
        <f t="shared" si="0"/>
        <v>25</v>
      </c>
      <c r="M412" s="640">
        <f>SUM(L405:L412)</f>
        <v>475</v>
      </c>
    </row>
    <row r="413" spans="1:13" x14ac:dyDescent="0.25">
      <c r="A413" s="230">
        <v>407</v>
      </c>
      <c r="C413" s="637">
        <v>20709</v>
      </c>
      <c r="D413" s="559">
        <v>40452</v>
      </c>
      <c r="E413" s="559">
        <v>40429</v>
      </c>
      <c r="F413" s="336" t="s">
        <v>644</v>
      </c>
      <c r="G413" s="356">
        <v>50</v>
      </c>
      <c r="H413" s="356"/>
      <c r="I413" s="639"/>
      <c r="J413" s="356"/>
      <c r="K413" s="356"/>
      <c r="L413" s="347">
        <f t="shared" si="0"/>
        <v>50</v>
      </c>
      <c r="M413" s="373"/>
    </row>
    <row r="414" spans="1:13" x14ac:dyDescent="0.25">
      <c r="A414" s="230">
        <v>408</v>
      </c>
      <c r="C414" s="637">
        <v>20709</v>
      </c>
      <c r="D414" s="559">
        <v>40452</v>
      </c>
      <c r="E414" s="559">
        <v>40441</v>
      </c>
      <c r="F414" s="336" t="s">
        <v>645</v>
      </c>
      <c r="G414" s="356">
        <v>100</v>
      </c>
      <c r="H414" s="356"/>
      <c r="I414" s="639"/>
      <c r="J414" s="356"/>
      <c r="K414" s="356"/>
      <c r="L414" s="347">
        <f t="shared" si="0"/>
        <v>100</v>
      </c>
      <c r="M414" s="373"/>
    </row>
    <row r="415" spans="1:13" x14ac:dyDescent="0.25">
      <c r="A415" s="230">
        <v>409</v>
      </c>
      <c r="C415" s="637">
        <v>20709</v>
      </c>
      <c r="D415" s="559">
        <v>40452</v>
      </c>
      <c r="E415" s="559">
        <v>40442</v>
      </c>
      <c r="F415" s="336" t="s">
        <v>646</v>
      </c>
      <c r="G415" s="356">
        <v>125</v>
      </c>
      <c r="H415" s="356"/>
      <c r="I415" s="639"/>
      <c r="J415" s="356"/>
      <c r="K415" s="356"/>
      <c r="L415" s="347">
        <f t="shared" si="0"/>
        <v>125</v>
      </c>
      <c r="M415" s="373"/>
    </row>
    <row r="416" spans="1:13" x14ac:dyDescent="0.25">
      <c r="A416" s="230">
        <v>410</v>
      </c>
      <c r="C416" s="637">
        <v>20709</v>
      </c>
      <c r="D416" s="559">
        <v>40452</v>
      </c>
      <c r="E416" s="559">
        <v>40443</v>
      </c>
      <c r="F416" s="336" t="s">
        <v>647</v>
      </c>
      <c r="G416" s="356">
        <v>50</v>
      </c>
      <c r="H416" s="356"/>
      <c r="I416" s="639"/>
      <c r="J416" s="356"/>
      <c r="K416" s="356"/>
      <c r="L416" s="347">
        <f t="shared" si="0"/>
        <v>50</v>
      </c>
      <c r="M416" s="373"/>
    </row>
    <row r="417" spans="1:13" x14ac:dyDescent="0.25">
      <c r="A417" s="230">
        <v>411</v>
      </c>
      <c r="C417" s="637">
        <v>20709</v>
      </c>
      <c r="D417" s="559">
        <v>40452</v>
      </c>
      <c r="E417" s="559">
        <v>40444</v>
      </c>
      <c r="F417" s="336" t="s">
        <v>648</v>
      </c>
      <c r="G417" s="356">
        <v>125</v>
      </c>
      <c r="H417" s="356"/>
      <c r="I417" s="639"/>
      <c r="J417" s="356"/>
      <c r="K417" s="356"/>
      <c r="L417" s="347">
        <f t="shared" si="0"/>
        <v>125</v>
      </c>
      <c r="M417" s="373"/>
    </row>
    <row r="418" spans="1:13" x14ac:dyDescent="0.25">
      <c r="A418" s="230">
        <v>412</v>
      </c>
      <c r="C418" s="637">
        <v>20709</v>
      </c>
      <c r="D418" s="559">
        <v>40452</v>
      </c>
      <c r="E418" s="559">
        <v>40449</v>
      </c>
      <c r="F418" s="336" t="s">
        <v>649</v>
      </c>
      <c r="G418" s="356">
        <v>75</v>
      </c>
      <c r="H418" s="356"/>
      <c r="I418" s="639"/>
      <c r="J418" s="356"/>
      <c r="K418" s="356"/>
      <c r="L418" s="347">
        <f t="shared" si="0"/>
        <v>75</v>
      </c>
      <c r="M418" s="640">
        <f>SUM(L413:L418)</f>
        <v>525</v>
      </c>
    </row>
    <row r="419" spans="1:13" x14ac:dyDescent="0.25">
      <c r="A419" s="230">
        <v>413</v>
      </c>
      <c r="C419" s="637">
        <v>20751</v>
      </c>
      <c r="D419" s="652">
        <v>40483</v>
      </c>
      <c r="E419" s="559">
        <v>40824</v>
      </c>
      <c r="F419" s="336" t="s">
        <v>650</v>
      </c>
      <c r="G419" s="356"/>
      <c r="H419" s="356"/>
      <c r="I419" s="639">
        <v>50</v>
      </c>
      <c r="J419" s="356"/>
      <c r="K419" s="356"/>
      <c r="L419" s="347">
        <f t="shared" si="0"/>
        <v>50</v>
      </c>
      <c r="M419" s="373"/>
    </row>
    <row r="420" spans="1:13" x14ac:dyDescent="0.25">
      <c r="A420" s="230">
        <v>414</v>
      </c>
      <c r="C420" s="637">
        <v>20751</v>
      </c>
      <c r="D420" s="559">
        <v>40483</v>
      </c>
      <c r="E420" s="559">
        <v>40462</v>
      </c>
      <c r="F420" s="336" t="s">
        <v>651</v>
      </c>
      <c r="G420" s="356"/>
      <c r="H420" s="356"/>
      <c r="I420" s="639">
        <v>75</v>
      </c>
      <c r="J420" s="356"/>
      <c r="K420" s="356"/>
      <c r="L420" s="347">
        <f t="shared" si="0"/>
        <v>75</v>
      </c>
      <c r="M420" s="373"/>
    </row>
    <row r="421" spans="1:13" x14ac:dyDescent="0.25">
      <c r="A421" s="230">
        <v>415</v>
      </c>
      <c r="C421" s="637">
        <v>20751</v>
      </c>
      <c r="D421" s="559">
        <v>40483</v>
      </c>
      <c r="E421" s="559">
        <v>40464</v>
      </c>
      <c r="F421" s="336" t="s">
        <v>652</v>
      </c>
      <c r="G421" s="356"/>
      <c r="H421" s="356"/>
      <c r="I421" s="639">
        <v>50</v>
      </c>
      <c r="J421" s="356"/>
      <c r="K421" s="356"/>
      <c r="L421" s="347">
        <f t="shared" si="0"/>
        <v>50</v>
      </c>
      <c r="M421" s="373"/>
    </row>
    <row r="422" spans="1:13" x14ac:dyDescent="0.25">
      <c r="A422" s="230">
        <v>416</v>
      </c>
      <c r="C422" s="637">
        <v>20751</v>
      </c>
      <c r="D422" s="559">
        <v>40483</v>
      </c>
      <c r="E422" s="559">
        <v>40466</v>
      </c>
      <c r="F422" s="336" t="s">
        <v>653</v>
      </c>
      <c r="G422" s="356"/>
      <c r="H422" s="356"/>
      <c r="I422" s="639">
        <v>50</v>
      </c>
      <c r="J422" s="356"/>
      <c r="K422" s="356"/>
      <c r="L422" s="347">
        <f t="shared" si="0"/>
        <v>50</v>
      </c>
      <c r="M422" s="373"/>
    </row>
    <row r="423" spans="1:13" x14ac:dyDescent="0.25">
      <c r="A423" s="230">
        <v>417</v>
      </c>
      <c r="C423" s="637">
        <v>20751</v>
      </c>
      <c r="D423" s="559">
        <v>40483</v>
      </c>
      <c r="E423" s="559">
        <v>40469</v>
      </c>
      <c r="F423" s="336" t="s">
        <v>654</v>
      </c>
      <c r="G423" s="356"/>
      <c r="H423" s="356"/>
      <c r="I423" s="639">
        <v>75</v>
      </c>
      <c r="J423" s="356"/>
      <c r="K423" s="356"/>
      <c r="L423" s="347">
        <f t="shared" si="0"/>
        <v>75</v>
      </c>
      <c r="M423" s="373"/>
    </row>
    <row r="424" spans="1:13" x14ac:dyDescent="0.25">
      <c r="A424" s="230">
        <v>418</v>
      </c>
      <c r="C424" s="637">
        <v>20751</v>
      </c>
      <c r="D424" s="559">
        <v>40483</v>
      </c>
      <c r="E424" s="559">
        <v>40470</v>
      </c>
      <c r="F424" s="336" t="s">
        <v>655</v>
      </c>
      <c r="G424" s="356"/>
      <c r="H424" s="356"/>
      <c r="I424" s="639">
        <v>50</v>
      </c>
      <c r="J424" s="356"/>
      <c r="K424" s="356"/>
      <c r="L424" s="347">
        <f t="shared" si="0"/>
        <v>50</v>
      </c>
      <c r="M424" s="373"/>
    </row>
    <row r="425" spans="1:13" x14ac:dyDescent="0.25">
      <c r="A425" s="230">
        <v>419</v>
      </c>
      <c r="C425" s="637">
        <v>20751</v>
      </c>
      <c r="D425" s="559">
        <v>40483</v>
      </c>
      <c r="E425" s="559">
        <v>40476</v>
      </c>
      <c r="F425" s="336" t="s">
        <v>656</v>
      </c>
      <c r="G425" s="356"/>
      <c r="H425" s="356"/>
      <c r="I425" s="639"/>
      <c r="J425" s="356"/>
      <c r="K425" s="356">
        <v>50</v>
      </c>
      <c r="L425" s="347">
        <f t="shared" si="0"/>
        <v>50</v>
      </c>
      <c r="M425" s="373"/>
    </row>
    <row r="426" spans="1:13" x14ac:dyDescent="0.25">
      <c r="A426" s="230">
        <v>420</v>
      </c>
      <c r="C426" s="637">
        <v>20751</v>
      </c>
      <c r="D426" s="559">
        <v>40483</v>
      </c>
      <c r="E426" s="559">
        <v>40477</v>
      </c>
      <c r="F426" s="336" t="s">
        <v>657</v>
      </c>
      <c r="G426" s="356"/>
      <c r="H426" s="356"/>
      <c r="I426" s="639"/>
      <c r="J426" s="356"/>
      <c r="K426" s="356">
        <v>125</v>
      </c>
      <c r="L426" s="347">
        <f t="shared" si="0"/>
        <v>125</v>
      </c>
      <c r="M426" s="373"/>
    </row>
    <row r="427" spans="1:13" x14ac:dyDescent="0.25">
      <c r="A427" s="230">
        <v>421</v>
      </c>
      <c r="C427" s="637">
        <v>20751</v>
      </c>
      <c r="D427" s="559">
        <v>40483</v>
      </c>
      <c r="E427" s="559">
        <v>40479</v>
      </c>
      <c r="F427" s="336" t="s">
        <v>658</v>
      </c>
      <c r="G427" s="356"/>
      <c r="H427" s="356"/>
      <c r="I427" s="639"/>
      <c r="J427" s="356"/>
      <c r="K427" s="356">
        <v>75</v>
      </c>
      <c r="L427" s="347">
        <f t="shared" si="0"/>
        <v>75</v>
      </c>
      <c r="M427" s="373"/>
    </row>
    <row r="428" spans="1:13" x14ac:dyDescent="0.25">
      <c r="A428" s="230">
        <v>422</v>
      </c>
      <c r="C428" s="637">
        <v>20751</v>
      </c>
      <c r="D428" s="559">
        <v>40483</v>
      </c>
      <c r="E428" s="559">
        <v>40480</v>
      </c>
      <c r="F428" s="336" t="s">
        <v>659</v>
      </c>
      <c r="G428" s="356"/>
      <c r="H428" s="356">
        <v>200</v>
      </c>
      <c r="I428" s="639"/>
      <c r="J428" s="356"/>
      <c r="K428" s="356"/>
      <c r="L428" s="347">
        <f t="shared" si="0"/>
        <v>200</v>
      </c>
      <c r="M428" s="640">
        <f>SUM(L419:L428)</f>
        <v>800</v>
      </c>
    </row>
    <row r="429" spans="1:13" x14ac:dyDescent="0.25">
      <c r="A429" s="230">
        <v>423</v>
      </c>
      <c r="C429" s="637">
        <v>20785</v>
      </c>
      <c r="D429" s="652">
        <v>40512</v>
      </c>
      <c r="E429" s="559">
        <v>40485</v>
      </c>
      <c r="F429" s="336" t="s">
        <v>660</v>
      </c>
      <c r="G429" s="356"/>
      <c r="H429" s="356">
        <v>75</v>
      </c>
      <c r="I429" s="639"/>
      <c r="J429" s="356"/>
      <c r="K429" s="356"/>
      <c r="L429" s="347">
        <f t="shared" si="0"/>
        <v>75</v>
      </c>
      <c r="M429" s="373"/>
    </row>
    <row r="430" spans="1:13" x14ac:dyDescent="0.25">
      <c r="A430" s="230">
        <v>424</v>
      </c>
      <c r="C430" s="637">
        <v>20785</v>
      </c>
      <c r="D430" s="559">
        <v>40512</v>
      </c>
      <c r="E430" s="559">
        <v>40487</v>
      </c>
      <c r="F430" s="336" t="s">
        <v>661</v>
      </c>
      <c r="G430" s="356"/>
      <c r="H430" s="356"/>
      <c r="I430" s="639">
        <v>100</v>
      </c>
      <c r="J430" s="356"/>
      <c r="K430" s="356"/>
      <c r="L430" s="347">
        <f t="shared" si="0"/>
        <v>100</v>
      </c>
      <c r="M430" s="373"/>
    </row>
    <row r="431" spans="1:13" x14ac:dyDescent="0.25">
      <c r="A431" s="230">
        <v>425</v>
      </c>
      <c r="C431" s="637">
        <v>20785</v>
      </c>
      <c r="D431" s="559">
        <v>40512</v>
      </c>
      <c r="E431" s="559">
        <v>40490</v>
      </c>
      <c r="F431" s="336" t="s">
        <v>662</v>
      </c>
      <c r="G431" s="653"/>
      <c r="H431" s="653"/>
      <c r="I431" s="639">
        <v>500</v>
      </c>
      <c r="J431" s="654"/>
      <c r="K431" s="654"/>
      <c r="L431" s="347">
        <f t="shared" si="0"/>
        <v>500</v>
      </c>
      <c r="M431" s="373"/>
    </row>
    <row r="432" spans="1:13" x14ac:dyDescent="0.25">
      <c r="A432" s="230">
        <v>426</v>
      </c>
      <c r="C432" s="637">
        <v>20785</v>
      </c>
      <c r="D432" s="559">
        <v>40512</v>
      </c>
      <c r="E432" s="559">
        <v>40491</v>
      </c>
      <c r="F432" s="336" t="s">
        <v>663</v>
      </c>
      <c r="G432" s="654"/>
      <c r="H432" s="654">
        <v>75</v>
      </c>
      <c r="I432" s="655">
        <v>100</v>
      </c>
      <c r="J432" s="654"/>
      <c r="K432" s="654"/>
      <c r="L432" s="347">
        <f t="shared" si="0"/>
        <v>175</v>
      </c>
      <c r="M432" s="373"/>
    </row>
    <row r="433" spans="1:13" x14ac:dyDescent="0.25">
      <c r="A433" s="230">
        <v>427</v>
      </c>
      <c r="C433" s="637">
        <v>20785</v>
      </c>
      <c r="D433" s="559">
        <v>40512</v>
      </c>
      <c r="E433" s="559">
        <v>40492</v>
      </c>
      <c r="F433" s="336" t="s">
        <v>664</v>
      </c>
      <c r="G433" s="654"/>
      <c r="H433" s="654"/>
      <c r="I433" s="655">
        <v>50</v>
      </c>
      <c r="J433" s="654"/>
      <c r="K433" s="654"/>
      <c r="L433" s="347">
        <f t="shared" si="0"/>
        <v>50</v>
      </c>
      <c r="M433" s="373"/>
    </row>
    <row r="434" spans="1:13" x14ac:dyDescent="0.25">
      <c r="A434" s="230">
        <v>428</v>
      </c>
      <c r="C434" s="637">
        <v>20785</v>
      </c>
      <c r="D434" s="559">
        <v>40512</v>
      </c>
      <c r="E434" s="559">
        <v>40500</v>
      </c>
      <c r="F434" s="336" t="s">
        <v>665</v>
      </c>
      <c r="G434" s="654"/>
      <c r="H434" s="654">
        <v>100</v>
      </c>
      <c r="I434" s="655">
        <v>225</v>
      </c>
      <c r="J434" s="654"/>
      <c r="K434" s="654"/>
      <c r="L434" s="347">
        <f t="shared" si="0"/>
        <v>325</v>
      </c>
      <c r="M434" s="373"/>
    </row>
    <row r="435" spans="1:13" x14ac:dyDescent="0.25">
      <c r="A435" s="230">
        <v>429</v>
      </c>
      <c r="C435" s="637">
        <v>20785</v>
      </c>
      <c r="D435" s="559">
        <v>40512</v>
      </c>
      <c r="E435" s="559">
        <v>40504</v>
      </c>
      <c r="F435" s="336" t="s">
        <v>666</v>
      </c>
      <c r="G435" s="654"/>
      <c r="H435" s="654"/>
      <c r="I435" s="655">
        <v>125</v>
      </c>
      <c r="J435" s="654"/>
      <c r="K435" s="654"/>
      <c r="L435" s="347">
        <f t="shared" si="0"/>
        <v>125</v>
      </c>
      <c r="M435" s="373"/>
    </row>
    <row r="436" spans="1:13" x14ac:dyDescent="0.25">
      <c r="A436" s="230">
        <v>430</v>
      </c>
      <c r="C436" s="637">
        <v>20785</v>
      </c>
      <c r="D436" s="559">
        <v>40512</v>
      </c>
      <c r="E436" s="559">
        <v>40505</v>
      </c>
      <c r="F436" s="336" t="s">
        <v>667</v>
      </c>
      <c r="G436" s="654"/>
      <c r="H436" s="654">
        <v>50</v>
      </c>
      <c r="I436" s="655"/>
      <c r="J436" s="654"/>
      <c r="K436" s="654"/>
      <c r="L436" s="347">
        <f t="shared" si="0"/>
        <v>50</v>
      </c>
      <c r="M436" s="373"/>
    </row>
    <row r="437" spans="1:13" x14ac:dyDescent="0.25">
      <c r="A437" s="230">
        <v>431</v>
      </c>
      <c r="C437" s="637">
        <v>20785</v>
      </c>
      <c r="D437" s="559">
        <v>40512</v>
      </c>
      <c r="E437" s="559">
        <v>40506</v>
      </c>
      <c r="F437" s="336" t="s">
        <v>668</v>
      </c>
      <c r="G437" s="654"/>
      <c r="H437" s="654"/>
      <c r="I437" s="655">
        <v>100</v>
      </c>
      <c r="J437" s="654"/>
      <c r="K437" s="654">
        <v>100</v>
      </c>
      <c r="L437" s="347">
        <f t="shared" si="0"/>
        <v>200</v>
      </c>
      <c r="M437" s="373"/>
    </row>
    <row r="438" spans="1:13" x14ac:dyDescent="0.25">
      <c r="A438" s="230">
        <v>432</v>
      </c>
      <c r="C438" s="637">
        <v>20785</v>
      </c>
      <c r="D438" s="559">
        <v>40512</v>
      </c>
      <c r="E438" s="559">
        <v>40511</v>
      </c>
      <c r="F438" s="336" t="s">
        <v>664</v>
      </c>
      <c r="G438" s="654"/>
      <c r="H438" s="654"/>
      <c r="I438" s="655">
        <v>325</v>
      </c>
      <c r="J438" s="654"/>
      <c r="K438" s="654"/>
      <c r="L438" s="347">
        <f t="shared" si="0"/>
        <v>325</v>
      </c>
      <c r="M438" s="373"/>
    </row>
    <row r="439" spans="1:13" x14ac:dyDescent="0.25">
      <c r="A439" s="230">
        <v>433</v>
      </c>
      <c r="C439" s="637">
        <v>20785</v>
      </c>
      <c r="D439" s="559">
        <v>40512</v>
      </c>
      <c r="E439" s="559">
        <v>40512</v>
      </c>
      <c r="F439" s="336" t="s">
        <v>669</v>
      </c>
      <c r="G439" s="654"/>
      <c r="H439" s="654"/>
      <c r="I439" s="655">
        <v>50</v>
      </c>
      <c r="J439" s="654"/>
      <c r="K439" s="654"/>
      <c r="L439" s="347">
        <f t="shared" si="0"/>
        <v>50</v>
      </c>
      <c r="M439" s="640">
        <f>SUM(L429:L439)</f>
        <v>1975</v>
      </c>
    </row>
    <row r="440" spans="1:13" x14ac:dyDescent="0.25">
      <c r="A440" s="230">
        <v>434</v>
      </c>
      <c r="C440" s="656">
        <v>20831</v>
      </c>
      <c r="D440" s="652">
        <v>40543</v>
      </c>
      <c r="E440" s="559">
        <v>40525</v>
      </c>
      <c r="F440" s="336" t="s">
        <v>670</v>
      </c>
      <c r="G440" s="654"/>
      <c r="H440" s="654"/>
      <c r="I440" s="655">
        <v>75</v>
      </c>
      <c r="J440" s="654"/>
      <c r="K440" s="654"/>
      <c r="L440" s="347">
        <f t="shared" si="0"/>
        <v>75</v>
      </c>
      <c r="M440" s="373"/>
    </row>
    <row r="441" spans="1:13" x14ac:dyDescent="0.25">
      <c r="A441" s="230">
        <v>435</v>
      </c>
      <c r="C441" s="656">
        <v>20831</v>
      </c>
      <c r="D441" s="559">
        <v>40543</v>
      </c>
      <c r="E441" s="559">
        <v>40526</v>
      </c>
      <c r="F441" s="336" t="s">
        <v>671</v>
      </c>
      <c r="G441" s="654"/>
      <c r="H441" s="654"/>
      <c r="I441" s="655">
        <v>75</v>
      </c>
      <c r="J441" s="654"/>
      <c r="K441" s="654"/>
      <c r="L441" s="347">
        <f t="shared" si="0"/>
        <v>75</v>
      </c>
      <c r="M441" s="373"/>
    </row>
    <row r="442" spans="1:13" x14ac:dyDescent="0.25">
      <c r="A442" s="230">
        <v>436</v>
      </c>
      <c r="C442" s="656">
        <v>20831</v>
      </c>
      <c r="D442" s="559">
        <v>40543</v>
      </c>
      <c r="E442" s="559">
        <v>40527</v>
      </c>
      <c r="F442" s="336" t="s">
        <v>672</v>
      </c>
      <c r="G442" s="654"/>
      <c r="H442" s="654"/>
      <c r="I442" s="655">
        <v>100</v>
      </c>
      <c r="J442" s="654"/>
      <c r="K442" s="654"/>
      <c r="L442" s="347">
        <f t="shared" si="0"/>
        <v>100</v>
      </c>
      <c r="M442" s="373"/>
    </row>
    <row r="443" spans="1:13" x14ac:dyDescent="0.25">
      <c r="A443" s="230">
        <v>437</v>
      </c>
      <c r="C443" s="656">
        <v>20831</v>
      </c>
      <c r="D443" s="559">
        <v>40543</v>
      </c>
      <c r="E443" s="559">
        <v>40528</v>
      </c>
      <c r="F443" s="336" t="s">
        <v>673</v>
      </c>
      <c r="G443" s="654"/>
      <c r="H443" s="654">
        <v>175</v>
      </c>
      <c r="I443" s="655"/>
      <c r="J443" s="654"/>
      <c r="K443" s="654"/>
      <c r="L443" s="347">
        <f t="shared" si="0"/>
        <v>175</v>
      </c>
      <c r="M443" s="373"/>
    </row>
    <row r="444" spans="1:13" x14ac:dyDescent="0.25">
      <c r="A444" s="230">
        <v>438</v>
      </c>
      <c r="C444" s="656">
        <v>20831</v>
      </c>
      <c r="D444" s="559">
        <v>40543</v>
      </c>
      <c r="E444" s="559">
        <v>40529</v>
      </c>
      <c r="F444" s="336" t="s">
        <v>674</v>
      </c>
      <c r="G444" s="654"/>
      <c r="H444" s="654">
        <v>50</v>
      </c>
      <c r="I444" s="655"/>
      <c r="J444" s="654"/>
      <c r="K444" s="654"/>
      <c r="L444" s="347">
        <f t="shared" si="0"/>
        <v>50</v>
      </c>
      <c r="M444" s="373"/>
    </row>
    <row r="445" spans="1:13" x14ac:dyDescent="0.25">
      <c r="A445" s="230">
        <v>439</v>
      </c>
      <c r="C445" s="656">
        <v>20831</v>
      </c>
      <c r="D445" s="559">
        <v>40543</v>
      </c>
      <c r="E445" s="559">
        <v>40532</v>
      </c>
      <c r="F445" s="336" t="s">
        <v>675</v>
      </c>
      <c r="G445" s="654"/>
      <c r="H445" s="654"/>
      <c r="I445" s="655"/>
      <c r="J445" s="654"/>
      <c r="K445" s="654">
        <v>75</v>
      </c>
      <c r="L445" s="347">
        <f t="shared" si="0"/>
        <v>75</v>
      </c>
      <c r="M445" s="373"/>
    </row>
    <row r="446" spans="1:13" x14ac:dyDescent="0.25">
      <c r="A446" s="230">
        <v>440</v>
      </c>
      <c r="C446" s="656">
        <v>20831</v>
      </c>
      <c r="D446" s="559">
        <v>40543</v>
      </c>
      <c r="E446" s="559">
        <v>40539</v>
      </c>
      <c r="F446" s="336" t="s">
        <v>676</v>
      </c>
      <c r="G446" s="654"/>
      <c r="H446" s="654">
        <v>25</v>
      </c>
      <c r="I446" s="655">
        <v>25</v>
      </c>
      <c r="J446" s="654"/>
      <c r="K446" s="654"/>
      <c r="L446" s="347">
        <f t="shared" si="0"/>
        <v>50</v>
      </c>
      <c r="M446" s="640">
        <f>SUM(L440:L446)</f>
        <v>600</v>
      </c>
    </row>
    <row r="447" spans="1:13" x14ac:dyDescent="0.25">
      <c r="A447" s="230">
        <v>441</v>
      </c>
      <c r="C447" s="656">
        <v>20874</v>
      </c>
      <c r="D447" s="652">
        <v>40575</v>
      </c>
      <c r="E447" s="559">
        <v>40546</v>
      </c>
      <c r="F447" s="336" t="s">
        <v>677</v>
      </c>
      <c r="G447" s="654"/>
      <c r="H447" s="654"/>
      <c r="I447" s="655"/>
      <c r="J447" s="654"/>
      <c r="K447" s="654">
        <v>50</v>
      </c>
      <c r="L447" s="347">
        <f t="shared" si="0"/>
        <v>50</v>
      </c>
      <c r="M447" s="373"/>
    </row>
    <row r="448" spans="1:13" x14ac:dyDescent="0.25">
      <c r="A448" s="230">
        <v>442</v>
      </c>
      <c r="C448" s="656">
        <v>20874</v>
      </c>
      <c r="D448" s="559">
        <v>40575</v>
      </c>
      <c r="E448" s="559">
        <v>40554</v>
      </c>
      <c r="F448" s="336" t="s">
        <v>678</v>
      </c>
      <c r="G448" s="654"/>
      <c r="H448" s="654"/>
      <c r="I448" s="655">
        <v>75</v>
      </c>
      <c r="J448" s="654"/>
      <c r="K448" s="654"/>
      <c r="L448" s="347">
        <f t="shared" si="0"/>
        <v>75</v>
      </c>
      <c r="M448" s="373"/>
    </row>
    <row r="449" spans="1:13" x14ac:dyDescent="0.25">
      <c r="A449" s="230">
        <v>443</v>
      </c>
      <c r="C449" s="656">
        <v>20874</v>
      </c>
      <c r="D449" s="559">
        <v>40575</v>
      </c>
      <c r="E449" s="559">
        <v>40555</v>
      </c>
      <c r="F449" s="336" t="s">
        <v>679</v>
      </c>
      <c r="G449" s="654"/>
      <c r="H449" s="654">
        <v>125</v>
      </c>
      <c r="I449" s="655"/>
      <c r="J449" s="654"/>
      <c r="K449" s="654"/>
      <c r="L449" s="347">
        <f t="shared" si="0"/>
        <v>125</v>
      </c>
      <c r="M449" s="373"/>
    </row>
    <row r="450" spans="1:13" x14ac:dyDescent="0.25">
      <c r="A450" s="230">
        <v>444</v>
      </c>
      <c r="C450" s="656">
        <v>20874</v>
      </c>
      <c r="D450" s="559">
        <v>40575</v>
      </c>
      <c r="E450" s="559">
        <v>40556</v>
      </c>
      <c r="F450" s="336" t="s">
        <v>680</v>
      </c>
      <c r="G450" s="654"/>
      <c r="H450" s="654">
        <v>200</v>
      </c>
      <c r="I450" s="655"/>
      <c r="J450" s="654"/>
      <c r="K450" s="654"/>
      <c r="L450" s="347">
        <f t="shared" si="0"/>
        <v>200</v>
      </c>
      <c r="M450" s="373"/>
    </row>
    <row r="451" spans="1:13" x14ac:dyDescent="0.25">
      <c r="A451" s="230">
        <v>445</v>
      </c>
      <c r="C451" s="656">
        <v>20874</v>
      </c>
      <c r="D451" s="559">
        <v>40575</v>
      </c>
      <c r="E451" s="559">
        <v>40562</v>
      </c>
      <c r="F451" s="336" t="s">
        <v>664</v>
      </c>
      <c r="G451" s="654"/>
      <c r="H451" s="654"/>
      <c r="I451" s="655">
        <v>125</v>
      </c>
      <c r="J451" s="654"/>
      <c r="K451" s="654"/>
      <c r="L451" s="347">
        <f t="shared" ref="L451:L501" si="1">SUM(G451:K451)</f>
        <v>125</v>
      </c>
      <c r="M451" s="373"/>
    </row>
    <row r="452" spans="1:13" x14ac:dyDescent="0.25">
      <c r="A452" s="230">
        <v>446</v>
      </c>
      <c r="C452" s="656">
        <v>20874</v>
      </c>
      <c r="D452" s="559">
        <v>40575</v>
      </c>
      <c r="E452" s="559">
        <v>40562</v>
      </c>
      <c r="F452" s="336" t="s">
        <v>681</v>
      </c>
      <c r="G452" s="654"/>
      <c r="H452" s="654">
        <v>75</v>
      </c>
      <c r="I452" s="655"/>
      <c r="J452" s="654"/>
      <c r="K452" s="654"/>
      <c r="L452" s="347">
        <f t="shared" si="1"/>
        <v>75</v>
      </c>
      <c r="M452" s="373"/>
    </row>
    <row r="453" spans="1:13" x14ac:dyDescent="0.25">
      <c r="A453" s="230">
        <v>447</v>
      </c>
      <c r="C453" s="656">
        <v>20874</v>
      </c>
      <c r="D453" s="559">
        <v>40575</v>
      </c>
      <c r="E453" s="559">
        <v>40564</v>
      </c>
      <c r="F453" s="336" t="s">
        <v>682</v>
      </c>
      <c r="G453" s="654"/>
      <c r="H453" s="654">
        <v>100</v>
      </c>
      <c r="I453" s="655"/>
      <c r="J453" s="654"/>
      <c r="K453" s="654"/>
      <c r="L453" s="347">
        <f t="shared" si="1"/>
        <v>100</v>
      </c>
      <c r="M453" s="373"/>
    </row>
    <row r="454" spans="1:13" x14ac:dyDescent="0.25">
      <c r="A454" s="230">
        <v>448</v>
      </c>
      <c r="C454" s="656">
        <v>20874</v>
      </c>
      <c r="D454" s="559">
        <v>40575</v>
      </c>
      <c r="E454" s="559">
        <v>40567</v>
      </c>
      <c r="F454" s="336" t="s">
        <v>683</v>
      </c>
      <c r="G454" s="654"/>
      <c r="H454" s="654"/>
      <c r="I454" s="655">
        <v>250</v>
      </c>
      <c r="J454" s="654"/>
      <c r="K454" s="654"/>
      <c r="L454" s="347">
        <f t="shared" si="1"/>
        <v>250</v>
      </c>
      <c r="M454" s="373"/>
    </row>
    <row r="455" spans="1:13" x14ac:dyDescent="0.25">
      <c r="A455" s="230">
        <v>449</v>
      </c>
      <c r="C455" s="656">
        <v>20874</v>
      </c>
      <c r="D455" s="559">
        <v>40575</v>
      </c>
      <c r="E455" s="559">
        <v>40568</v>
      </c>
      <c r="F455" s="336" t="s">
        <v>684</v>
      </c>
      <c r="G455" s="654"/>
      <c r="H455" s="654"/>
      <c r="I455" s="655">
        <v>250</v>
      </c>
      <c r="J455" s="654"/>
      <c r="K455" s="654"/>
      <c r="L455" s="347">
        <f t="shared" si="1"/>
        <v>250</v>
      </c>
      <c r="M455" s="373"/>
    </row>
    <row r="456" spans="1:13" x14ac:dyDescent="0.25">
      <c r="A456" s="230">
        <v>450</v>
      </c>
      <c r="C456" s="656">
        <v>20874</v>
      </c>
      <c r="D456" s="559">
        <v>40575</v>
      </c>
      <c r="E456" s="559">
        <v>40569</v>
      </c>
      <c r="F456" s="336" t="s">
        <v>685</v>
      </c>
      <c r="G456" s="654"/>
      <c r="H456" s="654"/>
      <c r="I456" s="655">
        <v>250</v>
      </c>
      <c r="J456" s="654"/>
      <c r="K456" s="654"/>
      <c r="L456" s="347">
        <f t="shared" si="1"/>
        <v>250</v>
      </c>
      <c r="M456" s="373"/>
    </row>
    <row r="457" spans="1:13" x14ac:dyDescent="0.25">
      <c r="A457" s="230">
        <v>451</v>
      </c>
      <c r="C457" s="656">
        <v>20874</v>
      </c>
      <c r="D457" s="559">
        <v>40575</v>
      </c>
      <c r="E457" s="559">
        <v>40570</v>
      </c>
      <c r="F457" s="336" t="s">
        <v>686</v>
      </c>
      <c r="G457" s="654"/>
      <c r="H457" s="654"/>
      <c r="I457" s="655">
        <v>100</v>
      </c>
      <c r="J457" s="654"/>
      <c r="K457" s="654"/>
      <c r="L457" s="347">
        <f t="shared" si="1"/>
        <v>100</v>
      </c>
      <c r="M457" s="640"/>
    </row>
    <row r="458" spans="1:13" x14ac:dyDescent="0.25">
      <c r="A458" s="230">
        <v>452</v>
      </c>
      <c r="C458" s="656">
        <v>20874</v>
      </c>
      <c r="D458" s="559">
        <v>40575</v>
      </c>
      <c r="E458" s="559">
        <v>40574</v>
      </c>
      <c r="F458" s="336" t="s">
        <v>687</v>
      </c>
      <c r="G458" s="654"/>
      <c r="H458" s="654"/>
      <c r="I458" s="655">
        <v>50</v>
      </c>
      <c r="J458" s="654"/>
      <c r="K458" s="654"/>
      <c r="L458" s="347">
        <f t="shared" si="1"/>
        <v>50</v>
      </c>
      <c r="M458" s="640">
        <f>SUM(L447:L458)</f>
        <v>1650</v>
      </c>
    </row>
    <row r="459" spans="1:13" x14ac:dyDescent="0.25">
      <c r="A459" s="230">
        <v>453</v>
      </c>
      <c r="C459" s="656">
        <v>20923</v>
      </c>
      <c r="D459" s="652">
        <v>40603</v>
      </c>
      <c r="E459" s="559">
        <v>40575</v>
      </c>
      <c r="F459" s="336" t="s">
        <v>688</v>
      </c>
      <c r="G459" s="654"/>
      <c r="H459" s="654"/>
      <c r="I459" s="655"/>
      <c r="J459" s="654"/>
      <c r="K459" s="654">
        <v>75</v>
      </c>
      <c r="L459" s="347">
        <f t="shared" si="1"/>
        <v>75</v>
      </c>
      <c r="M459" s="373"/>
    </row>
    <row r="460" spans="1:13" x14ac:dyDescent="0.25">
      <c r="A460" s="230">
        <v>454</v>
      </c>
      <c r="C460" s="656">
        <v>20923</v>
      </c>
      <c r="D460" s="559">
        <v>40603</v>
      </c>
      <c r="E460" s="559">
        <v>40581</v>
      </c>
      <c r="F460" s="336" t="s">
        <v>689</v>
      </c>
      <c r="G460" s="654"/>
      <c r="H460" s="654"/>
      <c r="I460" s="655">
        <v>200</v>
      </c>
      <c r="J460" s="654"/>
      <c r="K460" s="654"/>
      <c r="L460" s="347">
        <f t="shared" si="1"/>
        <v>200</v>
      </c>
      <c r="M460" s="373"/>
    </row>
    <row r="461" spans="1:13" x14ac:dyDescent="0.25">
      <c r="A461" s="230">
        <v>455</v>
      </c>
      <c r="C461" s="656">
        <v>20923</v>
      </c>
      <c r="D461" s="559">
        <v>40603</v>
      </c>
      <c r="E461" s="559">
        <v>40582</v>
      </c>
      <c r="F461" s="336" t="s">
        <v>690</v>
      </c>
      <c r="G461" s="654"/>
      <c r="H461" s="654">
        <v>50</v>
      </c>
      <c r="I461" s="655"/>
      <c r="J461" s="654"/>
      <c r="K461" s="654"/>
      <c r="L461" s="347">
        <f t="shared" si="1"/>
        <v>50</v>
      </c>
      <c r="M461" s="373"/>
    </row>
    <row r="462" spans="1:13" x14ac:dyDescent="0.25">
      <c r="A462" s="230">
        <v>456</v>
      </c>
      <c r="C462" s="656">
        <v>20923</v>
      </c>
      <c r="D462" s="559">
        <v>40603</v>
      </c>
      <c r="E462" s="559">
        <v>40583</v>
      </c>
      <c r="F462" s="336" t="s">
        <v>691</v>
      </c>
      <c r="G462" s="654"/>
      <c r="H462" s="654"/>
      <c r="I462" s="655">
        <v>75</v>
      </c>
      <c r="J462" s="654"/>
      <c r="K462" s="654"/>
      <c r="L462" s="347">
        <f t="shared" si="1"/>
        <v>75</v>
      </c>
      <c r="M462" s="373"/>
    </row>
    <row r="463" spans="1:13" x14ac:dyDescent="0.25">
      <c r="A463" s="230">
        <v>457</v>
      </c>
      <c r="C463" s="656">
        <v>20923</v>
      </c>
      <c r="D463" s="559">
        <v>40603</v>
      </c>
      <c r="E463" s="559">
        <v>40584</v>
      </c>
      <c r="F463" s="336" t="s">
        <v>692</v>
      </c>
      <c r="G463" s="654"/>
      <c r="H463" s="654"/>
      <c r="I463" s="655">
        <v>125</v>
      </c>
      <c r="J463" s="654"/>
      <c r="K463" s="654"/>
      <c r="L463" s="347">
        <f t="shared" si="1"/>
        <v>125</v>
      </c>
      <c r="M463" s="373"/>
    </row>
    <row r="464" spans="1:13" x14ac:dyDescent="0.25">
      <c r="A464" s="230">
        <v>458</v>
      </c>
      <c r="C464" s="656">
        <v>20923</v>
      </c>
      <c r="D464" s="559">
        <v>40603</v>
      </c>
      <c r="E464" s="559">
        <v>40585</v>
      </c>
      <c r="F464" s="336" t="s">
        <v>693</v>
      </c>
      <c r="G464" s="654"/>
      <c r="H464" s="654"/>
      <c r="I464" s="655">
        <v>175</v>
      </c>
      <c r="J464" s="654"/>
      <c r="K464" s="654"/>
      <c r="L464" s="347">
        <f t="shared" si="1"/>
        <v>175</v>
      </c>
      <c r="M464" s="373"/>
    </row>
    <row r="465" spans="1:13" x14ac:dyDescent="0.25">
      <c r="A465" s="230">
        <v>459</v>
      </c>
      <c r="C465" s="656">
        <v>20923</v>
      </c>
      <c r="D465" s="559">
        <v>40603</v>
      </c>
      <c r="E465" s="559">
        <v>40588</v>
      </c>
      <c r="F465" s="336" t="s">
        <v>694</v>
      </c>
      <c r="G465" s="654"/>
      <c r="H465" s="654">
        <v>50</v>
      </c>
      <c r="I465" s="655">
        <v>50</v>
      </c>
      <c r="J465" s="654"/>
      <c r="K465" s="654"/>
      <c r="L465" s="347">
        <f t="shared" si="1"/>
        <v>100</v>
      </c>
      <c r="M465" s="373"/>
    </row>
    <row r="466" spans="1:13" x14ac:dyDescent="0.25">
      <c r="A466" s="230">
        <v>460</v>
      </c>
      <c r="C466" s="656">
        <v>20923</v>
      </c>
      <c r="D466" s="559">
        <v>40603</v>
      </c>
      <c r="E466" s="559">
        <v>40590</v>
      </c>
      <c r="F466" s="336" t="s">
        <v>695</v>
      </c>
      <c r="G466" s="654"/>
      <c r="H466" s="654"/>
      <c r="I466" s="655">
        <v>125</v>
      </c>
      <c r="J466" s="654"/>
      <c r="K466" s="654"/>
      <c r="L466" s="347">
        <f t="shared" si="1"/>
        <v>125</v>
      </c>
      <c r="M466" s="373"/>
    </row>
    <row r="467" spans="1:13" x14ac:dyDescent="0.25">
      <c r="A467" s="230">
        <v>461</v>
      </c>
      <c r="C467" s="656">
        <v>20923</v>
      </c>
      <c r="D467" s="559">
        <v>40603</v>
      </c>
      <c r="E467" s="559">
        <v>40591</v>
      </c>
      <c r="F467" s="336" t="s">
        <v>696</v>
      </c>
      <c r="G467" s="654"/>
      <c r="H467" s="654"/>
      <c r="I467" s="655">
        <v>50</v>
      </c>
      <c r="J467" s="654"/>
      <c r="K467" s="654"/>
      <c r="L467" s="347">
        <f t="shared" si="1"/>
        <v>50</v>
      </c>
      <c r="M467" s="373"/>
    </row>
    <row r="468" spans="1:13" x14ac:dyDescent="0.25">
      <c r="A468" s="230">
        <v>462</v>
      </c>
      <c r="C468" s="656">
        <v>20923</v>
      </c>
      <c r="D468" s="559">
        <v>40603</v>
      </c>
      <c r="E468" s="559">
        <v>40592</v>
      </c>
      <c r="F468" s="336" t="s">
        <v>697</v>
      </c>
      <c r="G468" s="654"/>
      <c r="H468" s="654"/>
      <c r="I468" s="655">
        <v>75</v>
      </c>
      <c r="J468" s="654"/>
      <c r="K468" s="654"/>
      <c r="L468" s="347">
        <f t="shared" si="1"/>
        <v>75</v>
      </c>
      <c r="M468" s="373"/>
    </row>
    <row r="469" spans="1:13" x14ac:dyDescent="0.25">
      <c r="A469" s="230">
        <v>463</v>
      </c>
      <c r="C469" s="656">
        <v>20923</v>
      </c>
      <c r="D469" s="559">
        <v>40603</v>
      </c>
      <c r="E469" s="559">
        <v>40595</v>
      </c>
      <c r="F469" s="336" t="s">
        <v>698</v>
      </c>
      <c r="G469" s="654"/>
      <c r="H469" s="654"/>
      <c r="I469" s="655">
        <v>125</v>
      </c>
      <c r="J469" s="654"/>
      <c r="K469" s="654"/>
      <c r="L469" s="347">
        <f t="shared" si="1"/>
        <v>125</v>
      </c>
      <c r="M469" s="640"/>
    </row>
    <row r="470" spans="1:13" x14ac:dyDescent="0.25">
      <c r="A470" s="230">
        <v>464</v>
      </c>
      <c r="C470" s="656">
        <v>20923</v>
      </c>
      <c r="D470" s="559">
        <v>40603</v>
      </c>
      <c r="E470" s="559">
        <v>40598</v>
      </c>
      <c r="F470" s="336" t="s">
        <v>699</v>
      </c>
      <c r="G470" s="654"/>
      <c r="H470" s="654"/>
      <c r="I470" s="655">
        <v>50</v>
      </c>
      <c r="J470" s="654"/>
      <c r="K470" s="654"/>
      <c r="L470" s="347">
        <f t="shared" si="1"/>
        <v>50</v>
      </c>
      <c r="M470" s="373"/>
    </row>
    <row r="471" spans="1:13" x14ac:dyDescent="0.25">
      <c r="A471" s="230">
        <v>465</v>
      </c>
      <c r="C471" s="656">
        <v>20923</v>
      </c>
      <c r="D471" s="559">
        <v>40603</v>
      </c>
      <c r="E471" s="559">
        <v>40602</v>
      </c>
      <c r="F471" s="336" t="s">
        <v>700</v>
      </c>
      <c r="G471" s="654"/>
      <c r="H471" s="654"/>
      <c r="I471" s="655">
        <v>125</v>
      </c>
      <c r="J471" s="654"/>
      <c r="K471" s="654"/>
      <c r="L471" s="347">
        <f t="shared" si="1"/>
        <v>125</v>
      </c>
      <c r="M471" s="640">
        <f>SUM(L459:L471)</f>
        <v>1350</v>
      </c>
    </row>
    <row r="472" spans="1:13" x14ac:dyDescent="0.25">
      <c r="A472" s="230">
        <v>466</v>
      </c>
      <c r="C472" s="656">
        <v>20978</v>
      </c>
      <c r="D472" s="652">
        <v>40634</v>
      </c>
      <c r="E472" s="559">
        <v>40605</v>
      </c>
      <c r="F472" s="336" t="s">
        <v>701</v>
      </c>
      <c r="G472" s="654"/>
      <c r="H472" s="654"/>
      <c r="I472" s="655">
        <v>100</v>
      </c>
      <c r="J472" s="654"/>
      <c r="K472" s="654"/>
      <c r="L472" s="347">
        <f t="shared" si="1"/>
        <v>100</v>
      </c>
      <c r="M472" s="373"/>
    </row>
    <row r="473" spans="1:13" x14ac:dyDescent="0.25">
      <c r="A473" s="230">
        <v>467</v>
      </c>
      <c r="C473" s="656">
        <v>20978</v>
      </c>
      <c r="D473" s="559">
        <v>40634</v>
      </c>
      <c r="E473" s="559">
        <v>40606</v>
      </c>
      <c r="F473" s="336" t="s">
        <v>700</v>
      </c>
      <c r="G473" s="654"/>
      <c r="H473" s="654"/>
      <c r="I473" s="655">
        <v>75</v>
      </c>
      <c r="J473" s="654"/>
      <c r="K473" s="654"/>
      <c r="L473" s="347">
        <f t="shared" si="1"/>
        <v>75</v>
      </c>
      <c r="M473" s="373"/>
    </row>
    <row r="474" spans="1:13" x14ac:dyDescent="0.25">
      <c r="A474" s="230">
        <v>468</v>
      </c>
      <c r="C474" s="656">
        <v>20978</v>
      </c>
      <c r="D474" s="559">
        <v>40634</v>
      </c>
      <c r="E474" s="559">
        <v>40609</v>
      </c>
      <c r="F474" s="336" t="s">
        <v>702</v>
      </c>
      <c r="G474" s="653"/>
      <c r="H474" s="653"/>
      <c r="I474" s="657">
        <v>75</v>
      </c>
      <c r="J474" s="653"/>
      <c r="K474" s="653"/>
      <c r="L474" s="347">
        <f t="shared" si="1"/>
        <v>75</v>
      </c>
      <c r="M474" s="373"/>
    </row>
    <row r="475" spans="1:13" x14ac:dyDescent="0.25">
      <c r="A475" s="230">
        <v>469</v>
      </c>
      <c r="C475" s="656">
        <v>20978</v>
      </c>
      <c r="D475" s="559">
        <v>40634</v>
      </c>
      <c r="E475" s="559">
        <v>40612</v>
      </c>
      <c r="F475" s="336" t="s">
        <v>703</v>
      </c>
      <c r="H475" s="653"/>
      <c r="I475" s="657">
        <v>50</v>
      </c>
      <c r="J475" s="653"/>
      <c r="K475" s="653"/>
      <c r="L475" s="347">
        <f t="shared" si="1"/>
        <v>50</v>
      </c>
      <c r="M475" s="373"/>
    </row>
    <row r="476" spans="1:13" x14ac:dyDescent="0.25">
      <c r="A476" s="230">
        <v>470</v>
      </c>
      <c r="C476" s="656">
        <v>20978</v>
      </c>
      <c r="D476" s="559">
        <v>40634</v>
      </c>
      <c r="E476" s="559">
        <v>40617</v>
      </c>
      <c r="F476" s="336" t="s">
        <v>704</v>
      </c>
      <c r="H476" s="653"/>
      <c r="I476" s="657">
        <v>75</v>
      </c>
      <c r="J476" s="653"/>
      <c r="K476" s="653"/>
      <c r="L476" s="347">
        <f t="shared" si="1"/>
        <v>75</v>
      </c>
      <c r="M476" s="373"/>
    </row>
    <row r="477" spans="1:13" x14ac:dyDescent="0.25">
      <c r="A477" s="230">
        <v>471</v>
      </c>
      <c r="C477" s="656">
        <v>20978</v>
      </c>
      <c r="D477" s="559">
        <v>40634</v>
      </c>
      <c r="E477" s="559">
        <v>40618</v>
      </c>
      <c r="F477" s="336" t="s">
        <v>705</v>
      </c>
      <c r="H477" s="653"/>
      <c r="I477" s="657">
        <v>100</v>
      </c>
      <c r="J477" s="653"/>
      <c r="K477" s="653"/>
      <c r="L477" s="347">
        <f t="shared" si="1"/>
        <v>100</v>
      </c>
      <c r="M477" s="373"/>
    </row>
    <row r="478" spans="1:13" x14ac:dyDescent="0.25">
      <c r="A478" s="230">
        <v>472</v>
      </c>
      <c r="C478" s="656">
        <v>20978</v>
      </c>
      <c r="D478" s="559">
        <v>40634</v>
      </c>
      <c r="E478" s="559">
        <v>40619</v>
      </c>
      <c r="F478" s="336" t="s">
        <v>706</v>
      </c>
      <c r="H478" s="653"/>
      <c r="I478" s="657">
        <v>75</v>
      </c>
      <c r="J478" s="653"/>
      <c r="K478" s="653"/>
      <c r="L478" s="347">
        <f t="shared" si="1"/>
        <v>75</v>
      </c>
      <c r="M478" s="373"/>
    </row>
    <row r="479" spans="1:13" x14ac:dyDescent="0.25">
      <c r="A479" s="230">
        <v>473</v>
      </c>
      <c r="C479" s="656">
        <v>20978</v>
      </c>
      <c r="D479" s="559">
        <v>40634</v>
      </c>
      <c r="E479" s="559">
        <v>40620</v>
      </c>
      <c r="F479" s="336" t="s">
        <v>707</v>
      </c>
      <c r="H479" s="653"/>
      <c r="I479" s="657">
        <v>100</v>
      </c>
      <c r="J479" s="653"/>
      <c r="K479" s="653"/>
      <c r="L479" s="347">
        <f t="shared" si="1"/>
        <v>100</v>
      </c>
      <c r="M479" s="373"/>
    </row>
    <row r="480" spans="1:13" x14ac:dyDescent="0.25">
      <c r="A480" s="230">
        <v>474</v>
      </c>
      <c r="C480" s="656">
        <v>20978</v>
      </c>
      <c r="D480" s="559">
        <v>40634</v>
      </c>
      <c r="E480" s="559">
        <v>40633</v>
      </c>
      <c r="F480" s="336" t="s">
        <v>708</v>
      </c>
      <c r="H480" s="653"/>
      <c r="I480" s="657">
        <v>75</v>
      </c>
      <c r="J480" s="653"/>
      <c r="K480" s="653"/>
      <c r="L480" s="347">
        <f t="shared" si="1"/>
        <v>75</v>
      </c>
      <c r="M480" s="640">
        <f>SUM(L472:L480)</f>
        <v>725</v>
      </c>
    </row>
    <row r="481" spans="1:13" x14ac:dyDescent="0.25">
      <c r="A481" s="230">
        <v>475</v>
      </c>
      <c r="C481" s="656">
        <v>21029</v>
      </c>
      <c r="D481" s="652">
        <v>40662</v>
      </c>
      <c r="E481" s="559">
        <v>40634</v>
      </c>
      <c r="F481" s="336" t="s">
        <v>709</v>
      </c>
      <c r="H481" s="653"/>
      <c r="I481" s="657">
        <v>250</v>
      </c>
      <c r="J481" s="653"/>
      <c r="K481" s="653"/>
      <c r="L481" s="347">
        <f t="shared" si="1"/>
        <v>250</v>
      </c>
      <c r="M481" s="373"/>
    </row>
    <row r="482" spans="1:13" x14ac:dyDescent="0.25">
      <c r="A482" s="230">
        <v>476</v>
      </c>
      <c r="C482" s="656">
        <v>21029</v>
      </c>
      <c r="D482" s="559">
        <v>40662</v>
      </c>
      <c r="E482" s="559">
        <v>40637</v>
      </c>
      <c r="F482" s="336" t="s">
        <v>710</v>
      </c>
      <c r="H482" s="653"/>
      <c r="I482" s="657">
        <v>125</v>
      </c>
      <c r="J482" s="653"/>
      <c r="K482" s="653"/>
      <c r="L482" s="347">
        <f t="shared" si="1"/>
        <v>125</v>
      </c>
      <c r="M482" s="373"/>
    </row>
    <row r="483" spans="1:13" x14ac:dyDescent="0.25">
      <c r="A483" s="230">
        <v>477</v>
      </c>
      <c r="C483" s="656">
        <v>21029</v>
      </c>
      <c r="D483" s="559">
        <v>40662</v>
      </c>
      <c r="E483" s="559">
        <v>40646</v>
      </c>
      <c r="F483" s="336" t="s">
        <v>711</v>
      </c>
      <c r="H483" s="653"/>
      <c r="I483" s="657">
        <v>200</v>
      </c>
      <c r="J483" s="653"/>
      <c r="K483" s="653"/>
      <c r="L483" s="347">
        <f t="shared" si="1"/>
        <v>200</v>
      </c>
      <c r="M483" s="373"/>
    </row>
    <row r="484" spans="1:13" x14ac:dyDescent="0.25">
      <c r="A484" s="230">
        <v>478</v>
      </c>
      <c r="C484" s="656">
        <v>21029</v>
      </c>
      <c r="D484" s="559">
        <v>40662</v>
      </c>
      <c r="E484" s="559">
        <v>40648</v>
      </c>
      <c r="F484" s="336" t="s">
        <v>700</v>
      </c>
      <c r="H484" s="653"/>
      <c r="I484" s="657">
        <v>100</v>
      </c>
      <c r="J484" s="653"/>
      <c r="K484" s="653"/>
      <c r="L484" s="347">
        <f t="shared" si="1"/>
        <v>100</v>
      </c>
      <c r="M484" s="373"/>
    </row>
    <row r="485" spans="1:13" x14ac:dyDescent="0.25">
      <c r="A485" s="230">
        <v>479</v>
      </c>
      <c r="C485" s="656">
        <v>21029</v>
      </c>
      <c r="D485" s="559">
        <v>40662</v>
      </c>
      <c r="E485" s="559">
        <v>40651</v>
      </c>
      <c r="F485" s="336" t="s">
        <v>712</v>
      </c>
      <c r="H485" s="653"/>
      <c r="I485" s="657">
        <v>200</v>
      </c>
      <c r="J485" s="653"/>
      <c r="K485" s="653"/>
      <c r="L485" s="347">
        <f t="shared" si="1"/>
        <v>200</v>
      </c>
      <c r="M485" s="373"/>
    </row>
    <row r="486" spans="1:13" x14ac:dyDescent="0.25">
      <c r="A486" s="230">
        <v>480</v>
      </c>
      <c r="C486" s="656">
        <v>21029</v>
      </c>
      <c r="D486" s="559">
        <v>40662</v>
      </c>
      <c r="E486" s="559">
        <v>40652</v>
      </c>
      <c r="F486" s="336" t="s">
        <v>713</v>
      </c>
      <c r="H486" s="653"/>
      <c r="I486" s="657">
        <v>75</v>
      </c>
      <c r="J486" s="653"/>
      <c r="K486" s="653"/>
      <c r="L486" s="347">
        <f t="shared" si="1"/>
        <v>75</v>
      </c>
      <c r="M486" s="373"/>
    </row>
    <row r="487" spans="1:13" x14ac:dyDescent="0.25">
      <c r="A487" s="230">
        <v>481</v>
      </c>
      <c r="C487" s="656">
        <v>21029</v>
      </c>
      <c r="D487" s="559">
        <v>40662</v>
      </c>
      <c r="E487" s="559">
        <v>40654</v>
      </c>
      <c r="F487" s="336" t="s">
        <v>714</v>
      </c>
      <c r="H487" s="653"/>
      <c r="I487" s="657">
        <v>100</v>
      </c>
      <c r="J487" s="653"/>
      <c r="K487" s="653"/>
      <c r="L487" s="347">
        <f t="shared" si="1"/>
        <v>100</v>
      </c>
      <c r="M487" s="373"/>
    </row>
    <row r="488" spans="1:13" x14ac:dyDescent="0.25">
      <c r="A488" s="230">
        <v>482</v>
      </c>
      <c r="C488" s="656">
        <v>21029</v>
      </c>
      <c r="D488" s="559">
        <v>40662</v>
      </c>
      <c r="E488" s="559">
        <v>40661</v>
      </c>
      <c r="F488" s="336" t="s">
        <v>715</v>
      </c>
      <c r="H488" s="653"/>
      <c r="I488" s="657">
        <v>75</v>
      </c>
      <c r="J488" s="653"/>
      <c r="K488" s="653"/>
      <c r="L488" s="347">
        <f t="shared" si="1"/>
        <v>75</v>
      </c>
      <c r="M488" s="640">
        <f>SUM(L481:L488)</f>
        <v>1125</v>
      </c>
    </row>
    <row r="489" spans="1:13" x14ac:dyDescent="0.25">
      <c r="A489" s="230">
        <v>483</v>
      </c>
      <c r="C489" s="656">
        <v>21073</v>
      </c>
      <c r="D489" s="652">
        <v>40695</v>
      </c>
      <c r="E489" s="559">
        <v>40665</v>
      </c>
      <c r="F489" s="336" t="s">
        <v>716</v>
      </c>
      <c r="H489" s="653"/>
      <c r="I489" s="657">
        <v>50</v>
      </c>
      <c r="J489" s="653"/>
      <c r="K489" s="653"/>
      <c r="L489" s="347">
        <f t="shared" si="1"/>
        <v>50</v>
      </c>
      <c r="M489" s="373"/>
    </row>
    <row r="490" spans="1:13" x14ac:dyDescent="0.25">
      <c r="A490" s="230">
        <v>484</v>
      </c>
      <c r="C490" s="656">
        <v>21073</v>
      </c>
      <c r="D490" s="559">
        <v>40695</v>
      </c>
      <c r="E490" s="559">
        <v>40672</v>
      </c>
      <c r="F490" s="336" t="s">
        <v>717</v>
      </c>
      <c r="H490" s="653">
        <v>187.5</v>
      </c>
      <c r="I490" s="657">
        <v>187.5</v>
      </c>
      <c r="J490" s="653"/>
      <c r="K490" s="653"/>
      <c r="L490" s="347">
        <f t="shared" si="1"/>
        <v>375</v>
      </c>
      <c r="M490" s="373"/>
    </row>
    <row r="491" spans="1:13" x14ac:dyDescent="0.25">
      <c r="A491" s="230">
        <v>485</v>
      </c>
      <c r="C491" s="656">
        <v>21073</v>
      </c>
      <c r="D491" s="559">
        <v>40695</v>
      </c>
      <c r="E491" s="559">
        <v>40673</v>
      </c>
      <c r="F491" s="336" t="s">
        <v>669</v>
      </c>
      <c r="H491" s="653"/>
      <c r="I491" s="657">
        <v>50</v>
      </c>
      <c r="J491" s="653"/>
      <c r="K491" s="653"/>
      <c r="L491" s="347">
        <f t="shared" si="1"/>
        <v>50</v>
      </c>
      <c r="M491" s="373"/>
    </row>
    <row r="492" spans="1:13" x14ac:dyDescent="0.25">
      <c r="A492" s="230">
        <v>486</v>
      </c>
      <c r="C492" s="656">
        <v>21073</v>
      </c>
      <c r="D492" s="559">
        <v>40695</v>
      </c>
      <c r="E492" s="559">
        <v>40674</v>
      </c>
      <c r="F492" s="336" t="s">
        <v>718</v>
      </c>
      <c r="H492" s="653">
        <v>250</v>
      </c>
      <c r="I492" s="657"/>
      <c r="J492" s="653"/>
      <c r="K492" s="653"/>
      <c r="L492" s="347">
        <f t="shared" si="1"/>
        <v>250</v>
      </c>
      <c r="M492" s="373"/>
    </row>
    <row r="493" spans="1:13" x14ac:dyDescent="0.25">
      <c r="A493" s="230">
        <v>487</v>
      </c>
      <c r="C493" s="656">
        <v>21073</v>
      </c>
      <c r="D493" s="559">
        <v>40695</v>
      </c>
      <c r="E493" s="559">
        <v>40674</v>
      </c>
      <c r="F493" s="336" t="s">
        <v>719</v>
      </c>
      <c r="H493" s="653"/>
      <c r="I493" s="657">
        <v>450</v>
      </c>
      <c r="J493" s="653"/>
      <c r="K493" s="653"/>
      <c r="L493" s="347">
        <f t="shared" si="1"/>
        <v>450</v>
      </c>
      <c r="M493" s="373"/>
    </row>
    <row r="494" spans="1:13" x14ac:dyDescent="0.25">
      <c r="A494" s="230">
        <v>488</v>
      </c>
      <c r="C494" s="656">
        <v>21073</v>
      </c>
      <c r="D494" s="559">
        <v>40695</v>
      </c>
      <c r="E494" s="559">
        <v>40675</v>
      </c>
      <c r="F494" s="336" t="s">
        <v>720</v>
      </c>
      <c r="H494" s="653">
        <v>75</v>
      </c>
      <c r="I494" s="657"/>
      <c r="J494" s="653"/>
      <c r="K494" s="653"/>
      <c r="L494" s="347">
        <f t="shared" si="1"/>
        <v>75</v>
      </c>
      <c r="M494" s="373"/>
    </row>
    <row r="495" spans="1:13" x14ac:dyDescent="0.25">
      <c r="A495" s="230">
        <v>489</v>
      </c>
      <c r="C495" s="656">
        <v>21073</v>
      </c>
      <c r="D495" s="559">
        <v>40695</v>
      </c>
      <c r="E495" s="559">
        <v>40676</v>
      </c>
      <c r="F495" s="336" t="s">
        <v>721</v>
      </c>
      <c r="H495" s="653"/>
      <c r="I495" s="657">
        <v>75</v>
      </c>
      <c r="J495" s="653"/>
      <c r="K495" s="653"/>
      <c r="L495" s="347">
        <f t="shared" si="1"/>
        <v>75</v>
      </c>
      <c r="M495" s="373"/>
    </row>
    <row r="496" spans="1:13" x14ac:dyDescent="0.25">
      <c r="A496" s="230">
        <v>490</v>
      </c>
      <c r="C496" s="656">
        <v>21073</v>
      </c>
      <c r="D496" s="559">
        <v>40695</v>
      </c>
      <c r="E496" s="559">
        <v>40679</v>
      </c>
      <c r="F496" s="336" t="s">
        <v>722</v>
      </c>
      <c r="H496" s="653"/>
      <c r="I496" s="657">
        <v>50</v>
      </c>
      <c r="J496" s="653"/>
      <c r="K496" s="653"/>
      <c r="L496" s="347">
        <f t="shared" si="1"/>
        <v>50</v>
      </c>
      <c r="M496" s="373"/>
    </row>
    <row r="497" spans="1:13" x14ac:dyDescent="0.25">
      <c r="A497" s="230">
        <v>491</v>
      </c>
      <c r="C497" s="656">
        <v>21073</v>
      </c>
      <c r="D497" s="559">
        <v>40695</v>
      </c>
      <c r="E497" s="559">
        <v>40681</v>
      </c>
      <c r="F497" s="336" t="s">
        <v>723</v>
      </c>
      <c r="H497" s="653"/>
      <c r="I497" s="657">
        <v>50</v>
      </c>
      <c r="J497" s="653"/>
      <c r="K497" s="653">
        <v>50</v>
      </c>
      <c r="L497" s="347">
        <f t="shared" si="1"/>
        <v>100</v>
      </c>
      <c r="M497" s="373"/>
    </row>
    <row r="498" spans="1:13" x14ac:dyDescent="0.25">
      <c r="A498" s="230">
        <v>492</v>
      </c>
      <c r="C498" s="656">
        <v>21073</v>
      </c>
      <c r="D498" s="559">
        <v>40695</v>
      </c>
      <c r="E498" s="559">
        <v>40689</v>
      </c>
      <c r="F498" s="336" t="s">
        <v>724</v>
      </c>
      <c r="H498" s="653">
        <v>75</v>
      </c>
      <c r="I498" s="657"/>
      <c r="J498" s="653"/>
      <c r="K498" s="653"/>
      <c r="L498" s="347">
        <f t="shared" si="1"/>
        <v>75</v>
      </c>
      <c r="M498" s="373"/>
    </row>
    <row r="499" spans="1:13" x14ac:dyDescent="0.25">
      <c r="A499" s="230">
        <v>493</v>
      </c>
      <c r="C499" s="278"/>
      <c r="D499" s="559">
        <v>40695</v>
      </c>
      <c r="E499" s="559">
        <v>40690</v>
      </c>
      <c r="F499" s="336" t="s">
        <v>700</v>
      </c>
      <c r="H499" s="653"/>
      <c r="I499" s="657">
        <v>100</v>
      </c>
      <c r="J499" s="653"/>
      <c r="K499" s="653"/>
      <c r="L499" s="347">
        <f t="shared" si="1"/>
        <v>100</v>
      </c>
      <c r="M499" s="640">
        <f>SUM(L489:L499)</f>
        <v>1650</v>
      </c>
    </row>
    <row r="500" spans="1:13" x14ac:dyDescent="0.25">
      <c r="A500" s="230">
        <v>494</v>
      </c>
      <c r="C500" s="658" t="s">
        <v>725</v>
      </c>
      <c r="D500" s="652"/>
      <c r="E500" s="652"/>
      <c r="F500" s="633" t="s">
        <v>726</v>
      </c>
      <c r="G500" s="633"/>
      <c r="H500" s="657"/>
      <c r="I500" s="657">
        <v>1125</v>
      </c>
      <c r="J500" s="653"/>
      <c r="K500" s="653"/>
      <c r="L500" s="347">
        <f t="shared" si="1"/>
        <v>1125</v>
      </c>
      <c r="M500" s="640"/>
    </row>
    <row r="501" spans="1:13" x14ac:dyDescent="0.25">
      <c r="A501" s="230">
        <v>495</v>
      </c>
      <c r="C501" s="659" t="s">
        <v>727</v>
      </c>
      <c r="D501" s="652"/>
      <c r="E501" s="652"/>
      <c r="F501" s="633" t="s">
        <v>728</v>
      </c>
      <c r="G501" s="633"/>
      <c r="H501" s="657"/>
      <c r="I501" s="657">
        <v>725</v>
      </c>
      <c r="J501" s="653"/>
      <c r="K501" s="653"/>
      <c r="L501" s="347">
        <f t="shared" si="1"/>
        <v>725</v>
      </c>
      <c r="M501" s="640"/>
    </row>
    <row r="502" spans="1:13" x14ac:dyDescent="0.25">
      <c r="A502" s="230">
        <v>496</v>
      </c>
      <c r="C502" s="278"/>
      <c r="D502" s="559"/>
      <c r="E502" s="559"/>
      <c r="H502" s="653"/>
      <c r="I502" s="653"/>
      <c r="J502" s="653"/>
      <c r="K502" s="653"/>
      <c r="L502" s="653">
        <f>SUM(L386:L501)</f>
        <v>15150</v>
      </c>
      <c r="M502" s="373"/>
    </row>
    <row r="503" spans="1:13" x14ac:dyDescent="0.25">
      <c r="A503" s="230">
        <v>497</v>
      </c>
      <c r="C503" s="278"/>
      <c r="D503" s="559" t="s">
        <v>729</v>
      </c>
      <c r="E503" s="559"/>
      <c r="F503" s="336" t="s">
        <v>730</v>
      </c>
      <c r="G503" s="660">
        <f>SUM(G386:G499)</f>
        <v>2500</v>
      </c>
      <c r="H503" s="661">
        <f>SUM(H386:H499)</f>
        <v>1987.5</v>
      </c>
      <c r="I503" s="662">
        <f>SUM(I386:I501)</f>
        <v>9762.5</v>
      </c>
      <c r="J503" s="661">
        <f>SUM(J386:J499)</f>
        <v>175</v>
      </c>
      <c r="K503" s="661">
        <f>SUM(K386:K499)</f>
        <v>725</v>
      </c>
      <c r="L503" s="662">
        <f>SUM(G503:K503)</f>
        <v>15150</v>
      </c>
      <c r="M503" s="373"/>
    </row>
    <row r="504" spans="1:13" x14ac:dyDescent="0.25">
      <c r="A504" s="230">
        <v>498</v>
      </c>
      <c r="C504" s="278" t="s">
        <v>731</v>
      </c>
      <c r="D504" s="621">
        <f>+I503/11</f>
        <v>887.5</v>
      </c>
      <c r="E504" s="559"/>
      <c r="F504" s="336" t="s">
        <v>732</v>
      </c>
      <c r="H504" s="653"/>
      <c r="I504" s="653">
        <f>+D504*2</f>
        <v>1775</v>
      </c>
      <c r="J504" s="653"/>
      <c r="K504" s="653"/>
      <c r="L504" s="653"/>
      <c r="M504" s="373"/>
    </row>
    <row r="505" spans="1:13" x14ac:dyDescent="0.25">
      <c r="A505" s="230">
        <v>499</v>
      </c>
      <c r="C505" s="278"/>
      <c r="D505" s="559"/>
      <c r="E505" s="559"/>
      <c r="F505" s="336" t="s">
        <v>733</v>
      </c>
      <c r="H505" s="653"/>
      <c r="I505" s="653">
        <f>+I504+I503</f>
        <v>11537.5</v>
      </c>
      <c r="J505" s="653"/>
      <c r="K505" s="653"/>
      <c r="L505" s="653"/>
      <c r="M505" s="373"/>
    </row>
    <row r="506" spans="1:13" x14ac:dyDescent="0.25">
      <c r="A506" s="230">
        <v>500</v>
      </c>
      <c r="C506" s="278"/>
      <c r="D506" s="559"/>
      <c r="E506" s="559"/>
      <c r="F506" s="233"/>
      <c r="G506" s="233"/>
      <c r="M506" s="373"/>
    </row>
    <row r="507" spans="1:13" x14ac:dyDescent="0.25">
      <c r="A507" s="230">
        <v>501</v>
      </c>
      <c r="C507" s="278"/>
      <c r="D507" s="559"/>
      <c r="E507" s="559"/>
      <c r="F507" s="336" t="s">
        <v>734</v>
      </c>
      <c r="G507" s="663">
        <v>-1250</v>
      </c>
      <c r="H507" s="653"/>
      <c r="I507" s="664">
        <f>+I505/3</f>
        <v>3845.8333333333335</v>
      </c>
      <c r="J507" s="653"/>
      <c r="K507" s="653"/>
      <c r="L507" s="653"/>
      <c r="M507" s="373"/>
    </row>
    <row r="508" spans="1:13" ht="15.75" x14ac:dyDescent="0.25">
      <c r="A508" s="230">
        <v>502</v>
      </c>
      <c r="C508" s="278"/>
      <c r="D508" s="559"/>
      <c r="E508" s="559"/>
      <c r="F508" s="336" t="s">
        <v>735</v>
      </c>
      <c r="G508" s="663">
        <f>SUM(G503:G507)</f>
        <v>1250</v>
      </c>
      <c r="H508" s="653"/>
      <c r="I508" s="321" t="s">
        <v>736</v>
      </c>
      <c r="J508" s="653"/>
      <c r="K508" s="665" t="s">
        <v>737</v>
      </c>
      <c r="L508" s="653"/>
      <c r="M508" s="373"/>
    </row>
    <row r="509" spans="1:13" ht="15.75" x14ac:dyDescent="0.25">
      <c r="A509" s="230">
        <v>503</v>
      </c>
      <c r="C509" s="278"/>
      <c r="D509" s="559"/>
      <c r="E509" s="559"/>
      <c r="H509" s="653"/>
      <c r="I509" s="321"/>
      <c r="J509" s="653"/>
      <c r="K509" s="665" t="s">
        <v>738</v>
      </c>
      <c r="L509" s="653"/>
      <c r="M509" s="373"/>
    </row>
    <row r="510" spans="1:13" x14ac:dyDescent="0.25">
      <c r="A510" s="230">
        <v>504</v>
      </c>
      <c r="C510" s="278" t="s">
        <v>739</v>
      </c>
      <c r="D510" s="559"/>
      <c r="E510" s="559"/>
      <c r="H510" s="653"/>
      <c r="I510" s="653"/>
      <c r="J510" s="653"/>
      <c r="K510" s="653"/>
      <c r="L510" s="653"/>
      <c r="M510" s="373"/>
    </row>
    <row r="511" spans="1:13" ht="15.75" thickBot="1" x14ac:dyDescent="0.3">
      <c r="A511" s="230">
        <v>505</v>
      </c>
      <c r="C511" s="324" t="s">
        <v>740</v>
      </c>
      <c r="D511" s="666"/>
      <c r="E511" s="666"/>
      <c r="F511" s="580"/>
      <c r="G511" s="580"/>
      <c r="H511" s="667"/>
      <c r="I511" s="667"/>
      <c r="J511" s="667"/>
      <c r="K511" s="667"/>
      <c r="L511" s="667"/>
      <c r="M511" s="452"/>
    </row>
    <row r="512" spans="1:13" ht="15.75" thickBot="1" x14ac:dyDescent="0.3">
      <c r="A512" s="230">
        <v>506</v>
      </c>
      <c r="D512" s="559"/>
      <c r="E512" s="559"/>
      <c r="H512" s="653"/>
      <c r="I512" s="653"/>
      <c r="J512" s="653"/>
      <c r="K512" s="653"/>
      <c r="L512" s="653"/>
    </row>
    <row r="513" spans="1:12" x14ac:dyDescent="0.25">
      <c r="A513" s="230">
        <v>507</v>
      </c>
      <c r="C513" s="668" t="s">
        <v>533</v>
      </c>
      <c r="D513" s="669"/>
      <c r="E513" s="669" t="s">
        <v>741</v>
      </c>
      <c r="F513" s="586"/>
      <c r="G513" s="598"/>
      <c r="H513" s="653"/>
      <c r="I513" s="653"/>
      <c r="J513" s="653"/>
      <c r="K513" s="653"/>
      <c r="L513" s="653"/>
    </row>
    <row r="514" spans="1:12" x14ac:dyDescent="0.25">
      <c r="A514" s="230">
        <v>508</v>
      </c>
      <c r="C514" s="278" t="s">
        <v>534</v>
      </c>
      <c r="D514" s="670">
        <v>4589</v>
      </c>
      <c r="E514" s="559" t="s">
        <v>742</v>
      </c>
      <c r="G514" s="560"/>
      <c r="H514" s="653"/>
      <c r="I514" s="653"/>
      <c r="J514" s="653"/>
      <c r="K514" s="653"/>
      <c r="L514" s="653"/>
    </row>
    <row r="515" spans="1:12" ht="15.75" x14ac:dyDescent="0.25">
      <c r="A515" s="230">
        <v>509</v>
      </c>
      <c r="C515" s="278" t="s">
        <v>743</v>
      </c>
      <c r="D515" s="559"/>
      <c r="E515" s="513" t="s">
        <v>744</v>
      </c>
      <c r="F515" s="671">
        <f>'[2]Sch 9 DEPN'!N41</f>
        <v>0</v>
      </c>
      <c r="G515" s="560"/>
      <c r="H515" s="653"/>
      <c r="I515" s="653"/>
      <c r="J515" s="653"/>
      <c r="K515" s="653"/>
      <c r="L515" s="653"/>
    </row>
    <row r="516" spans="1:12" ht="15.75" thickBot="1" x14ac:dyDescent="0.3">
      <c r="A516" s="230">
        <v>510</v>
      </c>
      <c r="C516" s="324"/>
      <c r="D516" s="285"/>
      <c r="E516" s="285"/>
      <c r="F516" s="285"/>
      <c r="G516" s="581"/>
      <c r="H516" s="653"/>
      <c r="I516" s="653"/>
      <c r="J516" s="653"/>
      <c r="K516" s="653"/>
      <c r="L516" s="653"/>
    </row>
    <row r="517" spans="1:12" x14ac:dyDescent="0.25">
      <c r="A517" s="230">
        <v>511</v>
      </c>
      <c r="D517" s="559"/>
      <c r="E517" s="559"/>
      <c r="H517" s="653"/>
      <c r="I517" s="653"/>
      <c r="J517" s="653"/>
      <c r="K517" s="653"/>
      <c r="L517" s="653"/>
    </row>
    <row r="518" spans="1:12" x14ac:dyDescent="0.25">
      <c r="A518" s="230">
        <v>512</v>
      </c>
      <c r="D518" s="559"/>
      <c r="E518" s="559"/>
      <c r="H518" s="653"/>
      <c r="I518" s="653"/>
      <c r="J518" s="653"/>
      <c r="K518" s="653"/>
      <c r="L518" s="653"/>
    </row>
    <row r="519" spans="1:12" ht="15.75" thickBot="1" x14ac:dyDescent="0.3">
      <c r="A519" s="230">
        <v>513</v>
      </c>
      <c r="D519" s="559"/>
      <c r="E519" s="559"/>
      <c r="H519" s="653"/>
      <c r="I519" s="653"/>
      <c r="J519" s="653"/>
      <c r="K519" s="653"/>
      <c r="L519" s="653"/>
    </row>
    <row r="520" spans="1:12" x14ac:dyDescent="0.25">
      <c r="A520" s="230">
        <v>514</v>
      </c>
      <c r="C520" s="668" t="s">
        <v>745</v>
      </c>
      <c r="D520" s="669"/>
      <c r="E520" s="669"/>
      <c r="F520" s="586"/>
      <c r="G520" s="586"/>
      <c r="H520" s="672"/>
      <c r="I520" s="653"/>
      <c r="J520" s="653"/>
      <c r="K520" s="653"/>
      <c r="L520" s="653"/>
    </row>
    <row r="521" spans="1:12" x14ac:dyDescent="0.25">
      <c r="A521" s="230">
        <v>515</v>
      </c>
      <c r="D521" s="559"/>
      <c r="E521" s="559"/>
      <c r="H521" s="673"/>
      <c r="I521" s="653"/>
      <c r="J521" s="653"/>
      <c r="K521" s="653"/>
      <c r="L521" s="653"/>
    </row>
    <row r="522" spans="1:12" x14ac:dyDescent="0.25">
      <c r="A522" s="230">
        <v>516</v>
      </c>
      <c r="C522" s="278" t="s">
        <v>746</v>
      </c>
      <c r="D522" s="559" t="s">
        <v>747</v>
      </c>
      <c r="E522" s="559" t="s">
        <v>748</v>
      </c>
      <c r="F522" s="336" t="s">
        <v>749</v>
      </c>
      <c r="G522" s="336" t="s">
        <v>750</v>
      </c>
      <c r="H522" s="673"/>
      <c r="I522" s="653"/>
      <c r="J522" s="653"/>
      <c r="K522" s="653"/>
      <c r="L522" s="653"/>
    </row>
    <row r="523" spans="1:12" x14ac:dyDescent="0.25">
      <c r="A523" s="230">
        <v>517</v>
      </c>
      <c r="C523" s="278" t="s">
        <v>264</v>
      </c>
      <c r="D523" s="674">
        <f>E68</f>
        <v>1589.57</v>
      </c>
      <c r="E523" s="675">
        <v>3</v>
      </c>
      <c r="F523" s="336" t="s">
        <v>751</v>
      </c>
      <c r="G523" s="336">
        <f>+D523/E523</f>
        <v>529.85666666666668</v>
      </c>
      <c r="H523" s="673"/>
      <c r="I523" s="653"/>
      <c r="J523" s="653"/>
      <c r="K523" s="653"/>
      <c r="L523" s="653"/>
    </row>
    <row r="524" spans="1:12" x14ac:dyDescent="0.25">
      <c r="A524" s="230">
        <v>518</v>
      </c>
      <c r="C524" s="278" t="s">
        <v>752</v>
      </c>
      <c r="D524" s="676">
        <v>0</v>
      </c>
      <c r="E524" s="675">
        <v>3</v>
      </c>
      <c r="F524" s="336" t="s">
        <v>753</v>
      </c>
      <c r="G524" s="677">
        <f>+D524/E524</f>
        <v>0</v>
      </c>
      <c r="H524" s="678"/>
      <c r="I524" s="653"/>
      <c r="J524" s="653"/>
      <c r="K524" s="653"/>
      <c r="L524" s="653"/>
    </row>
    <row r="525" spans="1:12" x14ac:dyDescent="0.25">
      <c r="A525" s="230">
        <v>519</v>
      </c>
      <c r="C525" s="278"/>
      <c r="D525" s="358">
        <f>SUM(D523:D524)</f>
        <v>1589.57</v>
      </c>
      <c r="E525" s="679" t="s">
        <v>754</v>
      </c>
      <c r="G525" s="358">
        <f>+G524+G523</f>
        <v>529.85666666666668</v>
      </c>
      <c r="H525" s="680" t="s">
        <v>754</v>
      </c>
      <c r="I525" s="653"/>
      <c r="J525" s="653"/>
      <c r="K525" s="653"/>
      <c r="L525" s="653"/>
    </row>
    <row r="526" spans="1:12" x14ac:dyDescent="0.25">
      <c r="A526" s="230">
        <v>520</v>
      </c>
      <c r="C526" s="278" t="s">
        <v>755</v>
      </c>
      <c r="D526" s="233"/>
      <c r="E526" s="233"/>
      <c r="F526" s="233"/>
      <c r="G526" s="233"/>
      <c r="H526" s="673"/>
      <c r="I526" s="653"/>
      <c r="J526" s="653"/>
      <c r="K526" s="653"/>
      <c r="L526" s="653"/>
    </row>
    <row r="527" spans="1:12" x14ac:dyDescent="0.25">
      <c r="A527" s="230">
        <v>521</v>
      </c>
      <c r="C527" s="278" t="s">
        <v>756</v>
      </c>
      <c r="D527" s="681">
        <f>G508</f>
        <v>1250</v>
      </c>
      <c r="E527" s="682">
        <v>5</v>
      </c>
      <c r="F527" s="336" t="s">
        <v>757</v>
      </c>
      <c r="G527" s="355">
        <f>+D527/E527</f>
        <v>250</v>
      </c>
      <c r="H527" s="673"/>
      <c r="I527" s="653"/>
      <c r="J527" s="653"/>
      <c r="K527" s="653"/>
      <c r="L527" s="653"/>
    </row>
    <row r="528" spans="1:12" ht="17.25" x14ac:dyDescent="0.4">
      <c r="A528" s="230">
        <v>522</v>
      </c>
      <c r="C528" s="278" t="s">
        <v>756</v>
      </c>
      <c r="D528" s="683">
        <f>H159</f>
        <v>6661.375</v>
      </c>
      <c r="E528" s="682">
        <v>5</v>
      </c>
      <c r="F528" s="336" t="s">
        <v>758</v>
      </c>
      <c r="G528" s="684">
        <f>+D528/E528</f>
        <v>1332.2750000000001</v>
      </c>
      <c r="H528" s="673"/>
      <c r="I528" s="653"/>
      <c r="J528" s="653"/>
      <c r="K528" s="653"/>
      <c r="L528" s="653"/>
    </row>
    <row r="529" spans="1:12" ht="15.75" x14ac:dyDescent="0.25">
      <c r="A529" s="230">
        <v>523</v>
      </c>
      <c r="C529" s="278"/>
      <c r="D529" s="358">
        <f>SUM(D527:D528)</f>
        <v>7911.375</v>
      </c>
      <c r="E529" s="685" t="s">
        <v>754</v>
      </c>
      <c r="G529" s="358">
        <f>SUM(G527:G528)</f>
        <v>1582.2750000000001</v>
      </c>
      <c r="H529" s="447" t="s">
        <v>759</v>
      </c>
      <c r="J529" s="653"/>
      <c r="K529" s="653"/>
      <c r="L529" s="653"/>
    </row>
    <row r="530" spans="1:12" x14ac:dyDescent="0.25">
      <c r="A530" s="230">
        <v>524</v>
      </c>
      <c r="C530" s="278"/>
      <c r="D530" s="355"/>
      <c r="E530" s="682"/>
      <c r="G530" s="355"/>
      <c r="H530" s="673"/>
      <c r="I530" s="653"/>
      <c r="J530" s="653"/>
      <c r="K530" s="653"/>
      <c r="L530" s="653"/>
    </row>
    <row r="531" spans="1:12" x14ac:dyDescent="0.25">
      <c r="A531" s="230">
        <v>525</v>
      </c>
      <c r="C531" s="346" t="s">
        <v>760</v>
      </c>
      <c r="D531" s="355"/>
      <c r="E531" s="682"/>
      <c r="G531" s="355"/>
      <c r="H531" s="673"/>
      <c r="I531" s="653"/>
      <c r="J531" s="653"/>
      <c r="K531" s="653"/>
      <c r="L531" s="653"/>
    </row>
    <row r="532" spans="1:12" ht="18" x14ac:dyDescent="0.4">
      <c r="A532" s="230">
        <v>526</v>
      </c>
      <c r="C532" s="278" t="s">
        <v>760</v>
      </c>
      <c r="D532" s="686">
        <f>G178</f>
        <v>3161.89</v>
      </c>
      <c r="E532" s="682">
        <v>5</v>
      </c>
      <c r="F532" s="336" t="s">
        <v>761</v>
      </c>
      <c r="G532" s="358">
        <f>+D532/E532</f>
        <v>632.37799999999993</v>
      </c>
      <c r="H532" s="447" t="s">
        <v>762</v>
      </c>
      <c r="I532" s="653"/>
      <c r="J532" s="653"/>
      <c r="K532" s="653"/>
      <c r="L532" s="653"/>
    </row>
    <row r="533" spans="1:12" ht="15.75" thickBot="1" x14ac:dyDescent="0.3">
      <c r="A533" s="230">
        <v>527</v>
      </c>
      <c r="C533" s="324"/>
      <c r="D533" s="687">
        <f>+D532</f>
        <v>3161.89</v>
      </c>
      <c r="E533" s="688" t="str">
        <f>+E529</f>
        <v>To Sch 8 BEOY</v>
      </c>
      <c r="F533" s="580"/>
      <c r="G533" s="580"/>
      <c r="H533" s="689"/>
      <c r="I533" s="653"/>
      <c r="J533" s="653"/>
      <c r="K533" s="653"/>
      <c r="L533" s="653"/>
    </row>
    <row r="534" spans="1:12" x14ac:dyDescent="0.25">
      <c r="A534" s="230">
        <v>528</v>
      </c>
      <c r="D534" s="559"/>
      <c r="E534" s="559"/>
      <c r="H534" s="653"/>
      <c r="I534" s="653"/>
      <c r="J534" s="653"/>
      <c r="K534" s="653"/>
      <c r="L534" s="653"/>
    </row>
    <row r="535" spans="1:12" x14ac:dyDescent="0.25">
      <c r="A535" s="230">
        <v>529</v>
      </c>
      <c r="D535" s="559"/>
      <c r="E535" s="559"/>
      <c r="H535" s="653"/>
      <c r="I535" s="653"/>
      <c r="J535" s="653"/>
      <c r="K535" s="653"/>
      <c r="L535" s="653"/>
    </row>
    <row r="536" spans="1:12" ht="15.75" thickBot="1" x14ac:dyDescent="0.3">
      <c r="A536" s="230">
        <v>530</v>
      </c>
      <c r="D536" s="559"/>
      <c r="E536" s="559"/>
      <c r="H536" s="653"/>
      <c r="I536" s="653"/>
      <c r="J536" s="653"/>
      <c r="K536" s="653"/>
      <c r="L536" s="653"/>
    </row>
    <row r="537" spans="1:12" x14ac:dyDescent="0.25">
      <c r="A537" s="230">
        <v>531</v>
      </c>
      <c r="C537" s="668" t="s">
        <v>763</v>
      </c>
      <c r="D537" s="669"/>
      <c r="E537" s="669"/>
      <c r="F537" s="586"/>
      <c r="G537" s="586"/>
      <c r="H537" s="690"/>
      <c r="I537" s="690"/>
      <c r="J537" s="672"/>
      <c r="K537" s="653"/>
      <c r="L537" s="653"/>
    </row>
    <row r="538" spans="1:12" ht="15.75" x14ac:dyDescent="0.25">
      <c r="A538" s="230">
        <v>532</v>
      </c>
      <c r="C538" s="278" t="s">
        <v>553</v>
      </c>
      <c r="E538" s="181"/>
      <c r="J538" s="373"/>
      <c r="K538" s="653"/>
      <c r="L538" s="653"/>
    </row>
    <row r="539" spans="1:12" ht="15.75" x14ac:dyDescent="0.25">
      <c r="A539" s="230">
        <v>533</v>
      </c>
      <c r="C539" s="278" t="s">
        <v>554</v>
      </c>
      <c r="E539" s="181"/>
      <c r="J539" s="373"/>
      <c r="K539" s="653"/>
      <c r="L539" s="653"/>
    </row>
    <row r="540" spans="1:12" ht="15.75" x14ac:dyDescent="0.25">
      <c r="A540" s="230">
        <v>534</v>
      </c>
      <c r="C540" s="278"/>
      <c r="E540" s="181"/>
      <c r="J540" s="373"/>
      <c r="K540" s="653"/>
      <c r="L540" s="653"/>
    </row>
    <row r="541" spans="1:12" ht="60" x14ac:dyDescent="0.25">
      <c r="A541" s="230">
        <v>535</v>
      </c>
      <c r="C541" s="278"/>
      <c r="D541" s="354" t="s">
        <v>555</v>
      </c>
      <c r="E541" s="602" t="s">
        <v>556</v>
      </c>
      <c r="F541" s="354" t="s">
        <v>557</v>
      </c>
      <c r="G541" s="354" t="s">
        <v>558</v>
      </c>
      <c r="H541" s="691" t="s">
        <v>764</v>
      </c>
      <c r="I541" s="603" t="s">
        <v>560</v>
      </c>
      <c r="J541" s="692" t="s">
        <v>765</v>
      </c>
      <c r="K541" s="653"/>
      <c r="L541" s="653"/>
    </row>
    <row r="542" spans="1:12" ht="15.75" x14ac:dyDescent="0.25">
      <c r="A542" s="230">
        <v>536</v>
      </c>
      <c r="C542" s="278" t="s">
        <v>561</v>
      </c>
      <c r="D542" s="336">
        <v>18</v>
      </c>
      <c r="E542" s="181">
        <v>0</v>
      </c>
      <c r="F542" s="336">
        <v>18</v>
      </c>
      <c r="G542" s="336">
        <v>20</v>
      </c>
      <c r="H542" s="693">
        <v>18</v>
      </c>
      <c r="I542" s="233">
        <v>20</v>
      </c>
      <c r="J542" s="604">
        <f>+F542/I542</f>
        <v>0.9</v>
      </c>
      <c r="K542" s="653"/>
      <c r="L542" s="653"/>
    </row>
    <row r="543" spans="1:12" ht="15.75" x14ac:dyDescent="0.25">
      <c r="A543" s="230">
        <v>537</v>
      </c>
      <c r="C543" s="278" t="s">
        <v>562</v>
      </c>
      <c r="D543" s="336">
        <v>9</v>
      </c>
      <c r="E543" s="181">
        <v>1</v>
      </c>
      <c r="F543" s="336">
        <v>10</v>
      </c>
      <c r="G543" s="336">
        <v>12</v>
      </c>
      <c r="H543" s="693">
        <v>9</v>
      </c>
      <c r="I543" s="233">
        <v>12</v>
      </c>
      <c r="J543" s="604">
        <f>+F543/I543</f>
        <v>0.83333333333333337</v>
      </c>
      <c r="K543" s="653"/>
      <c r="L543" s="653"/>
    </row>
    <row r="544" spans="1:12" ht="15.75" x14ac:dyDescent="0.25">
      <c r="A544" s="230">
        <v>538</v>
      </c>
      <c r="C544" s="278" t="s">
        <v>563</v>
      </c>
      <c r="D544" s="336">
        <v>17</v>
      </c>
      <c r="E544" s="181">
        <v>2</v>
      </c>
      <c r="F544" s="336">
        <v>19</v>
      </c>
      <c r="G544" s="336">
        <v>44</v>
      </c>
      <c r="H544" s="693">
        <v>17</v>
      </c>
      <c r="I544" s="233">
        <v>44</v>
      </c>
      <c r="J544" s="604">
        <f>+F544/I544</f>
        <v>0.43181818181818182</v>
      </c>
      <c r="K544" s="653"/>
      <c r="L544" s="653"/>
    </row>
    <row r="545" spans="1:12" ht="15.75" x14ac:dyDescent="0.25">
      <c r="A545" s="230">
        <v>539</v>
      </c>
      <c r="C545" s="278" t="s">
        <v>564</v>
      </c>
      <c r="D545" s="336">
        <v>27</v>
      </c>
      <c r="E545" s="181">
        <v>4</v>
      </c>
      <c r="F545" s="336">
        <v>31</v>
      </c>
      <c r="G545" s="336">
        <v>63</v>
      </c>
      <c r="H545" s="693">
        <v>27</v>
      </c>
      <c r="I545" s="233">
        <v>63</v>
      </c>
      <c r="J545" s="604">
        <f>+F545/I545</f>
        <v>0.49206349206349204</v>
      </c>
      <c r="K545" s="653"/>
      <c r="L545" s="653"/>
    </row>
    <row r="546" spans="1:12" ht="15.75" x14ac:dyDescent="0.25">
      <c r="A546" s="230">
        <v>540</v>
      </c>
      <c r="C546" s="278" t="s">
        <v>565</v>
      </c>
      <c r="D546" s="336">
        <v>15</v>
      </c>
      <c r="E546" s="181">
        <v>7</v>
      </c>
      <c r="F546" s="336">
        <v>22</v>
      </c>
      <c r="G546" s="336">
        <v>43</v>
      </c>
      <c r="H546" s="693">
        <v>15</v>
      </c>
      <c r="I546" s="233">
        <v>43</v>
      </c>
      <c r="J546" s="604">
        <f>+F546/I546</f>
        <v>0.51162790697674421</v>
      </c>
      <c r="K546" s="653"/>
      <c r="L546" s="653"/>
    </row>
    <row r="547" spans="1:12" ht="15.75" x14ac:dyDescent="0.25">
      <c r="A547" s="230">
        <v>541</v>
      </c>
      <c r="C547" s="278"/>
      <c r="E547" s="181"/>
      <c r="H547" s="233">
        <f>SUM(H542:H546)</f>
        <v>86</v>
      </c>
      <c r="I547" s="233">
        <f>SUM(I542:I546)</f>
        <v>182</v>
      </c>
      <c r="J547" s="604"/>
      <c r="K547" s="653"/>
      <c r="L547" s="653"/>
    </row>
    <row r="548" spans="1:12" ht="15.75" x14ac:dyDescent="0.25">
      <c r="A548" s="230">
        <v>542</v>
      </c>
      <c r="C548" s="278"/>
      <c r="E548" s="181"/>
      <c r="J548" s="604"/>
      <c r="K548" s="653"/>
      <c r="L548" s="653"/>
    </row>
    <row r="549" spans="1:12" ht="30" x14ac:dyDescent="0.25">
      <c r="A549" s="230">
        <v>543</v>
      </c>
      <c r="C549" s="278" t="s">
        <v>566</v>
      </c>
      <c r="D549" s="336">
        <v>1</v>
      </c>
      <c r="E549" s="181">
        <v>7</v>
      </c>
      <c r="F549" s="336">
        <v>8</v>
      </c>
      <c r="G549" s="336">
        <v>34</v>
      </c>
      <c r="I549" s="233">
        <v>34</v>
      </c>
      <c r="J549" s="694" t="s">
        <v>766</v>
      </c>
      <c r="K549" s="653"/>
      <c r="L549" s="653"/>
    </row>
    <row r="550" spans="1:12" ht="15.75" x14ac:dyDescent="0.25">
      <c r="A550" s="230">
        <v>544</v>
      </c>
      <c r="C550" s="346" t="s">
        <v>567</v>
      </c>
      <c r="D550" s="605">
        <v>87</v>
      </c>
      <c r="E550" s="181">
        <v>21</v>
      </c>
      <c r="F550" s="336">
        <v>108</v>
      </c>
      <c r="G550" s="605"/>
      <c r="H550" s="606"/>
      <c r="I550" s="606"/>
      <c r="J550" s="373"/>
      <c r="K550" s="653"/>
      <c r="L550" s="653"/>
    </row>
    <row r="551" spans="1:12" ht="15.75" x14ac:dyDescent="0.25">
      <c r="A551" s="230">
        <v>545</v>
      </c>
      <c r="C551" s="278"/>
      <c r="E551" s="181"/>
      <c r="J551" s="373"/>
      <c r="K551" s="653"/>
      <c r="L551" s="653"/>
    </row>
    <row r="552" spans="1:12" ht="15.75" x14ac:dyDescent="0.25">
      <c r="A552" s="230">
        <v>546</v>
      </c>
      <c r="C552" s="278" t="s">
        <v>568</v>
      </c>
      <c r="D552" s="336">
        <v>0</v>
      </c>
      <c r="E552" s="181">
        <v>0</v>
      </c>
      <c r="F552" s="336">
        <v>0</v>
      </c>
      <c r="G552" s="336">
        <v>0</v>
      </c>
      <c r="H552" s="606">
        <v>5</v>
      </c>
      <c r="I552" s="233">
        <v>12</v>
      </c>
      <c r="J552" s="604">
        <f>+H552/I552</f>
        <v>0.41666666666666669</v>
      </c>
      <c r="K552" s="653"/>
      <c r="L552" s="653"/>
    </row>
    <row r="553" spans="1:12" ht="15.75" x14ac:dyDescent="0.25">
      <c r="A553" s="230">
        <v>547</v>
      </c>
      <c r="C553" s="278" t="s">
        <v>572</v>
      </c>
      <c r="D553" s="336">
        <v>0</v>
      </c>
      <c r="E553" s="181">
        <v>0</v>
      </c>
      <c r="F553" s="336">
        <v>0</v>
      </c>
      <c r="G553" s="336">
        <v>0</v>
      </c>
      <c r="H553" s="606">
        <v>19</v>
      </c>
      <c r="I553" s="233">
        <v>24</v>
      </c>
      <c r="J553" s="604">
        <f>+H553/I553</f>
        <v>0.79166666666666663</v>
      </c>
      <c r="K553" s="653"/>
      <c r="L553" s="653"/>
    </row>
    <row r="554" spans="1:12" ht="15.75" x14ac:dyDescent="0.25">
      <c r="A554" s="230">
        <v>548</v>
      </c>
      <c r="C554" s="278"/>
      <c r="E554" s="181"/>
      <c r="J554" s="373"/>
      <c r="K554" s="653"/>
      <c r="L554" s="653"/>
    </row>
    <row r="555" spans="1:12" x14ac:dyDescent="0.25">
      <c r="A555" s="230">
        <v>549</v>
      </c>
      <c r="C555" s="278"/>
      <c r="D555" s="559"/>
      <c r="E555" s="559"/>
      <c r="H555" s="653"/>
      <c r="I555" s="653"/>
      <c r="J555" s="673"/>
      <c r="K555" s="653"/>
      <c r="L555" s="653"/>
    </row>
    <row r="556" spans="1:12" x14ac:dyDescent="0.25">
      <c r="A556" s="230">
        <v>550</v>
      </c>
      <c r="C556" s="278"/>
      <c r="D556" s="336" t="s">
        <v>767</v>
      </c>
      <c r="E556" s="559"/>
      <c r="F556" s="233"/>
      <c r="H556" s="318">
        <f>+H553+H547+H552</f>
        <v>110</v>
      </c>
      <c r="I556" s="318">
        <f>+I553+I547+I552</f>
        <v>218</v>
      </c>
      <c r="J556" s="695">
        <f>+H556/I556</f>
        <v>0.50458715596330272</v>
      </c>
      <c r="K556" s="653"/>
      <c r="L556" s="653"/>
    </row>
    <row r="557" spans="1:12" x14ac:dyDescent="0.25">
      <c r="A557" s="230">
        <v>551</v>
      </c>
      <c r="C557" s="278"/>
      <c r="E557" s="559"/>
      <c r="F557" s="233"/>
      <c r="H557" s="318"/>
      <c r="I557" s="318"/>
      <c r="J557" s="695"/>
      <c r="K557" s="653"/>
      <c r="L557" s="653"/>
    </row>
    <row r="558" spans="1:12" x14ac:dyDescent="0.25">
      <c r="A558" s="230">
        <v>552</v>
      </c>
      <c r="C558" s="696" t="s">
        <v>768</v>
      </c>
      <c r="D558" s="675" t="s">
        <v>769</v>
      </c>
      <c r="E558" s="559"/>
      <c r="H558" s="318">
        <v>115</v>
      </c>
      <c r="I558" s="318">
        <f>+I556</f>
        <v>218</v>
      </c>
      <c r="J558" s="695">
        <f>+H558/I558</f>
        <v>0.52752293577981646</v>
      </c>
      <c r="K558" s="466"/>
      <c r="L558" s="653"/>
    </row>
    <row r="559" spans="1:12" x14ac:dyDescent="0.25">
      <c r="A559" s="230">
        <v>553</v>
      </c>
      <c r="C559" s="278"/>
      <c r="D559" s="559"/>
      <c r="E559" s="559"/>
      <c r="F559" s="359" t="s">
        <v>770</v>
      </c>
      <c r="G559" s="359"/>
      <c r="H559" s="664"/>
      <c r="I559" s="664"/>
      <c r="J559" s="697">
        <f>+(I558-H558)/I558</f>
        <v>0.47247706422018348</v>
      </c>
      <c r="K559" s="653"/>
      <c r="L559" s="653"/>
    </row>
    <row r="560" spans="1:12" x14ac:dyDescent="0.25">
      <c r="A560" s="230">
        <v>554</v>
      </c>
      <c r="C560" s="278"/>
      <c r="D560" s="559"/>
      <c r="E560" s="559"/>
      <c r="H560" s="653"/>
      <c r="I560" s="653"/>
      <c r="J560" s="695"/>
      <c r="K560" s="653"/>
      <c r="L560" s="653"/>
    </row>
    <row r="561" spans="1:12" x14ac:dyDescent="0.25">
      <c r="A561" s="230">
        <v>555</v>
      </c>
      <c r="C561" s="698" t="s">
        <v>771</v>
      </c>
      <c r="D561" s="699"/>
      <c r="E561" s="699"/>
      <c r="F561" s="700"/>
      <c r="G561" s="700"/>
      <c r="H561" s="665"/>
      <c r="I561" s="665"/>
      <c r="J561" s="701"/>
      <c r="K561" s="187"/>
      <c r="L561" s="653"/>
    </row>
    <row r="562" spans="1:12" ht="26.25" x14ac:dyDescent="0.25">
      <c r="A562" s="230">
        <v>556</v>
      </c>
      <c r="C562" s="346" t="s">
        <v>772</v>
      </c>
      <c r="D562" s="559"/>
      <c r="E562" s="559"/>
      <c r="G562" s="702" t="s">
        <v>773</v>
      </c>
      <c r="H562" s="703" t="s">
        <v>774</v>
      </c>
      <c r="I562" s="702" t="s">
        <v>775</v>
      </c>
      <c r="J562" s="695" t="s">
        <v>776</v>
      </c>
      <c r="K562" s="653"/>
      <c r="L562" s="653"/>
    </row>
    <row r="563" spans="1:12" x14ac:dyDescent="0.25">
      <c r="A563" s="230">
        <v>557</v>
      </c>
      <c r="C563" s="346"/>
      <c r="D563" s="559"/>
      <c r="E563" s="559"/>
      <c r="G563" s="336">
        <f>'[1]Sch 31 Used Useful Ac'!F11</f>
        <v>206.97882920110186</v>
      </c>
      <c r="H563" s="653">
        <f>'[1]Sch 31 Used Useful Ac'!G11</f>
        <v>206.97882920110192</v>
      </c>
      <c r="I563" s="653">
        <f>'[1]Sch 31 Used Useful Ac'!H11</f>
        <v>131.72646464646465</v>
      </c>
      <c r="J563" s="695">
        <f>+I563/H563</f>
        <v>0.63642482255264088</v>
      </c>
      <c r="K563" s="653"/>
      <c r="L563" s="653"/>
    </row>
    <row r="564" spans="1:12" x14ac:dyDescent="0.25">
      <c r="A564" s="230">
        <v>558</v>
      </c>
      <c r="C564" s="346"/>
      <c r="D564" s="559"/>
      <c r="E564" s="559"/>
      <c r="F564" s="336" t="s">
        <v>777</v>
      </c>
      <c r="G564" s="336">
        <f>+H564</f>
        <v>-19.635215794306706</v>
      </c>
      <c r="H564" s="653">
        <f>+'[1]Sch 31 Used Useful Ac'!G13</f>
        <v>-19.635215794306706</v>
      </c>
      <c r="I564" s="653">
        <f>+'[1]Sch 31 Used Useful Ac'!H13</f>
        <v>131.72646464646465</v>
      </c>
      <c r="J564" s="695"/>
      <c r="K564" s="653"/>
      <c r="L564" s="653"/>
    </row>
    <row r="565" spans="1:12" x14ac:dyDescent="0.25">
      <c r="A565" s="230">
        <v>559</v>
      </c>
      <c r="C565" s="346"/>
      <c r="D565" s="559"/>
      <c r="E565" s="559"/>
      <c r="G565" s="336">
        <f>+G564+G563</f>
        <v>187.34361340679516</v>
      </c>
      <c r="H565" s="336">
        <f>+H564+H563</f>
        <v>187.34361340679521</v>
      </c>
      <c r="I565" s="653">
        <f>+I564</f>
        <v>131.72646464646465</v>
      </c>
      <c r="J565" s="695">
        <f>+I565/H565</f>
        <v>0.70312759667144731</v>
      </c>
      <c r="K565" s="653"/>
      <c r="L565" s="653"/>
    </row>
    <row r="566" spans="1:12" x14ac:dyDescent="0.25">
      <c r="A566" s="230">
        <v>560</v>
      </c>
      <c r="C566" s="278"/>
      <c r="D566" s="704" t="s">
        <v>778</v>
      </c>
      <c r="E566" s="559"/>
      <c r="H566" s="653"/>
      <c r="I566" s="653"/>
      <c r="J566" s="695"/>
      <c r="K566" s="653"/>
      <c r="L566" s="653"/>
    </row>
    <row r="567" spans="1:12" x14ac:dyDescent="0.25">
      <c r="A567" s="230">
        <v>561</v>
      </c>
      <c r="C567" s="278"/>
      <c r="D567" s="559"/>
      <c r="E567" s="559"/>
      <c r="F567" s="359" t="s">
        <v>770</v>
      </c>
      <c r="G567" s="359"/>
      <c r="H567" s="664"/>
      <c r="I567" s="664"/>
      <c r="J567" s="697">
        <f>1-J565</f>
        <v>0.29687240332855269</v>
      </c>
      <c r="K567" s="653"/>
      <c r="L567" s="653"/>
    </row>
    <row r="568" spans="1:12" x14ac:dyDescent="0.25">
      <c r="A568" s="230">
        <v>562</v>
      </c>
      <c r="C568" s="278"/>
      <c r="D568" s="559"/>
      <c r="E568" s="559"/>
      <c r="H568" s="653"/>
      <c r="I568" s="653"/>
      <c r="J568" s="695"/>
      <c r="K568" s="653"/>
      <c r="L568" s="653"/>
    </row>
    <row r="569" spans="1:12" x14ac:dyDescent="0.25">
      <c r="A569" s="230">
        <v>563</v>
      </c>
      <c r="C569" s="278"/>
      <c r="D569" s="559"/>
      <c r="E569" s="559"/>
      <c r="H569" s="653"/>
      <c r="I569" s="653"/>
      <c r="J569" s="695"/>
      <c r="K569" s="653"/>
      <c r="L569" s="653"/>
    </row>
    <row r="570" spans="1:12" x14ac:dyDescent="0.25">
      <c r="A570" s="230">
        <v>564</v>
      </c>
      <c r="C570" s="278"/>
      <c r="D570" s="559"/>
      <c r="E570" s="559"/>
      <c r="H570" s="705"/>
      <c r="I570" s="705"/>
      <c r="J570" s="706"/>
      <c r="K570" s="653"/>
      <c r="L570" s="653"/>
    </row>
    <row r="571" spans="1:12" ht="15.75" x14ac:dyDescent="0.25">
      <c r="A571" s="230">
        <v>565</v>
      </c>
      <c r="C571" s="274" t="s">
        <v>9</v>
      </c>
      <c r="D571" s="707">
        <v>39814</v>
      </c>
      <c r="E571" s="110"/>
      <c r="F571" s="208">
        <v>40178</v>
      </c>
      <c r="G571" s="205"/>
      <c r="H571" s="705"/>
      <c r="I571" s="705"/>
      <c r="J571" s="706"/>
      <c r="K571" s="653"/>
      <c r="L571" s="653"/>
    </row>
    <row r="572" spans="1:12" ht="15.75" x14ac:dyDescent="0.25">
      <c r="A572" s="230">
        <v>566</v>
      </c>
      <c r="C572" s="274"/>
      <c r="D572" s="208"/>
      <c r="E572" s="110"/>
      <c r="F572" s="208"/>
      <c r="G572" s="205"/>
      <c r="H572" s="705"/>
      <c r="I572" s="705"/>
      <c r="J572" s="706"/>
      <c r="K572" s="653"/>
      <c r="L572" s="653"/>
    </row>
    <row r="573" spans="1:12" ht="15.75" x14ac:dyDescent="0.25">
      <c r="A573" s="230">
        <v>567</v>
      </c>
      <c r="C573" s="708" t="s">
        <v>246</v>
      </c>
      <c r="D573" s="211">
        <f>'[1]Sch 8 BEOY'!C10</f>
        <v>190021.07929999998</v>
      </c>
      <c r="E573" s="110"/>
      <c r="F573" s="211">
        <f>'[1]Sch 8 BEOY'!E10</f>
        <v>190021.07929999998</v>
      </c>
      <c r="G573" s="152"/>
      <c r="H573" s="705"/>
      <c r="I573" s="705"/>
      <c r="J573" s="706"/>
      <c r="K573" s="653"/>
      <c r="L573" s="653"/>
    </row>
    <row r="574" spans="1:12" ht="15.75" x14ac:dyDescent="0.25">
      <c r="A574" s="230">
        <v>568</v>
      </c>
      <c r="C574" s="708" t="s">
        <v>247</v>
      </c>
      <c r="D574" s="211">
        <f>'[1]Sch 8 BEOY'!C11</f>
        <v>-14148.208779055205</v>
      </c>
      <c r="E574" s="110"/>
      <c r="F574" s="211">
        <v>-18618.890365055217</v>
      </c>
      <c r="G574" s="152"/>
      <c r="H574" s="705"/>
      <c r="I574" s="705"/>
      <c r="J574" s="706"/>
      <c r="K574" s="653"/>
      <c r="L574" s="653"/>
    </row>
    <row r="575" spans="1:12" x14ac:dyDescent="0.25">
      <c r="A575" s="230">
        <v>569</v>
      </c>
      <c r="C575" s="566"/>
      <c r="D575" s="559"/>
      <c r="E575" s="559"/>
      <c r="H575" s="653"/>
      <c r="I575" s="653"/>
      <c r="J575" s="695"/>
      <c r="K575" s="653"/>
      <c r="L575" s="653"/>
    </row>
    <row r="576" spans="1:12" x14ac:dyDescent="0.25">
      <c r="A576" s="230">
        <v>570</v>
      </c>
      <c r="C576" s="566" t="s">
        <v>779</v>
      </c>
      <c r="D576" s="233"/>
      <c r="E576" s="675"/>
      <c r="F576" s="675"/>
      <c r="H576" s="653"/>
      <c r="I576" s="653"/>
      <c r="J576" s="695"/>
      <c r="K576" s="653"/>
      <c r="L576" s="653"/>
    </row>
    <row r="577" spans="1:13" x14ac:dyDescent="0.25">
      <c r="A577" s="230">
        <v>571</v>
      </c>
      <c r="C577" s="708" t="s">
        <v>246</v>
      </c>
      <c r="D577" s="709">
        <f>+D573*J567*-1</f>
        <v>-56412.014494876486</v>
      </c>
      <c r="E577" s="710" t="s">
        <v>780</v>
      </c>
      <c r="F577" s="670">
        <f>+D577</f>
        <v>-56412.014494876486</v>
      </c>
      <c r="H577" s="318"/>
      <c r="I577" s="653"/>
      <c r="J577" s="695"/>
      <c r="K577" s="653"/>
      <c r="L577" s="653"/>
    </row>
    <row r="578" spans="1:13" x14ac:dyDescent="0.25">
      <c r="A578" s="230">
        <v>572</v>
      </c>
      <c r="C578" s="708" t="s">
        <v>247</v>
      </c>
      <c r="D578" s="709">
        <f>+D574*J567*-1</f>
        <v>4200.2127430322471</v>
      </c>
      <c r="E578" s="710" t="s">
        <v>780</v>
      </c>
      <c r="F578" s="670">
        <f>+D578</f>
        <v>4200.2127430322471</v>
      </c>
      <c r="H578" s="318"/>
      <c r="I578" s="653"/>
      <c r="J578" s="695"/>
      <c r="K578" s="653"/>
      <c r="L578" s="653"/>
    </row>
    <row r="579" spans="1:13" x14ac:dyDescent="0.25">
      <c r="A579" s="230">
        <v>573</v>
      </c>
      <c r="C579" s="708"/>
      <c r="D579" s="679"/>
      <c r="E579" s="710"/>
      <c r="F579" s="675"/>
      <c r="H579" s="318"/>
      <c r="I579" s="653"/>
      <c r="J579" s="695"/>
      <c r="K579" s="653"/>
      <c r="L579" s="653"/>
    </row>
    <row r="580" spans="1:13" x14ac:dyDescent="0.25">
      <c r="A580" s="230">
        <v>574</v>
      </c>
      <c r="C580" s="711" t="s">
        <v>781</v>
      </c>
      <c r="D580" s="675"/>
      <c r="E580" s="675"/>
      <c r="F580" s="675"/>
      <c r="H580" s="653"/>
      <c r="I580" s="653"/>
      <c r="J580" s="695"/>
      <c r="K580" s="653"/>
      <c r="L580" s="653"/>
    </row>
    <row r="581" spans="1:13" x14ac:dyDescent="0.25">
      <c r="A581" s="230">
        <v>575</v>
      </c>
      <c r="C581" s="708" t="s">
        <v>246</v>
      </c>
      <c r="D581" s="670">
        <f>+D573+D577</f>
        <v>133609.06480512349</v>
      </c>
      <c r="E581" s="675"/>
      <c r="F581" s="675"/>
      <c r="H581" s="653"/>
      <c r="I581" s="653"/>
      <c r="J581" s="695"/>
      <c r="K581" s="653"/>
      <c r="L581" s="653"/>
    </row>
    <row r="582" spans="1:13" ht="15.75" thickBot="1" x14ac:dyDescent="0.3">
      <c r="A582" s="230">
        <v>576</v>
      </c>
      <c r="C582" s="712" t="s">
        <v>247</v>
      </c>
      <c r="D582" s="713">
        <f>+D574+D578</f>
        <v>-9947.9960360229579</v>
      </c>
      <c r="E582" s="714"/>
      <c r="F582" s="714"/>
      <c r="G582" s="580"/>
      <c r="H582" s="667"/>
      <c r="I582" s="667"/>
      <c r="J582" s="689"/>
      <c r="K582" s="653"/>
      <c r="L582" s="653"/>
    </row>
    <row r="583" spans="1:13" x14ac:dyDescent="0.25">
      <c r="A583" s="230">
        <v>577</v>
      </c>
      <c r="D583" s="559"/>
      <c r="E583" s="559"/>
      <c r="H583" s="653"/>
      <c r="I583" s="653"/>
      <c r="J583" s="653"/>
      <c r="K583" s="653"/>
      <c r="L583" s="653"/>
    </row>
    <row r="584" spans="1:13" ht="15.75" thickBot="1" x14ac:dyDescent="0.3">
      <c r="A584" s="230">
        <v>578</v>
      </c>
      <c r="D584" s="559"/>
      <c r="E584" s="559"/>
      <c r="H584" s="653"/>
      <c r="I584" s="653"/>
      <c r="J584" s="653"/>
      <c r="K584" s="653"/>
      <c r="L584" s="653"/>
    </row>
    <row r="585" spans="1:13" x14ac:dyDescent="0.25">
      <c r="A585" s="230">
        <v>579</v>
      </c>
      <c r="C585" s="600" t="s">
        <v>782</v>
      </c>
      <c r="D585" s="669"/>
      <c r="E585" s="669"/>
      <c r="F585" s="586"/>
      <c r="G585" s="586"/>
      <c r="H585" s="690"/>
      <c r="I585" s="690"/>
      <c r="J585" s="672"/>
      <c r="K585" s="187"/>
      <c r="L585" s="187"/>
      <c r="M585" s="187"/>
    </row>
    <row r="586" spans="1:13" x14ac:dyDescent="0.25">
      <c r="A586" s="230">
        <v>580</v>
      </c>
      <c r="C586" s="278"/>
      <c r="D586" s="559"/>
      <c r="E586" s="559"/>
      <c r="H586" s="653"/>
      <c r="I586" s="653"/>
      <c r="J586" s="673"/>
      <c r="K586" s="187"/>
      <c r="L586" s="187"/>
      <c r="M586" s="187"/>
    </row>
    <row r="587" spans="1:13" ht="26.25" x14ac:dyDescent="0.25">
      <c r="A587" s="230">
        <v>581</v>
      </c>
      <c r="C587" s="715" t="s">
        <v>783</v>
      </c>
      <c r="D587" s="716" t="s">
        <v>784</v>
      </c>
      <c r="E587" s="716" t="s">
        <v>785</v>
      </c>
      <c r="F587" s="717" t="s">
        <v>786</v>
      </c>
      <c r="G587" s="718"/>
      <c r="H587" s="719"/>
      <c r="I587" s="720"/>
      <c r="J587" s="721"/>
      <c r="K587" s="187"/>
      <c r="L587" s="187"/>
      <c r="M587" s="187"/>
    </row>
    <row r="588" spans="1:13" x14ac:dyDescent="0.25">
      <c r="A588" s="230">
        <v>582</v>
      </c>
      <c r="C588" s="722" t="s">
        <v>787</v>
      </c>
      <c r="D588" s="723">
        <v>2009</v>
      </c>
      <c r="E588" s="723">
        <v>2009</v>
      </c>
      <c r="F588" s="723">
        <v>2009</v>
      </c>
      <c r="G588" s="724"/>
      <c r="H588" s="723"/>
      <c r="I588" s="725"/>
      <c r="J588" s="726"/>
      <c r="K588" s="187"/>
      <c r="L588" s="187"/>
      <c r="M588" s="187"/>
    </row>
    <row r="589" spans="1:13" x14ac:dyDescent="0.25">
      <c r="A589" s="230">
        <v>583</v>
      </c>
      <c r="C589" s="727" t="s">
        <v>788</v>
      </c>
      <c r="D589" s="728">
        <v>64024</v>
      </c>
      <c r="E589" s="728">
        <f>+D624-D589</f>
        <v>264079</v>
      </c>
      <c r="F589" s="729">
        <f>+E589+D589</f>
        <v>328103</v>
      </c>
      <c r="G589" s="730"/>
      <c r="H589" s="728"/>
      <c r="I589" s="728"/>
      <c r="J589" s="731"/>
      <c r="K589" s="187"/>
      <c r="L589" s="187"/>
      <c r="M589" s="187"/>
    </row>
    <row r="590" spans="1:13" x14ac:dyDescent="0.25">
      <c r="A590" s="230">
        <v>584</v>
      </c>
      <c r="C590" s="727" t="s">
        <v>789</v>
      </c>
      <c r="D590" s="728">
        <v>-44057</v>
      </c>
      <c r="E590" s="728">
        <f>+I624-D590</f>
        <v>-1220</v>
      </c>
      <c r="F590" s="729">
        <f>+E590+D590</f>
        <v>-45277</v>
      </c>
      <c r="G590" s="730"/>
      <c r="H590" s="728"/>
      <c r="I590" s="728"/>
      <c r="J590" s="731"/>
      <c r="K590" s="187"/>
      <c r="L590" s="187"/>
      <c r="M590" s="187"/>
    </row>
    <row r="591" spans="1:13" x14ac:dyDescent="0.25">
      <c r="A591" s="230">
        <v>585</v>
      </c>
      <c r="C591" s="727" t="s">
        <v>790</v>
      </c>
      <c r="D591" s="728">
        <f>+E591+F591</f>
        <v>0</v>
      </c>
      <c r="E591" s="728">
        <v>0</v>
      </c>
      <c r="F591" s="728">
        <v>0</v>
      </c>
      <c r="G591" s="732"/>
      <c r="H591" s="728"/>
      <c r="I591" s="728"/>
      <c r="J591" s="731"/>
      <c r="K591" s="187"/>
      <c r="L591" s="187"/>
      <c r="M591" s="187"/>
    </row>
    <row r="592" spans="1:13" ht="15.75" thickBot="1" x14ac:dyDescent="0.3">
      <c r="A592" s="230">
        <v>586</v>
      </c>
      <c r="C592" s="727" t="s">
        <v>791</v>
      </c>
      <c r="D592" s="733">
        <f>+E592+F592</f>
        <v>0</v>
      </c>
      <c r="E592" s="733">
        <v>0</v>
      </c>
      <c r="F592" s="733">
        <v>0</v>
      </c>
      <c r="G592" s="734"/>
      <c r="H592" s="733"/>
      <c r="I592" s="733"/>
      <c r="J592" s="735"/>
      <c r="K592" s="187"/>
      <c r="L592" s="187"/>
      <c r="M592" s="187"/>
    </row>
    <row r="593" spans="1:13" x14ac:dyDescent="0.25">
      <c r="A593" s="230">
        <v>587</v>
      </c>
      <c r="C593" s="727" t="s">
        <v>792</v>
      </c>
      <c r="D593" s="728">
        <f>SUM(D589:D592)</f>
        <v>19967</v>
      </c>
      <c r="E593" s="728">
        <f>SUM(E589:E592)</f>
        <v>262859</v>
      </c>
      <c r="F593" s="728">
        <f>SUM(F589:F592)</f>
        <v>282826</v>
      </c>
      <c r="G593" s="732"/>
      <c r="H593" s="732">
        <f>+F593/F598</f>
        <v>0.94353646860227325</v>
      </c>
      <c r="I593" s="728"/>
      <c r="J593" s="731"/>
      <c r="K593" s="187"/>
      <c r="L593" s="187"/>
      <c r="M593" s="187"/>
    </row>
    <row r="594" spans="1:13" x14ac:dyDescent="0.25">
      <c r="A594" s="230">
        <v>588</v>
      </c>
      <c r="C594" s="727" t="s">
        <v>793</v>
      </c>
      <c r="D594" s="728"/>
      <c r="E594" s="728"/>
      <c r="F594" s="728"/>
      <c r="G594" s="732"/>
      <c r="H594" s="728"/>
      <c r="I594" s="728"/>
      <c r="J594" s="731"/>
      <c r="K594" s="187"/>
      <c r="L594" s="187"/>
      <c r="M594" s="187"/>
    </row>
    <row r="595" spans="1:13" x14ac:dyDescent="0.25">
      <c r="A595" s="230">
        <v>589</v>
      </c>
      <c r="C595" s="727" t="s">
        <v>794</v>
      </c>
      <c r="D595" s="728">
        <v>16925</v>
      </c>
      <c r="E595" s="728"/>
      <c r="F595" s="728">
        <v>16925</v>
      </c>
      <c r="G595" s="732"/>
      <c r="H595" s="732">
        <f>+F595/F598</f>
        <v>5.6463531397726779E-2</v>
      </c>
      <c r="I595" s="728"/>
      <c r="J595" s="731"/>
      <c r="K595" s="187"/>
      <c r="L595" s="187"/>
      <c r="M595" s="187"/>
    </row>
    <row r="596" spans="1:13" x14ac:dyDescent="0.25">
      <c r="A596" s="230">
        <v>590</v>
      </c>
      <c r="C596" s="727" t="s">
        <v>795</v>
      </c>
      <c r="D596" s="728"/>
      <c r="E596" s="728"/>
      <c r="F596" s="728"/>
      <c r="G596" s="732"/>
      <c r="H596" s="728"/>
      <c r="I596" s="728"/>
      <c r="J596" s="731"/>
      <c r="K596" s="187"/>
      <c r="L596" s="187"/>
      <c r="M596" s="187"/>
    </row>
    <row r="597" spans="1:13" x14ac:dyDescent="0.25">
      <c r="A597" s="230">
        <v>591</v>
      </c>
      <c r="C597" s="727" t="s">
        <v>796</v>
      </c>
      <c r="D597" s="728"/>
      <c r="E597" s="728"/>
      <c r="F597" s="728"/>
      <c r="G597" s="732"/>
      <c r="H597" s="728"/>
      <c r="I597" s="728"/>
      <c r="J597" s="731"/>
      <c r="K597" s="187"/>
      <c r="L597" s="187"/>
      <c r="M597" s="187"/>
    </row>
    <row r="598" spans="1:13" ht="15.75" thickBot="1" x14ac:dyDescent="0.3">
      <c r="A598" s="230">
        <v>592</v>
      </c>
      <c r="C598" s="715" t="s">
        <v>797</v>
      </c>
      <c r="D598" s="736">
        <f>SUM(D593:D597)</f>
        <v>36892</v>
      </c>
      <c r="E598" s="736">
        <f>SUM(E593:E597)</f>
        <v>262859</v>
      </c>
      <c r="F598" s="737">
        <f>SUM(F593:F597)</f>
        <v>299751</v>
      </c>
      <c r="G598" s="738"/>
      <c r="H598" s="738">
        <f>+H595+H593</f>
        <v>1</v>
      </c>
      <c r="I598" s="736"/>
      <c r="J598" s="739"/>
      <c r="K598" s="187"/>
      <c r="L598" s="187"/>
      <c r="M598" s="187"/>
    </row>
    <row r="599" spans="1:13" ht="15.75" thickTop="1" x14ac:dyDescent="0.25">
      <c r="A599" s="230">
        <v>593</v>
      </c>
      <c r="C599" s="722" t="s">
        <v>798</v>
      </c>
      <c r="D599" s="740"/>
      <c r="E599" s="728"/>
      <c r="F599" s="728"/>
      <c r="G599" s="732"/>
      <c r="H599" s="728"/>
      <c r="I599" s="728"/>
      <c r="J599" s="731"/>
      <c r="K599" s="187"/>
      <c r="L599" s="187"/>
      <c r="M599" s="187"/>
    </row>
    <row r="600" spans="1:13" x14ac:dyDescent="0.25">
      <c r="A600" s="230">
        <v>594</v>
      </c>
      <c r="C600" s="727" t="s">
        <v>799</v>
      </c>
      <c r="D600" s="728">
        <v>25051</v>
      </c>
      <c r="E600" s="728"/>
      <c r="F600" s="728">
        <f>+E600+D600</f>
        <v>25051</v>
      </c>
      <c r="G600" s="732"/>
      <c r="H600" s="732"/>
      <c r="I600" s="728"/>
      <c r="J600" s="731"/>
      <c r="K600" s="187"/>
      <c r="L600" s="187"/>
      <c r="M600" s="187"/>
    </row>
    <row r="601" spans="1:13" x14ac:dyDescent="0.25">
      <c r="A601" s="230">
        <v>595</v>
      </c>
      <c r="C601" s="727" t="s">
        <v>800</v>
      </c>
      <c r="D601" s="728"/>
      <c r="E601" s="728"/>
      <c r="F601" s="728">
        <f>+E601+D601</f>
        <v>0</v>
      </c>
      <c r="G601" s="732"/>
      <c r="H601" s="728"/>
      <c r="I601" s="728"/>
      <c r="J601" s="731"/>
      <c r="K601" s="187"/>
      <c r="L601" s="187"/>
      <c r="M601" s="187"/>
    </row>
    <row r="602" spans="1:13" ht="39" x14ac:dyDescent="0.25">
      <c r="A602" s="230">
        <v>596</v>
      </c>
      <c r="C602" s="727" t="s">
        <v>801</v>
      </c>
      <c r="D602" s="728">
        <v>5650</v>
      </c>
      <c r="E602" s="728">
        <v>-120493</v>
      </c>
      <c r="F602" s="728">
        <f>+E602+D602</f>
        <v>-114843</v>
      </c>
      <c r="G602" s="732"/>
      <c r="H602" s="732"/>
      <c r="J602" s="741" t="s">
        <v>802</v>
      </c>
      <c r="K602" s="187"/>
      <c r="L602" s="187"/>
      <c r="M602" s="187"/>
    </row>
    <row r="603" spans="1:13" ht="15.75" thickBot="1" x14ac:dyDescent="0.3">
      <c r="A603" s="230">
        <v>597</v>
      </c>
      <c r="C603" s="727" t="s">
        <v>803</v>
      </c>
      <c r="D603" s="733"/>
      <c r="E603" s="733"/>
      <c r="F603" s="733"/>
      <c r="G603" s="734"/>
      <c r="H603" s="733"/>
      <c r="I603" s="733"/>
      <c r="J603" s="735"/>
      <c r="K603" s="187"/>
      <c r="L603" s="187"/>
      <c r="M603" s="187"/>
    </row>
    <row r="604" spans="1:13" x14ac:dyDescent="0.25">
      <c r="A604" s="230">
        <v>598</v>
      </c>
      <c r="C604" s="715" t="s">
        <v>804</v>
      </c>
      <c r="D604" s="728">
        <f>SUM(D600:D603)</f>
        <v>30701</v>
      </c>
      <c r="E604" s="728">
        <f>SUM(E600:E603)</f>
        <v>-120493</v>
      </c>
      <c r="F604" s="728">
        <f>SUM(F600:F603)</f>
        <v>-89792</v>
      </c>
      <c r="G604" s="732"/>
      <c r="H604" s="732">
        <f>+F604/F612</f>
        <v>-0.29955529756364452</v>
      </c>
      <c r="I604" s="728"/>
      <c r="J604" s="731"/>
      <c r="K604" s="187"/>
      <c r="L604" s="187"/>
      <c r="M604" s="187"/>
    </row>
    <row r="605" spans="1:13" ht="39" x14ac:dyDescent="0.25">
      <c r="A605" s="230">
        <v>599</v>
      </c>
      <c r="C605" s="742" t="s">
        <v>805</v>
      </c>
      <c r="D605" s="728">
        <v>0</v>
      </c>
      <c r="E605" s="743">
        <v>264079</v>
      </c>
      <c r="F605" s="728">
        <f t="shared" ref="F605:F610" si="2">+E605+D605</f>
        <v>264079</v>
      </c>
      <c r="G605" s="744"/>
      <c r="H605" s="728"/>
      <c r="J605" s="741" t="s">
        <v>806</v>
      </c>
      <c r="K605" s="187"/>
      <c r="L605" s="187"/>
      <c r="M605" s="187"/>
    </row>
    <row r="606" spans="1:13" x14ac:dyDescent="0.25">
      <c r="A606" s="230">
        <v>600</v>
      </c>
      <c r="C606" s="727" t="s">
        <v>807</v>
      </c>
      <c r="D606" s="728">
        <v>1431</v>
      </c>
      <c r="E606" s="728"/>
      <c r="F606" s="728">
        <f t="shared" si="2"/>
        <v>1431</v>
      </c>
      <c r="G606" s="744"/>
      <c r="H606" s="728"/>
      <c r="I606" s="728"/>
      <c r="J606" s="731"/>
      <c r="K606" s="187"/>
      <c r="L606" s="187"/>
      <c r="M606" s="187"/>
    </row>
    <row r="607" spans="1:13" x14ac:dyDescent="0.25">
      <c r="A607" s="230">
        <v>601</v>
      </c>
      <c r="C607" s="727" t="s">
        <v>808</v>
      </c>
      <c r="D607" s="728">
        <v>333</v>
      </c>
      <c r="E607" s="728"/>
      <c r="F607" s="728">
        <f t="shared" si="2"/>
        <v>333</v>
      </c>
      <c r="G607" s="744"/>
      <c r="H607" s="728"/>
      <c r="I607" s="728"/>
      <c r="J607" s="731"/>
      <c r="K607" s="187"/>
      <c r="L607" s="187"/>
      <c r="M607" s="187"/>
    </row>
    <row r="608" spans="1:13" x14ac:dyDescent="0.25">
      <c r="A608" s="230">
        <v>602</v>
      </c>
      <c r="C608" s="727" t="s">
        <v>809</v>
      </c>
      <c r="D608" s="728">
        <v>31500</v>
      </c>
      <c r="E608" s="728">
        <v>94500</v>
      </c>
      <c r="F608" s="728">
        <f t="shared" si="2"/>
        <v>126000</v>
      </c>
      <c r="G608" s="744"/>
      <c r="H608" s="728"/>
      <c r="I608" s="728"/>
      <c r="J608" s="731"/>
      <c r="K608" s="187"/>
      <c r="L608" s="187"/>
      <c r="M608" s="187"/>
    </row>
    <row r="609" spans="1:13" x14ac:dyDescent="0.25">
      <c r="A609" s="230">
        <v>603</v>
      </c>
      <c r="C609" s="727" t="s">
        <v>810</v>
      </c>
      <c r="D609" s="728"/>
      <c r="E609" s="728">
        <v>-12300</v>
      </c>
      <c r="F609" s="728">
        <f t="shared" si="2"/>
        <v>-12300</v>
      </c>
      <c r="G609" s="744"/>
      <c r="H609" s="728"/>
      <c r="I609" s="728"/>
      <c r="J609" s="731"/>
      <c r="K609" s="187"/>
      <c r="L609" s="187"/>
      <c r="M609" s="187"/>
    </row>
    <row r="610" spans="1:13" ht="15.75" thickBot="1" x14ac:dyDescent="0.3">
      <c r="A610" s="230">
        <v>604</v>
      </c>
      <c r="C610" s="727" t="s">
        <v>811</v>
      </c>
      <c r="D610" s="733">
        <v>10000</v>
      </c>
      <c r="E610" s="733"/>
      <c r="F610" s="733">
        <f t="shared" si="2"/>
        <v>10000</v>
      </c>
      <c r="G610" s="745"/>
      <c r="H610" s="733"/>
      <c r="I610" s="733"/>
      <c r="J610" s="735"/>
      <c r="K610" s="187"/>
      <c r="L610" s="187"/>
      <c r="M610" s="187"/>
    </row>
    <row r="611" spans="1:13" x14ac:dyDescent="0.25">
      <c r="A611" s="230">
        <v>605</v>
      </c>
      <c r="C611" s="715" t="s">
        <v>812</v>
      </c>
      <c r="D611" s="728">
        <f>SUM(D605:D610)</f>
        <v>43264</v>
      </c>
      <c r="E611" s="728">
        <f>SUM(E605:E610)</f>
        <v>346279</v>
      </c>
      <c r="F611" s="728">
        <f>SUM(F605:F610)</f>
        <v>389543</v>
      </c>
      <c r="G611" s="744"/>
      <c r="H611" s="732">
        <f>+F611/F612</f>
        <v>1.2995552975636444</v>
      </c>
      <c r="I611" s="728"/>
      <c r="J611" s="731"/>
      <c r="K611" s="187"/>
      <c r="L611" s="187"/>
      <c r="M611" s="187"/>
    </row>
    <row r="612" spans="1:13" ht="15.75" thickBot="1" x14ac:dyDescent="0.3">
      <c r="A612" s="230">
        <v>606</v>
      </c>
      <c r="C612" s="715" t="s">
        <v>813</v>
      </c>
      <c r="D612" s="736">
        <f>+D611+D604</f>
        <v>73965</v>
      </c>
      <c r="E612" s="736">
        <f>+E611+E604</f>
        <v>225786</v>
      </c>
      <c r="F612" s="737">
        <f>+F611+F604</f>
        <v>299751</v>
      </c>
      <c r="G612" s="738"/>
      <c r="H612" s="738">
        <f>+H611+H604</f>
        <v>0.99999999999999989</v>
      </c>
      <c r="I612" s="736"/>
      <c r="J612" s="739"/>
      <c r="K612" s="187"/>
      <c r="L612" s="187"/>
      <c r="M612" s="187"/>
    </row>
    <row r="613" spans="1:13" ht="15.75" thickTop="1" x14ac:dyDescent="0.25">
      <c r="A613" s="230">
        <v>607</v>
      </c>
      <c r="C613" s="715" t="s">
        <v>814</v>
      </c>
      <c r="D613" s="720">
        <f>+D612-D598</f>
        <v>37073</v>
      </c>
      <c r="E613" s="720">
        <f>+E612-E598</f>
        <v>-37073</v>
      </c>
      <c r="F613" s="720">
        <f>+E613+D613</f>
        <v>0</v>
      </c>
      <c r="G613" s="746"/>
      <c r="H613" s="720"/>
      <c r="I613" s="747"/>
      <c r="J613" s="748"/>
      <c r="K613" s="187"/>
      <c r="L613" s="187"/>
      <c r="M613" s="187"/>
    </row>
    <row r="614" spans="1:13" ht="39.75" thickBot="1" x14ac:dyDescent="0.3">
      <c r="A614" s="230">
        <v>608</v>
      </c>
      <c r="C614" s="749"/>
      <c r="D614" s="750" t="s">
        <v>815</v>
      </c>
      <c r="E614" s="751"/>
      <c r="F614" s="752"/>
      <c r="G614" s="753"/>
      <c r="H614" s="752"/>
      <c r="I614" s="752"/>
      <c r="J614" s="754"/>
      <c r="K614" s="187"/>
      <c r="L614" s="187"/>
      <c r="M614" s="187"/>
    </row>
    <row r="615" spans="1:13" x14ac:dyDescent="0.25">
      <c r="A615" s="230">
        <v>609</v>
      </c>
      <c r="C615" s="715"/>
      <c r="D615" s="747"/>
      <c r="E615" s="747"/>
      <c r="F615" s="747"/>
      <c r="G615" s="732"/>
      <c r="H615" s="747"/>
      <c r="I615" s="747"/>
      <c r="J615" s="748"/>
      <c r="K615" s="187"/>
      <c r="L615" s="187"/>
      <c r="M615" s="187"/>
    </row>
    <row r="616" spans="1:13" x14ac:dyDescent="0.25">
      <c r="A616" s="230">
        <v>610</v>
      </c>
      <c r="C616" s="755"/>
      <c r="D616" s="747"/>
      <c r="E616" s="747"/>
      <c r="F616" s="747"/>
      <c r="G616" s="732"/>
      <c r="H616" s="747"/>
      <c r="I616" s="747"/>
      <c r="J616" s="748"/>
      <c r="K616" s="187"/>
      <c r="L616" s="187"/>
      <c r="M616" s="187"/>
    </row>
    <row r="617" spans="1:13" ht="26.25" x14ac:dyDescent="0.25">
      <c r="A617" s="230">
        <v>611</v>
      </c>
      <c r="C617" s="756" t="s">
        <v>816</v>
      </c>
      <c r="D617" s="757" t="s">
        <v>281</v>
      </c>
      <c r="E617" s="757" t="s">
        <v>817</v>
      </c>
      <c r="F617" s="757" t="s">
        <v>818</v>
      </c>
      <c r="G617" s="758"/>
      <c r="H617" s="757"/>
      <c r="I617" s="757" t="s">
        <v>819</v>
      </c>
      <c r="J617" s="771" t="s">
        <v>820</v>
      </c>
      <c r="K617" s="187"/>
      <c r="L617" s="187"/>
      <c r="M617" s="187"/>
    </row>
    <row r="618" spans="1:13" x14ac:dyDescent="0.25">
      <c r="A618" s="230">
        <v>612</v>
      </c>
      <c r="C618" s="715" t="s">
        <v>821</v>
      </c>
      <c r="D618" s="759">
        <v>1577785</v>
      </c>
      <c r="E618" s="759">
        <v>68556</v>
      </c>
      <c r="F618" s="759">
        <v>-87765</v>
      </c>
      <c r="G618" s="732"/>
      <c r="H618" s="759"/>
      <c r="I618" s="759">
        <v>-158106</v>
      </c>
      <c r="J618" s="772">
        <f>+D618+I618</f>
        <v>1419679</v>
      </c>
      <c r="K618" s="187"/>
      <c r="L618" s="187"/>
      <c r="M618" s="187"/>
    </row>
    <row r="619" spans="1:13" x14ac:dyDescent="0.25">
      <c r="A619" s="230">
        <v>613</v>
      </c>
      <c r="C619" s="715" t="s">
        <v>822</v>
      </c>
      <c r="D619" s="759">
        <v>328103</v>
      </c>
      <c r="E619" s="759">
        <v>10714</v>
      </c>
      <c r="F619" s="759">
        <v>-32841</v>
      </c>
      <c r="G619" s="732"/>
      <c r="H619" s="759"/>
      <c r="I619" s="759">
        <v>-45277</v>
      </c>
      <c r="J619" s="772">
        <f>+D619+I619</f>
        <v>282826</v>
      </c>
      <c r="K619" s="187"/>
      <c r="L619" s="187"/>
      <c r="M619" s="187"/>
    </row>
    <row r="620" spans="1:13" x14ac:dyDescent="0.25">
      <c r="A620" s="230">
        <v>614</v>
      </c>
      <c r="C620" s="715" t="s">
        <v>283</v>
      </c>
      <c r="D620" s="759">
        <v>190021</v>
      </c>
      <c r="E620" s="759">
        <v>4589</v>
      </c>
      <c r="F620" s="759">
        <v>-14148</v>
      </c>
      <c r="G620" s="732"/>
      <c r="H620" s="759"/>
      <c r="I620" s="759">
        <v>-20521</v>
      </c>
      <c r="J620" s="772">
        <f>+D620+I620</f>
        <v>169500</v>
      </c>
      <c r="K620" s="187"/>
      <c r="L620" s="187"/>
      <c r="M620" s="187"/>
    </row>
    <row r="621" spans="1:13" x14ac:dyDescent="0.25">
      <c r="A621" s="230">
        <v>615</v>
      </c>
      <c r="C621" s="715" t="s">
        <v>284</v>
      </c>
      <c r="D621" s="759">
        <v>138082</v>
      </c>
      <c r="E621" s="759">
        <v>6063</v>
      </c>
      <c r="F621" s="759">
        <v>-18693</v>
      </c>
      <c r="G621" s="732"/>
      <c r="H621" s="759"/>
      <c r="I621" s="759">
        <v>-24756</v>
      </c>
      <c r="J621" s="772">
        <f>+D621+I621</f>
        <v>113326</v>
      </c>
      <c r="K621" s="187"/>
      <c r="L621" s="187"/>
      <c r="M621" s="187"/>
    </row>
    <row r="622" spans="1:13" x14ac:dyDescent="0.25">
      <c r="A622" s="230">
        <v>616</v>
      </c>
      <c r="C622" s="715"/>
      <c r="D622" s="759"/>
      <c r="E622" s="759"/>
      <c r="F622" s="759"/>
      <c r="G622" s="732"/>
      <c r="H622" s="759"/>
      <c r="I622" s="759"/>
      <c r="J622" s="772">
        <f>+D622+I622</f>
        <v>0</v>
      </c>
      <c r="K622" s="187"/>
      <c r="L622" s="187"/>
      <c r="M622" s="187"/>
    </row>
    <row r="623" spans="1:13" x14ac:dyDescent="0.25">
      <c r="A623" s="230">
        <v>617</v>
      </c>
      <c r="C623" s="715"/>
      <c r="D623" s="760"/>
      <c r="E623" s="760"/>
      <c r="F623" s="760"/>
      <c r="G623" s="732"/>
      <c r="H623" s="760"/>
      <c r="I623" s="760"/>
      <c r="J623" s="773"/>
      <c r="K623" s="187"/>
      <c r="L623" s="187"/>
      <c r="M623" s="187"/>
    </row>
    <row r="624" spans="1:13" x14ac:dyDescent="0.25">
      <c r="A624" s="230">
        <v>618</v>
      </c>
      <c r="C624" s="715" t="s">
        <v>822</v>
      </c>
      <c r="D624" s="761">
        <v>328103</v>
      </c>
      <c r="E624" s="759">
        <v>10714</v>
      </c>
      <c r="F624" s="759">
        <v>-32841</v>
      </c>
      <c r="G624" s="732"/>
      <c r="H624" s="759"/>
      <c r="I624" s="761">
        <v>-45277</v>
      </c>
      <c r="J624" s="772">
        <f>+D624+I624</f>
        <v>282826</v>
      </c>
      <c r="K624" s="187"/>
      <c r="L624" s="187"/>
      <c r="M624" s="187"/>
    </row>
    <row r="625" spans="1:13" x14ac:dyDescent="0.25">
      <c r="A625" s="230">
        <v>619</v>
      </c>
      <c r="C625" s="715"/>
      <c r="D625" s="759"/>
      <c r="E625" s="759"/>
      <c r="F625" s="759"/>
      <c r="G625" s="732"/>
      <c r="H625" s="759"/>
      <c r="I625" s="759"/>
      <c r="J625" s="772"/>
      <c r="K625" s="187"/>
      <c r="L625" s="187"/>
      <c r="M625" s="187"/>
    </row>
    <row r="626" spans="1:13" x14ac:dyDescent="0.25">
      <c r="A626" s="230">
        <v>620</v>
      </c>
      <c r="C626" s="715"/>
      <c r="D626" s="760"/>
      <c r="E626" s="760" t="s">
        <v>823</v>
      </c>
      <c r="F626" s="760"/>
      <c r="G626" s="732"/>
      <c r="H626" s="760"/>
      <c r="I626" s="760"/>
      <c r="J626" s="773"/>
      <c r="K626" s="187"/>
      <c r="L626" s="187"/>
      <c r="M626" s="187"/>
    </row>
    <row r="627" spans="1:13" x14ac:dyDescent="0.25">
      <c r="A627" s="230">
        <v>621</v>
      </c>
      <c r="C627" s="762" t="s">
        <v>824</v>
      </c>
      <c r="D627" s="763">
        <v>22132</v>
      </c>
      <c r="E627" s="764" t="s">
        <v>825</v>
      </c>
      <c r="F627" s="747"/>
      <c r="G627" s="732"/>
      <c r="H627" s="747"/>
      <c r="I627" s="760"/>
      <c r="J627" s="773"/>
      <c r="K627" s="187"/>
      <c r="L627" s="187"/>
      <c r="M627" s="187"/>
    </row>
    <row r="628" spans="1:13" x14ac:dyDescent="0.25">
      <c r="A628" s="230">
        <v>622</v>
      </c>
      <c r="C628" s="762" t="s">
        <v>824</v>
      </c>
      <c r="D628" s="763">
        <v>19504</v>
      </c>
      <c r="E628" s="764" t="s">
        <v>826</v>
      </c>
      <c r="F628" s="747"/>
      <c r="G628" s="732"/>
      <c r="H628" s="747"/>
      <c r="I628" s="747"/>
      <c r="J628" s="748"/>
      <c r="K628" s="187"/>
      <c r="L628" s="187"/>
      <c r="M628" s="187"/>
    </row>
    <row r="629" spans="1:13" ht="77.25" x14ac:dyDescent="0.25">
      <c r="A629" s="230">
        <v>623</v>
      </c>
      <c r="C629" s="762" t="s">
        <v>824</v>
      </c>
      <c r="D629" s="765">
        <v>17989</v>
      </c>
      <c r="E629" s="766" t="s">
        <v>827</v>
      </c>
      <c r="F629" s="747"/>
      <c r="G629" s="732"/>
      <c r="H629" s="747"/>
      <c r="I629" s="747"/>
      <c r="J629" s="748"/>
      <c r="K629" s="187"/>
      <c r="L629" s="187"/>
      <c r="M629" s="187"/>
    </row>
    <row r="630" spans="1:13" x14ac:dyDescent="0.25">
      <c r="A630" s="230">
        <v>624</v>
      </c>
      <c r="C630" s="715"/>
      <c r="D630" s="767">
        <f>SUM(D627:D629)</f>
        <v>59625</v>
      </c>
      <c r="E630" s="747"/>
      <c r="F630" s="747"/>
      <c r="G630" s="732"/>
      <c r="H630" s="747"/>
      <c r="I630" s="747"/>
      <c r="J630" s="748"/>
      <c r="K630" s="187"/>
      <c r="L630" s="187"/>
      <c r="M630" s="187"/>
    </row>
    <row r="631" spans="1:13" x14ac:dyDescent="0.25">
      <c r="A631" s="230">
        <v>625</v>
      </c>
      <c r="C631" s="768" t="s">
        <v>828</v>
      </c>
      <c r="D631" s="769">
        <v>4989</v>
      </c>
      <c r="E631" s="747"/>
      <c r="F631" s="747"/>
      <c r="G631" s="732"/>
      <c r="H631" s="747"/>
      <c r="I631" s="747"/>
      <c r="J631" s="748"/>
      <c r="K631" s="187"/>
      <c r="L631" s="187"/>
      <c r="M631" s="187"/>
    </row>
    <row r="632" spans="1:13" x14ac:dyDescent="0.25">
      <c r="A632" s="230">
        <v>626</v>
      </c>
      <c r="C632" s="715"/>
      <c r="D632" s="767">
        <f>+D631+D630</f>
        <v>64614</v>
      </c>
      <c r="E632" s="720">
        <f>+D589</f>
        <v>64024</v>
      </c>
      <c r="F632" s="720">
        <f>+D632-E632</f>
        <v>590</v>
      </c>
      <c r="H632" s="747"/>
      <c r="I632" s="747"/>
      <c r="J632" s="748"/>
      <c r="K632" s="187"/>
      <c r="L632" s="187"/>
      <c r="M632" s="187"/>
    </row>
    <row r="633" spans="1:13" ht="30.75" x14ac:dyDescent="0.25">
      <c r="A633" s="230">
        <v>627</v>
      </c>
      <c r="C633" s="715"/>
      <c r="D633" s="747"/>
      <c r="F633" s="770" t="s">
        <v>829</v>
      </c>
      <c r="G633" s="732"/>
      <c r="H633" s="747"/>
      <c r="I633" s="747"/>
      <c r="J633" s="748"/>
      <c r="K633" s="187"/>
      <c r="L633" s="187"/>
      <c r="M633" s="187"/>
    </row>
    <row r="634" spans="1:13" x14ac:dyDescent="0.25">
      <c r="A634" s="230">
        <v>628</v>
      </c>
      <c r="C634" s="715" t="s">
        <v>830</v>
      </c>
      <c r="D634" s="747"/>
      <c r="E634" s="747"/>
      <c r="F634" s="747"/>
      <c r="G634" s="732"/>
      <c r="H634" s="747"/>
      <c r="I634" s="747"/>
      <c r="J634" s="748"/>
      <c r="K634" s="187"/>
      <c r="L634" s="187"/>
      <c r="M634" s="187"/>
    </row>
    <row r="635" spans="1:13" ht="15.75" thickBot="1" x14ac:dyDescent="0.3">
      <c r="A635" s="230">
        <v>629</v>
      </c>
      <c r="C635" s="774" t="s">
        <v>831</v>
      </c>
      <c r="D635" s="666"/>
      <c r="E635" s="580"/>
      <c r="F635" s="580"/>
      <c r="G635" s="667"/>
      <c r="H635" s="667"/>
      <c r="I635" s="667"/>
      <c r="J635" s="689"/>
      <c r="K635" s="187"/>
      <c r="L635" s="187"/>
      <c r="M635" s="187"/>
    </row>
    <row r="636" spans="1:13" x14ac:dyDescent="0.25">
      <c r="A636" s="187"/>
      <c r="B636" s="187"/>
      <c r="D636" s="559"/>
      <c r="E636" s="559"/>
      <c r="H636" s="653"/>
      <c r="I636" s="653"/>
      <c r="J636" s="653"/>
      <c r="K636" s="653"/>
      <c r="L636" s="653"/>
    </row>
    <row r="637" spans="1:13" x14ac:dyDescent="0.25">
      <c r="D637" s="559"/>
      <c r="E637" s="559"/>
      <c r="H637" s="653"/>
      <c r="I637" s="653"/>
      <c r="J637" s="653"/>
      <c r="K637" s="653"/>
      <c r="L637" s="653"/>
    </row>
    <row r="638" spans="1:13" x14ac:dyDescent="0.25">
      <c r="D638" s="559"/>
      <c r="E638" s="559"/>
      <c r="H638" s="653"/>
      <c r="I638" s="653"/>
      <c r="J638" s="653"/>
      <c r="K638" s="653"/>
      <c r="L638" s="653"/>
    </row>
    <row r="639" spans="1:13" x14ac:dyDescent="0.25">
      <c r="D639" s="559"/>
      <c r="E639" s="559"/>
      <c r="H639" s="653"/>
      <c r="I639" s="653"/>
      <c r="J639" s="653"/>
      <c r="K639" s="653"/>
      <c r="L639" s="653"/>
    </row>
    <row r="640" spans="1:13" x14ac:dyDescent="0.25">
      <c r="D640" s="559"/>
      <c r="E640" s="559"/>
      <c r="H640" s="653"/>
      <c r="I640" s="653"/>
      <c r="J640" s="653"/>
      <c r="K640" s="653"/>
      <c r="L640" s="653"/>
    </row>
    <row r="641" spans="4:12" s="233" customFormat="1" x14ac:dyDescent="0.25">
      <c r="D641" s="559"/>
      <c r="E641" s="559"/>
      <c r="F641" s="336"/>
      <c r="G641" s="336"/>
      <c r="H641" s="653"/>
      <c r="I641" s="653"/>
      <c r="J641" s="653"/>
      <c r="K641" s="653"/>
      <c r="L641" s="653"/>
    </row>
    <row r="642" spans="4:12" s="233" customFormat="1" x14ac:dyDescent="0.25">
      <c r="D642" s="559"/>
      <c r="E642" s="559"/>
      <c r="F642" s="336"/>
      <c r="G642" s="336"/>
      <c r="H642" s="653"/>
      <c r="I642" s="653"/>
      <c r="J642" s="653"/>
      <c r="K642" s="653"/>
      <c r="L642" s="653"/>
    </row>
    <row r="643" spans="4:12" s="233" customFormat="1" x14ac:dyDescent="0.25">
      <c r="D643" s="559"/>
      <c r="E643" s="559"/>
      <c r="F643" s="336"/>
      <c r="G643" s="336"/>
      <c r="H643" s="653"/>
      <c r="I643" s="653"/>
      <c r="J643" s="653"/>
      <c r="K643" s="653"/>
      <c r="L643" s="653"/>
    </row>
    <row r="644" spans="4:12" s="233" customFormat="1" x14ac:dyDescent="0.25">
      <c r="D644" s="559"/>
      <c r="E644" s="559"/>
      <c r="F644" s="336"/>
      <c r="G644" s="336"/>
    </row>
    <row r="645" spans="4:12" s="233" customFormat="1" x14ac:dyDescent="0.25">
      <c r="D645" s="559"/>
      <c r="E645" s="559"/>
      <c r="F645" s="336"/>
      <c r="G645" s="336"/>
    </row>
    <row r="646" spans="4:12" s="233" customFormat="1" x14ac:dyDescent="0.25">
      <c r="D646" s="559"/>
      <c r="E646" s="559"/>
      <c r="F646" s="336"/>
      <c r="G646" s="336"/>
    </row>
    <row r="647" spans="4:12" s="233" customFormat="1" x14ac:dyDescent="0.25">
      <c r="D647" s="559"/>
      <c r="E647" s="559"/>
      <c r="F647" s="336"/>
      <c r="G647" s="336"/>
    </row>
    <row r="648" spans="4:12" s="233" customFormat="1" x14ac:dyDescent="0.25">
      <c r="D648" s="559"/>
      <c r="E648" s="559"/>
      <c r="F648" s="336"/>
      <c r="G648" s="336"/>
    </row>
    <row r="649" spans="4:12" s="233" customFormat="1" x14ac:dyDescent="0.25">
      <c r="D649" s="559"/>
      <c r="E649" s="559"/>
      <c r="F649" s="336"/>
      <c r="G649" s="336"/>
    </row>
    <row r="650" spans="4:12" s="233" customFormat="1" x14ac:dyDescent="0.25">
      <c r="D650" s="559"/>
      <c r="E650" s="559"/>
      <c r="F650" s="336"/>
      <c r="G650" s="336"/>
    </row>
    <row r="651" spans="4:12" s="233" customFormat="1" x14ac:dyDescent="0.25">
      <c r="D651" s="559"/>
      <c r="E651" s="559"/>
      <c r="F651" s="336"/>
      <c r="G651" s="336"/>
    </row>
    <row r="652" spans="4:12" s="233" customFormat="1" x14ac:dyDescent="0.25">
      <c r="D652" s="559"/>
      <c r="E652" s="559"/>
      <c r="F652" s="336"/>
      <c r="G652" s="336"/>
    </row>
    <row r="653" spans="4:12" s="233" customFormat="1" x14ac:dyDescent="0.25">
      <c r="D653" s="559"/>
      <c r="E653" s="559"/>
      <c r="F653" s="336"/>
      <c r="G653" s="336"/>
    </row>
    <row r="654" spans="4:12" s="233" customFormat="1" x14ac:dyDescent="0.25">
      <c r="D654" s="559"/>
      <c r="E654" s="559"/>
      <c r="F654" s="336"/>
      <c r="G654" s="336"/>
    </row>
    <row r="655" spans="4:12" s="233" customFormat="1" x14ac:dyDescent="0.25">
      <c r="D655" s="559"/>
      <c r="E655" s="559"/>
      <c r="F655" s="336"/>
      <c r="G655" s="336"/>
    </row>
    <row r="656" spans="4:12" s="233" customFormat="1" x14ac:dyDescent="0.25">
      <c r="D656" s="559"/>
      <c r="E656" s="559"/>
      <c r="F656" s="336"/>
      <c r="G656" s="336"/>
    </row>
    <row r="657" spans="4:5" s="233" customFormat="1" x14ac:dyDescent="0.25">
      <c r="D657" s="559"/>
      <c r="E657" s="559"/>
    </row>
    <row r="658" spans="4:5" s="233" customFormat="1" x14ac:dyDescent="0.25">
      <c r="D658" s="559"/>
      <c r="E658" s="559"/>
    </row>
    <row r="659" spans="4:5" s="233" customFormat="1" x14ac:dyDescent="0.25">
      <c r="D659" s="559"/>
      <c r="E659" s="559"/>
    </row>
    <row r="660" spans="4:5" s="233" customFormat="1" x14ac:dyDescent="0.25">
      <c r="D660" s="559"/>
      <c r="E660" s="559"/>
    </row>
    <row r="661" spans="4:5" s="233" customFormat="1" x14ac:dyDescent="0.25">
      <c r="D661" s="559"/>
      <c r="E661" s="559"/>
    </row>
    <row r="662" spans="4:5" s="233" customFormat="1" x14ac:dyDescent="0.25">
      <c r="D662" s="559"/>
      <c r="E662" s="559"/>
    </row>
    <row r="663" spans="4:5" s="233" customFormat="1" x14ac:dyDescent="0.25">
      <c r="D663" s="559"/>
      <c r="E663" s="559"/>
    </row>
    <row r="664" spans="4:5" s="233" customFormat="1" x14ac:dyDescent="0.25">
      <c r="D664" s="559"/>
      <c r="E664" s="559"/>
    </row>
    <row r="665" spans="4:5" s="233" customFormat="1" x14ac:dyDescent="0.25">
      <c r="D665" s="559"/>
      <c r="E665" s="559"/>
    </row>
    <row r="666" spans="4:5" s="233" customFormat="1" x14ac:dyDescent="0.25">
      <c r="D666" s="559"/>
      <c r="E666" s="559"/>
    </row>
    <row r="667" spans="4:5" s="233" customFormat="1" x14ac:dyDescent="0.25">
      <c r="D667" s="559"/>
      <c r="E667" s="559"/>
    </row>
    <row r="668" spans="4:5" s="233" customFormat="1" x14ac:dyDescent="0.25">
      <c r="D668" s="559"/>
      <c r="E668" s="559"/>
    </row>
    <row r="669" spans="4:5" s="233" customFormat="1" x14ac:dyDescent="0.25">
      <c r="D669" s="559"/>
      <c r="E669" s="559"/>
    </row>
    <row r="670" spans="4:5" s="233" customFormat="1" x14ac:dyDescent="0.25">
      <c r="D670" s="559"/>
      <c r="E670" s="559"/>
    </row>
    <row r="671" spans="4:5" s="233" customFormat="1" x14ac:dyDescent="0.25">
      <c r="D671" s="559"/>
      <c r="E671" s="559"/>
    </row>
    <row r="672" spans="4:5" s="233" customFormat="1" x14ac:dyDescent="0.25">
      <c r="D672" s="559"/>
      <c r="E672" s="559"/>
    </row>
    <row r="673" spans="4:5" s="233" customFormat="1" x14ac:dyDescent="0.25">
      <c r="D673" s="559"/>
      <c r="E673" s="559"/>
    </row>
    <row r="674" spans="4:5" s="233" customFormat="1" x14ac:dyDescent="0.25">
      <c r="D674" s="559"/>
      <c r="E674" s="559"/>
    </row>
    <row r="675" spans="4:5" s="233" customFormat="1" x14ac:dyDescent="0.25">
      <c r="D675" s="559"/>
      <c r="E675" s="559"/>
    </row>
    <row r="676" spans="4:5" s="233" customFormat="1" x14ac:dyDescent="0.25">
      <c r="D676" s="559"/>
      <c r="E676" s="559"/>
    </row>
    <row r="677" spans="4:5" s="233" customFormat="1" x14ac:dyDescent="0.25">
      <c r="D677" s="559"/>
      <c r="E677" s="559"/>
    </row>
    <row r="678" spans="4:5" s="233" customFormat="1" x14ac:dyDescent="0.25">
      <c r="D678" s="559"/>
      <c r="E678" s="559"/>
    </row>
    <row r="679" spans="4:5" s="233" customFormat="1" x14ac:dyDescent="0.25">
      <c r="D679" s="559"/>
      <c r="E679" s="559"/>
    </row>
    <row r="680" spans="4:5" s="233" customFormat="1" x14ac:dyDescent="0.25">
      <c r="D680" s="559"/>
      <c r="E680" s="559"/>
    </row>
    <row r="681" spans="4:5" s="233" customFormat="1" x14ac:dyDescent="0.25">
      <c r="D681" s="559"/>
      <c r="E681" s="559"/>
    </row>
    <row r="682" spans="4:5" s="233" customFormat="1" x14ac:dyDescent="0.25">
      <c r="D682" s="559"/>
      <c r="E682" s="559"/>
    </row>
    <row r="683" spans="4:5" s="233" customFormat="1" x14ac:dyDescent="0.25">
      <c r="D683" s="559"/>
      <c r="E683" s="559"/>
    </row>
    <row r="684" spans="4:5" s="233" customFormat="1" x14ac:dyDescent="0.25">
      <c r="D684" s="559"/>
      <c r="E684" s="559"/>
    </row>
    <row r="685" spans="4:5" s="233" customFormat="1" x14ac:dyDescent="0.25">
      <c r="D685" s="559"/>
      <c r="E685" s="559"/>
    </row>
    <row r="686" spans="4:5" s="233" customFormat="1" x14ac:dyDescent="0.25">
      <c r="D686" s="559"/>
      <c r="E686" s="559"/>
    </row>
    <row r="687" spans="4:5" s="233" customFormat="1" x14ac:dyDescent="0.25">
      <c r="D687" s="559"/>
      <c r="E687" s="559"/>
    </row>
    <row r="688" spans="4:5" s="233" customFormat="1" x14ac:dyDescent="0.25">
      <c r="D688" s="559"/>
      <c r="E688" s="559"/>
    </row>
    <row r="689" spans="4:5" s="233" customFormat="1" x14ac:dyDescent="0.25">
      <c r="D689" s="559"/>
      <c r="E689" s="559"/>
    </row>
    <row r="690" spans="4:5" s="233" customFormat="1" x14ac:dyDescent="0.25">
      <c r="D690" s="559"/>
      <c r="E690" s="559"/>
    </row>
    <row r="691" spans="4:5" s="233" customFormat="1" x14ac:dyDescent="0.25">
      <c r="D691" s="559"/>
      <c r="E691" s="559"/>
    </row>
    <row r="692" spans="4:5" s="233" customFormat="1" x14ac:dyDescent="0.25">
      <c r="D692" s="559"/>
      <c r="E692" s="559"/>
    </row>
    <row r="693" spans="4:5" s="233" customFormat="1" x14ac:dyDescent="0.25">
      <c r="D693" s="559"/>
      <c r="E693" s="559"/>
    </row>
    <row r="694" spans="4:5" s="233" customFormat="1" x14ac:dyDescent="0.25">
      <c r="D694" s="559"/>
      <c r="E694" s="559"/>
    </row>
    <row r="695" spans="4:5" s="233" customFormat="1" x14ac:dyDescent="0.25">
      <c r="D695" s="559"/>
      <c r="E695" s="559"/>
    </row>
    <row r="696" spans="4:5" s="233" customFormat="1" x14ac:dyDescent="0.25">
      <c r="D696" s="559"/>
      <c r="E696" s="559"/>
    </row>
    <row r="697" spans="4:5" s="233" customFormat="1" x14ac:dyDescent="0.25">
      <c r="D697" s="559"/>
      <c r="E697" s="559"/>
    </row>
    <row r="698" spans="4:5" s="233" customFormat="1" x14ac:dyDescent="0.25">
      <c r="D698" s="559"/>
      <c r="E698" s="559"/>
    </row>
    <row r="699" spans="4:5" s="233" customFormat="1" x14ac:dyDescent="0.25">
      <c r="D699" s="559"/>
      <c r="E699" s="559"/>
    </row>
    <row r="700" spans="4:5" s="233" customFormat="1" x14ac:dyDescent="0.25">
      <c r="D700" s="559"/>
      <c r="E700" s="559"/>
    </row>
    <row r="701" spans="4:5" s="233" customFormat="1" x14ac:dyDescent="0.25">
      <c r="D701" s="559"/>
      <c r="E701" s="559"/>
    </row>
    <row r="702" spans="4:5" s="233" customFormat="1" x14ac:dyDescent="0.25">
      <c r="D702" s="559"/>
      <c r="E702" s="559"/>
    </row>
    <row r="703" spans="4:5" s="233" customFormat="1" x14ac:dyDescent="0.25">
      <c r="D703" s="559"/>
      <c r="E703" s="559"/>
    </row>
    <row r="704" spans="4:5" s="233" customFormat="1" x14ac:dyDescent="0.25">
      <c r="D704" s="559"/>
      <c r="E704" s="559"/>
    </row>
    <row r="705" spans="4:5" s="233" customFormat="1" x14ac:dyDescent="0.25">
      <c r="D705" s="559"/>
      <c r="E705" s="559"/>
    </row>
    <row r="706" spans="4:5" s="233" customFormat="1" x14ac:dyDescent="0.25">
      <c r="D706" s="559"/>
      <c r="E706" s="559"/>
    </row>
    <row r="707" spans="4:5" s="233" customFormat="1" x14ac:dyDescent="0.25">
      <c r="D707" s="559"/>
      <c r="E707" s="559"/>
    </row>
    <row r="708" spans="4:5" s="233" customFormat="1" x14ac:dyDescent="0.25">
      <c r="D708" s="559"/>
      <c r="E708" s="559"/>
    </row>
    <row r="709" spans="4:5" s="233" customFormat="1" x14ac:dyDescent="0.25">
      <c r="D709" s="559"/>
      <c r="E709" s="559"/>
    </row>
    <row r="710" spans="4:5" s="233" customFormat="1" x14ac:dyDescent="0.25">
      <c r="D710" s="559"/>
      <c r="E710" s="559"/>
    </row>
    <row r="711" spans="4:5" s="233" customFormat="1" x14ac:dyDescent="0.25">
      <c r="D711" s="559"/>
      <c r="E711" s="559"/>
    </row>
    <row r="712" spans="4:5" s="233" customFormat="1" x14ac:dyDescent="0.25">
      <c r="D712" s="559"/>
      <c r="E712" s="559"/>
    </row>
    <row r="713" spans="4:5" s="233" customFormat="1" x14ac:dyDescent="0.25">
      <c r="D713" s="559"/>
      <c r="E713" s="559"/>
    </row>
    <row r="714" spans="4:5" s="233" customFormat="1" x14ac:dyDescent="0.25">
      <c r="D714" s="559"/>
      <c r="E714" s="559"/>
    </row>
    <row r="715" spans="4:5" s="233" customFormat="1" x14ac:dyDescent="0.25">
      <c r="D715" s="559"/>
      <c r="E715" s="559"/>
    </row>
    <row r="716" spans="4:5" s="233" customFormat="1" x14ac:dyDescent="0.25">
      <c r="D716" s="559"/>
      <c r="E716" s="559"/>
    </row>
    <row r="717" spans="4:5" s="233" customFormat="1" x14ac:dyDescent="0.25">
      <c r="D717" s="559"/>
      <c r="E717" s="559"/>
    </row>
    <row r="718" spans="4:5" s="233" customFormat="1" x14ac:dyDescent="0.25">
      <c r="D718" s="559"/>
      <c r="E718" s="559"/>
    </row>
    <row r="719" spans="4:5" s="233" customFormat="1" x14ac:dyDescent="0.25">
      <c r="D719" s="559"/>
      <c r="E719" s="559"/>
    </row>
    <row r="720" spans="4:5" s="233" customFormat="1" x14ac:dyDescent="0.25">
      <c r="D720" s="559"/>
      <c r="E720" s="559"/>
    </row>
    <row r="721" spans="4:5" s="233" customFormat="1" x14ac:dyDescent="0.25">
      <c r="D721" s="559"/>
      <c r="E721" s="559"/>
    </row>
    <row r="722" spans="4:5" s="233" customFormat="1" x14ac:dyDescent="0.25">
      <c r="D722" s="559"/>
      <c r="E722" s="559"/>
    </row>
    <row r="723" spans="4:5" s="233" customFormat="1" x14ac:dyDescent="0.25">
      <c r="D723" s="559"/>
      <c r="E723" s="559"/>
    </row>
    <row r="724" spans="4:5" s="233" customFormat="1" x14ac:dyDescent="0.25">
      <c r="D724" s="559"/>
      <c r="E724" s="559"/>
    </row>
    <row r="725" spans="4:5" s="233" customFormat="1" x14ac:dyDescent="0.25">
      <c r="D725" s="559"/>
      <c r="E725" s="559"/>
    </row>
    <row r="726" spans="4:5" s="233" customFormat="1" x14ac:dyDescent="0.25">
      <c r="D726" s="559"/>
      <c r="E726" s="559"/>
    </row>
    <row r="727" spans="4:5" s="233" customFormat="1" x14ac:dyDescent="0.25">
      <c r="D727" s="559"/>
      <c r="E727" s="559"/>
    </row>
    <row r="728" spans="4:5" s="233" customFormat="1" x14ac:dyDescent="0.25">
      <c r="D728" s="559"/>
      <c r="E728" s="559"/>
    </row>
    <row r="729" spans="4:5" s="233" customFormat="1" x14ac:dyDescent="0.25">
      <c r="D729" s="559"/>
      <c r="E729" s="559"/>
    </row>
    <row r="730" spans="4:5" s="233" customFormat="1" x14ac:dyDescent="0.25">
      <c r="D730" s="559"/>
      <c r="E730" s="559"/>
    </row>
    <row r="731" spans="4:5" s="233" customFormat="1" x14ac:dyDescent="0.25">
      <c r="D731" s="559"/>
      <c r="E731" s="559"/>
    </row>
    <row r="732" spans="4:5" s="233" customFormat="1" x14ac:dyDescent="0.25">
      <c r="D732" s="559"/>
      <c r="E732" s="559"/>
    </row>
    <row r="733" spans="4:5" s="233" customFormat="1" x14ac:dyDescent="0.25">
      <c r="D733" s="559"/>
      <c r="E733" s="559"/>
    </row>
    <row r="734" spans="4:5" s="233" customFormat="1" x14ac:dyDescent="0.25">
      <c r="D734" s="559"/>
      <c r="E734" s="559"/>
    </row>
    <row r="735" spans="4:5" s="233" customFormat="1" x14ac:dyDescent="0.25">
      <c r="D735" s="559"/>
      <c r="E735" s="559"/>
    </row>
    <row r="736" spans="4:5" s="233" customFormat="1" x14ac:dyDescent="0.25">
      <c r="D736" s="559"/>
      <c r="E736" s="559"/>
    </row>
    <row r="737" spans="4:5" s="233" customFormat="1" x14ac:dyDescent="0.25">
      <c r="D737" s="559"/>
      <c r="E737" s="559"/>
    </row>
    <row r="738" spans="4:5" s="233" customFormat="1" x14ac:dyDescent="0.25">
      <c r="D738" s="559"/>
      <c r="E738" s="559"/>
    </row>
    <row r="739" spans="4:5" s="233" customFormat="1" x14ac:dyDescent="0.25">
      <c r="D739" s="559"/>
      <c r="E739" s="559"/>
    </row>
    <row r="740" spans="4:5" s="233" customFormat="1" x14ac:dyDescent="0.25">
      <c r="D740" s="559"/>
      <c r="E740" s="559"/>
    </row>
    <row r="741" spans="4:5" s="233" customFormat="1" x14ac:dyDescent="0.25">
      <c r="D741" s="559"/>
      <c r="E741" s="559"/>
    </row>
    <row r="742" spans="4:5" s="233" customFormat="1" x14ac:dyDescent="0.25">
      <c r="D742" s="559"/>
      <c r="E742" s="559"/>
    </row>
    <row r="743" spans="4:5" s="233" customFormat="1" x14ac:dyDescent="0.25">
      <c r="D743" s="559"/>
      <c r="E743" s="559"/>
    </row>
    <row r="744" spans="4:5" s="233" customFormat="1" x14ac:dyDescent="0.25">
      <c r="D744" s="559"/>
      <c r="E744" s="559"/>
    </row>
    <row r="745" spans="4:5" s="233" customFormat="1" x14ac:dyDescent="0.25">
      <c r="D745" s="559"/>
      <c r="E745" s="559"/>
    </row>
    <row r="746" spans="4:5" s="233" customFormat="1" x14ac:dyDescent="0.25">
      <c r="D746" s="559"/>
      <c r="E746" s="559"/>
    </row>
    <row r="747" spans="4:5" s="233" customFormat="1" x14ac:dyDescent="0.25">
      <c r="D747" s="559"/>
      <c r="E747" s="559"/>
    </row>
    <row r="748" spans="4:5" s="233" customFormat="1" x14ac:dyDescent="0.25">
      <c r="D748" s="559"/>
      <c r="E748" s="559"/>
    </row>
    <row r="749" spans="4:5" s="233" customFormat="1" x14ac:dyDescent="0.25">
      <c r="D749" s="559"/>
      <c r="E749" s="559"/>
    </row>
    <row r="750" spans="4:5" s="233" customFormat="1" x14ac:dyDescent="0.25">
      <c r="D750" s="559"/>
      <c r="E750" s="559"/>
    </row>
    <row r="751" spans="4:5" s="233" customFormat="1" x14ac:dyDescent="0.25">
      <c r="D751" s="559"/>
      <c r="E751" s="559"/>
    </row>
    <row r="752" spans="4:5" s="233" customFormat="1" x14ac:dyDescent="0.25">
      <c r="D752" s="559"/>
      <c r="E752" s="559"/>
    </row>
    <row r="753" spans="4:5" s="233" customFormat="1" x14ac:dyDescent="0.25">
      <c r="D753" s="559"/>
      <c r="E753" s="559"/>
    </row>
    <row r="754" spans="4:5" s="233" customFormat="1" x14ac:dyDescent="0.25">
      <c r="D754" s="559"/>
      <c r="E754" s="559"/>
    </row>
    <row r="755" spans="4:5" s="233" customFormat="1" x14ac:dyDescent="0.25">
      <c r="D755" s="559"/>
      <c r="E755" s="559"/>
    </row>
    <row r="756" spans="4:5" s="233" customFormat="1" x14ac:dyDescent="0.25">
      <c r="D756" s="559"/>
      <c r="E756" s="559"/>
    </row>
    <row r="757" spans="4:5" s="233" customFormat="1" x14ac:dyDescent="0.25">
      <c r="D757" s="559"/>
      <c r="E757" s="559"/>
    </row>
    <row r="758" spans="4:5" s="233" customFormat="1" x14ac:dyDescent="0.25">
      <c r="D758" s="559"/>
      <c r="E758" s="559"/>
    </row>
    <row r="759" spans="4:5" s="233" customFormat="1" x14ac:dyDescent="0.25">
      <c r="D759" s="559"/>
      <c r="E759" s="559"/>
    </row>
    <row r="760" spans="4:5" s="233" customFormat="1" x14ac:dyDescent="0.25">
      <c r="D760" s="559"/>
      <c r="E760" s="559"/>
    </row>
    <row r="761" spans="4:5" s="233" customFormat="1" x14ac:dyDescent="0.25">
      <c r="D761" s="559"/>
      <c r="E761" s="559"/>
    </row>
    <row r="762" spans="4:5" s="233" customFormat="1" x14ac:dyDescent="0.25">
      <c r="D762" s="559"/>
      <c r="E762" s="559"/>
    </row>
    <row r="763" spans="4:5" s="233" customFormat="1" x14ac:dyDescent="0.25">
      <c r="D763" s="559"/>
      <c r="E763" s="559"/>
    </row>
    <row r="764" spans="4:5" s="233" customFormat="1" x14ac:dyDescent="0.25">
      <c r="D764" s="559"/>
      <c r="E764" s="559"/>
    </row>
    <row r="765" spans="4:5" s="233" customFormat="1" x14ac:dyDescent="0.25">
      <c r="D765" s="559"/>
      <c r="E765" s="559"/>
    </row>
    <row r="766" spans="4:5" s="233" customFormat="1" x14ac:dyDescent="0.25">
      <c r="D766" s="559"/>
      <c r="E766" s="559"/>
    </row>
    <row r="767" spans="4:5" s="233" customFormat="1" x14ac:dyDescent="0.25">
      <c r="D767" s="559"/>
      <c r="E767" s="559"/>
    </row>
    <row r="768" spans="4:5" s="233" customFormat="1" x14ac:dyDescent="0.25">
      <c r="D768" s="559"/>
      <c r="E768" s="559"/>
    </row>
    <row r="769" spans="4:5" s="233" customFormat="1" x14ac:dyDescent="0.25">
      <c r="D769" s="559"/>
      <c r="E769" s="559"/>
    </row>
    <row r="770" spans="4:5" s="233" customFormat="1" x14ac:dyDescent="0.25">
      <c r="D770" s="559"/>
      <c r="E770" s="559"/>
    </row>
    <row r="771" spans="4:5" s="233" customFormat="1" x14ac:dyDescent="0.25">
      <c r="D771" s="559"/>
      <c r="E771" s="559"/>
    </row>
    <row r="772" spans="4:5" s="233" customFormat="1" x14ac:dyDescent="0.25">
      <c r="D772" s="559"/>
      <c r="E772" s="559"/>
    </row>
    <row r="773" spans="4:5" s="233" customFormat="1" x14ac:dyDescent="0.25">
      <c r="D773" s="559"/>
      <c r="E773" s="559"/>
    </row>
    <row r="774" spans="4:5" s="233" customFormat="1" x14ac:dyDescent="0.25">
      <c r="D774" s="559"/>
      <c r="E774" s="559"/>
    </row>
    <row r="775" spans="4:5" s="233" customFormat="1" x14ac:dyDescent="0.25">
      <c r="D775" s="559"/>
      <c r="E775" s="559"/>
    </row>
    <row r="776" spans="4:5" s="233" customFormat="1" x14ac:dyDescent="0.25">
      <c r="D776" s="559"/>
      <c r="E776" s="559"/>
    </row>
    <row r="777" spans="4:5" s="233" customFormat="1" x14ac:dyDescent="0.25">
      <c r="D777" s="559"/>
      <c r="E777" s="559"/>
    </row>
    <row r="778" spans="4:5" s="233" customFormat="1" x14ac:dyDescent="0.25">
      <c r="D778" s="559"/>
      <c r="E778" s="559"/>
    </row>
    <row r="779" spans="4:5" s="233" customFormat="1" x14ac:dyDescent="0.25">
      <c r="D779" s="559"/>
      <c r="E779" s="559"/>
    </row>
    <row r="780" spans="4:5" s="233" customFormat="1" x14ac:dyDescent="0.25">
      <c r="D780" s="559"/>
      <c r="E780" s="559"/>
    </row>
    <row r="781" spans="4:5" s="233" customFormat="1" x14ac:dyDescent="0.25">
      <c r="D781" s="559"/>
      <c r="E781" s="559"/>
    </row>
    <row r="782" spans="4:5" s="233" customFormat="1" x14ac:dyDescent="0.25">
      <c r="D782" s="559"/>
      <c r="E782" s="559"/>
    </row>
    <row r="783" spans="4:5" s="233" customFormat="1" x14ac:dyDescent="0.25">
      <c r="D783" s="559"/>
      <c r="E783" s="559"/>
    </row>
    <row r="784" spans="4:5" s="233" customFormat="1" x14ac:dyDescent="0.25">
      <c r="D784" s="559"/>
      <c r="E784" s="559"/>
    </row>
    <row r="785" spans="4:5" s="233" customFormat="1" x14ac:dyDescent="0.25">
      <c r="D785" s="559"/>
      <c r="E785" s="559"/>
    </row>
    <row r="786" spans="4:5" s="233" customFormat="1" x14ac:dyDescent="0.25">
      <c r="D786" s="559"/>
      <c r="E786" s="559"/>
    </row>
    <row r="787" spans="4:5" s="233" customFormat="1" x14ac:dyDescent="0.25">
      <c r="D787" s="559"/>
      <c r="E787" s="559"/>
    </row>
    <row r="788" spans="4:5" s="233" customFormat="1" x14ac:dyDescent="0.25">
      <c r="D788" s="559"/>
      <c r="E788" s="559"/>
    </row>
    <row r="789" spans="4:5" s="233" customFormat="1" x14ac:dyDescent="0.25">
      <c r="D789" s="559"/>
      <c r="E789" s="559"/>
    </row>
    <row r="790" spans="4:5" s="233" customFormat="1" x14ac:dyDescent="0.25">
      <c r="D790" s="559"/>
      <c r="E790" s="559"/>
    </row>
    <row r="791" spans="4:5" s="233" customFormat="1" x14ac:dyDescent="0.25">
      <c r="D791" s="559"/>
      <c r="E791" s="559"/>
    </row>
    <row r="792" spans="4:5" s="233" customFormat="1" x14ac:dyDescent="0.25">
      <c r="D792" s="559"/>
      <c r="E792" s="559"/>
    </row>
    <row r="793" spans="4:5" s="233" customFormat="1" x14ac:dyDescent="0.25">
      <c r="D793" s="559"/>
      <c r="E793" s="559"/>
    </row>
    <row r="794" spans="4:5" s="233" customFormat="1" x14ac:dyDescent="0.25">
      <c r="D794" s="559"/>
      <c r="E794" s="559"/>
    </row>
    <row r="795" spans="4:5" s="233" customFormat="1" x14ac:dyDescent="0.25">
      <c r="D795" s="559"/>
      <c r="E795" s="559"/>
    </row>
    <row r="796" spans="4:5" s="233" customFormat="1" x14ac:dyDescent="0.25">
      <c r="D796" s="559"/>
      <c r="E796" s="559"/>
    </row>
    <row r="797" spans="4:5" s="233" customFormat="1" x14ac:dyDescent="0.25">
      <c r="D797" s="559"/>
      <c r="E797" s="559"/>
    </row>
    <row r="798" spans="4:5" s="233" customFormat="1" x14ac:dyDescent="0.25">
      <c r="D798" s="559"/>
      <c r="E798" s="559"/>
    </row>
    <row r="799" spans="4:5" s="233" customFormat="1" x14ac:dyDescent="0.25">
      <c r="D799" s="559"/>
      <c r="E799" s="559"/>
    </row>
    <row r="800" spans="4:5" s="233" customFormat="1" x14ac:dyDescent="0.25">
      <c r="D800" s="559"/>
      <c r="E800" s="559"/>
    </row>
    <row r="801" spans="4:5" s="233" customFormat="1" x14ac:dyDescent="0.25">
      <c r="D801" s="559"/>
      <c r="E801" s="559"/>
    </row>
    <row r="802" spans="4:5" s="233" customFormat="1" x14ac:dyDescent="0.25">
      <c r="D802" s="559"/>
      <c r="E802" s="559"/>
    </row>
    <row r="803" spans="4:5" s="233" customFormat="1" x14ac:dyDescent="0.25">
      <c r="D803" s="559"/>
      <c r="E803" s="559"/>
    </row>
    <row r="804" spans="4:5" s="233" customFormat="1" x14ac:dyDescent="0.25">
      <c r="D804" s="559"/>
      <c r="E804" s="559"/>
    </row>
    <row r="805" spans="4:5" s="233" customFormat="1" x14ac:dyDescent="0.25">
      <c r="D805" s="559"/>
      <c r="E805" s="559"/>
    </row>
    <row r="806" spans="4:5" s="233" customFormat="1" x14ac:dyDescent="0.25">
      <c r="D806" s="559"/>
      <c r="E806" s="559"/>
    </row>
    <row r="807" spans="4:5" s="233" customFormat="1" x14ac:dyDescent="0.25">
      <c r="D807" s="559"/>
      <c r="E807" s="559"/>
    </row>
    <row r="808" spans="4:5" s="233" customFormat="1" x14ac:dyDescent="0.25">
      <c r="D808" s="559"/>
      <c r="E808" s="559"/>
    </row>
    <row r="809" spans="4:5" s="233" customFormat="1" x14ac:dyDescent="0.25">
      <c r="D809" s="559"/>
      <c r="E809" s="559"/>
    </row>
    <row r="810" spans="4:5" s="233" customFormat="1" x14ac:dyDescent="0.25">
      <c r="D810" s="559"/>
      <c r="E810" s="559"/>
    </row>
    <row r="811" spans="4:5" s="233" customFormat="1" x14ac:dyDescent="0.25">
      <c r="D811" s="559"/>
      <c r="E811" s="559"/>
    </row>
    <row r="812" spans="4:5" s="233" customFormat="1" x14ac:dyDescent="0.25">
      <c r="D812" s="559"/>
      <c r="E812" s="559"/>
    </row>
    <row r="813" spans="4:5" s="233" customFormat="1" x14ac:dyDescent="0.25">
      <c r="D813" s="559"/>
      <c r="E813" s="559"/>
    </row>
    <row r="814" spans="4:5" s="233" customFormat="1" x14ac:dyDescent="0.25">
      <c r="D814" s="559"/>
      <c r="E814" s="559"/>
    </row>
    <row r="815" spans="4:5" s="233" customFormat="1" x14ac:dyDescent="0.25">
      <c r="D815" s="559"/>
      <c r="E815" s="559"/>
    </row>
    <row r="816" spans="4:5" s="233" customFormat="1" x14ac:dyDescent="0.25">
      <c r="D816" s="559"/>
      <c r="E816" s="559"/>
    </row>
    <row r="817" spans="4:5" s="233" customFormat="1" x14ac:dyDescent="0.25">
      <c r="D817" s="559"/>
      <c r="E817" s="559"/>
    </row>
    <row r="818" spans="4:5" s="233" customFormat="1" x14ac:dyDescent="0.25">
      <c r="D818" s="559"/>
      <c r="E818" s="559"/>
    </row>
    <row r="819" spans="4:5" s="233" customFormat="1" x14ac:dyDescent="0.25">
      <c r="D819" s="559"/>
      <c r="E819" s="559"/>
    </row>
    <row r="820" spans="4:5" s="233" customFormat="1" x14ac:dyDescent="0.25">
      <c r="D820" s="559"/>
      <c r="E820" s="559"/>
    </row>
    <row r="821" spans="4:5" s="233" customFormat="1" x14ac:dyDescent="0.25">
      <c r="D821" s="559"/>
      <c r="E821" s="559"/>
    </row>
    <row r="822" spans="4:5" s="233" customFormat="1" x14ac:dyDescent="0.25">
      <c r="D822" s="559"/>
      <c r="E822" s="559"/>
    </row>
    <row r="823" spans="4:5" s="233" customFormat="1" x14ac:dyDescent="0.25">
      <c r="D823" s="559"/>
      <c r="E823" s="559"/>
    </row>
    <row r="824" spans="4:5" s="233" customFormat="1" x14ac:dyDescent="0.25">
      <c r="D824" s="559"/>
      <c r="E824" s="559"/>
    </row>
    <row r="825" spans="4:5" s="233" customFormat="1" x14ac:dyDescent="0.25">
      <c r="D825" s="559"/>
      <c r="E825" s="559"/>
    </row>
    <row r="826" spans="4:5" s="233" customFormat="1" x14ac:dyDescent="0.25">
      <c r="D826" s="559"/>
      <c r="E826" s="559"/>
    </row>
    <row r="827" spans="4:5" s="233" customFormat="1" x14ac:dyDescent="0.25">
      <c r="D827" s="559"/>
      <c r="E827" s="559"/>
    </row>
    <row r="828" spans="4:5" s="233" customFormat="1" x14ac:dyDescent="0.25">
      <c r="D828" s="559"/>
      <c r="E828" s="559"/>
    </row>
    <row r="829" spans="4:5" s="233" customFormat="1" x14ac:dyDescent="0.25">
      <c r="D829" s="559"/>
      <c r="E829" s="559"/>
    </row>
    <row r="830" spans="4:5" s="233" customFormat="1" x14ac:dyDescent="0.25">
      <c r="D830" s="559"/>
      <c r="E830" s="559"/>
    </row>
    <row r="831" spans="4:5" s="233" customFormat="1" x14ac:dyDescent="0.25">
      <c r="D831" s="559"/>
      <c r="E831" s="559"/>
    </row>
    <row r="832" spans="4:5" s="233" customFormat="1" x14ac:dyDescent="0.25">
      <c r="D832" s="559"/>
      <c r="E832" s="559"/>
    </row>
    <row r="833" spans="4:5" s="233" customFormat="1" x14ac:dyDescent="0.25">
      <c r="D833" s="559"/>
      <c r="E833" s="559"/>
    </row>
    <row r="834" spans="4:5" s="233" customFormat="1" x14ac:dyDescent="0.25">
      <c r="D834" s="559"/>
      <c r="E834" s="559"/>
    </row>
    <row r="835" spans="4:5" s="233" customFormat="1" x14ac:dyDescent="0.25">
      <c r="D835" s="559"/>
      <c r="E835" s="559"/>
    </row>
    <row r="836" spans="4:5" s="233" customFormat="1" x14ac:dyDescent="0.25">
      <c r="D836" s="559"/>
      <c r="E836" s="559"/>
    </row>
    <row r="837" spans="4:5" s="233" customFormat="1" x14ac:dyDescent="0.25">
      <c r="D837" s="559"/>
      <c r="E837" s="559"/>
    </row>
    <row r="838" spans="4:5" s="233" customFormat="1" x14ac:dyDescent="0.25">
      <c r="D838" s="559"/>
      <c r="E838" s="559"/>
    </row>
    <row r="839" spans="4:5" s="233" customFormat="1" x14ac:dyDescent="0.25">
      <c r="D839" s="559"/>
      <c r="E839" s="559"/>
    </row>
    <row r="840" spans="4:5" s="233" customFormat="1" x14ac:dyDescent="0.25">
      <c r="D840" s="559"/>
      <c r="E840" s="559"/>
    </row>
    <row r="841" spans="4:5" s="233" customFormat="1" x14ac:dyDescent="0.25">
      <c r="D841" s="559"/>
      <c r="E841" s="559"/>
    </row>
    <row r="842" spans="4:5" s="233" customFormat="1" x14ac:dyDescent="0.25">
      <c r="D842" s="559"/>
      <c r="E842" s="559"/>
    </row>
    <row r="843" spans="4:5" s="233" customFormat="1" x14ac:dyDescent="0.25">
      <c r="D843" s="559"/>
      <c r="E843" s="559"/>
    </row>
    <row r="844" spans="4:5" s="233" customFormat="1" x14ac:dyDescent="0.25">
      <c r="D844" s="559"/>
      <c r="E844" s="559"/>
    </row>
    <row r="845" spans="4:5" s="233" customFormat="1" x14ac:dyDescent="0.25">
      <c r="D845" s="559"/>
      <c r="E845" s="559"/>
    </row>
    <row r="846" spans="4:5" s="233" customFormat="1" x14ac:dyDescent="0.25">
      <c r="D846" s="559"/>
      <c r="E846" s="336"/>
    </row>
    <row r="847" spans="4:5" s="233" customFormat="1" x14ac:dyDescent="0.25">
      <c r="D847" s="559"/>
      <c r="E847" s="336"/>
    </row>
    <row r="848" spans="4:5" s="233" customFormat="1" x14ac:dyDescent="0.25">
      <c r="D848" s="559"/>
      <c r="E848" s="336"/>
    </row>
    <row r="849" spans="4:4" s="233" customFormat="1" x14ac:dyDescent="0.25">
      <c r="D849" s="559"/>
    </row>
    <row r="850" spans="4:4" s="233" customFormat="1" x14ac:dyDescent="0.25">
      <c r="D850" s="559"/>
    </row>
    <row r="851" spans="4:4" s="233" customFormat="1" x14ac:dyDescent="0.25">
      <c r="D851" s="559"/>
    </row>
    <row r="852" spans="4:4" s="233" customFormat="1" x14ac:dyDescent="0.25">
      <c r="D852" s="559"/>
    </row>
    <row r="853" spans="4:4" s="233" customFormat="1" x14ac:dyDescent="0.25">
      <c r="D853" s="559"/>
    </row>
  </sheetData>
  <protectedRanges>
    <protectedRange password="C6D0" sqref="G188" name="Restating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268:E283 E291:E292" name="Restating_1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300" name="Restating_2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196" name="Restating_3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F226" name="Restating_4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H306" name="Restating_5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201 E204:E205" name="Restating_6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202" name="Restating_7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H77" name="Restating_8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B32:XFD32 D25 B21:B31 C26:D30 C21:D24 F21:XFD31 E21:E25 E29:E30 C379:G379 D372 C373:D377 C369:D371 F369:G378 E369:E372 E376:E377" name="Restating_9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H175 I210:I217 I208 I164:I180" name="Restating_10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F216" name="Restating_11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322:E352 E538:E554" name="Restating_12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  <protectedRange password="C6D0" sqref="E284:E285" name="Restating_13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dataValidations count="1">
    <dataValidation type="list" allowBlank="1" showInputMessage="1" showErrorMessage="1" errorTitle="Type of Schedule" error="By not selecting type of schedule, the schedules will not calculate correctly." promptTitle="Type of Schedule" prompt="Select the type of schedule for each plant from the drop-down list." sqref="E279:E280">
      <formula1>"Depreciation (Depn), Contribution in Aid of Construction (CIAC), Both (Depn &amp; CIAC), Acquisition Adjustment"</formula1>
    </dataValidation>
  </dataValidations>
  <pageMargins left="0.17" right="0.17" top="0.28000000000000003" bottom="0.36" header="0.19" footer="0.17"/>
  <pageSetup scale="57" fitToHeight="0" pageOrder="overThenDown" orientation="landscape" r:id="rId1"/>
  <headerFooter>
    <oddFooter>&amp;L&amp;F ! &amp;A&amp;RPage &amp;P of &amp;N 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lass of Plant - Service Lives" error="By not selecting the class of plant, the depreication schedule will not correctly use the correct average service lives and salvage values for assets." promptTitle="Class of Plant" prompt="Select the plant asset description from the drop-down list.">
          <x14:formula1>
            <xm:f>'[1]Sch 9 DEPN'!#REF!</xm:f>
          </x14:formula1>
          <xm:sqref>D273 D279:D280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305"/>
  <sheetViews>
    <sheetView workbookViewId="0">
      <selection activeCell="F26" sqref="F26"/>
    </sheetView>
  </sheetViews>
  <sheetFormatPr defaultRowHeight="15" x14ac:dyDescent="0.25"/>
  <cols>
    <col min="1" max="1" width="6.7109375" style="782" customWidth="1"/>
    <col min="2" max="2" width="5.5703125" style="187" hidden="1" customWidth="1"/>
    <col min="3" max="3" width="12.7109375" style="187" customWidth="1"/>
    <col min="4" max="4" width="17.5703125" style="187" customWidth="1"/>
    <col min="5" max="5" width="16.5703125" style="187" hidden="1" customWidth="1"/>
    <col min="6" max="6" width="9.140625" style="187"/>
    <col min="7" max="7" width="12.140625" style="187" hidden="1" customWidth="1"/>
    <col min="8" max="8" width="9.140625" style="187"/>
    <col min="9" max="9" width="12.7109375" style="187" customWidth="1"/>
    <col min="10" max="12" width="0" style="187" hidden="1" customWidth="1"/>
    <col min="13" max="13" width="14" style="187" hidden="1" customWidth="1"/>
    <col min="14" max="14" width="15.85546875" style="187" customWidth="1"/>
    <col min="15" max="15" width="3" style="187" customWidth="1"/>
    <col min="16" max="16" width="5.7109375" style="187" customWidth="1"/>
    <col min="17" max="21" width="15.85546875" style="187" hidden="1" customWidth="1"/>
    <col min="22" max="22" width="3.7109375" style="187" customWidth="1"/>
    <col min="23" max="24" width="15.85546875" style="778" customWidth="1"/>
    <col min="25" max="25" width="18.28515625" style="778" customWidth="1"/>
    <col min="26" max="26" width="15.85546875" style="778" customWidth="1"/>
    <col min="27" max="27" width="4" style="778" customWidth="1"/>
    <col min="28" max="31" width="15.85546875" style="778" customWidth="1"/>
    <col min="32" max="32" width="2.140625" style="778" customWidth="1"/>
    <col min="33" max="33" width="15.85546875" style="778" customWidth="1"/>
    <col min="34" max="43" width="9.140625" style="778"/>
    <col min="44" max="44" width="15.42578125" style="778" bestFit="1" customWidth="1"/>
    <col min="45" max="56" width="9.140625" style="778"/>
    <col min="57" max="16384" width="9.140625" style="187"/>
  </cols>
  <sheetData>
    <row r="1" spans="1:56" ht="18" x14ac:dyDescent="0.25">
      <c r="D1" s="775" t="s">
        <v>832</v>
      </c>
      <c r="G1" s="776"/>
      <c r="H1" s="777"/>
      <c r="I1" s="777"/>
      <c r="J1" s="777"/>
      <c r="K1" s="777"/>
      <c r="L1" s="777"/>
      <c r="M1" s="777"/>
      <c r="N1" s="777"/>
      <c r="O1" s="777"/>
      <c r="P1" s="777"/>
      <c r="Q1" s="777"/>
    </row>
    <row r="2" spans="1:56" ht="15.75" x14ac:dyDescent="0.25">
      <c r="D2" s="775" t="s">
        <v>611</v>
      </c>
    </row>
    <row r="3" spans="1:56" ht="15.75" x14ac:dyDescent="0.25">
      <c r="D3" s="775" t="s">
        <v>833</v>
      </c>
    </row>
    <row r="4" spans="1:56" ht="18.75" x14ac:dyDescent="0.3">
      <c r="N4" s="779"/>
      <c r="O4" s="779"/>
      <c r="P4" s="779"/>
      <c r="Q4" s="779"/>
      <c r="R4" s="779"/>
      <c r="S4" s="779"/>
      <c r="W4" s="780" t="s">
        <v>834</v>
      </c>
      <c r="AB4" s="778" t="s">
        <v>835</v>
      </c>
    </row>
    <row r="5" spans="1:56" ht="18.75" x14ac:dyDescent="0.3">
      <c r="C5" s="781" t="s">
        <v>269</v>
      </c>
      <c r="D5" s="781" t="s">
        <v>270</v>
      </c>
      <c r="E5" s="782"/>
      <c r="F5" s="781" t="s">
        <v>836</v>
      </c>
      <c r="G5" s="782"/>
      <c r="H5" s="781" t="s">
        <v>272</v>
      </c>
      <c r="I5" s="781" t="s">
        <v>273</v>
      </c>
      <c r="J5" s="782"/>
      <c r="K5" s="782"/>
      <c r="L5" s="782"/>
      <c r="M5" s="782"/>
      <c r="N5" s="783" t="s">
        <v>274</v>
      </c>
      <c r="O5" s="783" t="s">
        <v>275</v>
      </c>
      <c r="P5" s="783" t="s">
        <v>276</v>
      </c>
      <c r="Q5" s="784"/>
      <c r="R5" s="784"/>
      <c r="S5" s="784"/>
      <c r="T5" s="782"/>
      <c r="U5" s="782"/>
      <c r="V5" s="781" t="s">
        <v>277</v>
      </c>
      <c r="W5" s="785" t="s">
        <v>837</v>
      </c>
      <c r="X5" s="786" t="s">
        <v>279</v>
      </c>
      <c r="Y5" s="786" t="s">
        <v>838</v>
      </c>
      <c r="Z5" s="786" t="s">
        <v>839</v>
      </c>
      <c r="AB5" s="778" t="s">
        <v>840</v>
      </c>
    </row>
    <row r="6" spans="1:56" x14ac:dyDescent="0.25">
      <c r="C6" s="779"/>
      <c r="D6" s="779"/>
      <c r="E6" s="779"/>
      <c r="F6" s="784"/>
      <c r="G6" s="784"/>
      <c r="H6" s="787" t="s">
        <v>841</v>
      </c>
      <c r="I6" s="787"/>
      <c r="J6" s="788"/>
      <c r="K6" s="784"/>
      <c r="L6" s="789">
        <v>300</v>
      </c>
      <c r="M6" s="790"/>
      <c r="N6" s="791" t="s">
        <v>842</v>
      </c>
      <c r="O6" s="792"/>
      <c r="P6" s="792"/>
      <c r="Q6" s="793" t="s">
        <v>843</v>
      </c>
      <c r="R6" s="794" t="s">
        <v>844</v>
      </c>
      <c r="S6" s="779" t="s">
        <v>845</v>
      </c>
    </row>
    <row r="7" spans="1:56" ht="15.75" thickBot="1" x14ac:dyDescent="0.3">
      <c r="C7" s="779"/>
      <c r="D7" s="779"/>
      <c r="E7" s="779"/>
      <c r="F7" s="784"/>
      <c r="G7" s="784"/>
      <c r="H7" s="787" t="s">
        <v>846</v>
      </c>
      <c r="I7" s="787"/>
      <c r="J7" s="788"/>
      <c r="K7" s="784"/>
      <c r="L7" s="795"/>
      <c r="M7" s="796"/>
      <c r="N7" s="797">
        <v>400</v>
      </c>
      <c r="O7" s="798"/>
      <c r="P7" s="798"/>
      <c r="Q7" s="793" t="s">
        <v>476</v>
      </c>
      <c r="R7" s="794" t="s">
        <v>476</v>
      </c>
      <c r="S7" s="779"/>
      <c r="W7" s="799" t="s">
        <v>847</v>
      </c>
      <c r="AB7" s="799" t="s">
        <v>848</v>
      </c>
      <c r="AG7" s="778" t="s">
        <v>849</v>
      </c>
    </row>
    <row r="8" spans="1:56" s="800" customFormat="1" ht="33" customHeight="1" thickTop="1" x14ac:dyDescent="0.25">
      <c r="A8" s="889" t="s">
        <v>268</v>
      </c>
      <c r="B8" s="801" t="s">
        <v>850</v>
      </c>
      <c r="C8" s="802" t="s">
        <v>851</v>
      </c>
      <c r="D8" s="802" t="s">
        <v>852</v>
      </c>
      <c r="E8" s="803" t="s">
        <v>853</v>
      </c>
      <c r="F8" s="802" t="s">
        <v>854</v>
      </c>
      <c r="G8" s="802" t="s">
        <v>855</v>
      </c>
      <c r="H8" s="802" t="s">
        <v>856</v>
      </c>
      <c r="I8" s="802" t="s">
        <v>857</v>
      </c>
      <c r="J8" s="804" t="s">
        <v>858</v>
      </c>
      <c r="K8" s="802" t="s">
        <v>859</v>
      </c>
      <c r="L8" s="805" t="s">
        <v>71</v>
      </c>
      <c r="M8" s="805" t="s">
        <v>317</v>
      </c>
      <c r="N8" s="806"/>
      <c r="O8" s="806"/>
      <c r="P8" s="806"/>
      <c r="Q8" s="806"/>
      <c r="R8" s="806"/>
      <c r="S8" s="806"/>
      <c r="W8" s="807" t="s">
        <v>860</v>
      </c>
      <c r="X8" s="807" t="s">
        <v>861</v>
      </c>
      <c r="Y8" s="807" t="s">
        <v>862</v>
      </c>
      <c r="Z8" s="808" t="s">
        <v>863</v>
      </c>
      <c r="AA8" s="807"/>
      <c r="AB8" s="807" t="s">
        <v>860</v>
      </c>
      <c r="AC8" s="807" t="s">
        <v>861</v>
      </c>
      <c r="AD8" s="807" t="s">
        <v>862</v>
      </c>
      <c r="AE8" s="807" t="s">
        <v>863</v>
      </c>
      <c r="AF8" s="807"/>
      <c r="AG8" s="807" t="s">
        <v>864</v>
      </c>
      <c r="AH8" s="807" t="s">
        <v>865</v>
      </c>
      <c r="AI8" s="807" t="s">
        <v>866</v>
      </c>
      <c r="AJ8" s="807" t="s">
        <v>867</v>
      </c>
      <c r="AK8" s="807" t="s">
        <v>868</v>
      </c>
      <c r="AL8" s="807" t="s">
        <v>869</v>
      </c>
      <c r="AM8" s="807" t="s">
        <v>870</v>
      </c>
      <c r="AN8" s="807" t="s">
        <v>871</v>
      </c>
      <c r="AO8" s="807" t="s">
        <v>872</v>
      </c>
      <c r="AP8" s="807" t="s">
        <v>873</v>
      </c>
      <c r="AQ8" s="807" t="s">
        <v>874</v>
      </c>
      <c r="AR8" s="807"/>
      <c r="AS8" s="807"/>
      <c r="AT8" s="807"/>
      <c r="AU8" s="807"/>
      <c r="AV8" s="807"/>
      <c r="AW8" s="807"/>
      <c r="AX8" s="807"/>
      <c r="AY8" s="807"/>
      <c r="AZ8" s="807"/>
      <c r="BA8" s="807"/>
      <c r="BB8" s="807"/>
      <c r="BC8" s="807"/>
      <c r="BD8" s="807"/>
    </row>
    <row r="9" spans="1:56" ht="15.75" x14ac:dyDescent="0.25">
      <c r="A9" s="890">
        <v>1</v>
      </c>
      <c r="B9" s="187">
        <v>1</v>
      </c>
      <c r="C9" s="779"/>
      <c r="D9" s="809"/>
      <c r="E9" s="809"/>
      <c r="F9" s="784"/>
      <c r="G9" s="784"/>
      <c r="H9" s="787"/>
      <c r="I9" s="787"/>
      <c r="J9" s="788"/>
      <c r="K9" s="784"/>
      <c r="L9" s="810"/>
      <c r="M9" s="810"/>
      <c r="N9" s="779"/>
      <c r="O9" s="779"/>
      <c r="P9" s="779"/>
      <c r="Q9" s="779"/>
      <c r="R9" s="779"/>
      <c r="S9" s="779"/>
      <c r="W9" s="811">
        <f>'[1]Sch 28 Unmetered Rate Design'!J19</f>
        <v>215</v>
      </c>
      <c r="X9" s="811">
        <f>'[1]Sch 28 Unmetered Rate Design'!K19</f>
        <v>280</v>
      </c>
      <c r="AB9" s="811">
        <f>'[1]S28.1 Unmeterd design p house a'!E12</f>
        <v>170</v>
      </c>
      <c r="AC9" s="811">
        <f>'[1]S28.1 Unmeterd design p house a'!E13</f>
        <v>250</v>
      </c>
      <c r="AS9" s="807" t="s">
        <v>865</v>
      </c>
    </row>
    <row r="10" spans="1:56" x14ac:dyDescent="0.25">
      <c r="A10" s="890">
        <v>2</v>
      </c>
      <c r="B10" s="187">
        <v>2</v>
      </c>
      <c r="C10" s="812" t="s">
        <v>875</v>
      </c>
      <c r="D10" s="813"/>
      <c r="E10" s="813"/>
      <c r="F10" s="784"/>
      <c r="G10" s="784"/>
      <c r="H10" s="779"/>
      <c r="I10" s="779"/>
      <c r="J10" s="788"/>
      <c r="K10" s="784"/>
      <c r="L10" s="814"/>
      <c r="M10" s="814"/>
      <c r="N10" s="779"/>
      <c r="O10" s="779"/>
      <c r="P10" s="779"/>
      <c r="Q10" s="779"/>
      <c r="R10" s="779"/>
      <c r="S10" s="779"/>
      <c r="AS10" s="807" t="s">
        <v>866</v>
      </c>
    </row>
    <row r="11" spans="1:56" x14ac:dyDescent="0.25">
      <c r="A11" s="890">
        <v>3</v>
      </c>
      <c r="B11" s="187">
        <v>3</v>
      </c>
      <c r="C11" s="793" t="s">
        <v>876</v>
      </c>
      <c r="D11" s="815"/>
      <c r="E11" s="779"/>
      <c r="F11" s="779"/>
      <c r="G11" s="779"/>
      <c r="H11" s="779"/>
      <c r="I11" s="779"/>
      <c r="J11" s="779"/>
      <c r="K11" s="779"/>
      <c r="L11" s="814"/>
      <c r="M11" s="814"/>
      <c r="N11" s="779"/>
      <c r="O11" s="779"/>
      <c r="P11" s="779"/>
      <c r="Q11" s="816"/>
      <c r="R11" s="779"/>
      <c r="S11" s="779"/>
      <c r="AS11" s="807" t="s">
        <v>867</v>
      </c>
    </row>
    <row r="12" spans="1:56" x14ac:dyDescent="0.25">
      <c r="A12" s="890">
        <v>4</v>
      </c>
      <c r="B12" s="187">
        <v>4</v>
      </c>
      <c r="C12" s="779" t="s">
        <v>877</v>
      </c>
      <c r="D12" s="815" t="s">
        <v>878</v>
      </c>
      <c r="E12" s="784" t="s">
        <v>879</v>
      </c>
      <c r="F12" s="784">
        <v>22550</v>
      </c>
      <c r="G12" s="784">
        <v>1</v>
      </c>
      <c r="H12" s="784">
        <v>1</v>
      </c>
      <c r="I12" s="817">
        <v>0.51767676767676762</v>
      </c>
      <c r="J12" s="818">
        <v>0.51767676767676762</v>
      </c>
      <c r="K12" s="819">
        <v>250</v>
      </c>
      <c r="L12" s="820">
        <v>155.30303030303028</v>
      </c>
      <c r="M12" s="821">
        <v>405.30303030303025</v>
      </c>
      <c r="N12" s="822">
        <v>400</v>
      </c>
      <c r="O12" s="822"/>
      <c r="P12" s="822"/>
      <c r="Q12" s="816">
        <v>200</v>
      </c>
      <c r="R12" s="779"/>
      <c r="S12" s="779"/>
      <c r="W12" s="823">
        <f>IF($H$12=1,$W$9,0)</f>
        <v>215</v>
      </c>
      <c r="X12" s="823">
        <f>IF($H$12=1,$X$9*I12,0)</f>
        <v>144.94949494949495</v>
      </c>
      <c r="Y12" s="811">
        <f>+X12+W12</f>
        <v>359.94949494949492</v>
      </c>
      <c r="Z12" s="811">
        <f>IF($H12=1,Y12-400,0)</f>
        <v>-40.05050505050508</v>
      </c>
      <c r="AA12" s="811"/>
      <c r="AB12" s="823">
        <f>IF($H12=1,$AB$9,0)</f>
        <v>170</v>
      </c>
      <c r="AC12" s="823">
        <f>IF($H12=1,$AC$9*I12,0)</f>
        <v>129.41919191919192</v>
      </c>
      <c r="AD12" s="811">
        <f>+AC12+AB12</f>
        <v>299.41919191919192</v>
      </c>
      <c r="AE12" s="811">
        <f>IF($H12=1,AD12-400,0)</f>
        <v>-100.58080808080808</v>
      </c>
      <c r="AF12" s="811"/>
      <c r="AH12" s="778">
        <v>1</v>
      </c>
      <c r="AS12" s="807" t="s">
        <v>868</v>
      </c>
    </row>
    <row r="13" spans="1:56" x14ac:dyDescent="0.25">
      <c r="A13" s="890">
        <v>5</v>
      </c>
      <c r="B13" s="187">
        <v>5</v>
      </c>
      <c r="C13" s="779" t="s">
        <v>880</v>
      </c>
      <c r="D13" s="815" t="s">
        <v>881</v>
      </c>
      <c r="E13" s="784" t="s">
        <v>882</v>
      </c>
      <c r="F13" s="784">
        <v>22550</v>
      </c>
      <c r="G13" s="784">
        <v>1</v>
      </c>
      <c r="H13" s="784">
        <v>1</v>
      </c>
      <c r="I13" s="817">
        <v>0.51767676767676762</v>
      </c>
      <c r="J13" s="818">
        <v>0.51767676767676762</v>
      </c>
      <c r="K13" s="819">
        <v>250</v>
      </c>
      <c r="L13" s="820">
        <v>155.30303030303028</v>
      </c>
      <c r="M13" s="821">
        <v>405.30303030303025</v>
      </c>
      <c r="N13" s="822">
        <v>400</v>
      </c>
      <c r="O13" s="822"/>
      <c r="P13" s="822"/>
      <c r="Q13" s="816">
        <v>400</v>
      </c>
      <c r="R13" s="779"/>
      <c r="S13" s="779"/>
      <c r="W13" s="823">
        <f t="shared" ref="W13:W76" si="0">IF(H13=1,$W$9,0)</f>
        <v>215</v>
      </c>
      <c r="X13" s="823">
        <f t="shared" ref="X13:X76" si="1">IF(H13=1,$X$9*I13,0)</f>
        <v>144.94949494949495</v>
      </c>
      <c r="Y13" s="811">
        <f t="shared" ref="Y13:Y76" si="2">+X13+W13</f>
        <v>359.94949494949492</v>
      </c>
      <c r="Z13" s="811">
        <f t="shared" ref="Z13:Z76" si="3">IF(H13=1,Y13-400,0)</f>
        <v>-40.05050505050508</v>
      </c>
      <c r="AA13" s="811"/>
      <c r="AB13" s="823">
        <f t="shared" ref="AB13:AB76" si="4">IF($H13=1,$AB$9,0)</f>
        <v>170</v>
      </c>
      <c r="AC13" s="823">
        <f t="shared" ref="AC13:AC76" si="5">IF($H13=1,$AC$9*I13,0)</f>
        <v>129.41919191919192</v>
      </c>
      <c r="AD13" s="811">
        <f t="shared" ref="AD13:AD76" si="6">+AC13+AB13</f>
        <v>299.41919191919192</v>
      </c>
      <c r="AE13" s="811">
        <f t="shared" ref="AE13:AE76" si="7">IF($H13=1,AD13-400,0)</f>
        <v>-100.58080808080808</v>
      </c>
      <c r="AF13" s="811"/>
      <c r="AH13" s="778">
        <v>1</v>
      </c>
      <c r="AS13" s="807" t="s">
        <v>869</v>
      </c>
    </row>
    <row r="14" spans="1:56" x14ac:dyDescent="0.25">
      <c r="A14" s="890">
        <v>6</v>
      </c>
      <c r="B14" s="187">
        <v>6</v>
      </c>
      <c r="C14" s="779" t="s">
        <v>883</v>
      </c>
      <c r="D14" s="815" t="s">
        <v>884</v>
      </c>
      <c r="E14" s="784" t="s">
        <v>885</v>
      </c>
      <c r="F14" s="784">
        <v>22550</v>
      </c>
      <c r="G14" s="784">
        <v>1</v>
      </c>
      <c r="H14" s="784">
        <v>1</v>
      </c>
      <c r="I14" s="817">
        <v>0.51767676767676762</v>
      </c>
      <c r="J14" s="818">
        <v>0.51767676767676762</v>
      </c>
      <c r="K14" s="819">
        <v>250</v>
      </c>
      <c r="L14" s="820">
        <v>155.30303030303028</v>
      </c>
      <c r="M14" s="821">
        <v>405.30303030303025</v>
      </c>
      <c r="N14" s="822">
        <v>400</v>
      </c>
      <c r="O14" s="822"/>
      <c r="P14" s="822"/>
      <c r="Q14" s="816">
        <v>400</v>
      </c>
      <c r="R14" s="779"/>
      <c r="S14" s="779"/>
      <c r="W14" s="823">
        <f t="shared" si="0"/>
        <v>215</v>
      </c>
      <c r="X14" s="823">
        <f t="shared" si="1"/>
        <v>144.94949494949495</v>
      </c>
      <c r="Y14" s="811">
        <f t="shared" si="2"/>
        <v>359.94949494949492</v>
      </c>
      <c r="Z14" s="811">
        <f t="shared" si="3"/>
        <v>-40.05050505050508</v>
      </c>
      <c r="AA14" s="811"/>
      <c r="AB14" s="823">
        <f t="shared" si="4"/>
        <v>170</v>
      </c>
      <c r="AC14" s="823">
        <f t="shared" si="5"/>
        <v>129.41919191919192</v>
      </c>
      <c r="AD14" s="811">
        <f t="shared" si="6"/>
        <v>299.41919191919192</v>
      </c>
      <c r="AE14" s="811">
        <f t="shared" si="7"/>
        <v>-100.58080808080808</v>
      </c>
      <c r="AF14" s="811"/>
      <c r="AH14" s="778">
        <v>1</v>
      </c>
      <c r="AS14" s="807" t="s">
        <v>870</v>
      </c>
    </row>
    <row r="15" spans="1:56" x14ac:dyDescent="0.25">
      <c r="A15" s="890">
        <v>7</v>
      </c>
      <c r="B15" s="187">
        <v>7</v>
      </c>
      <c r="C15" s="779" t="s">
        <v>886</v>
      </c>
      <c r="D15" s="815" t="s">
        <v>887</v>
      </c>
      <c r="E15" s="784" t="s">
        <v>888</v>
      </c>
      <c r="F15" s="784">
        <v>22550</v>
      </c>
      <c r="G15" s="784">
        <v>1</v>
      </c>
      <c r="H15" s="784">
        <v>1</v>
      </c>
      <c r="I15" s="817">
        <v>0.51767676767676762</v>
      </c>
      <c r="J15" s="818">
        <v>0.51767676767676762</v>
      </c>
      <c r="K15" s="819">
        <v>250</v>
      </c>
      <c r="L15" s="820">
        <v>155.30303030303028</v>
      </c>
      <c r="M15" s="821">
        <v>405.30303030303025</v>
      </c>
      <c r="N15" s="822">
        <v>400</v>
      </c>
      <c r="O15" s="822"/>
      <c r="P15" s="822"/>
      <c r="Q15" s="816">
        <v>200</v>
      </c>
      <c r="R15" s="779"/>
      <c r="S15" s="779"/>
      <c r="W15" s="823">
        <f t="shared" si="0"/>
        <v>215</v>
      </c>
      <c r="X15" s="823">
        <f t="shared" si="1"/>
        <v>144.94949494949495</v>
      </c>
      <c r="Y15" s="811">
        <f t="shared" si="2"/>
        <v>359.94949494949492</v>
      </c>
      <c r="Z15" s="811">
        <f t="shared" si="3"/>
        <v>-40.05050505050508</v>
      </c>
      <c r="AA15" s="811"/>
      <c r="AB15" s="823">
        <f t="shared" si="4"/>
        <v>170</v>
      </c>
      <c r="AC15" s="823">
        <f t="shared" si="5"/>
        <v>129.41919191919192</v>
      </c>
      <c r="AD15" s="811">
        <f t="shared" si="6"/>
        <v>299.41919191919192</v>
      </c>
      <c r="AE15" s="811">
        <f t="shared" si="7"/>
        <v>-100.58080808080808</v>
      </c>
      <c r="AF15" s="811"/>
      <c r="AH15" s="778">
        <v>1</v>
      </c>
      <c r="AS15" s="807" t="s">
        <v>871</v>
      </c>
    </row>
    <row r="16" spans="1:56" x14ac:dyDescent="0.25">
      <c r="A16" s="890">
        <v>8</v>
      </c>
      <c r="B16" s="187">
        <v>8</v>
      </c>
      <c r="C16" s="779" t="s">
        <v>889</v>
      </c>
      <c r="D16" s="815" t="s">
        <v>890</v>
      </c>
      <c r="E16" s="784" t="s">
        <v>891</v>
      </c>
      <c r="F16" s="784">
        <v>22550</v>
      </c>
      <c r="G16" s="784">
        <v>1</v>
      </c>
      <c r="H16" s="784">
        <v>1</v>
      </c>
      <c r="I16" s="817">
        <v>0.51767676767676762</v>
      </c>
      <c r="J16" s="818">
        <v>0.51767676767676762</v>
      </c>
      <c r="K16" s="819">
        <v>250</v>
      </c>
      <c r="L16" s="820">
        <v>155.30303030303028</v>
      </c>
      <c r="M16" s="821">
        <v>405.30303030303025</v>
      </c>
      <c r="N16" s="822">
        <v>400</v>
      </c>
      <c r="O16" s="822"/>
      <c r="P16" s="822"/>
      <c r="Q16" s="816">
        <v>200</v>
      </c>
      <c r="R16" s="779"/>
      <c r="S16" s="779"/>
      <c r="W16" s="823">
        <f t="shared" si="0"/>
        <v>215</v>
      </c>
      <c r="X16" s="823">
        <f t="shared" si="1"/>
        <v>144.94949494949495</v>
      </c>
      <c r="Y16" s="811">
        <f t="shared" si="2"/>
        <v>359.94949494949492</v>
      </c>
      <c r="Z16" s="811">
        <f t="shared" si="3"/>
        <v>-40.05050505050508</v>
      </c>
      <c r="AA16" s="811"/>
      <c r="AB16" s="823">
        <f t="shared" si="4"/>
        <v>170</v>
      </c>
      <c r="AC16" s="823">
        <f t="shared" si="5"/>
        <v>129.41919191919192</v>
      </c>
      <c r="AD16" s="811">
        <f t="shared" si="6"/>
        <v>299.41919191919192</v>
      </c>
      <c r="AE16" s="811">
        <f t="shared" si="7"/>
        <v>-100.58080808080808</v>
      </c>
      <c r="AF16" s="811"/>
      <c r="AH16" s="778">
        <v>1</v>
      </c>
      <c r="AS16" s="807" t="s">
        <v>872</v>
      </c>
    </row>
    <row r="17" spans="1:45" s="187" customFormat="1" x14ac:dyDescent="0.25">
      <c r="A17" s="890">
        <v>9</v>
      </c>
      <c r="B17" s="187">
        <v>9</v>
      </c>
      <c r="C17" s="779" t="s">
        <v>892</v>
      </c>
      <c r="D17" s="815"/>
      <c r="E17" s="784" t="s">
        <v>893</v>
      </c>
      <c r="F17" s="784">
        <v>22550</v>
      </c>
      <c r="G17" s="784">
        <v>1</v>
      </c>
      <c r="H17" s="784">
        <v>0</v>
      </c>
      <c r="I17" s="817">
        <v>0</v>
      </c>
      <c r="J17" s="818">
        <v>0.51767676767676762</v>
      </c>
      <c r="K17" s="819">
        <v>250</v>
      </c>
      <c r="L17" s="820">
        <v>155.30303030303028</v>
      </c>
      <c r="M17" s="821">
        <v>0</v>
      </c>
      <c r="N17" s="824">
        <v>0</v>
      </c>
      <c r="O17" s="824"/>
      <c r="P17" s="824"/>
      <c r="Q17" s="816"/>
      <c r="R17" s="779"/>
      <c r="S17" s="779"/>
      <c r="W17" s="823">
        <f t="shared" si="0"/>
        <v>0</v>
      </c>
      <c r="X17" s="823">
        <f t="shared" si="1"/>
        <v>0</v>
      </c>
      <c r="Y17" s="811">
        <f t="shared" si="2"/>
        <v>0</v>
      </c>
      <c r="Z17" s="811">
        <f t="shared" si="3"/>
        <v>0</v>
      </c>
      <c r="AA17" s="811"/>
      <c r="AB17" s="823">
        <f t="shared" si="4"/>
        <v>0</v>
      </c>
      <c r="AC17" s="823">
        <f t="shared" si="5"/>
        <v>0</v>
      </c>
      <c r="AD17" s="811">
        <f t="shared" si="6"/>
        <v>0</v>
      </c>
      <c r="AE17" s="811">
        <f t="shared" si="7"/>
        <v>0</v>
      </c>
      <c r="AF17" s="811"/>
      <c r="AG17" s="778"/>
      <c r="AH17" s="778"/>
      <c r="AI17" s="778"/>
      <c r="AJ17" s="778"/>
      <c r="AK17" s="778"/>
      <c r="AL17" s="778"/>
      <c r="AM17" s="778"/>
      <c r="AN17" s="778"/>
      <c r="AO17" s="778"/>
      <c r="AP17" s="778"/>
      <c r="AQ17" s="778"/>
      <c r="AR17" s="778"/>
      <c r="AS17" s="807" t="s">
        <v>873</v>
      </c>
    </row>
    <row r="18" spans="1:45" s="187" customFormat="1" ht="26.25" x14ac:dyDescent="0.25">
      <c r="A18" s="890">
        <v>10</v>
      </c>
      <c r="B18" s="187">
        <v>10</v>
      </c>
      <c r="C18" s="779" t="s">
        <v>894</v>
      </c>
      <c r="D18" s="815" t="s">
        <v>895</v>
      </c>
      <c r="E18" s="784" t="s">
        <v>896</v>
      </c>
      <c r="F18" s="784">
        <v>22550</v>
      </c>
      <c r="G18" s="784">
        <v>1</v>
      </c>
      <c r="H18" s="784">
        <v>1</v>
      </c>
      <c r="I18" s="817">
        <v>0.51767676767676762</v>
      </c>
      <c r="J18" s="818">
        <v>0.51767676767676762</v>
      </c>
      <c r="K18" s="819">
        <v>250</v>
      </c>
      <c r="L18" s="820">
        <v>155.30303030303028</v>
      </c>
      <c r="M18" s="821">
        <v>405.30303030303025</v>
      </c>
      <c r="N18" s="822">
        <v>400</v>
      </c>
      <c r="O18" s="822"/>
      <c r="P18" s="822"/>
      <c r="Q18" s="816">
        <v>200</v>
      </c>
      <c r="R18" s="779"/>
      <c r="S18" s="825">
        <v>39205</v>
      </c>
      <c r="W18" s="823">
        <f t="shared" si="0"/>
        <v>215</v>
      </c>
      <c r="X18" s="823">
        <f t="shared" si="1"/>
        <v>144.94949494949495</v>
      </c>
      <c r="Y18" s="811">
        <f t="shared" si="2"/>
        <v>359.94949494949492</v>
      </c>
      <c r="Z18" s="811">
        <f t="shared" si="3"/>
        <v>-40.05050505050508</v>
      </c>
      <c r="AA18" s="811"/>
      <c r="AB18" s="823">
        <f t="shared" si="4"/>
        <v>170</v>
      </c>
      <c r="AC18" s="823">
        <f t="shared" si="5"/>
        <v>129.41919191919192</v>
      </c>
      <c r="AD18" s="811">
        <f t="shared" si="6"/>
        <v>299.41919191919192</v>
      </c>
      <c r="AE18" s="811">
        <f t="shared" si="7"/>
        <v>-100.58080808080808</v>
      </c>
      <c r="AF18" s="811"/>
      <c r="AG18" s="778"/>
      <c r="AH18" s="778">
        <v>1</v>
      </c>
      <c r="AI18" s="778"/>
      <c r="AJ18" s="778"/>
      <c r="AK18" s="778"/>
      <c r="AL18" s="778"/>
      <c r="AM18" s="778"/>
      <c r="AN18" s="778"/>
      <c r="AO18" s="778"/>
      <c r="AP18" s="778"/>
      <c r="AQ18" s="778"/>
      <c r="AR18" s="778"/>
      <c r="AS18" s="807" t="s">
        <v>874</v>
      </c>
    </row>
    <row r="19" spans="1:45" s="187" customFormat="1" x14ac:dyDescent="0.25">
      <c r="A19" s="890">
        <v>11</v>
      </c>
      <c r="B19" s="187">
        <v>11</v>
      </c>
      <c r="C19" s="779" t="s">
        <v>897</v>
      </c>
      <c r="D19" s="815"/>
      <c r="E19" s="784" t="s">
        <v>898</v>
      </c>
      <c r="F19" s="784">
        <v>22550</v>
      </c>
      <c r="G19" s="784">
        <v>1</v>
      </c>
      <c r="H19" s="784">
        <v>0</v>
      </c>
      <c r="I19" s="817">
        <v>0</v>
      </c>
      <c r="J19" s="826">
        <v>0.51767676767676762</v>
      </c>
      <c r="K19" s="827">
        <v>250</v>
      </c>
      <c r="L19" s="820">
        <v>155.30303030303028</v>
      </c>
      <c r="M19" s="828">
        <v>0</v>
      </c>
      <c r="N19" s="824">
        <v>0</v>
      </c>
      <c r="O19" s="824"/>
      <c r="P19" s="824"/>
      <c r="Q19" s="816"/>
      <c r="R19" s="779"/>
      <c r="S19" s="779"/>
      <c r="W19" s="823">
        <f t="shared" si="0"/>
        <v>0</v>
      </c>
      <c r="X19" s="823">
        <f t="shared" si="1"/>
        <v>0</v>
      </c>
      <c r="Y19" s="811">
        <f t="shared" si="2"/>
        <v>0</v>
      </c>
      <c r="Z19" s="811">
        <f t="shared" si="3"/>
        <v>0</v>
      </c>
      <c r="AA19" s="811"/>
      <c r="AB19" s="823">
        <f t="shared" si="4"/>
        <v>0</v>
      </c>
      <c r="AC19" s="823">
        <f t="shared" si="5"/>
        <v>0</v>
      </c>
      <c r="AD19" s="811">
        <f t="shared" si="6"/>
        <v>0</v>
      </c>
      <c r="AE19" s="811">
        <f t="shared" si="7"/>
        <v>0</v>
      </c>
      <c r="AF19" s="811"/>
      <c r="AG19" s="778"/>
      <c r="AH19" s="778"/>
      <c r="AI19" s="778"/>
      <c r="AJ19" s="778"/>
      <c r="AK19" s="778"/>
      <c r="AL19" s="778"/>
      <c r="AM19" s="778"/>
      <c r="AN19" s="778"/>
      <c r="AO19" s="778"/>
      <c r="AP19" s="778"/>
      <c r="AQ19" s="778"/>
      <c r="AR19" s="778"/>
      <c r="AS19" s="778"/>
    </row>
    <row r="20" spans="1:45" s="187" customFormat="1" ht="15.75" thickBot="1" x14ac:dyDescent="0.3">
      <c r="A20" s="890">
        <v>12</v>
      </c>
      <c r="B20" s="187">
        <v>12</v>
      </c>
      <c r="C20" s="779"/>
      <c r="D20" s="815"/>
      <c r="E20" s="784"/>
      <c r="F20" s="784"/>
      <c r="G20" s="784"/>
      <c r="H20" s="817"/>
      <c r="I20" s="829">
        <v>3.106060606060606</v>
      </c>
      <c r="J20" s="830">
        <v>4.141414141414141</v>
      </c>
      <c r="K20" s="831"/>
      <c r="L20" s="832"/>
      <c r="M20" s="833">
        <v>2431.8181818181815</v>
      </c>
      <c r="N20" s="833">
        <v>2400</v>
      </c>
      <c r="O20" s="834"/>
      <c r="P20" s="834"/>
      <c r="Q20" s="816"/>
      <c r="R20" s="779"/>
      <c r="S20" s="779"/>
      <c r="W20" s="823">
        <f t="shared" si="0"/>
        <v>0</v>
      </c>
      <c r="X20" s="823">
        <f t="shared" si="1"/>
        <v>0</v>
      </c>
      <c r="Y20" s="811">
        <f t="shared" si="2"/>
        <v>0</v>
      </c>
      <c r="Z20" s="811">
        <f t="shared" si="3"/>
        <v>0</v>
      </c>
      <c r="AA20" s="811"/>
      <c r="AB20" s="823">
        <f t="shared" si="4"/>
        <v>0</v>
      </c>
      <c r="AC20" s="823">
        <f t="shared" si="5"/>
        <v>0</v>
      </c>
      <c r="AD20" s="811">
        <f t="shared" si="6"/>
        <v>0</v>
      </c>
      <c r="AE20" s="811">
        <f t="shared" si="7"/>
        <v>0</v>
      </c>
      <c r="AF20" s="811"/>
      <c r="AG20" s="778"/>
      <c r="AH20" s="778"/>
      <c r="AI20" s="778"/>
      <c r="AJ20" s="778"/>
      <c r="AK20" s="778"/>
      <c r="AL20" s="778"/>
      <c r="AM20" s="778"/>
      <c r="AN20" s="778"/>
      <c r="AO20" s="778"/>
      <c r="AP20" s="778"/>
      <c r="AQ20" s="778"/>
      <c r="AR20" s="778"/>
      <c r="AS20" s="778"/>
    </row>
    <row r="21" spans="1:45" s="187" customFormat="1" ht="15.75" thickTop="1" x14ac:dyDescent="0.25">
      <c r="A21" s="890">
        <v>13</v>
      </c>
      <c r="B21" s="187">
        <v>13</v>
      </c>
      <c r="C21" s="812" t="s">
        <v>875</v>
      </c>
      <c r="D21" s="813"/>
      <c r="E21" s="835"/>
      <c r="F21" s="784"/>
      <c r="G21" s="784"/>
      <c r="H21" s="784"/>
      <c r="I21" s="784"/>
      <c r="J21" s="788"/>
      <c r="K21" s="819"/>
      <c r="L21" s="836"/>
      <c r="M21" s="837"/>
      <c r="N21" s="838"/>
      <c r="O21" s="838"/>
      <c r="P21" s="838"/>
      <c r="Q21" s="816"/>
      <c r="R21" s="779"/>
      <c r="S21" s="779"/>
      <c r="W21" s="823">
        <f t="shared" si="0"/>
        <v>0</v>
      </c>
      <c r="X21" s="823">
        <f t="shared" si="1"/>
        <v>0</v>
      </c>
      <c r="Y21" s="811">
        <f t="shared" si="2"/>
        <v>0</v>
      </c>
      <c r="Z21" s="811">
        <f t="shared" si="3"/>
        <v>0</v>
      </c>
      <c r="AA21" s="811"/>
      <c r="AB21" s="823">
        <f t="shared" si="4"/>
        <v>0</v>
      </c>
      <c r="AC21" s="823">
        <f t="shared" si="5"/>
        <v>0</v>
      </c>
      <c r="AD21" s="811">
        <f t="shared" si="6"/>
        <v>0</v>
      </c>
      <c r="AE21" s="811">
        <f t="shared" si="7"/>
        <v>0</v>
      </c>
      <c r="AF21" s="811"/>
      <c r="AG21" s="778"/>
      <c r="AH21" s="778"/>
      <c r="AI21" s="778"/>
      <c r="AJ21" s="778"/>
      <c r="AK21" s="778"/>
      <c r="AL21" s="778"/>
      <c r="AM21" s="778"/>
      <c r="AN21" s="778"/>
      <c r="AO21" s="778"/>
      <c r="AP21" s="778"/>
      <c r="AQ21" s="778"/>
      <c r="AR21" s="778"/>
      <c r="AS21" s="778"/>
    </row>
    <row r="22" spans="1:45" s="187" customFormat="1" x14ac:dyDescent="0.25">
      <c r="A22" s="890">
        <v>14</v>
      </c>
      <c r="B22" s="187">
        <v>14</v>
      </c>
      <c r="C22" s="793" t="s">
        <v>899</v>
      </c>
      <c r="D22" s="809"/>
      <c r="E22" s="839"/>
      <c r="F22" s="839" t="s">
        <v>854</v>
      </c>
      <c r="G22" s="839"/>
      <c r="H22" s="839"/>
      <c r="I22" s="839"/>
      <c r="J22" s="840" t="s">
        <v>858</v>
      </c>
      <c r="K22" s="839" t="s">
        <v>859</v>
      </c>
      <c r="L22" s="841" t="s">
        <v>900</v>
      </c>
      <c r="M22" s="841" t="s">
        <v>317</v>
      </c>
      <c r="N22" s="838"/>
      <c r="O22" s="838"/>
      <c r="P22" s="838"/>
      <c r="Q22" s="816"/>
      <c r="R22" s="779"/>
      <c r="S22" s="779"/>
      <c r="W22" s="823">
        <f t="shared" si="0"/>
        <v>0</v>
      </c>
      <c r="X22" s="823">
        <f t="shared" si="1"/>
        <v>0</v>
      </c>
      <c r="Y22" s="811">
        <f t="shared" si="2"/>
        <v>0</v>
      </c>
      <c r="Z22" s="811">
        <f t="shared" si="3"/>
        <v>0</v>
      </c>
      <c r="AA22" s="811"/>
      <c r="AB22" s="823">
        <f t="shared" si="4"/>
        <v>0</v>
      </c>
      <c r="AC22" s="823">
        <f t="shared" si="5"/>
        <v>0</v>
      </c>
      <c r="AD22" s="811">
        <f t="shared" si="6"/>
        <v>0</v>
      </c>
      <c r="AE22" s="811">
        <f t="shared" si="7"/>
        <v>0</v>
      </c>
      <c r="AF22" s="811"/>
      <c r="AG22" s="778"/>
      <c r="AH22" s="778"/>
      <c r="AI22" s="778"/>
      <c r="AJ22" s="778"/>
      <c r="AK22" s="778"/>
      <c r="AL22" s="778"/>
      <c r="AM22" s="778"/>
      <c r="AN22" s="778"/>
      <c r="AO22" s="778"/>
      <c r="AP22" s="778"/>
      <c r="AQ22" s="778"/>
      <c r="AR22" s="778"/>
      <c r="AS22" s="778"/>
    </row>
    <row r="23" spans="1:45" s="187" customFormat="1" x14ac:dyDescent="0.25">
      <c r="A23" s="890">
        <v>15</v>
      </c>
      <c r="B23" s="187">
        <v>15</v>
      </c>
      <c r="C23" s="779" t="s">
        <v>901</v>
      </c>
      <c r="D23" s="815" t="s">
        <v>902</v>
      </c>
      <c r="E23" s="784" t="s">
        <v>903</v>
      </c>
      <c r="F23" s="784">
        <v>117989</v>
      </c>
      <c r="G23" s="784">
        <v>1</v>
      </c>
      <c r="H23" s="784">
        <v>1</v>
      </c>
      <c r="I23" s="817">
        <v>2.7086547291092744</v>
      </c>
      <c r="J23" s="818">
        <v>2.7086547291092744</v>
      </c>
      <c r="K23" s="819">
        <v>250</v>
      </c>
      <c r="L23" s="820">
        <v>812.59641873278235</v>
      </c>
      <c r="M23" s="821">
        <v>1062.5964187327822</v>
      </c>
      <c r="N23" s="822">
        <v>400</v>
      </c>
      <c r="O23" s="822"/>
      <c r="P23" s="822"/>
      <c r="Q23" s="816">
        <v>200</v>
      </c>
      <c r="R23" s="779"/>
      <c r="S23" s="825">
        <v>39205</v>
      </c>
      <c r="W23" s="823">
        <f t="shared" si="0"/>
        <v>215</v>
      </c>
      <c r="X23" s="823">
        <f t="shared" si="1"/>
        <v>758.42332415059684</v>
      </c>
      <c r="Y23" s="811">
        <f t="shared" si="2"/>
        <v>973.42332415059684</v>
      </c>
      <c r="Z23" s="811">
        <f t="shared" si="3"/>
        <v>573.42332415059684</v>
      </c>
      <c r="AA23" s="811"/>
      <c r="AB23" s="823">
        <f t="shared" si="4"/>
        <v>170</v>
      </c>
      <c r="AC23" s="823">
        <f t="shared" si="5"/>
        <v>677.16368227731857</v>
      </c>
      <c r="AD23" s="811">
        <f t="shared" si="6"/>
        <v>847.16368227731857</v>
      </c>
      <c r="AE23" s="811">
        <f t="shared" si="7"/>
        <v>447.16368227731857</v>
      </c>
      <c r="AF23" s="811"/>
      <c r="AG23" s="778"/>
      <c r="AH23" s="778"/>
      <c r="AI23" s="778"/>
      <c r="AJ23" s="778"/>
      <c r="AK23" s="778">
        <v>1</v>
      </c>
      <c r="AL23" s="778"/>
      <c r="AM23" s="778"/>
      <c r="AN23" s="778"/>
      <c r="AO23" s="778"/>
      <c r="AP23" s="778"/>
      <c r="AQ23" s="778"/>
      <c r="AR23" s="778"/>
      <c r="AS23" s="778"/>
    </row>
    <row r="24" spans="1:45" s="187" customFormat="1" x14ac:dyDescent="0.25">
      <c r="A24" s="890">
        <v>16</v>
      </c>
      <c r="B24" s="187">
        <v>16</v>
      </c>
      <c r="C24" s="779" t="s">
        <v>904</v>
      </c>
      <c r="D24" s="815" t="s">
        <v>905</v>
      </c>
      <c r="E24" s="784" t="s">
        <v>906</v>
      </c>
      <c r="F24" s="784">
        <v>26754</v>
      </c>
      <c r="G24" s="784">
        <v>1</v>
      </c>
      <c r="H24" s="784">
        <v>1</v>
      </c>
      <c r="I24" s="817">
        <v>0.61418732782369145</v>
      </c>
      <c r="J24" s="818">
        <v>0.61418732782369145</v>
      </c>
      <c r="K24" s="819">
        <v>250</v>
      </c>
      <c r="L24" s="820">
        <v>184.25619834710744</v>
      </c>
      <c r="M24" s="821">
        <v>434.25619834710744</v>
      </c>
      <c r="N24" s="822">
        <v>400</v>
      </c>
      <c r="O24" s="822"/>
      <c r="P24" s="822"/>
      <c r="Q24" s="816">
        <v>400</v>
      </c>
      <c r="R24" s="779"/>
      <c r="S24" s="779"/>
      <c r="W24" s="823">
        <f t="shared" si="0"/>
        <v>215</v>
      </c>
      <c r="X24" s="823">
        <f t="shared" si="1"/>
        <v>171.97245179063361</v>
      </c>
      <c r="Y24" s="811">
        <f t="shared" si="2"/>
        <v>386.97245179063361</v>
      </c>
      <c r="Z24" s="811">
        <f t="shared" si="3"/>
        <v>-13.027548209366387</v>
      </c>
      <c r="AA24" s="811"/>
      <c r="AB24" s="823">
        <f t="shared" si="4"/>
        <v>170</v>
      </c>
      <c r="AC24" s="823">
        <f t="shared" si="5"/>
        <v>153.54683195592287</v>
      </c>
      <c r="AD24" s="811">
        <f t="shared" si="6"/>
        <v>323.54683195592287</v>
      </c>
      <c r="AE24" s="811">
        <f t="shared" si="7"/>
        <v>-76.453168044077131</v>
      </c>
      <c r="AF24" s="811"/>
      <c r="AG24" s="778"/>
      <c r="AH24" s="778">
        <v>1</v>
      </c>
      <c r="AI24" s="778"/>
      <c r="AJ24" s="778"/>
      <c r="AK24" s="778"/>
      <c r="AL24" s="778"/>
      <c r="AM24" s="778"/>
      <c r="AN24" s="778"/>
      <c r="AO24" s="778"/>
      <c r="AP24" s="778"/>
      <c r="AQ24" s="778"/>
      <c r="AR24" s="778"/>
      <c r="AS24" s="778"/>
    </row>
    <row r="25" spans="1:45" s="187" customFormat="1" x14ac:dyDescent="0.25">
      <c r="A25" s="890">
        <v>17</v>
      </c>
      <c r="B25" s="187">
        <v>17</v>
      </c>
      <c r="C25" s="779" t="s">
        <v>907</v>
      </c>
      <c r="D25" s="815" t="s">
        <v>908</v>
      </c>
      <c r="E25" s="784" t="s">
        <v>909</v>
      </c>
      <c r="F25" s="784">
        <v>21806</v>
      </c>
      <c r="G25" s="784">
        <v>1</v>
      </c>
      <c r="H25" s="784">
        <v>1</v>
      </c>
      <c r="I25" s="817">
        <v>0.50059687786960516</v>
      </c>
      <c r="J25" s="818">
        <v>0.50059687786960516</v>
      </c>
      <c r="K25" s="819">
        <v>250</v>
      </c>
      <c r="L25" s="820">
        <v>150.17906336088154</v>
      </c>
      <c r="M25" s="821">
        <v>400.17906336088151</v>
      </c>
      <c r="N25" s="822">
        <v>400</v>
      </c>
      <c r="O25" s="822"/>
      <c r="P25" s="822"/>
      <c r="Q25" s="816">
        <v>200</v>
      </c>
      <c r="R25" s="779"/>
      <c r="S25" s="779"/>
      <c r="W25" s="823">
        <f t="shared" si="0"/>
        <v>215</v>
      </c>
      <c r="X25" s="823">
        <f t="shared" si="1"/>
        <v>140.16712580348945</v>
      </c>
      <c r="Y25" s="811">
        <f t="shared" si="2"/>
        <v>355.16712580348945</v>
      </c>
      <c r="Z25" s="811">
        <f t="shared" si="3"/>
        <v>-44.832874196510545</v>
      </c>
      <c r="AA25" s="811"/>
      <c r="AB25" s="823">
        <f t="shared" si="4"/>
        <v>170</v>
      </c>
      <c r="AC25" s="823">
        <f t="shared" si="5"/>
        <v>125.14921946740129</v>
      </c>
      <c r="AD25" s="811">
        <f t="shared" si="6"/>
        <v>295.14921946740128</v>
      </c>
      <c r="AE25" s="811">
        <f t="shared" si="7"/>
        <v>-104.85078053259872</v>
      </c>
      <c r="AF25" s="811"/>
      <c r="AG25" s="778"/>
      <c r="AH25" s="778">
        <v>1</v>
      </c>
      <c r="AI25" s="778"/>
      <c r="AJ25" s="778"/>
      <c r="AK25" s="778"/>
      <c r="AL25" s="778"/>
      <c r="AM25" s="778"/>
      <c r="AN25" s="778"/>
      <c r="AO25" s="778"/>
      <c r="AP25" s="778"/>
      <c r="AQ25" s="778"/>
      <c r="AR25" s="778"/>
      <c r="AS25" s="778"/>
    </row>
    <row r="26" spans="1:45" s="187" customFormat="1" x14ac:dyDescent="0.25">
      <c r="A26" s="890">
        <v>18</v>
      </c>
      <c r="B26" s="187">
        <v>18</v>
      </c>
      <c r="C26" s="779" t="s">
        <v>910</v>
      </c>
      <c r="D26" s="815" t="s">
        <v>911</v>
      </c>
      <c r="E26" s="784" t="s">
        <v>912</v>
      </c>
      <c r="F26" s="784">
        <v>25903</v>
      </c>
      <c r="G26" s="784">
        <v>1</v>
      </c>
      <c r="H26" s="784">
        <v>1</v>
      </c>
      <c r="I26" s="817">
        <v>0.59465105601469237</v>
      </c>
      <c r="J26" s="818">
        <v>0.59465105601469237</v>
      </c>
      <c r="K26" s="819">
        <v>250</v>
      </c>
      <c r="L26" s="820">
        <v>178.39531680440771</v>
      </c>
      <c r="M26" s="821">
        <v>428.39531680440768</v>
      </c>
      <c r="N26" s="822">
        <v>400</v>
      </c>
      <c r="O26" s="822"/>
      <c r="P26" s="822"/>
      <c r="Q26" s="816">
        <v>400</v>
      </c>
      <c r="R26" s="779"/>
      <c r="S26" s="779"/>
      <c r="W26" s="823">
        <f t="shared" si="0"/>
        <v>215</v>
      </c>
      <c r="X26" s="823">
        <f t="shared" si="1"/>
        <v>166.50229568411388</v>
      </c>
      <c r="Y26" s="811">
        <f t="shared" si="2"/>
        <v>381.50229568411385</v>
      </c>
      <c r="Z26" s="811">
        <f t="shared" si="3"/>
        <v>-18.497704315886153</v>
      </c>
      <c r="AA26" s="811"/>
      <c r="AB26" s="823">
        <f t="shared" si="4"/>
        <v>170</v>
      </c>
      <c r="AC26" s="823">
        <f t="shared" si="5"/>
        <v>148.66276400367309</v>
      </c>
      <c r="AD26" s="811">
        <f t="shared" si="6"/>
        <v>318.66276400367309</v>
      </c>
      <c r="AE26" s="811">
        <f t="shared" si="7"/>
        <v>-81.33723599632691</v>
      </c>
      <c r="AF26" s="811"/>
      <c r="AG26" s="778"/>
      <c r="AH26" s="778">
        <v>1</v>
      </c>
      <c r="AI26" s="778"/>
      <c r="AJ26" s="778"/>
      <c r="AK26" s="778"/>
      <c r="AL26" s="778"/>
      <c r="AM26" s="778"/>
      <c r="AN26" s="778"/>
      <c r="AO26" s="778"/>
      <c r="AP26" s="778"/>
      <c r="AQ26" s="778"/>
      <c r="AR26" s="778"/>
      <c r="AS26" s="778"/>
    </row>
    <row r="27" spans="1:45" s="187" customFormat="1" x14ac:dyDescent="0.25">
      <c r="A27" s="890">
        <v>19</v>
      </c>
      <c r="B27" s="187">
        <v>19</v>
      </c>
      <c r="C27" s="779" t="s">
        <v>889</v>
      </c>
      <c r="D27" s="815" t="s">
        <v>913</v>
      </c>
      <c r="E27" s="784" t="s">
        <v>914</v>
      </c>
      <c r="F27" s="784">
        <v>28819</v>
      </c>
      <c r="G27" s="784">
        <v>1</v>
      </c>
      <c r="H27" s="784">
        <v>1</v>
      </c>
      <c r="I27" s="817">
        <v>0.66159320477502293</v>
      </c>
      <c r="J27" s="818">
        <v>0.66159320477502293</v>
      </c>
      <c r="K27" s="819">
        <v>250</v>
      </c>
      <c r="L27" s="820">
        <v>198.47796143250687</v>
      </c>
      <c r="M27" s="821">
        <v>448.47796143250685</v>
      </c>
      <c r="N27" s="822">
        <v>400</v>
      </c>
      <c r="O27" s="822"/>
      <c r="P27" s="822"/>
      <c r="Q27" s="816">
        <v>200</v>
      </c>
      <c r="R27" s="779"/>
      <c r="S27" s="779"/>
      <c r="W27" s="823">
        <f t="shared" si="0"/>
        <v>215</v>
      </c>
      <c r="X27" s="823">
        <f t="shared" si="1"/>
        <v>185.24609733700643</v>
      </c>
      <c r="Y27" s="811">
        <f t="shared" si="2"/>
        <v>400.2460973370064</v>
      </c>
      <c r="Z27" s="811">
        <f t="shared" si="3"/>
        <v>0.2460973370064039</v>
      </c>
      <c r="AA27" s="811"/>
      <c r="AB27" s="823">
        <f t="shared" si="4"/>
        <v>170</v>
      </c>
      <c r="AC27" s="823">
        <f t="shared" si="5"/>
        <v>165.39830119375574</v>
      </c>
      <c r="AD27" s="811">
        <f t="shared" si="6"/>
        <v>335.39830119375574</v>
      </c>
      <c r="AE27" s="811">
        <f t="shared" si="7"/>
        <v>-64.601698806244258</v>
      </c>
      <c r="AF27" s="811"/>
      <c r="AG27" s="778"/>
      <c r="AH27" s="778">
        <v>1</v>
      </c>
      <c r="AI27" s="778"/>
      <c r="AJ27" s="778"/>
      <c r="AK27" s="778"/>
      <c r="AL27" s="778"/>
      <c r="AM27" s="778"/>
      <c r="AN27" s="778"/>
      <c r="AO27" s="778"/>
      <c r="AP27" s="778"/>
      <c r="AQ27" s="778"/>
      <c r="AR27" s="778"/>
      <c r="AS27" s="778"/>
    </row>
    <row r="28" spans="1:45" s="187" customFormat="1" x14ac:dyDescent="0.25">
      <c r="A28" s="890">
        <v>20</v>
      </c>
      <c r="B28" s="187">
        <v>20</v>
      </c>
      <c r="C28" s="779" t="s">
        <v>915</v>
      </c>
      <c r="D28" s="815" t="s">
        <v>916</v>
      </c>
      <c r="E28" s="784" t="s">
        <v>917</v>
      </c>
      <c r="F28" s="784">
        <v>22338</v>
      </c>
      <c r="G28" s="784">
        <v>1</v>
      </c>
      <c r="H28" s="784">
        <v>1</v>
      </c>
      <c r="I28" s="817">
        <v>0.51280991735537185</v>
      </c>
      <c r="J28" s="818">
        <v>0.51280991735537185</v>
      </c>
      <c r="K28" s="819">
        <v>250</v>
      </c>
      <c r="L28" s="820">
        <v>153.84297520661156</v>
      </c>
      <c r="M28" s="821">
        <v>403.84297520661153</v>
      </c>
      <c r="N28" s="822">
        <v>400</v>
      </c>
      <c r="O28" s="822"/>
      <c r="P28" s="822"/>
      <c r="Q28" s="816">
        <v>400</v>
      </c>
      <c r="R28" s="779"/>
      <c r="S28" s="779"/>
      <c r="W28" s="823">
        <f t="shared" si="0"/>
        <v>215</v>
      </c>
      <c r="X28" s="823">
        <f t="shared" si="1"/>
        <v>143.58677685950411</v>
      </c>
      <c r="Y28" s="811">
        <f t="shared" si="2"/>
        <v>358.58677685950408</v>
      </c>
      <c r="Z28" s="811">
        <f t="shared" si="3"/>
        <v>-41.413223140495916</v>
      </c>
      <c r="AA28" s="811"/>
      <c r="AB28" s="823">
        <f t="shared" si="4"/>
        <v>170</v>
      </c>
      <c r="AC28" s="823">
        <f t="shared" si="5"/>
        <v>128.20247933884295</v>
      </c>
      <c r="AD28" s="811">
        <f t="shared" si="6"/>
        <v>298.20247933884298</v>
      </c>
      <c r="AE28" s="811">
        <f t="shared" si="7"/>
        <v>-101.79752066115702</v>
      </c>
      <c r="AF28" s="811"/>
      <c r="AG28" s="778"/>
      <c r="AH28" s="778">
        <v>1</v>
      </c>
      <c r="AI28" s="778"/>
      <c r="AJ28" s="778"/>
      <c r="AK28" s="778"/>
      <c r="AL28" s="778"/>
      <c r="AM28" s="778"/>
      <c r="AN28" s="778"/>
      <c r="AO28" s="778"/>
      <c r="AP28" s="778"/>
      <c r="AQ28" s="778"/>
      <c r="AR28" s="778"/>
      <c r="AS28" s="778"/>
    </row>
    <row r="29" spans="1:45" s="187" customFormat="1" x14ac:dyDescent="0.25">
      <c r="A29" s="890">
        <v>21</v>
      </c>
      <c r="B29" s="187">
        <v>21</v>
      </c>
      <c r="C29" s="779" t="s">
        <v>918</v>
      </c>
      <c r="D29" s="815" t="s">
        <v>919</v>
      </c>
      <c r="E29" s="784" t="s">
        <v>920</v>
      </c>
      <c r="F29" s="784">
        <v>24174</v>
      </c>
      <c r="G29" s="784">
        <v>1</v>
      </c>
      <c r="H29" s="784">
        <v>1</v>
      </c>
      <c r="I29" s="817">
        <v>0.55495867768595042</v>
      </c>
      <c r="J29" s="818">
        <v>0.55495867768595042</v>
      </c>
      <c r="K29" s="819">
        <v>250</v>
      </c>
      <c r="L29" s="820">
        <v>166.48760330578511</v>
      </c>
      <c r="M29" s="821">
        <v>416.48760330578511</v>
      </c>
      <c r="N29" s="822">
        <v>400</v>
      </c>
      <c r="O29" s="822"/>
      <c r="P29" s="822"/>
      <c r="Q29" s="816">
        <v>400</v>
      </c>
      <c r="R29" s="779"/>
      <c r="S29" s="779"/>
      <c r="W29" s="823">
        <f t="shared" si="0"/>
        <v>215</v>
      </c>
      <c r="X29" s="823">
        <f t="shared" si="1"/>
        <v>155.38842975206612</v>
      </c>
      <c r="Y29" s="811">
        <f t="shared" si="2"/>
        <v>370.38842975206614</v>
      </c>
      <c r="Z29" s="811">
        <f t="shared" si="3"/>
        <v>-29.611570247933855</v>
      </c>
      <c r="AA29" s="811"/>
      <c r="AB29" s="823">
        <f t="shared" si="4"/>
        <v>170</v>
      </c>
      <c r="AC29" s="823">
        <f t="shared" si="5"/>
        <v>138.7396694214876</v>
      </c>
      <c r="AD29" s="811">
        <f t="shared" si="6"/>
        <v>308.73966942148763</v>
      </c>
      <c r="AE29" s="811">
        <f t="shared" si="7"/>
        <v>-91.260330578512367</v>
      </c>
      <c r="AF29" s="811"/>
      <c r="AG29" s="778"/>
      <c r="AH29" s="778">
        <v>1</v>
      </c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</row>
    <row r="30" spans="1:45" s="187" customFormat="1" x14ac:dyDescent="0.25">
      <c r="A30" s="890">
        <v>22</v>
      </c>
      <c r="B30" s="187">
        <v>22</v>
      </c>
      <c r="C30" s="779" t="s">
        <v>921</v>
      </c>
      <c r="D30" s="815" t="s">
        <v>922</v>
      </c>
      <c r="E30" s="784" t="s">
        <v>923</v>
      </c>
      <c r="F30" s="784">
        <v>26004</v>
      </c>
      <c r="G30" s="784">
        <v>1</v>
      </c>
      <c r="H30" s="784">
        <v>1</v>
      </c>
      <c r="I30" s="817">
        <v>0.59696969696969693</v>
      </c>
      <c r="J30" s="818">
        <v>0.59696969696969693</v>
      </c>
      <c r="K30" s="819">
        <v>250</v>
      </c>
      <c r="L30" s="820">
        <v>179.09090909090907</v>
      </c>
      <c r="M30" s="821">
        <v>429.09090909090907</v>
      </c>
      <c r="N30" s="822">
        <v>400</v>
      </c>
      <c r="O30" s="822"/>
      <c r="P30" s="822"/>
      <c r="Q30" s="816">
        <v>400</v>
      </c>
      <c r="R30" s="779"/>
      <c r="S30" s="779"/>
      <c r="W30" s="823">
        <f t="shared" si="0"/>
        <v>215</v>
      </c>
      <c r="X30" s="823">
        <f t="shared" si="1"/>
        <v>167.15151515151513</v>
      </c>
      <c r="Y30" s="811">
        <f t="shared" si="2"/>
        <v>382.15151515151513</v>
      </c>
      <c r="Z30" s="811">
        <f t="shared" si="3"/>
        <v>-17.848484848484873</v>
      </c>
      <c r="AA30" s="811"/>
      <c r="AB30" s="823">
        <f t="shared" si="4"/>
        <v>170</v>
      </c>
      <c r="AC30" s="823">
        <f t="shared" si="5"/>
        <v>149.24242424242422</v>
      </c>
      <c r="AD30" s="811">
        <f t="shared" si="6"/>
        <v>319.24242424242425</v>
      </c>
      <c r="AE30" s="811">
        <f t="shared" si="7"/>
        <v>-80.757575757575751</v>
      </c>
      <c r="AF30" s="811"/>
      <c r="AG30" s="778"/>
      <c r="AH30" s="778">
        <v>1</v>
      </c>
      <c r="AI30" s="778"/>
      <c r="AJ30" s="778"/>
      <c r="AK30" s="778"/>
      <c r="AL30" s="778"/>
      <c r="AM30" s="778"/>
      <c r="AN30" s="778"/>
      <c r="AO30" s="778"/>
      <c r="AP30" s="778"/>
      <c r="AQ30" s="778"/>
      <c r="AR30" s="778"/>
      <c r="AS30" s="778"/>
    </row>
    <row r="31" spans="1:45" s="187" customFormat="1" x14ac:dyDescent="0.25">
      <c r="A31" s="890">
        <v>23</v>
      </c>
      <c r="B31" s="187">
        <v>23</v>
      </c>
      <c r="C31" s="779" t="s">
        <v>924</v>
      </c>
      <c r="D31" s="815" t="s">
        <v>925</v>
      </c>
      <c r="E31" s="784" t="s">
        <v>926</v>
      </c>
      <c r="F31" s="784">
        <v>26526</v>
      </c>
      <c r="G31" s="784">
        <v>1</v>
      </c>
      <c r="H31" s="784">
        <v>1</v>
      </c>
      <c r="I31" s="817">
        <v>0.60895316804407718</v>
      </c>
      <c r="J31" s="818">
        <v>0.60895316804407718</v>
      </c>
      <c r="K31" s="819">
        <v>250</v>
      </c>
      <c r="L31" s="820">
        <v>182.68595041322314</v>
      </c>
      <c r="M31" s="821">
        <v>432.68595041322317</v>
      </c>
      <c r="N31" s="822">
        <v>400</v>
      </c>
      <c r="O31" s="822"/>
      <c r="P31" s="822"/>
      <c r="Q31" s="816">
        <v>200</v>
      </c>
      <c r="R31" s="779"/>
      <c r="S31" s="779"/>
      <c r="W31" s="823">
        <f t="shared" si="0"/>
        <v>215</v>
      </c>
      <c r="X31" s="823">
        <f t="shared" si="1"/>
        <v>170.5068870523416</v>
      </c>
      <c r="Y31" s="811">
        <f t="shared" si="2"/>
        <v>385.5068870523416</v>
      </c>
      <c r="Z31" s="811">
        <f t="shared" si="3"/>
        <v>-14.493112947658403</v>
      </c>
      <c r="AA31" s="811"/>
      <c r="AB31" s="823">
        <f t="shared" si="4"/>
        <v>170</v>
      </c>
      <c r="AC31" s="823">
        <f t="shared" si="5"/>
        <v>152.2382920110193</v>
      </c>
      <c r="AD31" s="811">
        <f t="shared" si="6"/>
        <v>322.23829201101933</v>
      </c>
      <c r="AE31" s="811">
        <f t="shared" si="7"/>
        <v>-77.761707988980675</v>
      </c>
      <c r="AF31" s="811"/>
      <c r="AG31" s="778"/>
      <c r="AH31" s="778">
        <v>1</v>
      </c>
      <c r="AI31" s="778"/>
      <c r="AJ31" s="778"/>
      <c r="AK31" s="778"/>
      <c r="AL31" s="778"/>
      <c r="AM31" s="778"/>
      <c r="AN31" s="778"/>
      <c r="AO31" s="778"/>
      <c r="AP31" s="778"/>
      <c r="AQ31" s="778"/>
      <c r="AR31" s="778"/>
      <c r="AS31" s="778"/>
    </row>
    <row r="32" spans="1:45" s="187" customFormat="1" x14ac:dyDescent="0.25">
      <c r="A32" s="890">
        <v>24</v>
      </c>
      <c r="B32" s="187">
        <v>24</v>
      </c>
      <c r="C32" s="779" t="s">
        <v>927</v>
      </c>
      <c r="D32" s="815" t="s">
        <v>928</v>
      </c>
      <c r="E32" s="784" t="s">
        <v>929</v>
      </c>
      <c r="F32" s="784">
        <v>24665</v>
      </c>
      <c r="G32" s="784">
        <v>1</v>
      </c>
      <c r="H32" s="784">
        <v>1</v>
      </c>
      <c r="I32" s="817">
        <v>0.56623048668503217</v>
      </c>
      <c r="J32" s="818">
        <v>0.56623048668503217</v>
      </c>
      <c r="K32" s="819">
        <v>250</v>
      </c>
      <c r="L32" s="820">
        <v>169.86914600550966</v>
      </c>
      <c r="M32" s="821">
        <v>419.86914600550966</v>
      </c>
      <c r="N32" s="822">
        <v>400</v>
      </c>
      <c r="O32" s="822"/>
      <c r="P32" s="822"/>
      <c r="Q32" s="816">
        <v>200</v>
      </c>
      <c r="R32" s="779"/>
      <c r="S32" s="779"/>
      <c r="W32" s="823">
        <f t="shared" si="0"/>
        <v>215</v>
      </c>
      <c r="X32" s="823">
        <f t="shared" si="1"/>
        <v>158.54453627180902</v>
      </c>
      <c r="Y32" s="811">
        <f t="shared" si="2"/>
        <v>373.54453627180902</v>
      </c>
      <c r="Z32" s="811">
        <f t="shared" si="3"/>
        <v>-26.455463728190978</v>
      </c>
      <c r="AA32" s="811"/>
      <c r="AB32" s="823">
        <f t="shared" si="4"/>
        <v>170</v>
      </c>
      <c r="AC32" s="823">
        <f t="shared" si="5"/>
        <v>141.55762167125803</v>
      </c>
      <c r="AD32" s="811">
        <f t="shared" si="6"/>
        <v>311.55762167125806</v>
      </c>
      <c r="AE32" s="811">
        <f t="shared" si="7"/>
        <v>-88.442378328741938</v>
      </c>
      <c r="AF32" s="811"/>
      <c r="AG32" s="778"/>
      <c r="AH32" s="778">
        <v>1</v>
      </c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</row>
    <row r="33" spans="1:35" s="187" customFormat="1" x14ac:dyDescent="0.25">
      <c r="A33" s="890">
        <v>25</v>
      </c>
      <c r="B33" s="187">
        <v>25</v>
      </c>
      <c r="C33" s="779" t="s">
        <v>930</v>
      </c>
      <c r="D33" s="815" t="s">
        <v>931</v>
      </c>
      <c r="E33" s="784" t="s">
        <v>932</v>
      </c>
      <c r="F33" s="784">
        <v>21860</v>
      </c>
      <c r="G33" s="784">
        <v>1</v>
      </c>
      <c r="H33" s="784">
        <v>1</v>
      </c>
      <c r="I33" s="817">
        <v>0.50183654729109273</v>
      </c>
      <c r="J33" s="818">
        <v>0.50183654729109273</v>
      </c>
      <c r="K33" s="819">
        <v>250</v>
      </c>
      <c r="L33" s="820">
        <v>150.55096418732782</v>
      </c>
      <c r="M33" s="821">
        <v>400.55096418732785</v>
      </c>
      <c r="N33" s="822">
        <v>400</v>
      </c>
      <c r="O33" s="822"/>
      <c r="P33" s="822"/>
      <c r="Q33" s="816">
        <v>400</v>
      </c>
      <c r="R33" s="779"/>
      <c r="S33" s="779"/>
      <c r="W33" s="823">
        <f t="shared" si="0"/>
        <v>215</v>
      </c>
      <c r="X33" s="823">
        <f t="shared" si="1"/>
        <v>140.51423324150596</v>
      </c>
      <c r="Y33" s="811">
        <f t="shared" si="2"/>
        <v>355.51423324150596</v>
      </c>
      <c r="Z33" s="811">
        <f t="shared" si="3"/>
        <v>-44.485766758494037</v>
      </c>
      <c r="AA33" s="811"/>
      <c r="AB33" s="823">
        <f t="shared" si="4"/>
        <v>170</v>
      </c>
      <c r="AC33" s="823">
        <f t="shared" si="5"/>
        <v>125.45913682277317</v>
      </c>
      <c r="AD33" s="811">
        <f t="shared" si="6"/>
        <v>295.45913682277319</v>
      </c>
      <c r="AE33" s="811">
        <f t="shared" si="7"/>
        <v>-104.54086317722681</v>
      </c>
      <c r="AF33" s="811"/>
      <c r="AG33" s="778"/>
      <c r="AH33" s="778">
        <v>1</v>
      </c>
      <c r="AI33" s="778"/>
    </row>
    <row r="34" spans="1:35" s="187" customFormat="1" x14ac:dyDescent="0.25">
      <c r="A34" s="890">
        <v>26</v>
      </c>
      <c r="B34" s="187">
        <v>26</v>
      </c>
      <c r="C34" s="779" t="s">
        <v>933</v>
      </c>
      <c r="D34" s="815" t="s">
        <v>934</v>
      </c>
      <c r="E34" s="784" t="s">
        <v>935</v>
      </c>
      <c r="F34" s="784">
        <v>23362</v>
      </c>
      <c r="G34" s="784">
        <v>1</v>
      </c>
      <c r="H34" s="784">
        <v>1</v>
      </c>
      <c r="I34" s="817">
        <v>0.53631772268135902</v>
      </c>
      <c r="J34" s="818">
        <v>0.53631772268135902</v>
      </c>
      <c r="K34" s="819">
        <v>250</v>
      </c>
      <c r="L34" s="820">
        <v>160.89531680440771</v>
      </c>
      <c r="M34" s="821">
        <v>410.89531680440768</v>
      </c>
      <c r="N34" s="822">
        <v>400</v>
      </c>
      <c r="O34" s="822"/>
      <c r="P34" s="822"/>
      <c r="Q34" s="816">
        <v>200</v>
      </c>
      <c r="R34" s="779"/>
      <c r="S34" s="779"/>
      <c r="W34" s="823">
        <f t="shared" si="0"/>
        <v>215</v>
      </c>
      <c r="X34" s="823">
        <f t="shared" si="1"/>
        <v>150.16896235078053</v>
      </c>
      <c r="Y34" s="811">
        <f t="shared" si="2"/>
        <v>365.16896235078053</v>
      </c>
      <c r="Z34" s="811">
        <f t="shared" si="3"/>
        <v>-34.831037649219468</v>
      </c>
      <c r="AA34" s="811"/>
      <c r="AB34" s="823">
        <f t="shared" si="4"/>
        <v>170</v>
      </c>
      <c r="AC34" s="823">
        <f t="shared" si="5"/>
        <v>134.07943067033975</v>
      </c>
      <c r="AD34" s="811">
        <f t="shared" si="6"/>
        <v>304.07943067033978</v>
      </c>
      <c r="AE34" s="811">
        <f t="shared" si="7"/>
        <v>-95.920569329660225</v>
      </c>
      <c r="AF34" s="811"/>
      <c r="AG34" s="778"/>
      <c r="AH34" s="778">
        <v>1</v>
      </c>
      <c r="AI34" s="778"/>
    </row>
    <row r="35" spans="1:35" s="187" customFormat="1" ht="15.75" thickBot="1" x14ac:dyDescent="0.3">
      <c r="A35" s="890">
        <v>27</v>
      </c>
      <c r="B35" s="187">
        <v>27</v>
      </c>
      <c r="C35" s="779"/>
      <c r="D35" s="815"/>
      <c r="E35" s="784"/>
      <c r="F35" s="784"/>
      <c r="G35" s="784"/>
      <c r="H35" s="842"/>
      <c r="I35" s="829">
        <v>8.9577594123048652</v>
      </c>
      <c r="J35" s="830">
        <v>8.9577594123048652</v>
      </c>
      <c r="K35" s="843"/>
      <c r="L35" s="832"/>
      <c r="M35" s="833">
        <v>5687.3278236914593</v>
      </c>
      <c r="N35" s="833">
        <v>4800</v>
      </c>
      <c r="O35" s="834"/>
      <c r="P35" s="834"/>
      <c r="Q35" s="816"/>
      <c r="R35" s="779"/>
      <c r="S35" s="779"/>
      <c r="W35" s="823">
        <f t="shared" si="0"/>
        <v>0</v>
      </c>
      <c r="X35" s="823">
        <f t="shared" si="1"/>
        <v>0</v>
      </c>
      <c r="Y35" s="811">
        <f t="shared" si="2"/>
        <v>0</v>
      </c>
      <c r="Z35" s="811">
        <f t="shared" si="3"/>
        <v>0</v>
      </c>
      <c r="AA35" s="811"/>
      <c r="AB35" s="823">
        <f t="shared" si="4"/>
        <v>0</v>
      </c>
      <c r="AC35" s="823">
        <f t="shared" si="5"/>
        <v>0</v>
      </c>
      <c r="AD35" s="811">
        <f t="shared" si="6"/>
        <v>0</v>
      </c>
      <c r="AE35" s="811">
        <f t="shared" si="7"/>
        <v>0</v>
      </c>
      <c r="AF35" s="811"/>
      <c r="AG35" s="778"/>
      <c r="AH35" s="778"/>
      <c r="AI35" s="778"/>
    </row>
    <row r="36" spans="1:35" s="187" customFormat="1" ht="15.75" thickTop="1" x14ac:dyDescent="0.25">
      <c r="A36" s="890">
        <v>28</v>
      </c>
      <c r="B36" s="187">
        <v>28</v>
      </c>
      <c r="C36" s="779"/>
      <c r="D36" s="815"/>
      <c r="E36" s="784"/>
      <c r="F36" s="784"/>
      <c r="G36" s="784"/>
      <c r="H36" s="779"/>
      <c r="I36" s="779"/>
      <c r="J36" s="788"/>
      <c r="K36" s="784"/>
      <c r="L36" s="836"/>
      <c r="M36" s="837"/>
      <c r="N36" s="838"/>
      <c r="O36" s="838"/>
      <c r="P36" s="838"/>
      <c r="Q36" s="816"/>
      <c r="R36" s="779"/>
      <c r="S36" s="779"/>
      <c r="W36" s="823">
        <f t="shared" si="0"/>
        <v>0</v>
      </c>
      <c r="X36" s="823">
        <f t="shared" si="1"/>
        <v>0</v>
      </c>
      <c r="Y36" s="811">
        <f t="shared" si="2"/>
        <v>0</v>
      </c>
      <c r="Z36" s="811">
        <f t="shared" si="3"/>
        <v>0</v>
      </c>
      <c r="AA36" s="811"/>
      <c r="AB36" s="823">
        <f t="shared" si="4"/>
        <v>0</v>
      </c>
      <c r="AC36" s="823">
        <f t="shared" si="5"/>
        <v>0</v>
      </c>
      <c r="AD36" s="811">
        <f t="shared" si="6"/>
        <v>0</v>
      </c>
      <c r="AE36" s="811">
        <f t="shared" si="7"/>
        <v>0</v>
      </c>
      <c r="AF36" s="811"/>
      <c r="AG36" s="778"/>
      <c r="AH36" s="778"/>
      <c r="AI36" s="778"/>
    </row>
    <row r="37" spans="1:35" s="187" customFormat="1" x14ac:dyDescent="0.25">
      <c r="A37" s="890">
        <v>29</v>
      </c>
      <c r="B37" s="187">
        <v>29</v>
      </c>
      <c r="C37" s="812" t="s">
        <v>936</v>
      </c>
      <c r="D37" s="813"/>
      <c r="E37" s="835"/>
      <c r="F37" s="839" t="s">
        <v>854</v>
      </c>
      <c r="G37" s="839"/>
      <c r="H37" s="793"/>
      <c r="I37" s="793"/>
      <c r="J37" s="840" t="s">
        <v>858</v>
      </c>
      <c r="K37" s="839" t="s">
        <v>859</v>
      </c>
      <c r="L37" s="841" t="s">
        <v>900</v>
      </c>
      <c r="M37" s="841" t="s">
        <v>317</v>
      </c>
      <c r="N37" s="838"/>
      <c r="O37" s="838"/>
      <c r="P37" s="838"/>
      <c r="Q37" s="816"/>
      <c r="R37" s="779"/>
      <c r="S37" s="779"/>
      <c r="W37" s="823">
        <f t="shared" si="0"/>
        <v>0</v>
      </c>
      <c r="X37" s="823">
        <f t="shared" si="1"/>
        <v>0</v>
      </c>
      <c r="Y37" s="811">
        <f t="shared" si="2"/>
        <v>0</v>
      </c>
      <c r="Z37" s="811">
        <f t="shared" si="3"/>
        <v>0</v>
      </c>
      <c r="AA37" s="811"/>
      <c r="AB37" s="823">
        <f t="shared" si="4"/>
        <v>0</v>
      </c>
      <c r="AC37" s="823">
        <f t="shared" si="5"/>
        <v>0</v>
      </c>
      <c r="AD37" s="811">
        <f t="shared" si="6"/>
        <v>0</v>
      </c>
      <c r="AE37" s="811">
        <f t="shared" si="7"/>
        <v>0</v>
      </c>
      <c r="AF37" s="811"/>
      <c r="AG37" s="778"/>
      <c r="AH37" s="778"/>
      <c r="AI37" s="778"/>
    </row>
    <row r="38" spans="1:35" s="187" customFormat="1" x14ac:dyDescent="0.25">
      <c r="A38" s="890">
        <v>30</v>
      </c>
      <c r="B38" s="187">
        <v>30</v>
      </c>
      <c r="C38" s="779"/>
      <c r="D38" s="815"/>
      <c r="E38" s="784"/>
      <c r="F38" s="779"/>
      <c r="G38" s="779"/>
      <c r="H38" s="779"/>
      <c r="I38" s="779"/>
      <c r="J38" s="779"/>
      <c r="K38" s="779"/>
      <c r="L38" s="814"/>
      <c r="M38" s="814"/>
      <c r="N38" s="838"/>
      <c r="O38" s="838"/>
      <c r="P38" s="838"/>
      <c r="Q38" s="816"/>
      <c r="R38" s="779"/>
      <c r="S38" s="779"/>
      <c r="W38" s="823">
        <f t="shared" si="0"/>
        <v>0</v>
      </c>
      <c r="X38" s="823">
        <f t="shared" si="1"/>
        <v>0</v>
      </c>
      <c r="Y38" s="811">
        <f t="shared" si="2"/>
        <v>0</v>
      </c>
      <c r="Z38" s="811">
        <f t="shared" si="3"/>
        <v>0</v>
      </c>
      <c r="AA38" s="811"/>
      <c r="AB38" s="823">
        <f t="shared" si="4"/>
        <v>0</v>
      </c>
      <c r="AC38" s="823">
        <f t="shared" si="5"/>
        <v>0</v>
      </c>
      <c r="AD38" s="811">
        <f t="shared" si="6"/>
        <v>0</v>
      </c>
      <c r="AE38" s="811">
        <f t="shared" si="7"/>
        <v>0</v>
      </c>
      <c r="AF38" s="811"/>
      <c r="AG38" s="778"/>
      <c r="AH38" s="778"/>
      <c r="AI38" s="778"/>
    </row>
    <row r="39" spans="1:35" s="187" customFormat="1" x14ac:dyDescent="0.25">
      <c r="A39" s="890">
        <v>31</v>
      </c>
      <c r="B39" s="187">
        <v>31</v>
      </c>
      <c r="C39" s="779" t="s">
        <v>937</v>
      </c>
      <c r="D39" s="815"/>
      <c r="E39" s="784"/>
      <c r="F39" s="784">
        <v>22756</v>
      </c>
      <c r="G39" s="784">
        <v>1</v>
      </c>
      <c r="H39" s="784">
        <v>0</v>
      </c>
      <c r="I39" s="817">
        <v>0</v>
      </c>
      <c r="J39" s="818">
        <v>0.52240587695133145</v>
      </c>
      <c r="K39" s="819">
        <v>250</v>
      </c>
      <c r="L39" s="820">
        <v>156.72176308539943</v>
      </c>
      <c r="M39" s="821">
        <v>0</v>
      </c>
      <c r="N39" s="824">
        <v>0</v>
      </c>
      <c r="O39" s="824"/>
      <c r="P39" s="824"/>
      <c r="Q39" s="816"/>
      <c r="R39" s="779"/>
      <c r="S39" s="779"/>
      <c r="W39" s="823">
        <f t="shared" si="0"/>
        <v>0</v>
      </c>
      <c r="X39" s="823">
        <f t="shared" si="1"/>
        <v>0</v>
      </c>
      <c r="Y39" s="811">
        <f t="shared" si="2"/>
        <v>0</v>
      </c>
      <c r="Z39" s="811">
        <f t="shared" si="3"/>
        <v>0</v>
      </c>
      <c r="AA39" s="811"/>
      <c r="AB39" s="823">
        <f t="shared" si="4"/>
        <v>0</v>
      </c>
      <c r="AC39" s="823">
        <f t="shared" si="5"/>
        <v>0</v>
      </c>
      <c r="AD39" s="811">
        <f t="shared" si="6"/>
        <v>0</v>
      </c>
      <c r="AE39" s="811">
        <f t="shared" si="7"/>
        <v>0</v>
      </c>
      <c r="AF39" s="811"/>
      <c r="AG39" s="778"/>
      <c r="AH39" s="778"/>
      <c r="AI39" s="778"/>
    </row>
    <row r="40" spans="1:35" s="187" customFormat="1" x14ac:dyDescent="0.25">
      <c r="A40" s="890">
        <v>32</v>
      </c>
      <c r="B40" s="187">
        <v>32</v>
      </c>
      <c r="C40" s="779" t="s">
        <v>938</v>
      </c>
      <c r="D40" s="815" t="s">
        <v>939</v>
      </c>
      <c r="E40" s="784" t="s">
        <v>940</v>
      </c>
      <c r="F40" s="784">
        <v>21120</v>
      </c>
      <c r="G40" s="784">
        <v>1</v>
      </c>
      <c r="H40" s="784">
        <v>1</v>
      </c>
      <c r="I40" s="817">
        <v>0.48484848484848486</v>
      </c>
      <c r="J40" s="818">
        <v>0.48484848484848486</v>
      </c>
      <c r="K40" s="819">
        <v>250</v>
      </c>
      <c r="L40" s="820">
        <v>145.45454545454547</v>
      </c>
      <c r="M40" s="821">
        <v>395.4545454545455</v>
      </c>
      <c r="N40" s="822">
        <v>400</v>
      </c>
      <c r="O40" s="822"/>
      <c r="P40" s="822"/>
      <c r="Q40" s="816">
        <v>200</v>
      </c>
      <c r="R40" s="779"/>
      <c r="S40" s="779"/>
      <c r="W40" s="823">
        <f t="shared" si="0"/>
        <v>215</v>
      </c>
      <c r="X40" s="823">
        <f t="shared" si="1"/>
        <v>135.75757575757575</v>
      </c>
      <c r="Y40" s="811">
        <f t="shared" si="2"/>
        <v>350.75757575757575</v>
      </c>
      <c r="Z40" s="811">
        <f t="shared" si="3"/>
        <v>-49.242424242424249</v>
      </c>
      <c r="AA40" s="811"/>
      <c r="AB40" s="823">
        <f t="shared" si="4"/>
        <v>170</v>
      </c>
      <c r="AC40" s="823">
        <f t="shared" si="5"/>
        <v>121.21212121212122</v>
      </c>
      <c r="AD40" s="811">
        <f t="shared" si="6"/>
        <v>291.21212121212125</v>
      </c>
      <c r="AE40" s="811">
        <f t="shared" si="7"/>
        <v>-108.78787878787875</v>
      </c>
      <c r="AF40" s="811"/>
      <c r="AG40" s="778">
        <v>1</v>
      </c>
      <c r="AH40" s="778"/>
      <c r="AI40" s="778"/>
    </row>
    <row r="41" spans="1:35" s="187" customFormat="1" x14ac:dyDescent="0.25">
      <c r="A41" s="890">
        <v>33</v>
      </c>
      <c r="B41" s="187">
        <v>33</v>
      </c>
      <c r="C41" s="779" t="s">
        <v>883</v>
      </c>
      <c r="D41" s="815" t="s">
        <v>941</v>
      </c>
      <c r="E41" s="784" t="s">
        <v>942</v>
      </c>
      <c r="F41" s="784">
        <v>22945</v>
      </c>
      <c r="G41" s="784">
        <v>1</v>
      </c>
      <c r="H41" s="784">
        <v>1</v>
      </c>
      <c r="I41" s="817">
        <v>0.52674471992653815</v>
      </c>
      <c r="J41" s="818">
        <v>0.52674471992653815</v>
      </c>
      <c r="K41" s="819">
        <v>250</v>
      </c>
      <c r="L41" s="820">
        <v>158.02341597796143</v>
      </c>
      <c r="M41" s="821">
        <v>408.02341597796146</v>
      </c>
      <c r="N41" s="822">
        <v>400</v>
      </c>
      <c r="O41" s="822"/>
      <c r="P41" s="822"/>
      <c r="Q41" s="816">
        <v>200</v>
      </c>
      <c r="R41" s="779"/>
      <c r="S41" s="779"/>
      <c r="W41" s="823">
        <f t="shared" si="0"/>
        <v>215</v>
      </c>
      <c r="X41" s="823">
        <f t="shared" si="1"/>
        <v>147.48852157943068</v>
      </c>
      <c r="Y41" s="811">
        <f t="shared" si="2"/>
        <v>362.48852157943065</v>
      </c>
      <c r="Z41" s="811">
        <f t="shared" si="3"/>
        <v>-37.511478420569347</v>
      </c>
      <c r="AA41" s="811"/>
      <c r="AB41" s="823">
        <f t="shared" si="4"/>
        <v>170</v>
      </c>
      <c r="AC41" s="823">
        <f t="shared" si="5"/>
        <v>131.68617998163452</v>
      </c>
      <c r="AD41" s="811">
        <f t="shared" si="6"/>
        <v>301.6861799816345</v>
      </c>
      <c r="AE41" s="811">
        <f t="shared" si="7"/>
        <v>-98.313820018365504</v>
      </c>
      <c r="AF41" s="811"/>
      <c r="AG41" s="778"/>
      <c r="AH41" s="778">
        <v>1</v>
      </c>
      <c r="AI41" s="778"/>
    </row>
    <row r="42" spans="1:35" s="187" customFormat="1" x14ac:dyDescent="0.25">
      <c r="A42" s="890">
        <v>34</v>
      </c>
      <c r="B42" s="187">
        <v>34</v>
      </c>
      <c r="C42" s="779" t="s">
        <v>886</v>
      </c>
      <c r="D42" s="815" t="s">
        <v>943</v>
      </c>
      <c r="E42" s="784" t="s">
        <v>944</v>
      </c>
      <c r="F42" s="784">
        <v>24430</v>
      </c>
      <c r="G42" s="784">
        <v>1</v>
      </c>
      <c r="H42" s="784">
        <v>1</v>
      </c>
      <c r="I42" s="817">
        <v>0.56083562901744721</v>
      </c>
      <c r="J42" s="818">
        <v>0.56083562901744721</v>
      </c>
      <c r="K42" s="819">
        <v>250</v>
      </c>
      <c r="L42" s="820">
        <v>168.25068870523415</v>
      </c>
      <c r="M42" s="821">
        <v>418.25068870523415</v>
      </c>
      <c r="N42" s="822">
        <v>400</v>
      </c>
      <c r="O42" s="822"/>
      <c r="P42" s="822"/>
      <c r="Q42" s="816">
        <v>200</v>
      </c>
      <c r="R42" s="779"/>
      <c r="S42" s="779"/>
      <c r="W42" s="823">
        <f t="shared" si="0"/>
        <v>215</v>
      </c>
      <c r="X42" s="823">
        <f t="shared" si="1"/>
        <v>157.03397612488521</v>
      </c>
      <c r="Y42" s="811">
        <f t="shared" si="2"/>
        <v>372.03397612488521</v>
      </c>
      <c r="Z42" s="811">
        <f t="shared" si="3"/>
        <v>-27.966023875114786</v>
      </c>
      <c r="AA42" s="811"/>
      <c r="AB42" s="823">
        <f t="shared" si="4"/>
        <v>170</v>
      </c>
      <c r="AC42" s="823">
        <f t="shared" si="5"/>
        <v>140.2089072543618</v>
      </c>
      <c r="AD42" s="811">
        <f t="shared" si="6"/>
        <v>310.2089072543618</v>
      </c>
      <c r="AE42" s="811">
        <f t="shared" si="7"/>
        <v>-89.791092745638196</v>
      </c>
      <c r="AF42" s="811"/>
      <c r="AG42" s="778"/>
      <c r="AH42" s="778">
        <v>1</v>
      </c>
      <c r="AI42" s="778"/>
    </row>
    <row r="43" spans="1:35" s="187" customFormat="1" x14ac:dyDescent="0.25">
      <c r="A43" s="890">
        <v>35</v>
      </c>
      <c r="B43" s="187">
        <v>35</v>
      </c>
      <c r="C43" s="779" t="s">
        <v>945</v>
      </c>
      <c r="D43" s="815" t="s">
        <v>946</v>
      </c>
      <c r="E43" s="784" t="s">
        <v>947</v>
      </c>
      <c r="F43" s="784">
        <v>46246</v>
      </c>
      <c r="G43" s="784">
        <v>1</v>
      </c>
      <c r="H43" s="784">
        <v>1</v>
      </c>
      <c r="I43" s="817">
        <v>1.0616620752984389</v>
      </c>
      <c r="J43" s="818">
        <v>1.0616620752984389</v>
      </c>
      <c r="K43" s="819">
        <v>250</v>
      </c>
      <c r="L43" s="820">
        <v>318.49862258953169</v>
      </c>
      <c r="M43" s="821">
        <v>568.49862258953169</v>
      </c>
      <c r="N43" s="822">
        <v>400</v>
      </c>
      <c r="O43" s="822"/>
      <c r="P43" s="822"/>
      <c r="Q43" s="816">
        <v>200</v>
      </c>
      <c r="R43" s="779"/>
      <c r="S43" s="779"/>
      <c r="W43" s="823">
        <f t="shared" si="0"/>
        <v>215</v>
      </c>
      <c r="X43" s="823">
        <f t="shared" si="1"/>
        <v>297.26538108356289</v>
      </c>
      <c r="Y43" s="811">
        <f t="shared" si="2"/>
        <v>512.26538108356294</v>
      </c>
      <c r="Z43" s="811">
        <f t="shared" si="3"/>
        <v>112.26538108356294</v>
      </c>
      <c r="AA43" s="811"/>
      <c r="AB43" s="823">
        <f t="shared" si="4"/>
        <v>170</v>
      </c>
      <c r="AC43" s="823">
        <f t="shared" si="5"/>
        <v>265.41551882460971</v>
      </c>
      <c r="AD43" s="811">
        <f t="shared" si="6"/>
        <v>435.41551882460971</v>
      </c>
      <c r="AE43" s="811">
        <f t="shared" si="7"/>
        <v>35.415518824609705</v>
      </c>
      <c r="AF43" s="811"/>
      <c r="AG43" s="778"/>
      <c r="AH43" s="778"/>
      <c r="AI43" s="778">
        <v>1</v>
      </c>
    </row>
    <row r="44" spans="1:35" s="187" customFormat="1" x14ac:dyDescent="0.25">
      <c r="A44" s="890">
        <v>36</v>
      </c>
      <c r="B44" s="187">
        <v>36</v>
      </c>
      <c r="C44" s="779" t="s">
        <v>915</v>
      </c>
      <c r="D44" s="815"/>
      <c r="E44" s="784"/>
      <c r="F44" s="784">
        <v>41320</v>
      </c>
      <c r="G44" s="784">
        <v>1</v>
      </c>
      <c r="H44" s="784">
        <v>0</v>
      </c>
      <c r="I44" s="817">
        <v>0</v>
      </c>
      <c r="J44" s="818">
        <v>0.94857667584940308</v>
      </c>
      <c r="K44" s="819">
        <v>250</v>
      </c>
      <c r="L44" s="820">
        <v>284.57300275482095</v>
      </c>
      <c r="M44" s="821">
        <v>0</v>
      </c>
      <c r="N44" s="824">
        <v>0</v>
      </c>
      <c r="O44" s="824"/>
      <c r="P44" s="824"/>
      <c r="Q44" s="816"/>
      <c r="R44" s="779"/>
      <c r="S44" s="779"/>
      <c r="W44" s="823">
        <f t="shared" si="0"/>
        <v>0</v>
      </c>
      <c r="X44" s="823">
        <f t="shared" si="1"/>
        <v>0</v>
      </c>
      <c r="Y44" s="811">
        <f t="shared" si="2"/>
        <v>0</v>
      </c>
      <c r="Z44" s="811">
        <f t="shared" si="3"/>
        <v>0</v>
      </c>
      <c r="AA44" s="811"/>
      <c r="AB44" s="823">
        <f t="shared" si="4"/>
        <v>0</v>
      </c>
      <c r="AC44" s="823">
        <f t="shared" si="5"/>
        <v>0</v>
      </c>
      <c r="AD44" s="811">
        <f t="shared" si="6"/>
        <v>0</v>
      </c>
      <c r="AE44" s="811">
        <f t="shared" si="7"/>
        <v>0</v>
      </c>
      <c r="AF44" s="811"/>
      <c r="AG44" s="778"/>
      <c r="AH44" s="778"/>
      <c r="AI44" s="778"/>
    </row>
    <row r="45" spans="1:35" s="187" customFormat="1" x14ac:dyDescent="0.25">
      <c r="A45" s="890">
        <v>37</v>
      </c>
      <c r="B45" s="187">
        <v>37</v>
      </c>
      <c r="C45" s="779" t="s">
        <v>948</v>
      </c>
      <c r="D45" s="815" t="s">
        <v>949</v>
      </c>
      <c r="E45" s="784" t="s">
        <v>950</v>
      </c>
      <c r="F45" s="784">
        <v>27113</v>
      </c>
      <c r="G45" s="784">
        <v>1</v>
      </c>
      <c r="H45" s="784">
        <v>1</v>
      </c>
      <c r="I45" s="817">
        <v>0.62242883379247016</v>
      </c>
      <c r="J45" s="818">
        <v>0.62242883379247016</v>
      </c>
      <c r="K45" s="819">
        <v>250</v>
      </c>
      <c r="L45" s="820">
        <v>186.72865013774106</v>
      </c>
      <c r="M45" s="821">
        <v>436.72865013774106</v>
      </c>
      <c r="N45" s="822">
        <v>400</v>
      </c>
      <c r="O45" s="822"/>
      <c r="P45" s="822"/>
      <c r="Q45" s="816">
        <v>200</v>
      </c>
      <c r="R45" s="816">
        <v>200</v>
      </c>
      <c r="S45" s="779"/>
      <c r="W45" s="823">
        <f t="shared" si="0"/>
        <v>215</v>
      </c>
      <c r="X45" s="823">
        <f t="shared" si="1"/>
        <v>174.28007346189165</v>
      </c>
      <c r="Y45" s="811">
        <f t="shared" si="2"/>
        <v>389.28007346189167</v>
      </c>
      <c r="Z45" s="811">
        <f t="shared" si="3"/>
        <v>-10.719926538108325</v>
      </c>
      <c r="AA45" s="811"/>
      <c r="AB45" s="823">
        <f t="shared" si="4"/>
        <v>170</v>
      </c>
      <c r="AC45" s="823">
        <f t="shared" si="5"/>
        <v>155.60720844811755</v>
      </c>
      <c r="AD45" s="811">
        <f t="shared" si="6"/>
        <v>325.60720844811755</v>
      </c>
      <c r="AE45" s="811">
        <f t="shared" si="7"/>
        <v>-74.392791551882453</v>
      </c>
      <c r="AF45" s="811"/>
      <c r="AG45" s="778">
        <v>1</v>
      </c>
      <c r="AH45" s="778"/>
      <c r="AI45" s="778"/>
    </row>
    <row r="46" spans="1:35" s="187" customFormat="1" x14ac:dyDescent="0.25">
      <c r="A46" s="890">
        <v>38</v>
      </c>
      <c r="B46" s="187">
        <v>38</v>
      </c>
      <c r="C46" s="779" t="s">
        <v>897</v>
      </c>
      <c r="D46" s="815" t="s">
        <v>951</v>
      </c>
      <c r="E46" s="784" t="s">
        <v>952</v>
      </c>
      <c r="F46" s="784">
        <v>20444</v>
      </c>
      <c r="G46" s="784">
        <v>1</v>
      </c>
      <c r="H46" s="784">
        <v>1</v>
      </c>
      <c r="I46" s="817">
        <v>0.46932966023875117</v>
      </c>
      <c r="J46" s="818">
        <v>0.46932966023875117</v>
      </c>
      <c r="K46" s="819">
        <v>250</v>
      </c>
      <c r="L46" s="820">
        <v>140.79889807162536</v>
      </c>
      <c r="M46" s="821">
        <v>390.79889807162533</v>
      </c>
      <c r="N46" s="822">
        <v>400</v>
      </c>
      <c r="O46" s="822"/>
      <c r="P46" s="822"/>
      <c r="Q46" s="816">
        <v>200</v>
      </c>
      <c r="R46" s="779"/>
      <c r="S46" s="779"/>
      <c r="W46" s="823">
        <f t="shared" si="0"/>
        <v>215</v>
      </c>
      <c r="X46" s="823">
        <f t="shared" si="1"/>
        <v>131.41230486685032</v>
      </c>
      <c r="Y46" s="811">
        <f t="shared" si="2"/>
        <v>346.41230486685032</v>
      </c>
      <c r="Z46" s="811">
        <f t="shared" si="3"/>
        <v>-53.58769513314968</v>
      </c>
      <c r="AA46" s="811"/>
      <c r="AB46" s="823">
        <f t="shared" si="4"/>
        <v>170</v>
      </c>
      <c r="AC46" s="823">
        <f t="shared" si="5"/>
        <v>117.33241505968779</v>
      </c>
      <c r="AD46" s="811">
        <f t="shared" si="6"/>
        <v>287.33241505968778</v>
      </c>
      <c r="AE46" s="811">
        <f t="shared" si="7"/>
        <v>-112.66758494031222</v>
      </c>
      <c r="AF46" s="811"/>
      <c r="AG46" s="778"/>
      <c r="AH46" s="778">
        <v>1</v>
      </c>
      <c r="AI46" s="778"/>
    </row>
    <row r="47" spans="1:35" s="187" customFormat="1" x14ac:dyDescent="0.25">
      <c r="A47" s="890">
        <v>39</v>
      </c>
      <c r="B47" s="187">
        <v>39</v>
      </c>
      <c r="C47" s="779" t="s">
        <v>953</v>
      </c>
      <c r="D47" s="815" t="s">
        <v>954</v>
      </c>
      <c r="E47" s="784" t="s">
        <v>955</v>
      </c>
      <c r="F47" s="784">
        <v>24744</v>
      </c>
      <c r="G47" s="784">
        <v>1</v>
      </c>
      <c r="H47" s="784">
        <v>1</v>
      </c>
      <c r="I47" s="817">
        <v>0.56804407713498628</v>
      </c>
      <c r="J47" s="818">
        <v>0.56804407713498628</v>
      </c>
      <c r="K47" s="819">
        <v>250</v>
      </c>
      <c r="L47" s="820">
        <v>170.41322314049589</v>
      </c>
      <c r="M47" s="821">
        <v>420.41322314049592</v>
      </c>
      <c r="N47" s="822">
        <v>400</v>
      </c>
      <c r="O47" s="822"/>
      <c r="P47" s="822"/>
      <c r="Q47" s="816">
        <v>200</v>
      </c>
      <c r="R47" s="779"/>
      <c r="S47" s="779"/>
      <c r="W47" s="823">
        <f t="shared" si="0"/>
        <v>215</v>
      </c>
      <c r="X47" s="823">
        <f t="shared" si="1"/>
        <v>159.05234159779616</v>
      </c>
      <c r="Y47" s="811">
        <f t="shared" si="2"/>
        <v>374.05234159779616</v>
      </c>
      <c r="Z47" s="811">
        <f t="shared" si="3"/>
        <v>-25.947658402203842</v>
      </c>
      <c r="AA47" s="811"/>
      <c r="AB47" s="823">
        <f t="shared" si="4"/>
        <v>170</v>
      </c>
      <c r="AC47" s="823">
        <f t="shared" si="5"/>
        <v>142.01101928374658</v>
      </c>
      <c r="AD47" s="811">
        <f t="shared" si="6"/>
        <v>312.01101928374658</v>
      </c>
      <c r="AE47" s="811">
        <f t="shared" si="7"/>
        <v>-87.988980716253423</v>
      </c>
      <c r="AF47" s="811"/>
      <c r="AG47" s="778"/>
      <c r="AH47" s="778">
        <v>1</v>
      </c>
      <c r="AI47" s="778"/>
    </row>
    <row r="48" spans="1:35" s="187" customFormat="1" x14ac:dyDescent="0.25">
      <c r="A48" s="890">
        <v>40</v>
      </c>
      <c r="B48" s="187">
        <v>40</v>
      </c>
      <c r="C48" s="779" t="s">
        <v>956</v>
      </c>
      <c r="D48" s="815" t="s">
        <v>957</v>
      </c>
      <c r="E48" s="784" t="s">
        <v>958</v>
      </c>
      <c r="F48" s="784">
        <v>22801</v>
      </c>
      <c r="G48" s="784">
        <v>1</v>
      </c>
      <c r="H48" s="784">
        <v>1</v>
      </c>
      <c r="I48" s="817">
        <v>0.5234389348025712</v>
      </c>
      <c r="J48" s="818">
        <v>0.5234389348025712</v>
      </c>
      <c r="K48" s="819">
        <v>250</v>
      </c>
      <c r="L48" s="820">
        <v>157.03168044077137</v>
      </c>
      <c r="M48" s="821">
        <v>407.03168044077137</v>
      </c>
      <c r="N48" s="822">
        <v>400</v>
      </c>
      <c r="O48" s="822"/>
      <c r="P48" s="822"/>
      <c r="Q48" s="816">
        <v>200</v>
      </c>
      <c r="R48" s="779"/>
      <c r="S48" s="825">
        <v>39205</v>
      </c>
      <c r="W48" s="823">
        <f t="shared" si="0"/>
        <v>215</v>
      </c>
      <c r="X48" s="823">
        <f t="shared" si="1"/>
        <v>146.56290174471994</v>
      </c>
      <c r="Y48" s="811">
        <f t="shared" si="2"/>
        <v>361.56290174471997</v>
      </c>
      <c r="Z48" s="811">
        <f t="shared" si="3"/>
        <v>-38.437098255280034</v>
      </c>
      <c r="AA48" s="811"/>
      <c r="AB48" s="823">
        <f t="shared" si="4"/>
        <v>170</v>
      </c>
      <c r="AC48" s="823">
        <f t="shared" si="5"/>
        <v>130.85973370064281</v>
      </c>
      <c r="AD48" s="811">
        <f t="shared" si="6"/>
        <v>300.85973370064278</v>
      </c>
      <c r="AE48" s="811">
        <f t="shared" si="7"/>
        <v>-99.140266299357222</v>
      </c>
      <c r="AF48" s="811"/>
      <c r="AG48" s="778"/>
      <c r="AH48" s="778">
        <v>1</v>
      </c>
      <c r="AI48" s="778"/>
    </row>
    <row r="49" spans="1:45" s="187" customFormat="1" x14ac:dyDescent="0.25">
      <c r="A49" s="890">
        <v>41</v>
      </c>
      <c r="B49" s="187">
        <v>41</v>
      </c>
      <c r="C49" s="779" t="s">
        <v>959</v>
      </c>
      <c r="D49" s="815" t="s">
        <v>960</v>
      </c>
      <c r="E49" s="784" t="s">
        <v>961</v>
      </c>
      <c r="F49" s="784">
        <v>23266</v>
      </c>
      <c r="G49" s="784">
        <v>1</v>
      </c>
      <c r="H49" s="784">
        <v>1</v>
      </c>
      <c r="I49" s="817">
        <v>0.53411386593204779</v>
      </c>
      <c r="J49" s="818">
        <v>0.53411386593204779</v>
      </c>
      <c r="K49" s="819">
        <v>250</v>
      </c>
      <c r="L49" s="820">
        <v>160.23415977961434</v>
      </c>
      <c r="M49" s="821">
        <v>410.23415977961434</v>
      </c>
      <c r="N49" s="822">
        <v>400</v>
      </c>
      <c r="O49" s="822"/>
      <c r="P49" s="822"/>
      <c r="Q49" s="816"/>
      <c r="R49" s="779"/>
      <c r="S49" s="825">
        <v>39205</v>
      </c>
      <c r="W49" s="823">
        <f t="shared" si="0"/>
        <v>215</v>
      </c>
      <c r="X49" s="823">
        <f t="shared" si="1"/>
        <v>149.55188246097339</v>
      </c>
      <c r="Y49" s="811">
        <f t="shared" si="2"/>
        <v>364.55188246097339</v>
      </c>
      <c r="Z49" s="811">
        <f t="shared" si="3"/>
        <v>-35.448117539026612</v>
      </c>
      <c r="AA49" s="811"/>
      <c r="AB49" s="823">
        <f t="shared" si="4"/>
        <v>170</v>
      </c>
      <c r="AC49" s="823">
        <f t="shared" si="5"/>
        <v>133.52846648301195</v>
      </c>
      <c r="AD49" s="811">
        <f t="shared" si="6"/>
        <v>303.52846648301193</v>
      </c>
      <c r="AE49" s="811">
        <f t="shared" si="7"/>
        <v>-96.471533516988075</v>
      </c>
      <c r="AF49" s="811"/>
      <c r="AG49" s="778"/>
      <c r="AH49" s="778">
        <v>1</v>
      </c>
      <c r="AI49" s="778"/>
      <c r="AJ49" s="778"/>
      <c r="AK49" s="778"/>
      <c r="AL49" s="778"/>
      <c r="AM49" s="778"/>
      <c r="AN49" s="778"/>
      <c r="AO49" s="778"/>
      <c r="AP49" s="778"/>
      <c r="AQ49" s="778"/>
      <c r="AR49" s="778"/>
      <c r="AS49" s="778"/>
    </row>
    <row r="50" spans="1:45" s="187" customFormat="1" x14ac:dyDescent="0.25">
      <c r="A50" s="890">
        <v>42</v>
      </c>
      <c r="B50" s="187">
        <v>42</v>
      </c>
      <c r="C50" s="779" t="s">
        <v>962</v>
      </c>
      <c r="D50" s="815" t="s">
        <v>963</v>
      </c>
      <c r="E50" s="784" t="s">
        <v>964</v>
      </c>
      <c r="F50" s="784">
        <v>23517</v>
      </c>
      <c r="G50" s="784">
        <v>1</v>
      </c>
      <c r="H50" s="784">
        <v>1</v>
      </c>
      <c r="I50" s="817">
        <v>0.53987603305785126</v>
      </c>
      <c r="J50" s="818">
        <v>0.53987603305785126</v>
      </c>
      <c r="K50" s="819">
        <v>250</v>
      </c>
      <c r="L50" s="820">
        <v>161.96280991735537</v>
      </c>
      <c r="M50" s="821">
        <v>411.96280991735534</v>
      </c>
      <c r="N50" s="822">
        <v>400</v>
      </c>
      <c r="O50" s="822"/>
      <c r="P50" s="822"/>
      <c r="Q50" s="816">
        <v>200</v>
      </c>
      <c r="R50" s="779"/>
      <c r="S50" s="779"/>
      <c r="W50" s="823">
        <f t="shared" si="0"/>
        <v>215</v>
      </c>
      <c r="X50" s="823">
        <f t="shared" si="1"/>
        <v>151.16528925619835</v>
      </c>
      <c r="Y50" s="811">
        <f t="shared" si="2"/>
        <v>366.16528925619832</v>
      </c>
      <c r="Z50" s="811">
        <f t="shared" si="3"/>
        <v>-33.834710743801679</v>
      </c>
      <c r="AA50" s="811"/>
      <c r="AB50" s="823">
        <f t="shared" si="4"/>
        <v>170</v>
      </c>
      <c r="AC50" s="823">
        <f t="shared" si="5"/>
        <v>134.96900826446281</v>
      </c>
      <c r="AD50" s="811">
        <f t="shared" si="6"/>
        <v>304.96900826446279</v>
      </c>
      <c r="AE50" s="811">
        <f t="shared" si="7"/>
        <v>-95.030991735537214</v>
      </c>
      <c r="AF50" s="811"/>
      <c r="AG50" s="778"/>
      <c r="AH50" s="778">
        <v>1</v>
      </c>
      <c r="AI50" s="778"/>
      <c r="AJ50" s="778"/>
      <c r="AK50" s="778"/>
      <c r="AL50" s="778"/>
      <c r="AM50" s="778"/>
      <c r="AN50" s="778"/>
      <c r="AO50" s="778"/>
      <c r="AP50" s="778"/>
      <c r="AQ50" s="778"/>
      <c r="AR50" s="778"/>
      <c r="AS50" s="778"/>
    </row>
    <row r="51" spans="1:45" s="187" customFormat="1" ht="15.75" thickBot="1" x14ac:dyDescent="0.3">
      <c r="A51" s="890">
        <v>43</v>
      </c>
      <c r="B51" s="187">
        <v>43</v>
      </c>
      <c r="C51" s="779"/>
      <c r="D51" s="815"/>
      <c r="E51" s="784"/>
      <c r="F51" s="784"/>
      <c r="G51" s="784"/>
      <c r="H51" s="842"/>
      <c r="I51" s="829">
        <v>5.891322314049587</v>
      </c>
      <c r="J51" s="844">
        <v>7.3623048668503204</v>
      </c>
      <c r="K51" s="843"/>
      <c r="L51" s="832"/>
      <c r="M51" s="833">
        <v>4267.3966942148763</v>
      </c>
      <c r="N51" s="833">
        <v>4000</v>
      </c>
      <c r="O51" s="834"/>
      <c r="P51" s="834"/>
      <c r="Q51" s="816"/>
      <c r="R51" s="779"/>
      <c r="S51" s="779"/>
      <c r="W51" s="823">
        <f t="shared" si="0"/>
        <v>0</v>
      </c>
      <c r="X51" s="823">
        <f t="shared" si="1"/>
        <v>0</v>
      </c>
      <c r="Y51" s="811">
        <f t="shared" si="2"/>
        <v>0</v>
      </c>
      <c r="Z51" s="811">
        <f t="shared" si="3"/>
        <v>0</v>
      </c>
      <c r="AA51" s="811"/>
      <c r="AB51" s="823">
        <f t="shared" si="4"/>
        <v>0</v>
      </c>
      <c r="AC51" s="823">
        <f t="shared" si="5"/>
        <v>0</v>
      </c>
      <c r="AD51" s="811">
        <f t="shared" si="6"/>
        <v>0</v>
      </c>
      <c r="AE51" s="811">
        <f t="shared" si="7"/>
        <v>0</v>
      </c>
      <c r="AF51" s="811"/>
      <c r="AG51" s="778"/>
      <c r="AH51" s="778"/>
      <c r="AI51" s="778"/>
      <c r="AJ51" s="778"/>
      <c r="AK51" s="778"/>
      <c r="AL51" s="778"/>
      <c r="AM51" s="778"/>
      <c r="AN51" s="778"/>
      <c r="AO51" s="778"/>
      <c r="AP51" s="778"/>
      <c r="AQ51" s="778"/>
      <c r="AR51" s="778"/>
      <c r="AS51" s="778"/>
    </row>
    <row r="52" spans="1:45" s="187" customFormat="1" ht="15.75" thickTop="1" x14ac:dyDescent="0.25">
      <c r="A52" s="890">
        <v>44</v>
      </c>
      <c r="B52" s="187">
        <v>44</v>
      </c>
      <c r="C52" s="779"/>
      <c r="D52" s="815"/>
      <c r="E52" s="784"/>
      <c r="F52" s="779"/>
      <c r="G52" s="779"/>
      <c r="H52" s="779"/>
      <c r="I52" s="779"/>
      <c r="J52" s="779"/>
      <c r="K52" s="779"/>
      <c r="L52" s="814"/>
      <c r="M52" s="814"/>
      <c r="N52" s="838"/>
      <c r="O52" s="838"/>
      <c r="P52" s="838"/>
      <c r="Q52" s="816"/>
      <c r="R52" s="779"/>
      <c r="S52" s="779"/>
      <c r="W52" s="823">
        <f t="shared" si="0"/>
        <v>0</v>
      </c>
      <c r="X52" s="823">
        <f t="shared" si="1"/>
        <v>0</v>
      </c>
      <c r="Y52" s="811">
        <f t="shared" si="2"/>
        <v>0</v>
      </c>
      <c r="Z52" s="811">
        <f t="shared" si="3"/>
        <v>0</v>
      </c>
      <c r="AA52" s="811"/>
      <c r="AB52" s="823">
        <f t="shared" si="4"/>
        <v>0</v>
      </c>
      <c r="AC52" s="823">
        <f t="shared" si="5"/>
        <v>0</v>
      </c>
      <c r="AD52" s="811">
        <f t="shared" si="6"/>
        <v>0</v>
      </c>
      <c r="AE52" s="811">
        <f t="shared" si="7"/>
        <v>0</v>
      </c>
      <c r="AF52" s="811"/>
      <c r="AG52" s="778"/>
      <c r="AH52" s="778"/>
      <c r="AI52" s="778"/>
      <c r="AJ52" s="778"/>
      <c r="AK52" s="778"/>
      <c r="AL52" s="778"/>
      <c r="AM52" s="778"/>
      <c r="AN52" s="778"/>
      <c r="AO52" s="778"/>
      <c r="AP52" s="778"/>
      <c r="AQ52" s="778"/>
      <c r="AR52" s="778"/>
      <c r="AS52" s="778"/>
    </row>
    <row r="53" spans="1:45" s="187" customFormat="1" x14ac:dyDescent="0.25">
      <c r="A53" s="890">
        <v>45</v>
      </c>
      <c r="B53" s="187">
        <v>45</v>
      </c>
      <c r="C53" s="812" t="s">
        <v>965</v>
      </c>
      <c r="D53" s="813"/>
      <c r="E53" s="835"/>
      <c r="F53" s="839" t="s">
        <v>854</v>
      </c>
      <c r="G53" s="839"/>
      <c r="H53" s="793"/>
      <c r="I53" s="793"/>
      <c r="J53" s="840" t="s">
        <v>858</v>
      </c>
      <c r="K53" s="839" t="s">
        <v>859</v>
      </c>
      <c r="L53" s="841" t="s">
        <v>900</v>
      </c>
      <c r="M53" s="841" t="s">
        <v>317</v>
      </c>
      <c r="N53" s="838"/>
      <c r="O53" s="838"/>
      <c r="P53" s="838"/>
      <c r="Q53" s="816"/>
      <c r="W53" s="823">
        <f t="shared" si="0"/>
        <v>0</v>
      </c>
      <c r="X53" s="823">
        <f t="shared" si="1"/>
        <v>0</v>
      </c>
      <c r="Y53" s="811">
        <f t="shared" si="2"/>
        <v>0</v>
      </c>
      <c r="Z53" s="811">
        <f t="shared" si="3"/>
        <v>0</v>
      </c>
      <c r="AA53" s="811"/>
      <c r="AB53" s="823">
        <f t="shared" si="4"/>
        <v>0</v>
      </c>
      <c r="AC53" s="823">
        <f t="shared" si="5"/>
        <v>0</v>
      </c>
      <c r="AD53" s="811">
        <f t="shared" si="6"/>
        <v>0</v>
      </c>
      <c r="AE53" s="811">
        <f t="shared" si="7"/>
        <v>0</v>
      </c>
      <c r="AF53" s="811"/>
      <c r="AG53" s="778"/>
      <c r="AH53" s="778"/>
      <c r="AI53" s="778"/>
      <c r="AJ53" s="778"/>
      <c r="AK53" s="778"/>
      <c r="AL53" s="778"/>
      <c r="AM53" s="778"/>
      <c r="AN53" s="778"/>
      <c r="AO53" s="778"/>
      <c r="AP53" s="778"/>
      <c r="AQ53" s="778"/>
      <c r="AR53" s="778"/>
      <c r="AS53" s="778"/>
    </row>
    <row r="54" spans="1:45" s="187" customFormat="1" x14ac:dyDescent="0.25">
      <c r="A54" s="890">
        <v>46</v>
      </c>
      <c r="B54" s="187">
        <v>46</v>
      </c>
      <c r="C54" s="779"/>
      <c r="D54" s="815"/>
      <c r="E54" s="784"/>
      <c r="F54" s="784"/>
      <c r="G54" s="784"/>
      <c r="H54" s="779"/>
      <c r="I54" s="779"/>
      <c r="J54" s="788"/>
      <c r="K54" s="784"/>
      <c r="L54" s="836"/>
      <c r="M54" s="814"/>
      <c r="N54" s="838"/>
      <c r="O54" s="838"/>
      <c r="P54" s="838"/>
      <c r="Q54" s="816"/>
      <c r="W54" s="823">
        <f t="shared" si="0"/>
        <v>0</v>
      </c>
      <c r="X54" s="823">
        <f t="shared" si="1"/>
        <v>0</v>
      </c>
      <c r="Y54" s="811">
        <f t="shared" si="2"/>
        <v>0</v>
      </c>
      <c r="Z54" s="811">
        <f t="shared" si="3"/>
        <v>0</v>
      </c>
      <c r="AA54" s="811"/>
      <c r="AB54" s="823">
        <f t="shared" si="4"/>
        <v>0</v>
      </c>
      <c r="AC54" s="823">
        <f t="shared" si="5"/>
        <v>0</v>
      </c>
      <c r="AD54" s="811">
        <f t="shared" si="6"/>
        <v>0</v>
      </c>
      <c r="AE54" s="811">
        <f t="shared" si="7"/>
        <v>0</v>
      </c>
      <c r="AF54" s="811"/>
      <c r="AG54" s="778"/>
      <c r="AH54" s="778"/>
      <c r="AI54" s="778"/>
      <c r="AJ54" s="778"/>
      <c r="AK54" s="778"/>
      <c r="AL54" s="778"/>
      <c r="AM54" s="778"/>
      <c r="AN54" s="778"/>
      <c r="AO54" s="778"/>
      <c r="AP54" s="778"/>
      <c r="AQ54" s="778"/>
      <c r="AR54" s="778"/>
      <c r="AS54" s="778"/>
    </row>
    <row r="55" spans="1:45" s="187" customFormat="1" x14ac:dyDescent="0.25">
      <c r="A55" s="890">
        <v>47</v>
      </c>
      <c r="B55" s="187">
        <v>47</v>
      </c>
      <c r="C55" s="779" t="s">
        <v>966</v>
      </c>
      <c r="D55" s="815"/>
      <c r="E55" s="784"/>
      <c r="F55" s="784">
        <v>25085</v>
      </c>
      <c r="G55" s="784">
        <v>1</v>
      </c>
      <c r="H55" s="784">
        <v>0</v>
      </c>
      <c r="I55" s="817">
        <v>0</v>
      </c>
      <c r="J55" s="818">
        <v>0.57587235996326902</v>
      </c>
      <c r="K55" s="819">
        <v>250</v>
      </c>
      <c r="L55" s="820">
        <v>172.7617079889807</v>
      </c>
      <c r="M55" s="821">
        <v>0</v>
      </c>
      <c r="N55" s="824">
        <v>0</v>
      </c>
      <c r="O55" s="824"/>
      <c r="P55" s="824"/>
      <c r="Q55" s="816"/>
      <c r="W55" s="823">
        <f t="shared" si="0"/>
        <v>0</v>
      </c>
      <c r="X55" s="823">
        <f t="shared" si="1"/>
        <v>0</v>
      </c>
      <c r="Y55" s="811">
        <f t="shared" si="2"/>
        <v>0</v>
      </c>
      <c r="Z55" s="811">
        <f t="shared" si="3"/>
        <v>0</v>
      </c>
      <c r="AA55" s="811"/>
      <c r="AB55" s="823">
        <f t="shared" si="4"/>
        <v>0</v>
      </c>
      <c r="AC55" s="823">
        <f t="shared" si="5"/>
        <v>0</v>
      </c>
      <c r="AD55" s="811">
        <f t="shared" si="6"/>
        <v>0</v>
      </c>
      <c r="AE55" s="811">
        <f t="shared" si="7"/>
        <v>0</v>
      </c>
      <c r="AF55" s="811"/>
      <c r="AG55" s="778"/>
      <c r="AH55" s="778"/>
      <c r="AI55" s="778"/>
      <c r="AJ55" s="778"/>
      <c r="AK55" s="778"/>
      <c r="AL55" s="778"/>
      <c r="AM55" s="778"/>
      <c r="AN55" s="778"/>
      <c r="AO55" s="778"/>
      <c r="AP55" s="778"/>
      <c r="AQ55" s="778"/>
      <c r="AR55" s="778"/>
      <c r="AS55" s="778"/>
    </row>
    <row r="56" spans="1:45" s="187" customFormat="1" x14ac:dyDescent="0.25">
      <c r="A56" s="890">
        <v>48</v>
      </c>
      <c r="B56" s="187">
        <v>48</v>
      </c>
      <c r="C56" s="779" t="s">
        <v>967</v>
      </c>
      <c r="D56" s="815"/>
      <c r="E56" s="784"/>
      <c r="F56" s="784">
        <v>25097</v>
      </c>
      <c r="G56" s="784">
        <v>1</v>
      </c>
      <c r="H56" s="784">
        <v>0</v>
      </c>
      <c r="I56" s="817">
        <v>0</v>
      </c>
      <c r="J56" s="818">
        <v>0.57614784205693292</v>
      </c>
      <c r="K56" s="819">
        <v>250</v>
      </c>
      <c r="L56" s="820">
        <v>172.84435261707986</v>
      </c>
      <c r="M56" s="821">
        <v>0</v>
      </c>
      <c r="N56" s="824">
        <v>0</v>
      </c>
      <c r="O56" s="824"/>
      <c r="P56" s="824"/>
      <c r="Q56" s="816"/>
      <c r="W56" s="823">
        <f t="shared" si="0"/>
        <v>0</v>
      </c>
      <c r="X56" s="823">
        <f t="shared" si="1"/>
        <v>0</v>
      </c>
      <c r="Y56" s="811">
        <f t="shared" si="2"/>
        <v>0</v>
      </c>
      <c r="Z56" s="811">
        <f t="shared" si="3"/>
        <v>0</v>
      </c>
      <c r="AA56" s="811"/>
      <c r="AB56" s="823">
        <f t="shared" si="4"/>
        <v>0</v>
      </c>
      <c r="AC56" s="823">
        <f t="shared" si="5"/>
        <v>0</v>
      </c>
      <c r="AD56" s="811">
        <f t="shared" si="6"/>
        <v>0</v>
      </c>
      <c r="AE56" s="811">
        <f t="shared" si="7"/>
        <v>0</v>
      </c>
      <c r="AF56" s="811"/>
      <c r="AG56" s="778"/>
      <c r="AH56" s="778"/>
      <c r="AI56" s="778"/>
      <c r="AJ56" s="778"/>
      <c r="AK56" s="778"/>
      <c r="AL56" s="778"/>
      <c r="AM56" s="778"/>
      <c r="AN56" s="778"/>
      <c r="AO56" s="778"/>
      <c r="AP56" s="778"/>
      <c r="AQ56" s="778"/>
      <c r="AR56" s="778"/>
      <c r="AS56" s="778"/>
    </row>
    <row r="57" spans="1:45" s="187" customFormat="1" x14ac:dyDescent="0.25">
      <c r="A57" s="890">
        <v>49</v>
      </c>
      <c r="B57" s="187">
        <v>49</v>
      </c>
      <c r="C57" s="779" t="s">
        <v>968</v>
      </c>
      <c r="D57" s="815"/>
      <c r="E57" s="784"/>
      <c r="F57" s="784">
        <v>25033</v>
      </c>
      <c r="G57" s="784">
        <v>1</v>
      </c>
      <c r="H57" s="784">
        <v>0</v>
      </c>
      <c r="I57" s="817">
        <v>0</v>
      </c>
      <c r="J57" s="818">
        <v>0.57467860422405881</v>
      </c>
      <c r="K57" s="819">
        <v>250</v>
      </c>
      <c r="L57" s="820">
        <v>172.40358126721765</v>
      </c>
      <c r="M57" s="821">
        <v>0</v>
      </c>
      <c r="N57" s="824">
        <v>0</v>
      </c>
      <c r="O57" s="824"/>
      <c r="P57" s="824"/>
      <c r="Q57" s="816"/>
      <c r="W57" s="823">
        <f t="shared" si="0"/>
        <v>0</v>
      </c>
      <c r="X57" s="823">
        <f t="shared" si="1"/>
        <v>0</v>
      </c>
      <c r="Y57" s="811">
        <f t="shared" si="2"/>
        <v>0</v>
      </c>
      <c r="Z57" s="811">
        <f t="shared" si="3"/>
        <v>0</v>
      </c>
      <c r="AA57" s="811"/>
      <c r="AB57" s="823">
        <f t="shared" si="4"/>
        <v>0</v>
      </c>
      <c r="AC57" s="823">
        <f t="shared" si="5"/>
        <v>0</v>
      </c>
      <c r="AD57" s="811">
        <f t="shared" si="6"/>
        <v>0</v>
      </c>
      <c r="AE57" s="811">
        <f t="shared" si="7"/>
        <v>0</v>
      </c>
      <c r="AF57" s="811"/>
      <c r="AG57" s="778"/>
      <c r="AH57" s="778"/>
      <c r="AI57" s="778"/>
      <c r="AJ57" s="778"/>
      <c r="AK57" s="778"/>
      <c r="AL57" s="778"/>
      <c r="AM57" s="778"/>
      <c r="AN57" s="778"/>
      <c r="AO57" s="778"/>
      <c r="AP57" s="778"/>
      <c r="AQ57" s="778"/>
      <c r="AR57" s="778"/>
      <c r="AS57" s="778"/>
    </row>
    <row r="58" spans="1:45" s="187" customFormat="1" x14ac:dyDescent="0.25">
      <c r="A58" s="890">
        <v>50</v>
      </c>
      <c r="B58" s="187">
        <v>50</v>
      </c>
      <c r="C58" s="779" t="s">
        <v>969</v>
      </c>
      <c r="D58" s="815"/>
      <c r="E58" s="784"/>
      <c r="F58" s="784">
        <v>25053</v>
      </c>
      <c r="G58" s="784">
        <v>1</v>
      </c>
      <c r="H58" s="784">
        <v>0</v>
      </c>
      <c r="I58" s="817">
        <v>0</v>
      </c>
      <c r="J58" s="818">
        <v>0.57513774104683191</v>
      </c>
      <c r="K58" s="819">
        <v>250</v>
      </c>
      <c r="L58" s="820">
        <v>172.54132231404958</v>
      </c>
      <c r="M58" s="821">
        <v>0</v>
      </c>
      <c r="N58" s="824">
        <v>0</v>
      </c>
      <c r="O58" s="824"/>
      <c r="P58" s="824"/>
      <c r="Q58" s="816"/>
      <c r="W58" s="823">
        <f t="shared" si="0"/>
        <v>0</v>
      </c>
      <c r="X58" s="823">
        <f t="shared" si="1"/>
        <v>0</v>
      </c>
      <c r="Y58" s="811">
        <f t="shared" si="2"/>
        <v>0</v>
      </c>
      <c r="Z58" s="811">
        <f t="shared" si="3"/>
        <v>0</v>
      </c>
      <c r="AA58" s="811"/>
      <c r="AB58" s="823">
        <f t="shared" si="4"/>
        <v>0</v>
      </c>
      <c r="AC58" s="823">
        <f t="shared" si="5"/>
        <v>0</v>
      </c>
      <c r="AD58" s="811">
        <f t="shared" si="6"/>
        <v>0</v>
      </c>
      <c r="AE58" s="811">
        <f t="shared" si="7"/>
        <v>0</v>
      </c>
      <c r="AF58" s="811"/>
      <c r="AG58" s="778"/>
      <c r="AH58" s="778"/>
      <c r="AI58" s="778"/>
      <c r="AJ58" s="778"/>
      <c r="AK58" s="778"/>
      <c r="AL58" s="778"/>
      <c r="AM58" s="778"/>
      <c r="AN58" s="778"/>
      <c r="AO58" s="778"/>
      <c r="AP58" s="778"/>
      <c r="AQ58" s="778"/>
      <c r="AR58" s="778"/>
      <c r="AS58" s="778">
        <v>0</v>
      </c>
    </row>
    <row r="59" spans="1:45" s="187" customFormat="1" x14ac:dyDescent="0.25">
      <c r="A59" s="890">
        <v>51</v>
      </c>
      <c r="B59" s="187">
        <v>51</v>
      </c>
      <c r="C59" s="779" t="s">
        <v>970</v>
      </c>
      <c r="D59" s="815"/>
      <c r="E59" s="784"/>
      <c r="F59" s="784">
        <v>25051</v>
      </c>
      <c r="G59" s="784">
        <v>1</v>
      </c>
      <c r="H59" s="784">
        <v>0</v>
      </c>
      <c r="I59" s="817">
        <v>0</v>
      </c>
      <c r="J59" s="818">
        <v>0.57509182736455466</v>
      </c>
      <c r="K59" s="819">
        <v>250</v>
      </c>
      <c r="L59" s="820">
        <v>172.52754820936639</v>
      </c>
      <c r="M59" s="821">
        <v>0</v>
      </c>
      <c r="N59" s="824">
        <v>0</v>
      </c>
      <c r="O59" s="824"/>
      <c r="P59" s="824"/>
      <c r="Q59" s="816"/>
      <c r="W59" s="823">
        <f t="shared" si="0"/>
        <v>0</v>
      </c>
      <c r="X59" s="823">
        <f t="shared" si="1"/>
        <v>0</v>
      </c>
      <c r="Y59" s="811">
        <f t="shared" si="2"/>
        <v>0</v>
      </c>
      <c r="Z59" s="811">
        <f t="shared" si="3"/>
        <v>0</v>
      </c>
      <c r="AA59" s="811"/>
      <c r="AB59" s="823">
        <f t="shared" si="4"/>
        <v>0</v>
      </c>
      <c r="AC59" s="823">
        <f t="shared" si="5"/>
        <v>0</v>
      </c>
      <c r="AD59" s="811">
        <f t="shared" si="6"/>
        <v>0</v>
      </c>
      <c r="AE59" s="811">
        <f t="shared" si="7"/>
        <v>0</v>
      </c>
      <c r="AF59" s="811"/>
      <c r="AG59" s="778"/>
      <c r="AH59" s="778"/>
      <c r="AI59" s="778"/>
      <c r="AJ59" s="778"/>
      <c r="AK59" s="778"/>
      <c r="AL59" s="778"/>
      <c r="AM59" s="778"/>
      <c r="AN59" s="778"/>
      <c r="AO59" s="778"/>
      <c r="AP59" s="778"/>
      <c r="AQ59" s="778"/>
      <c r="AR59" s="778"/>
      <c r="AS59" s="778"/>
    </row>
    <row r="60" spans="1:45" s="187" customFormat="1" x14ac:dyDescent="0.25">
      <c r="A60" s="890">
        <v>52</v>
      </c>
      <c r="B60" s="187">
        <v>52</v>
      </c>
      <c r="C60" s="779" t="s">
        <v>915</v>
      </c>
      <c r="D60" s="815" t="s">
        <v>971</v>
      </c>
      <c r="E60" s="784" t="s">
        <v>972</v>
      </c>
      <c r="F60" s="784">
        <v>25071</v>
      </c>
      <c r="G60" s="784">
        <v>1</v>
      </c>
      <c r="H60" s="784">
        <v>1</v>
      </c>
      <c r="I60" s="817">
        <v>0.57555096418732787</v>
      </c>
      <c r="J60" s="818">
        <v>0.57555096418732787</v>
      </c>
      <c r="K60" s="819">
        <v>250</v>
      </c>
      <c r="L60" s="820">
        <v>172.66528925619835</v>
      </c>
      <c r="M60" s="821">
        <v>422.66528925619832</v>
      </c>
      <c r="N60" s="822">
        <v>400</v>
      </c>
      <c r="O60" s="822"/>
      <c r="P60" s="822"/>
      <c r="Q60" s="816">
        <v>400</v>
      </c>
      <c r="W60" s="823">
        <f t="shared" si="0"/>
        <v>215</v>
      </c>
      <c r="X60" s="823">
        <f t="shared" si="1"/>
        <v>161.1542699724518</v>
      </c>
      <c r="Y60" s="811">
        <f t="shared" si="2"/>
        <v>376.1542699724518</v>
      </c>
      <c r="Z60" s="811">
        <f t="shared" si="3"/>
        <v>-23.8457300275482</v>
      </c>
      <c r="AA60" s="811"/>
      <c r="AB60" s="823">
        <f t="shared" si="4"/>
        <v>170</v>
      </c>
      <c r="AC60" s="823">
        <f t="shared" si="5"/>
        <v>143.88774104683196</v>
      </c>
      <c r="AD60" s="811">
        <f t="shared" si="6"/>
        <v>313.88774104683193</v>
      </c>
      <c r="AE60" s="811">
        <f t="shared" si="7"/>
        <v>-86.112258953168066</v>
      </c>
      <c r="AF60" s="811"/>
      <c r="AG60" s="778"/>
      <c r="AH60" s="778">
        <v>1</v>
      </c>
      <c r="AI60" s="778"/>
      <c r="AJ60" s="778"/>
      <c r="AK60" s="778"/>
      <c r="AL60" s="778"/>
      <c r="AM60" s="778"/>
      <c r="AN60" s="778"/>
      <c r="AO60" s="778"/>
      <c r="AP60" s="778"/>
      <c r="AQ60" s="778"/>
      <c r="AR60" s="778"/>
      <c r="AS60" s="778"/>
    </row>
    <row r="61" spans="1:45" s="187" customFormat="1" x14ac:dyDescent="0.25">
      <c r="A61" s="890">
        <v>53</v>
      </c>
      <c r="B61" s="187">
        <v>53</v>
      </c>
      <c r="C61" s="779" t="s">
        <v>948</v>
      </c>
      <c r="D61" s="815" t="s">
        <v>973</v>
      </c>
      <c r="E61" s="784" t="s">
        <v>974</v>
      </c>
      <c r="F61" s="784">
        <v>25091</v>
      </c>
      <c r="G61" s="784">
        <v>1</v>
      </c>
      <c r="H61" s="784">
        <v>1</v>
      </c>
      <c r="I61" s="817">
        <v>0.57601010101010097</v>
      </c>
      <c r="J61" s="818">
        <v>0.57601010101010097</v>
      </c>
      <c r="K61" s="819">
        <v>250</v>
      </c>
      <c r="L61" s="820">
        <v>172.80303030303028</v>
      </c>
      <c r="M61" s="821">
        <v>422.80303030303025</v>
      </c>
      <c r="N61" s="822">
        <v>400</v>
      </c>
      <c r="O61" s="822"/>
      <c r="P61" s="822"/>
      <c r="Q61" s="816">
        <v>400</v>
      </c>
      <c r="W61" s="823">
        <f t="shared" si="0"/>
        <v>215</v>
      </c>
      <c r="X61" s="823">
        <f t="shared" si="1"/>
        <v>161.28282828282826</v>
      </c>
      <c r="Y61" s="811">
        <f t="shared" si="2"/>
        <v>376.28282828282829</v>
      </c>
      <c r="Z61" s="811">
        <f t="shared" si="3"/>
        <v>-23.717171717171709</v>
      </c>
      <c r="AA61" s="811"/>
      <c r="AB61" s="823">
        <f t="shared" si="4"/>
        <v>170</v>
      </c>
      <c r="AC61" s="823">
        <f t="shared" si="5"/>
        <v>144.00252525252523</v>
      </c>
      <c r="AD61" s="811">
        <f t="shared" si="6"/>
        <v>314.00252525252523</v>
      </c>
      <c r="AE61" s="811">
        <f t="shared" si="7"/>
        <v>-85.997474747474769</v>
      </c>
      <c r="AF61" s="811"/>
      <c r="AG61" s="778"/>
      <c r="AH61" s="778">
        <v>1</v>
      </c>
      <c r="AI61" s="778"/>
      <c r="AJ61" s="778"/>
      <c r="AK61" s="778"/>
      <c r="AL61" s="778"/>
      <c r="AM61" s="778"/>
      <c r="AN61" s="778"/>
      <c r="AO61" s="778"/>
      <c r="AP61" s="778"/>
      <c r="AQ61" s="778"/>
      <c r="AR61" s="778"/>
      <c r="AS61" s="778"/>
    </row>
    <row r="62" spans="1:45" s="187" customFormat="1" x14ac:dyDescent="0.25">
      <c r="A62" s="890">
        <v>54</v>
      </c>
      <c r="B62" s="187">
        <v>54</v>
      </c>
      <c r="C62" s="779" t="s">
        <v>975</v>
      </c>
      <c r="D62" s="815"/>
      <c r="E62" s="784"/>
      <c r="F62" s="784">
        <v>25065</v>
      </c>
      <c r="G62" s="784">
        <v>1</v>
      </c>
      <c r="H62" s="784">
        <v>0</v>
      </c>
      <c r="I62" s="817">
        <v>0</v>
      </c>
      <c r="J62" s="818">
        <v>0.57541322314049592</v>
      </c>
      <c r="K62" s="819">
        <v>250</v>
      </c>
      <c r="L62" s="820">
        <v>172.62396694214877</v>
      </c>
      <c r="M62" s="821">
        <v>0</v>
      </c>
      <c r="N62" s="824">
        <v>0</v>
      </c>
      <c r="O62" s="824"/>
      <c r="P62" s="824"/>
      <c r="Q62" s="816"/>
      <c r="W62" s="823">
        <f t="shared" si="0"/>
        <v>0</v>
      </c>
      <c r="X62" s="823">
        <f t="shared" si="1"/>
        <v>0</v>
      </c>
      <c r="Y62" s="811">
        <f t="shared" si="2"/>
        <v>0</v>
      </c>
      <c r="Z62" s="811">
        <f t="shared" si="3"/>
        <v>0</v>
      </c>
      <c r="AA62" s="811"/>
      <c r="AB62" s="823">
        <f t="shared" si="4"/>
        <v>0</v>
      </c>
      <c r="AC62" s="823">
        <f t="shared" si="5"/>
        <v>0</v>
      </c>
      <c r="AD62" s="811">
        <f t="shared" si="6"/>
        <v>0</v>
      </c>
      <c r="AE62" s="811">
        <f t="shared" si="7"/>
        <v>0</v>
      </c>
      <c r="AF62" s="811"/>
      <c r="AG62" s="778"/>
      <c r="AH62" s="778"/>
      <c r="AI62" s="778"/>
      <c r="AJ62" s="778"/>
      <c r="AK62" s="778"/>
      <c r="AL62" s="778"/>
      <c r="AM62" s="778"/>
      <c r="AN62" s="778"/>
      <c r="AO62" s="778"/>
      <c r="AP62" s="778"/>
      <c r="AQ62" s="778"/>
      <c r="AR62" s="778"/>
      <c r="AS62" s="778"/>
    </row>
    <row r="63" spans="1:45" s="187" customFormat="1" x14ac:dyDescent="0.25">
      <c r="A63" s="890">
        <v>55</v>
      </c>
      <c r="B63" s="187">
        <v>55</v>
      </c>
      <c r="C63" s="779" t="s">
        <v>953</v>
      </c>
      <c r="D63" s="815" t="s">
        <v>976</v>
      </c>
      <c r="E63" s="784" t="s">
        <v>977</v>
      </c>
      <c r="F63" s="784">
        <v>25027</v>
      </c>
      <c r="G63" s="784">
        <v>1</v>
      </c>
      <c r="H63" s="784">
        <v>1</v>
      </c>
      <c r="I63" s="817">
        <v>0.57454086317722686</v>
      </c>
      <c r="J63" s="818">
        <v>0.57454086317722686</v>
      </c>
      <c r="K63" s="819">
        <v>250</v>
      </c>
      <c r="L63" s="820">
        <v>172.36225895316807</v>
      </c>
      <c r="M63" s="821">
        <v>422.36225895316807</v>
      </c>
      <c r="N63" s="822">
        <v>400</v>
      </c>
      <c r="O63" s="822"/>
      <c r="P63" s="822"/>
      <c r="Q63" s="816">
        <v>200</v>
      </c>
      <c r="W63" s="823">
        <f t="shared" si="0"/>
        <v>215</v>
      </c>
      <c r="X63" s="823">
        <f t="shared" si="1"/>
        <v>160.87144168962351</v>
      </c>
      <c r="Y63" s="811">
        <f t="shared" si="2"/>
        <v>375.87144168962351</v>
      </c>
      <c r="Z63" s="811">
        <f t="shared" si="3"/>
        <v>-24.128558310376491</v>
      </c>
      <c r="AA63" s="811"/>
      <c r="AB63" s="823">
        <f t="shared" si="4"/>
        <v>170</v>
      </c>
      <c r="AC63" s="823">
        <f t="shared" si="5"/>
        <v>143.6352157943067</v>
      </c>
      <c r="AD63" s="811">
        <f t="shared" si="6"/>
        <v>313.6352157943067</v>
      </c>
      <c r="AE63" s="811">
        <f t="shared" si="7"/>
        <v>-86.364784205693297</v>
      </c>
      <c r="AF63" s="811"/>
      <c r="AG63" s="778"/>
      <c r="AH63" s="778">
        <v>1</v>
      </c>
      <c r="AI63" s="778"/>
      <c r="AJ63" s="778"/>
      <c r="AK63" s="778"/>
      <c r="AL63" s="778"/>
      <c r="AM63" s="778"/>
      <c r="AN63" s="778"/>
      <c r="AO63" s="778"/>
      <c r="AP63" s="778"/>
      <c r="AQ63" s="778"/>
      <c r="AR63" s="778"/>
      <c r="AS63" s="778"/>
    </row>
    <row r="64" spans="1:45" s="187" customFormat="1" x14ac:dyDescent="0.25">
      <c r="A64" s="890">
        <v>56</v>
      </c>
      <c r="B64" s="187">
        <v>56</v>
      </c>
      <c r="C64" s="779" t="s">
        <v>978</v>
      </c>
      <c r="D64" s="815"/>
      <c r="E64" s="784"/>
      <c r="F64" s="784">
        <v>24983</v>
      </c>
      <c r="G64" s="784">
        <v>1</v>
      </c>
      <c r="H64" s="784">
        <v>0</v>
      </c>
      <c r="I64" s="817">
        <v>0</v>
      </c>
      <c r="J64" s="818">
        <v>0.57353076216712584</v>
      </c>
      <c r="K64" s="819">
        <v>250</v>
      </c>
      <c r="L64" s="820">
        <v>172.05922865013775</v>
      </c>
      <c r="M64" s="821">
        <v>0</v>
      </c>
      <c r="N64" s="824">
        <v>0</v>
      </c>
      <c r="O64" s="824"/>
      <c r="P64" s="824"/>
      <c r="Q64" s="816"/>
      <c r="W64" s="823">
        <f t="shared" si="0"/>
        <v>0</v>
      </c>
      <c r="X64" s="823">
        <f t="shared" si="1"/>
        <v>0</v>
      </c>
      <c r="Y64" s="811">
        <f t="shared" si="2"/>
        <v>0</v>
      </c>
      <c r="Z64" s="811">
        <f t="shared" si="3"/>
        <v>0</v>
      </c>
      <c r="AA64" s="811"/>
      <c r="AB64" s="823">
        <f t="shared" si="4"/>
        <v>0</v>
      </c>
      <c r="AC64" s="823">
        <f t="shared" si="5"/>
        <v>0</v>
      </c>
      <c r="AD64" s="811">
        <f t="shared" si="6"/>
        <v>0</v>
      </c>
      <c r="AE64" s="811">
        <f t="shared" si="7"/>
        <v>0</v>
      </c>
      <c r="AF64" s="811"/>
      <c r="AG64" s="778"/>
      <c r="AH64" s="778"/>
      <c r="AI64" s="778"/>
      <c r="AJ64" s="778"/>
      <c r="AK64" s="778"/>
      <c r="AL64" s="778"/>
      <c r="AM64" s="778"/>
      <c r="AN64" s="778"/>
      <c r="AO64" s="778"/>
      <c r="AP64" s="778"/>
      <c r="AQ64" s="778"/>
      <c r="AR64" s="778"/>
      <c r="AS64" s="778"/>
    </row>
    <row r="65" spans="1:34" s="187" customFormat="1" x14ac:dyDescent="0.25">
      <c r="A65" s="890">
        <v>57</v>
      </c>
      <c r="B65" s="187">
        <v>57</v>
      </c>
      <c r="C65" s="779" t="s">
        <v>979</v>
      </c>
      <c r="D65" s="815"/>
      <c r="E65" s="784"/>
      <c r="F65" s="784">
        <v>25082</v>
      </c>
      <c r="G65" s="784">
        <v>1</v>
      </c>
      <c r="H65" s="784">
        <v>0</v>
      </c>
      <c r="I65" s="817">
        <v>0</v>
      </c>
      <c r="J65" s="818">
        <v>0.57580348943985304</v>
      </c>
      <c r="K65" s="819">
        <v>250</v>
      </c>
      <c r="L65" s="820">
        <v>172.74104683195591</v>
      </c>
      <c r="M65" s="821">
        <v>0</v>
      </c>
      <c r="N65" s="824">
        <v>0</v>
      </c>
      <c r="O65" s="824"/>
      <c r="P65" s="824"/>
      <c r="Q65" s="816"/>
      <c r="W65" s="823">
        <f t="shared" si="0"/>
        <v>0</v>
      </c>
      <c r="X65" s="823">
        <f t="shared" si="1"/>
        <v>0</v>
      </c>
      <c r="Y65" s="811">
        <f t="shared" si="2"/>
        <v>0</v>
      </c>
      <c r="Z65" s="811">
        <f t="shared" si="3"/>
        <v>0</v>
      </c>
      <c r="AA65" s="811"/>
      <c r="AB65" s="823">
        <f t="shared" si="4"/>
        <v>0</v>
      </c>
      <c r="AC65" s="823">
        <f t="shared" si="5"/>
        <v>0</v>
      </c>
      <c r="AD65" s="811">
        <f t="shared" si="6"/>
        <v>0</v>
      </c>
      <c r="AE65" s="811">
        <f t="shared" si="7"/>
        <v>0</v>
      </c>
      <c r="AF65" s="811"/>
      <c r="AG65" s="778"/>
      <c r="AH65" s="778"/>
    </row>
    <row r="66" spans="1:34" s="187" customFormat="1" x14ac:dyDescent="0.25">
      <c r="A66" s="890">
        <v>58</v>
      </c>
      <c r="B66" s="187">
        <v>58</v>
      </c>
      <c r="C66" s="779" t="s">
        <v>980</v>
      </c>
      <c r="D66" s="815"/>
      <c r="E66" s="784"/>
      <c r="F66" s="784">
        <v>25087</v>
      </c>
      <c r="G66" s="784">
        <v>1</v>
      </c>
      <c r="H66" s="784">
        <v>0</v>
      </c>
      <c r="I66" s="817">
        <v>0</v>
      </c>
      <c r="J66" s="818">
        <v>0.57591827364554637</v>
      </c>
      <c r="K66" s="819">
        <v>250</v>
      </c>
      <c r="L66" s="820">
        <v>172.77548209366392</v>
      </c>
      <c r="M66" s="821">
        <v>0</v>
      </c>
      <c r="N66" s="824">
        <v>0</v>
      </c>
      <c r="O66" s="824"/>
      <c r="P66" s="824"/>
      <c r="Q66" s="816"/>
      <c r="W66" s="823">
        <f t="shared" si="0"/>
        <v>0</v>
      </c>
      <c r="X66" s="823">
        <f t="shared" si="1"/>
        <v>0</v>
      </c>
      <c r="Y66" s="811">
        <f t="shared" si="2"/>
        <v>0</v>
      </c>
      <c r="Z66" s="811">
        <f t="shared" si="3"/>
        <v>0</v>
      </c>
      <c r="AA66" s="811"/>
      <c r="AB66" s="823">
        <f t="shared" si="4"/>
        <v>0</v>
      </c>
      <c r="AC66" s="823">
        <f t="shared" si="5"/>
        <v>0</v>
      </c>
      <c r="AD66" s="811">
        <f t="shared" si="6"/>
        <v>0</v>
      </c>
      <c r="AE66" s="811">
        <f t="shared" si="7"/>
        <v>0</v>
      </c>
      <c r="AF66" s="811"/>
      <c r="AG66" s="778"/>
      <c r="AH66" s="778"/>
    </row>
    <row r="67" spans="1:34" s="187" customFormat="1" x14ac:dyDescent="0.25">
      <c r="A67" s="890">
        <v>59</v>
      </c>
      <c r="B67" s="187">
        <v>59</v>
      </c>
      <c r="C67" s="779" t="s">
        <v>981</v>
      </c>
      <c r="D67" s="815"/>
      <c r="E67" s="784"/>
      <c r="F67" s="784">
        <v>26024</v>
      </c>
      <c r="G67" s="784">
        <v>1</v>
      </c>
      <c r="H67" s="784">
        <v>0</v>
      </c>
      <c r="I67" s="817">
        <v>0</v>
      </c>
      <c r="J67" s="818">
        <v>0.59742883379247014</v>
      </c>
      <c r="K67" s="819">
        <v>250</v>
      </c>
      <c r="L67" s="820">
        <v>179.22865013774103</v>
      </c>
      <c r="M67" s="821">
        <v>0</v>
      </c>
      <c r="N67" s="824">
        <v>0</v>
      </c>
      <c r="O67" s="824"/>
      <c r="P67" s="824"/>
      <c r="Q67" s="816"/>
      <c r="W67" s="823">
        <f t="shared" si="0"/>
        <v>0</v>
      </c>
      <c r="X67" s="823">
        <f t="shared" si="1"/>
        <v>0</v>
      </c>
      <c r="Y67" s="811">
        <f t="shared" si="2"/>
        <v>0</v>
      </c>
      <c r="Z67" s="811">
        <f t="shared" si="3"/>
        <v>0</v>
      </c>
      <c r="AA67" s="811"/>
      <c r="AB67" s="823">
        <f t="shared" si="4"/>
        <v>0</v>
      </c>
      <c r="AC67" s="823">
        <f t="shared" si="5"/>
        <v>0</v>
      </c>
      <c r="AD67" s="811">
        <f t="shared" si="6"/>
        <v>0</v>
      </c>
      <c r="AE67" s="811">
        <f t="shared" si="7"/>
        <v>0</v>
      </c>
      <c r="AF67" s="811"/>
      <c r="AG67" s="778"/>
      <c r="AH67" s="778"/>
    </row>
    <row r="68" spans="1:34" s="187" customFormat="1" x14ac:dyDescent="0.25">
      <c r="A68" s="890">
        <v>60</v>
      </c>
      <c r="B68" s="187">
        <v>60</v>
      </c>
      <c r="C68" s="779" t="s">
        <v>982</v>
      </c>
      <c r="D68" s="815"/>
      <c r="E68" s="784"/>
      <c r="F68" s="784">
        <v>25667</v>
      </c>
      <c r="G68" s="784">
        <v>1</v>
      </c>
      <c r="H68" s="784">
        <v>0</v>
      </c>
      <c r="I68" s="817">
        <v>0</v>
      </c>
      <c r="J68" s="818">
        <v>0.58923324150596879</v>
      </c>
      <c r="K68" s="819">
        <v>250</v>
      </c>
      <c r="L68" s="820">
        <v>176.76997245179064</v>
      </c>
      <c r="M68" s="821">
        <v>0</v>
      </c>
      <c r="N68" s="824">
        <v>0</v>
      </c>
      <c r="O68" s="824"/>
      <c r="P68" s="824"/>
      <c r="Q68" s="816"/>
      <c r="W68" s="823">
        <f t="shared" si="0"/>
        <v>0</v>
      </c>
      <c r="X68" s="823">
        <f t="shared" si="1"/>
        <v>0</v>
      </c>
      <c r="Y68" s="811">
        <f t="shared" si="2"/>
        <v>0</v>
      </c>
      <c r="Z68" s="811">
        <f t="shared" si="3"/>
        <v>0</v>
      </c>
      <c r="AA68" s="811"/>
      <c r="AB68" s="823">
        <f t="shared" si="4"/>
        <v>0</v>
      </c>
      <c r="AC68" s="823">
        <f t="shared" si="5"/>
        <v>0</v>
      </c>
      <c r="AD68" s="811">
        <f t="shared" si="6"/>
        <v>0</v>
      </c>
      <c r="AE68" s="811">
        <f t="shared" si="7"/>
        <v>0</v>
      </c>
      <c r="AF68" s="811"/>
      <c r="AG68" s="778"/>
      <c r="AH68" s="778"/>
    </row>
    <row r="69" spans="1:34" s="187" customFormat="1" x14ac:dyDescent="0.25">
      <c r="A69" s="890">
        <v>61</v>
      </c>
      <c r="B69" s="187">
        <v>61</v>
      </c>
      <c r="C69" s="779" t="s">
        <v>983</v>
      </c>
      <c r="D69" s="815" t="s">
        <v>984</v>
      </c>
      <c r="E69" s="784" t="s">
        <v>985</v>
      </c>
      <c r="F69" s="784">
        <v>27544</v>
      </c>
      <c r="G69" s="784">
        <v>1</v>
      </c>
      <c r="H69" s="784">
        <v>1</v>
      </c>
      <c r="I69" s="817">
        <v>0.63232323232323229</v>
      </c>
      <c r="J69" s="818">
        <v>0.63232323232323229</v>
      </c>
      <c r="K69" s="819">
        <v>250</v>
      </c>
      <c r="L69" s="820">
        <v>189.69696969696969</v>
      </c>
      <c r="M69" s="821">
        <v>439.69696969696969</v>
      </c>
      <c r="N69" s="822">
        <v>400</v>
      </c>
      <c r="O69" s="822"/>
      <c r="P69" s="822"/>
      <c r="Q69" s="816">
        <v>400</v>
      </c>
      <c r="R69" s="779"/>
      <c r="S69" s="779"/>
      <c r="W69" s="823">
        <f t="shared" si="0"/>
        <v>215</v>
      </c>
      <c r="X69" s="823">
        <f t="shared" si="1"/>
        <v>177.05050505050505</v>
      </c>
      <c r="Y69" s="811">
        <f t="shared" si="2"/>
        <v>392.05050505050508</v>
      </c>
      <c r="Z69" s="811">
        <f t="shared" si="3"/>
        <v>-7.9494949494949196</v>
      </c>
      <c r="AA69" s="811"/>
      <c r="AB69" s="823">
        <f t="shared" si="4"/>
        <v>170</v>
      </c>
      <c r="AC69" s="823">
        <f t="shared" si="5"/>
        <v>158.08080808080808</v>
      </c>
      <c r="AD69" s="811">
        <f t="shared" si="6"/>
        <v>328.08080808080808</v>
      </c>
      <c r="AE69" s="811">
        <f t="shared" si="7"/>
        <v>-71.919191919191917</v>
      </c>
      <c r="AF69" s="811"/>
      <c r="AG69" s="778"/>
      <c r="AH69" s="778">
        <v>1</v>
      </c>
    </row>
    <row r="70" spans="1:34" s="187" customFormat="1" x14ac:dyDescent="0.25">
      <c r="A70" s="890">
        <v>62</v>
      </c>
      <c r="B70" s="187">
        <v>62</v>
      </c>
      <c r="C70" s="779" t="s">
        <v>986</v>
      </c>
      <c r="D70" s="815"/>
      <c r="E70" s="784"/>
      <c r="F70" s="784">
        <v>42518</v>
      </c>
      <c r="G70" s="784">
        <v>1</v>
      </c>
      <c r="H70" s="784">
        <v>0</v>
      </c>
      <c r="I70" s="817">
        <v>0</v>
      </c>
      <c r="J70" s="818">
        <v>0.97607897153351697</v>
      </c>
      <c r="K70" s="819">
        <v>250</v>
      </c>
      <c r="L70" s="820">
        <v>292.8236914600551</v>
      </c>
      <c r="M70" s="821">
        <v>0</v>
      </c>
      <c r="N70" s="824">
        <v>0</v>
      </c>
      <c r="O70" s="824"/>
      <c r="P70" s="824"/>
      <c r="Q70" s="816"/>
      <c r="R70" s="779"/>
      <c r="S70" s="779"/>
      <c r="W70" s="823">
        <f t="shared" si="0"/>
        <v>0</v>
      </c>
      <c r="X70" s="823">
        <f t="shared" si="1"/>
        <v>0</v>
      </c>
      <c r="Y70" s="811">
        <f t="shared" si="2"/>
        <v>0</v>
      </c>
      <c r="Z70" s="811">
        <f t="shared" si="3"/>
        <v>0</v>
      </c>
      <c r="AA70" s="811"/>
      <c r="AB70" s="823">
        <f t="shared" si="4"/>
        <v>0</v>
      </c>
      <c r="AC70" s="823">
        <f t="shared" si="5"/>
        <v>0</v>
      </c>
      <c r="AD70" s="811">
        <f t="shared" si="6"/>
        <v>0</v>
      </c>
      <c r="AE70" s="811">
        <f t="shared" si="7"/>
        <v>0</v>
      </c>
      <c r="AF70" s="811"/>
      <c r="AG70" s="778"/>
      <c r="AH70" s="778"/>
    </row>
    <row r="71" spans="1:34" s="187" customFormat="1" x14ac:dyDescent="0.25">
      <c r="A71" s="890">
        <v>63</v>
      </c>
      <c r="B71" s="187">
        <v>63</v>
      </c>
      <c r="C71" s="845" t="s">
        <v>987</v>
      </c>
      <c r="D71" s="846" t="s">
        <v>988</v>
      </c>
      <c r="E71" s="847" t="s">
        <v>989</v>
      </c>
      <c r="F71" s="847">
        <v>42518</v>
      </c>
      <c r="G71" s="847">
        <v>0</v>
      </c>
      <c r="H71" s="847">
        <v>0</v>
      </c>
      <c r="I71" s="848">
        <v>0</v>
      </c>
      <c r="J71" s="849">
        <v>0.97607897153351697</v>
      </c>
      <c r="K71" s="850">
        <v>0</v>
      </c>
      <c r="L71" s="851">
        <v>292.8236914600551</v>
      </c>
      <c r="M71" s="852">
        <v>0</v>
      </c>
      <c r="N71" s="853">
        <v>0</v>
      </c>
      <c r="O71" s="853"/>
      <c r="P71" s="853"/>
      <c r="Q71" s="852"/>
      <c r="R71" s="779"/>
      <c r="S71" s="779"/>
      <c r="W71" s="823">
        <f t="shared" si="0"/>
        <v>0</v>
      </c>
      <c r="X71" s="823">
        <f t="shared" si="1"/>
        <v>0</v>
      </c>
      <c r="Y71" s="811">
        <f t="shared" si="2"/>
        <v>0</v>
      </c>
      <c r="Z71" s="811">
        <f t="shared" si="3"/>
        <v>0</v>
      </c>
      <c r="AA71" s="811"/>
      <c r="AB71" s="823">
        <f t="shared" si="4"/>
        <v>0</v>
      </c>
      <c r="AC71" s="823">
        <f t="shared" si="5"/>
        <v>0</v>
      </c>
      <c r="AD71" s="811">
        <f t="shared" si="6"/>
        <v>0</v>
      </c>
      <c r="AE71" s="811">
        <f t="shared" si="7"/>
        <v>0</v>
      </c>
      <c r="AF71" s="811"/>
      <c r="AG71" s="778"/>
      <c r="AH71" s="778"/>
    </row>
    <row r="72" spans="1:34" s="187" customFormat="1" x14ac:dyDescent="0.25">
      <c r="A72" s="890">
        <v>64</v>
      </c>
      <c r="B72" s="187">
        <v>64</v>
      </c>
      <c r="C72" s="779" t="s">
        <v>990</v>
      </c>
      <c r="D72" s="815"/>
      <c r="E72" s="784"/>
      <c r="F72" s="784">
        <v>28762</v>
      </c>
      <c r="G72" s="784">
        <v>1</v>
      </c>
      <c r="H72" s="784">
        <v>0</v>
      </c>
      <c r="I72" s="817">
        <v>0</v>
      </c>
      <c r="J72" s="818">
        <v>0.66028466483011938</v>
      </c>
      <c r="K72" s="819">
        <v>250</v>
      </c>
      <c r="L72" s="820">
        <v>198.0853994490358</v>
      </c>
      <c r="M72" s="821">
        <v>0</v>
      </c>
      <c r="N72" s="824">
        <v>0</v>
      </c>
      <c r="O72" s="824"/>
      <c r="P72" s="824"/>
      <c r="Q72" s="816"/>
      <c r="R72" s="779"/>
      <c r="S72" s="779"/>
      <c r="W72" s="823">
        <f t="shared" si="0"/>
        <v>0</v>
      </c>
      <c r="X72" s="823">
        <f t="shared" si="1"/>
        <v>0</v>
      </c>
      <c r="Y72" s="811">
        <f t="shared" si="2"/>
        <v>0</v>
      </c>
      <c r="Z72" s="811">
        <f t="shared" si="3"/>
        <v>0</v>
      </c>
      <c r="AA72" s="811"/>
      <c r="AB72" s="823">
        <f t="shared" si="4"/>
        <v>0</v>
      </c>
      <c r="AC72" s="823">
        <f t="shared" si="5"/>
        <v>0</v>
      </c>
      <c r="AD72" s="811">
        <f t="shared" si="6"/>
        <v>0</v>
      </c>
      <c r="AE72" s="811">
        <f t="shared" si="7"/>
        <v>0</v>
      </c>
      <c r="AF72" s="811"/>
      <c r="AG72" s="778"/>
      <c r="AH72" s="778"/>
    </row>
    <row r="73" spans="1:34" s="187" customFormat="1" x14ac:dyDescent="0.25">
      <c r="A73" s="890">
        <v>65</v>
      </c>
      <c r="B73" s="187">
        <v>65</v>
      </c>
      <c r="C73" s="779" t="s">
        <v>991</v>
      </c>
      <c r="D73" s="815" t="s">
        <v>992</v>
      </c>
      <c r="E73" s="784" t="s">
        <v>993</v>
      </c>
      <c r="F73" s="784">
        <v>24540</v>
      </c>
      <c r="G73" s="784">
        <v>1</v>
      </c>
      <c r="H73" s="784">
        <v>1</v>
      </c>
      <c r="I73" s="817">
        <v>0.5633608815426997</v>
      </c>
      <c r="J73" s="818">
        <v>0.5633608815426997</v>
      </c>
      <c r="K73" s="819">
        <v>250</v>
      </c>
      <c r="L73" s="820">
        <v>169.0082644628099</v>
      </c>
      <c r="M73" s="821">
        <v>419.0082644628099</v>
      </c>
      <c r="N73" s="822">
        <v>400</v>
      </c>
      <c r="O73" s="822"/>
      <c r="P73" s="822"/>
      <c r="Q73" s="816">
        <v>100</v>
      </c>
      <c r="R73" s="779"/>
      <c r="S73" s="779"/>
      <c r="W73" s="823">
        <f t="shared" si="0"/>
        <v>215</v>
      </c>
      <c r="X73" s="823">
        <f t="shared" si="1"/>
        <v>157.74104683195591</v>
      </c>
      <c r="Y73" s="811">
        <f t="shared" si="2"/>
        <v>372.74104683195594</v>
      </c>
      <c r="Z73" s="811">
        <f t="shared" si="3"/>
        <v>-27.258953168044059</v>
      </c>
      <c r="AA73" s="811"/>
      <c r="AB73" s="823">
        <f t="shared" si="4"/>
        <v>170</v>
      </c>
      <c r="AC73" s="823">
        <f t="shared" si="5"/>
        <v>140.84022038567491</v>
      </c>
      <c r="AD73" s="811">
        <f t="shared" si="6"/>
        <v>310.84022038567491</v>
      </c>
      <c r="AE73" s="811">
        <f t="shared" si="7"/>
        <v>-89.159779614325089</v>
      </c>
      <c r="AF73" s="811"/>
      <c r="AG73" s="778"/>
      <c r="AH73" s="778">
        <v>1</v>
      </c>
    </row>
    <row r="74" spans="1:34" s="187" customFormat="1" x14ac:dyDescent="0.25">
      <c r="A74" s="890">
        <v>66</v>
      </c>
      <c r="B74" s="187">
        <v>66</v>
      </c>
      <c r="C74" s="779" t="s">
        <v>994</v>
      </c>
      <c r="D74" s="815" t="s">
        <v>995</v>
      </c>
      <c r="E74" s="784" t="s">
        <v>996</v>
      </c>
      <c r="F74" s="784">
        <v>25485</v>
      </c>
      <c r="G74" s="784">
        <v>1</v>
      </c>
      <c r="H74" s="784">
        <v>1</v>
      </c>
      <c r="I74" s="817">
        <v>0.58505509641873277</v>
      </c>
      <c r="J74" s="818">
        <v>0.58505509641873277</v>
      </c>
      <c r="K74" s="819">
        <v>250</v>
      </c>
      <c r="L74" s="820">
        <v>175.51652892561984</v>
      </c>
      <c r="M74" s="821">
        <v>425.51652892561981</v>
      </c>
      <c r="N74" s="822">
        <v>400</v>
      </c>
      <c r="O74" s="822"/>
      <c r="P74" s="822"/>
      <c r="Q74" s="816">
        <v>400</v>
      </c>
      <c r="R74" s="779"/>
      <c r="S74" s="779"/>
      <c r="W74" s="823">
        <f t="shared" si="0"/>
        <v>215</v>
      </c>
      <c r="X74" s="823">
        <f t="shared" si="1"/>
        <v>163.81542699724517</v>
      </c>
      <c r="Y74" s="811">
        <f t="shared" si="2"/>
        <v>378.81542699724514</v>
      </c>
      <c r="Z74" s="811">
        <f t="shared" si="3"/>
        <v>-21.18457300275486</v>
      </c>
      <c r="AA74" s="811"/>
      <c r="AB74" s="823">
        <f t="shared" si="4"/>
        <v>170</v>
      </c>
      <c r="AC74" s="823">
        <f t="shared" si="5"/>
        <v>146.26377410468319</v>
      </c>
      <c r="AD74" s="811">
        <f t="shared" si="6"/>
        <v>316.26377410468319</v>
      </c>
      <c r="AE74" s="811">
        <f t="shared" si="7"/>
        <v>-83.736225895316807</v>
      </c>
      <c r="AF74" s="811"/>
      <c r="AG74" s="778"/>
      <c r="AH74" s="778">
        <v>1</v>
      </c>
    </row>
    <row r="75" spans="1:34" s="187" customFormat="1" x14ac:dyDescent="0.25">
      <c r="A75" s="890">
        <v>67</v>
      </c>
      <c r="B75" s="187">
        <v>67</v>
      </c>
      <c r="C75" s="779" t="s">
        <v>997</v>
      </c>
      <c r="D75" s="815" t="s">
        <v>998</v>
      </c>
      <c r="E75" s="784" t="s">
        <v>999</v>
      </c>
      <c r="F75" s="784">
        <v>24942</v>
      </c>
      <c r="G75" s="784">
        <v>1</v>
      </c>
      <c r="H75" s="784">
        <v>1</v>
      </c>
      <c r="I75" s="817">
        <v>0.5725895316804408</v>
      </c>
      <c r="J75" s="818">
        <v>0.5725895316804408</v>
      </c>
      <c r="K75" s="819">
        <v>250</v>
      </c>
      <c r="L75" s="820">
        <v>171.77685950413223</v>
      </c>
      <c r="M75" s="821">
        <v>421.77685950413223</v>
      </c>
      <c r="N75" s="822">
        <v>400</v>
      </c>
      <c r="O75" s="822"/>
      <c r="P75" s="822"/>
      <c r="Q75" s="816">
        <v>200</v>
      </c>
      <c r="R75" s="779"/>
      <c r="S75" s="779"/>
      <c r="W75" s="823">
        <f t="shared" si="0"/>
        <v>215</v>
      </c>
      <c r="X75" s="823">
        <f t="shared" si="1"/>
        <v>160.32506887052341</v>
      </c>
      <c r="Y75" s="811">
        <f t="shared" si="2"/>
        <v>375.32506887052341</v>
      </c>
      <c r="Z75" s="811">
        <f t="shared" si="3"/>
        <v>-24.67493112947659</v>
      </c>
      <c r="AA75" s="811"/>
      <c r="AB75" s="823">
        <f t="shared" si="4"/>
        <v>170</v>
      </c>
      <c r="AC75" s="823">
        <f t="shared" si="5"/>
        <v>143.1473829201102</v>
      </c>
      <c r="AD75" s="811">
        <f t="shared" si="6"/>
        <v>313.1473829201102</v>
      </c>
      <c r="AE75" s="811">
        <f t="shared" si="7"/>
        <v>-86.852617079889797</v>
      </c>
      <c r="AF75" s="811"/>
      <c r="AG75" s="778"/>
      <c r="AH75" s="778">
        <v>1</v>
      </c>
    </row>
    <row r="76" spans="1:34" s="187" customFormat="1" x14ac:dyDescent="0.25">
      <c r="A76" s="890">
        <v>68</v>
      </c>
      <c r="B76" s="187">
        <v>68</v>
      </c>
      <c r="C76" s="779" t="s">
        <v>1000</v>
      </c>
      <c r="D76" s="815" t="s">
        <v>1001</v>
      </c>
      <c r="E76" s="784" t="s">
        <v>1002</v>
      </c>
      <c r="F76" s="784">
        <v>24905</v>
      </c>
      <c r="G76" s="784">
        <v>1</v>
      </c>
      <c r="H76" s="784">
        <v>1</v>
      </c>
      <c r="I76" s="817">
        <v>0.57174012855831036</v>
      </c>
      <c r="J76" s="818">
        <v>0.57174012855831036</v>
      </c>
      <c r="K76" s="819">
        <v>250</v>
      </c>
      <c r="L76" s="820">
        <v>171.5220385674931</v>
      </c>
      <c r="M76" s="821">
        <v>421.5220385674931</v>
      </c>
      <c r="N76" s="822">
        <v>400</v>
      </c>
      <c r="O76" s="822"/>
      <c r="P76" s="822"/>
      <c r="Q76" s="816">
        <v>200</v>
      </c>
      <c r="R76" s="779"/>
      <c r="S76" s="825">
        <v>39205</v>
      </c>
      <c r="W76" s="823">
        <f t="shared" si="0"/>
        <v>215</v>
      </c>
      <c r="X76" s="823">
        <f t="shared" si="1"/>
        <v>160.08723599632691</v>
      </c>
      <c r="Y76" s="811">
        <f t="shared" si="2"/>
        <v>375.08723599632691</v>
      </c>
      <c r="Z76" s="811">
        <f t="shared" si="3"/>
        <v>-24.91276400367309</v>
      </c>
      <c r="AA76" s="811"/>
      <c r="AB76" s="823">
        <f t="shared" si="4"/>
        <v>170</v>
      </c>
      <c r="AC76" s="823">
        <f t="shared" si="5"/>
        <v>142.9350321395776</v>
      </c>
      <c r="AD76" s="811">
        <f t="shared" si="6"/>
        <v>312.93503213957763</v>
      </c>
      <c r="AE76" s="811">
        <f t="shared" si="7"/>
        <v>-87.064967860422371</v>
      </c>
      <c r="AF76" s="811"/>
      <c r="AG76" s="778"/>
      <c r="AH76" s="778">
        <v>1</v>
      </c>
    </row>
    <row r="77" spans="1:34" s="187" customFormat="1" x14ac:dyDescent="0.25">
      <c r="A77" s="890">
        <v>69</v>
      </c>
      <c r="B77" s="187">
        <v>69</v>
      </c>
      <c r="C77" s="779" t="s">
        <v>1003</v>
      </c>
      <c r="D77" s="815" t="s">
        <v>1004</v>
      </c>
      <c r="E77" s="784" t="s">
        <v>1005</v>
      </c>
      <c r="F77" s="784">
        <v>25039</v>
      </c>
      <c r="G77" s="784">
        <v>1</v>
      </c>
      <c r="H77" s="784">
        <v>1</v>
      </c>
      <c r="I77" s="817">
        <v>0.57481634527089076</v>
      </c>
      <c r="J77" s="818">
        <v>0.57481634527089076</v>
      </c>
      <c r="K77" s="819">
        <v>250</v>
      </c>
      <c r="L77" s="820">
        <v>172.44490358126723</v>
      </c>
      <c r="M77" s="821">
        <v>422.44490358126723</v>
      </c>
      <c r="N77" s="822">
        <v>400</v>
      </c>
      <c r="O77" s="822"/>
      <c r="P77" s="822"/>
      <c r="Q77" s="816">
        <v>200</v>
      </c>
      <c r="R77" s="779"/>
      <c r="S77" s="779"/>
      <c r="W77" s="823">
        <f t="shared" ref="W77:W140" si="8">IF(H77=1,$W$9,0)</f>
        <v>215</v>
      </c>
      <c r="X77" s="823">
        <f t="shared" ref="X77:X140" si="9">IF(H77=1,$X$9*I77,0)</f>
        <v>160.94857667584941</v>
      </c>
      <c r="Y77" s="811">
        <f t="shared" ref="Y77:Y140" si="10">+X77+W77</f>
        <v>375.94857667584938</v>
      </c>
      <c r="Z77" s="811">
        <f t="shared" ref="Z77:Z140" si="11">IF(H77=1,Y77-400,0)</f>
        <v>-24.051423324150619</v>
      </c>
      <c r="AA77" s="811"/>
      <c r="AB77" s="823">
        <f t="shared" ref="AB77:AB140" si="12">IF($H77=1,$AB$9,0)</f>
        <v>170</v>
      </c>
      <c r="AC77" s="823">
        <f t="shared" ref="AC77:AC140" si="13">IF($H77=1,$AC$9*I77,0)</f>
        <v>143.7040863177227</v>
      </c>
      <c r="AD77" s="811">
        <f t="shared" ref="AD77:AD140" si="14">+AC77+AB77</f>
        <v>313.70408631772273</v>
      </c>
      <c r="AE77" s="811">
        <f t="shared" ref="AE77:AE140" si="15">IF($H77=1,AD77-400,0)</f>
        <v>-86.295913682277273</v>
      </c>
      <c r="AF77" s="811"/>
      <c r="AG77" s="778"/>
      <c r="AH77" s="778">
        <v>1</v>
      </c>
    </row>
    <row r="78" spans="1:34" s="187" customFormat="1" x14ac:dyDescent="0.25">
      <c r="A78" s="890">
        <v>70</v>
      </c>
      <c r="B78" s="187">
        <v>70</v>
      </c>
      <c r="C78" s="779" t="s">
        <v>1006</v>
      </c>
      <c r="D78" s="815" t="s">
        <v>1007</v>
      </c>
      <c r="E78" s="784" t="s">
        <v>1008</v>
      </c>
      <c r="F78" s="784">
        <v>26354</v>
      </c>
      <c r="G78" s="784">
        <v>1</v>
      </c>
      <c r="H78" s="784">
        <v>1</v>
      </c>
      <c r="I78" s="817">
        <v>0.60500459136822771</v>
      </c>
      <c r="J78" s="818">
        <v>0.60500459136822771</v>
      </c>
      <c r="K78" s="819">
        <v>250</v>
      </c>
      <c r="L78" s="820">
        <v>181.50137741046831</v>
      </c>
      <c r="M78" s="821">
        <v>431.50137741046831</v>
      </c>
      <c r="N78" s="822">
        <v>400</v>
      </c>
      <c r="O78" s="822"/>
      <c r="P78" s="822"/>
      <c r="Q78" s="816">
        <v>400</v>
      </c>
      <c r="R78" s="779"/>
      <c r="S78" s="779"/>
      <c r="W78" s="823">
        <f t="shared" si="8"/>
        <v>215</v>
      </c>
      <c r="X78" s="823">
        <f t="shared" si="9"/>
        <v>169.40128558310377</v>
      </c>
      <c r="Y78" s="811">
        <f t="shared" si="10"/>
        <v>384.4012855831038</v>
      </c>
      <c r="Z78" s="811">
        <f t="shared" si="11"/>
        <v>-15.5987144168962</v>
      </c>
      <c r="AA78" s="811"/>
      <c r="AB78" s="823">
        <f t="shared" si="12"/>
        <v>170</v>
      </c>
      <c r="AC78" s="823">
        <f t="shared" si="13"/>
        <v>151.25114784205692</v>
      </c>
      <c r="AD78" s="811">
        <f t="shared" si="14"/>
        <v>321.25114784205692</v>
      </c>
      <c r="AE78" s="811">
        <f t="shared" si="15"/>
        <v>-78.748852157943077</v>
      </c>
      <c r="AF78" s="811"/>
      <c r="AG78" s="778"/>
      <c r="AH78" s="778">
        <v>1</v>
      </c>
    </row>
    <row r="79" spans="1:34" s="187" customFormat="1" x14ac:dyDescent="0.25">
      <c r="A79" s="890">
        <v>71</v>
      </c>
      <c r="B79" s="187">
        <v>71</v>
      </c>
      <c r="C79" s="779" t="s">
        <v>1009</v>
      </c>
      <c r="D79" s="815" t="s">
        <v>1010</v>
      </c>
      <c r="E79" s="784" t="s">
        <v>1011</v>
      </c>
      <c r="F79" s="784">
        <v>23707</v>
      </c>
      <c r="G79" s="784">
        <v>1</v>
      </c>
      <c r="H79" s="784">
        <v>1</v>
      </c>
      <c r="I79" s="817">
        <v>0.54423783287419647</v>
      </c>
      <c r="J79" s="818">
        <v>0.54423783287419647</v>
      </c>
      <c r="K79" s="819">
        <v>250</v>
      </c>
      <c r="L79" s="820">
        <v>163.27134986225894</v>
      </c>
      <c r="M79" s="821">
        <v>413.27134986225894</v>
      </c>
      <c r="N79" s="822">
        <v>400</v>
      </c>
      <c r="O79" s="822"/>
      <c r="P79" s="822"/>
      <c r="Q79" s="816">
        <v>200</v>
      </c>
      <c r="R79" s="779"/>
      <c r="S79" s="825">
        <v>39205</v>
      </c>
      <c r="W79" s="823">
        <f t="shared" si="8"/>
        <v>215</v>
      </c>
      <c r="X79" s="823">
        <f t="shared" si="9"/>
        <v>152.38659320477501</v>
      </c>
      <c r="Y79" s="811">
        <f t="shared" si="10"/>
        <v>367.38659320477501</v>
      </c>
      <c r="Z79" s="811">
        <f t="shared" si="11"/>
        <v>-32.613406795224989</v>
      </c>
      <c r="AA79" s="811"/>
      <c r="AB79" s="823">
        <f t="shared" si="12"/>
        <v>170</v>
      </c>
      <c r="AC79" s="823">
        <f t="shared" si="13"/>
        <v>136.05945821854911</v>
      </c>
      <c r="AD79" s="811">
        <f t="shared" si="14"/>
        <v>306.05945821854914</v>
      </c>
      <c r="AE79" s="811">
        <f t="shared" si="15"/>
        <v>-93.940541781450861</v>
      </c>
      <c r="AF79" s="811"/>
      <c r="AG79" s="778"/>
      <c r="AH79" s="778">
        <v>1</v>
      </c>
    </row>
    <row r="80" spans="1:34" s="187" customFormat="1" x14ac:dyDescent="0.25">
      <c r="A80" s="890">
        <v>72</v>
      </c>
      <c r="B80" s="187">
        <v>72</v>
      </c>
      <c r="C80" s="779" t="s">
        <v>1012</v>
      </c>
      <c r="D80" s="815" t="s">
        <v>1013</v>
      </c>
      <c r="E80" s="784" t="s">
        <v>1014</v>
      </c>
      <c r="F80" s="784">
        <v>27836</v>
      </c>
      <c r="G80" s="784">
        <v>1</v>
      </c>
      <c r="H80" s="784">
        <v>1</v>
      </c>
      <c r="I80" s="817">
        <v>0.63902662993572079</v>
      </c>
      <c r="J80" s="818">
        <v>0.63902662993572079</v>
      </c>
      <c r="K80" s="819">
        <v>250</v>
      </c>
      <c r="L80" s="820">
        <v>191.70798898071624</v>
      </c>
      <c r="M80" s="821">
        <v>441.70798898071621</v>
      </c>
      <c r="N80" s="822">
        <v>400</v>
      </c>
      <c r="O80" s="822"/>
      <c r="P80" s="822"/>
      <c r="Q80" s="816">
        <v>200</v>
      </c>
      <c r="R80" s="779"/>
      <c r="S80" s="779"/>
      <c r="W80" s="823">
        <f t="shared" si="8"/>
        <v>215</v>
      </c>
      <c r="X80" s="823">
        <f t="shared" si="9"/>
        <v>178.92745638200182</v>
      </c>
      <c r="Y80" s="811">
        <f t="shared" si="10"/>
        <v>393.92745638200182</v>
      </c>
      <c r="Z80" s="811">
        <f t="shared" si="11"/>
        <v>-6.0725436179981784</v>
      </c>
      <c r="AA80" s="811"/>
      <c r="AB80" s="823">
        <f t="shared" si="12"/>
        <v>170</v>
      </c>
      <c r="AC80" s="823">
        <f t="shared" si="13"/>
        <v>159.75665748393021</v>
      </c>
      <c r="AD80" s="811">
        <f t="shared" si="14"/>
        <v>329.75665748393021</v>
      </c>
      <c r="AE80" s="811">
        <f t="shared" si="15"/>
        <v>-70.243342516069788</v>
      </c>
      <c r="AF80" s="811"/>
      <c r="AG80" s="778"/>
      <c r="AH80" s="778">
        <v>1</v>
      </c>
    </row>
    <row r="81" spans="1:34" s="187" customFormat="1" x14ac:dyDescent="0.25">
      <c r="A81" s="890">
        <v>73</v>
      </c>
      <c r="B81" s="187">
        <v>73</v>
      </c>
      <c r="C81" s="779" t="s">
        <v>1015</v>
      </c>
      <c r="D81" s="815" t="s">
        <v>1016</v>
      </c>
      <c r="E81" s="784" t="s">
        <v>1017</v>
      </c>
      <c r="F81" s="784">
        <v>24224</v>
      </c>
      <c r="G81" s="784">
        <v>1</v>
      </c>
      <c r="H81" s="784">
        <v>1</v>
      </c>
      <c r="I81" s="817">
        <v>0.55610651974288339</v>
      </c>
      <c r="J81" s="818">
        <v>0.55610651974288339</v>
      </c>
      <c r="K81" s="819">
        <v>250</v>
      </c>
      <c r="L81" s="820">
        <v>166.83195592286501</v>
      </c>
      <c r="M81" s="821">
        <v>416.83195592286501</v>
      </c>
      <c r="N81" s="822">
        <v>400</v>
      </c>
      <c r="O81" s="822"/>
      <c r="P81" s="822"/>
      <c r="Q81" s="816">
        <v>200</v>
      </c>
      <c r="R81" s="779"/>
      <c r="S81" s="825">
        <v>39205</v>
      </c>
      <c r="W81" s="823">
        <f t="shared" si="8"/>
        <v>215</v>
      </c>
      <c r="X81" s="823">
        <f t="shared" si="9"/>
        <v>155.70982552800734</v>
      </c>
      <c r="Y81" s="811">
        <f t="shared" si="10"/>
        <v>370.70982552800734</v>
      </c>
      <c r="Z81" s="811">
        <f t="shared" si="11"/>
        <v>-29.290174471992657</v>
      </c>
      <c r="AA81" s="811"/>
      <c r="AB81" s="823">
        <f t="shared" si="12"/>
        <v>170</v>
      </c>
      <c r="AC81" s="823">
        <f t="shared" si="13"/>
        <v>139.02662993572085</v>
      </c>
      <c r="AD81" s="811">
        <f t="shared" si="14"/>
        <v>309.02662993572085</v>
      </c>
      <c r="AE81" s="811">
        <f t="shared" si="15"/>
        <v>-90.973370064279152</v>
      </c>
      <c r="AF81" s="811"/>
      <c r="AG81" s="778"/>
      <c r="AH81" s="778">
        <v>1</v>
      </c>
    </row>
    <row r="82" spans="1:34" s="187" customFormat="1" x14ac:dyDescent="0.25">
      <c r="A82" s="890">
        <v>74</v>
      </c>
      <c r="B82" s="187">
        <v>74</v>
      </c>
      <c r="C82" s="779" t="s">
        <v>1018</v>
      </c>
      <c r="D82" s="815" t="s">
        <v>1019</v>
      </c>
      <c r="E82" s="784" t="s">
        <v>1020</v>
      </c>
      <c r="F82" s="784">
        <v>32188</v>
      </c>
      <c r="G82" s="784">
        <v>1</v>
      </c>
      <c r="H82" s="784">
        <v>1</v>
      </c>
      <c r="I82" s="817">
        <v>0.73893480257116617</v>
      </c>
      <c r="J82" s="818">
        <v>0.73893480257116617</v>
      </c>
      <c r="K82" s="819">
        <v>250</v>
      </c>
      <c r="L82" s="820">
        <v>221.68044077134985</v>
      </c>
      <c r="M82" s="821">
        <v>471.68044077134982</v>
      </c>
      <c r="N82" s="822">
        <v>400</v>
      </c>
      <c r="O82" s="822"/>
      <c r="P82" s="822"/>
      <c r="Q82" s="816">
        <v>200</v>
      </c>
      <c r="R82" s="779"/>
      <c r="S82" s="825">
        <v>39205</v>
      </c>
      <c r="W82" s="823">
        <f t="shared" si="8"/>
        <v>215</v>
      </c>
      <c r="X82" s="823">
        <f t="shared" si="9"/>
        <v>206.90174471992654</v>
      </c>
      <c r="Y82" s="811">
        <f t="shared" si="10"/>
        <v>421.90174471992657</v>
      </c>
      <c r="Z82" s="811">
        <f t="shared" si="11"/>
        <v>21.901744719926569</v>
      </c>
      <c r="AA82" s="811"/>
      <c r="AB82" s="823">
        <f t="shared" si="12"/>
        <v>170</v>
      </c>
      <c r="AC82" s="823">
        <f t="shared" si="13"/>
        <v>184.73370064279155</v>
      </c>
      <c r="AD82" s="811">
        <f t="shared" si="14"/>
        <v>354.73370064279152</v>
      </c>
      <c r="AE82" s="811">
        <f t="shared" si="15"/>
        <v>-45.266299357208482</v>
      </c>
      <c r="AF82" s="811"/>
      <c r="AG82" s="778"/>
      <c r="AH82" s="778">
        <v>1</v>
      </c>
    </row>
    <row r="83" spans="1:34" s="187" customFormat="1" x14ac:dyDescent="0.25">
      <c r="A83" s="890">
        <v>75</v>
      </c>
      <c r="B83" s="187">
        <v>75</v>
      </c>
      <c r="C83" s="779" t="s">
        <v>1021</v>
      </c>
      <c r="D83" s="815"/>
      <c r="E83" s="784"/>
      <c r="F83" s="784">
        <v>23280</v>
      </c>
      <c r="G83" s="784">
        <v>1</v>
      </c>
      <c r="H83" s="784">
        <v>0</v>
      </c>
      <c r="I83" s="817">
        <v>0</v>
      </c>
      <c r="J83" s="818">
        <v>0.53443526170798894</v>
      </c>
      <c r="K83" s="819">
        <v>250</v>
      </c>
      <c r="L83" s="820">
        <v>160.33057851239667</v>
      </c>
      <c r="M83" s="821">
        <v>0</v>
      </c>
      <c r="N83" s="824">
        <v>0</v>
      </c>
      <c r="O83" s="824"/>
      <c r="P83" s="824"/>
      <c r="Q83" s="816"/>
      <c r="R83" s="779"/>
      <c r="S83" s="779"/>
      <c r="W83" s="823">
        <f t="shared" si="8"/>
        <v>0</v>
      </c>
      <c r="X83" s="823">
        <f t="shared" si="9"/>
        <v>0</v>
      </c>
      <c r="Y83" s="811">
        <f t="shared" si="10"/>
        <v>0</v>
      </c>
      <c r="Z83" s="811">
        <f t="shared" si="11"/>
        <v>0</v>
      </c>
      <c r="AA83" s="811"/>
      <c r="AB83" s="823">
        <f t="shared" si="12"/>
        <v>0</v>
      </c>
      <c r="AC83" s="823">
        <f t="shared" si="13"/>
        <v>0</v>
      </c>
      <c r="AD83" s="811">
        <f t="shared" si="14"/>
        <v>0</v>
      </c>
      <c r="AE83" s="811">
        <f t="shared" si="15"/>
        <v>0</v>
      </c>
      <c r="AF83" s="811"/>
      <c r="AG83" s="778"/>
      <c r="AH83" s="778"/>
    </row>
    <row r="84" spans="1:34" s="187" customFormat="1" x14ac:dyDescent="0.25">
      <c r="A84" s="890">
        <v>76</v>
      </c>
      <c r="B84" s="187">
        <v>76</v>
      </c>
      <c r="C84" s="779" t="s">
        <v>1022</v>
      </c>
      <c r="D84" s="815"/>
      <c r="E84" s="784"/>
      <c r="F84" s="784">
        <v>23021</v>
      </c>
      <c r="G84" s="784">
        <v>1</v>
      </c>
      <c r="H84" s="784">
        <v>0</v>
      </c>
      <c r="I84" s="817">
        <v>0</v>
      </c>
      <c r="J84" s="818">
        <v>0.52848943985307617</v>
      </c>
      <c r="K84" s="819">
        <v>250</v>
      </c>
      <c r="L84" s="820">
        <v>158.54683195592284</v>
      </c>
      <c r="M84" s="821">
        <v>0</v>
      </c>
      <c r="N84" s="824">
        <v>0</v>
      </c>
      <c r="O84" s="824"/>
      <c r="P84" s="824"/>
      <c r="Q84" s="816"/>
      <c r="R84" s="779"/>
      <c r="S84" s="779"/>
      <c r="W84" s="823">
        <f t="shared" si="8"/>
        <v>0</v>
      </c>
      <c r="X84" s="823">
        <f t="shared" si="9"/>
        <v>0</v>
      </c>
      <c r="Y84" s="811">
        <f t="shared" si="10"/>
        <v>0</v>
      </c>
      <c r="Z84" s="811">
        <f t="shared" si="11"/>
        <v>0</v>
      </c>
      <c r="AA84" s="811"/>
      <c r="AB84" s="823">
        <f t="shared" si="12"/>
        <v>0</v>
      </c>
      <c r="AC84" s="823">
        <f t="shared" si="13"/>
        <v>0</v>
      </c>
      <c r="AD84" s="811">
        <f t="shared" si="14"/>
        <v>0</v>
      </c>
      <c r="AE84" s="811">
        <f t="shared" si="15"/>
        <v>0</v>
      </c>
      <c r="AF84" s="811"/>
      <c r="AG84" s="778"/>
      <c r="AH84" s="778"/>
    </row>
    <row r="85" spans="1:34" s="187" customFormat="1" x14ac:dyDescent="0.25">
      <c r="A85" s="890">
        <v>77</v>
      </c>
      <c r="B85" s="187">
        <v>77</v>
      </c>
      <c r="C85" s="779" t="s">
        <v>1023</v>
      </c>
      <c r="D85" s="815"/>
      <c r="E85" s="784"/>
      <c r="F85" s="784">
        <v>24743</v>
      </c>
      <c r="G85" s="784">
        <v>1</v>
      </c>
      <c r="H85" s="784">
        <v>0</v>
      </c>
      <c r="I85" s="817">
        <v>0</v>
      </c>
      <c r="J85" s="818">
        <v>0.56802112029384755</v>
      </c>
      <c r="K85" s="819">
        <v>250</v>
      </c>
      <c r="L85" s="820">
        <v>170.40633608815426</v>
      </c>
      <c r="M85" s="821">
        <v>0</v>
      </c>
      <c r="N85" s="824">
        <v>0</v>
      </c>
      <c r="O85" s="824"/>
      <c r="P85" s="824"/>
      <c r="Q85" s="816"/>
      <c r="W85" s="823">
        <f t="shared" si="8"/>
        <v>0</v>
      </c>
      <c r="X85" s="823">
        <f t="shared" si="9"/>
        <v>0</v>
      </c>
      <c r="Y85" s="811">
        <f t="shared" si="10"/>
        <v>0</v>
      </c>
      <c r="Z85" s="811">
        <f t="shared" si="11"/>
        <v>0</v>
      </c>
      <c r="AA85" s="811"/>
      <c r="AB85" s="823">
        <f t="shared" si="12"/>
        <v>0</v>
      </c>
      <c r="AC85" s="823">
        <f t="shared" si="13"/>
        <v>0</v>
      </c>
      <c r="AD85" s="811">
        <f t="shared" si="14"/>
        <v>0</v>
      </c>
      <c r="AE85" s="811">
        <f t="shared" si="15"/>
        <v>0</v>
      </c>
      <c r="AF85" s="811"/>
      <c r="AG85" s="778"/>
      <c r="AH85" s="778"/>
    </row>
    <row r="86" spans="1:34" s="187" customFormat="1" x14ac:dyDescent="0.25">
      <c r="A86" s="890">
        <v>78</v>
      </c>
      <c r="B86" s="187">
        <v>78</v>
      </c>
      <c r="C86" s="779" t="s">
        <v>1024</v>
      </c>
      <c r="D86" s="815" t="s">
        <v>1025</v>
      </c>
      <c r="E86" s="784" t="s">
        <v>1026</v>
      </c>
      <c r="F86" s="784">
        <v>27576</v>
      </c>
      <c r="G86" s="784">
        <v>1</v>
      </c>
      <c r="H86" s="784">
        <v>1</v>
      </c>
      <c r="I86" s="817">
        <v>0.6330578512396694</v>
      </c>
      <c r="J86" s="818">
        <v>0.6330578512396694</v>
      </c>
      <c r="K86" s="819">
        <v>250</v>
      </c>
      <c r="L86" s="820">
        <v>189.91735537190081</v>
      </c>
      <c r="M86" s="821">
        <v>439.91735537190084</v>
      </c>
      <c r="N86" s="822">
        <v>400</v>
      </c>
      <c r="O86" s="822"/>
      <c r="P86" s="822"/>
      <c r="Q86" s="816">
        <v>400</v>
      </c>
      <c r="W86" s="823">
        <f t="shared" si="8"/>
        <v>215</v>
      </c>
      <c r="X86" s="823">
        <f t="shared" si="9"/>
        <v>177.25619834710744</v>
      </c>
      <c r="Y86" s="811">
        <f t="shared" si="10"/>
        <v>392.25619834710744</v>
      </c>
      <c r="Z86" s="811">
        <f t="shared" si="11"/>
        <v>-7.7438016528925573</v>
      </c>
      <c r="AA86" s="811"/>
      <c r="AB86" s="823">
        <f t="shared" si="12"/>
        <v>170</v>
      </c>
      <c r="AC86" s="823">
        <f t="shared" si="13"/>
        <v>158.26446280991735</v>
      </c>
      <c r="AD86" s="811">
        <f t="shared" si="14"/>
        <v>328.26446280991735</v>
      </c>
      <c r="AE86" s="811">
        <f t="shared" si="15"/>
        <v>-71.735537190082653</v>
      </c>
      <c r="AF86" s="811"/>
      <c r="AG86" s="778"/>
      <c r="AH86" s="778">
        <v>1</v>
      </c>
    </row>
    <row r="87" spans="1:34" s="187" customFormat="1" x14ac:dyDescent="0.25">
      <c r="A87" s="890">
        <v>79</v>
      </c>
      <c r="B87" s="187">
        <v>79</v>
      </c>
      <c r="C87" s="779" t="s">
        <v>1027</v>
      </c>
      <c r="D87" s="815" t="s">
        <v>1028</v>
      </c>
      <c r="E87" s="784" t="s">
        <v>1029</v>
      </c>
      <c r="F87" s="784">
        <v>28203</v>
      </c>
      <c r="G87" s="784">
        <v>1</v>
      </c>
      <c r="H87" s="784">
        <v>1</v>
      </c>
      <c r="I87" s="817">
        <v>0.6474517906336088</v>
      </c>
      <c r="J87" s="818">
        <v>0.6474517906336088</v>
      </c>
      <c r="K87" s="819">
        <v>250</v>
      </c>
      <c r="L87" s="820">
        <v>194.23553719008265</v>
      </c>
      <c r="M87" s="821">
        <v>444.23553719008265</v>
      </c>
      <c r="N87" s="822">
        <v>400</v>
      </c>
      <c r="O87" s="822"/>
      <c r="P87" s="822"/>
      <c r="Q87" s="816">
        <v>200</v>
      </c>
      <c r="W87" s="823">
        <f t="shared" si="8"/>
        <v>215</v>
      </c>
      <c r="X87" s="823">
        <f t="shared" si="9"/>
        <v>181.28650137741047</v>
      </c>
      <c r="Y87" s="811">
        <f t="shared" si="10"/>
        <v>396.28650137741045</v>
      </c>
      <c r="Z87" s="811">
        <f t="shared" si="11"/>
        <v>-3.7134986225895545</v>
      </c>
      <c r="AA87" s="811"/>
      <c r="AB87" s="823">
        <f t="shared" si="12"/>
        <v>170</v>
      </c>
      <c r="AC87" s="823">
        <f t="shared" si="13"/>
        <v>161.86294765840219</v>
      </c>
      <c r="AD87" s="811">
        <f t="shared" si="14"/>
        <v>331.86294765840216</v>
      </c>
      <c r="AE87" s="811">
        <f t="shared" si="15"/>
        <v>-68.137052341597837</v>
      </c>
      <c r="AF87" s="811"/>
      <c r="AG87" s="778"/>
      <c r="AH87" s="778">
        <v>1</v>
      </c>
    </row>
    <row r="88" spans="1:34" s="187" customFormat="1" x14ac:dyDescent="0.25">
      <c r="A88" s="890">
        <v>80</v>
      </c>
      <c r="B88" s="187">
        <v>80</v>
      </c>
      <c r="C88" s="779" t="s">
        <v>1030</v>
      </c>
      <c r="D88" s="815"/>
      <c r="E88" s="784"/>
      <c r="F88" s="784">
        <v>25306</v>
      </c>
      <c r="G88" s="784">
        <v>1</v>
      </c>
      <c r="H88" s="784">
        <v>0</v>
      </c>
      <c r="I88" s="817">
        <v>0</v>
      </c>
      <c r="J88" s="818">
        <v>0.58094582185491273</v>
      </c>
      <c r="K88" s="819">
        <v>250</v>
      </c>
      <c r="L88" s="820">
        <v>174.28374655647383</v>
      </c>
      <c r="M88" s="821">
        <v>0</v>
      </c>
      <c r="N88" s="824">
        <v>0</v>
      </c>
      <c r="O88" s="824"/>
      <c r="P88" s="824"/>
      <c r="Q88" s="816"/>
      <c r="W88" s="823">
        <f t="shared" si="8"/>
        <v>0</v>
      </c>
      <c r="X88" s="823">
        <f t="shared" si="9"/>
        <v>0</v>
      </c>
      <c r="Y88" s="811">
        <f t="shared" si="10"/>
        <v>0</v>
      </c>
      <c r="Z88" s="811">
        <f t="shared" si="11"/>
        <v>0</v>
      </c>
      <c r="AA88" s="811"/>
      <c r="AB88" s="823">
        <f t="shared" si="12"/>
        <v>0</v>
      </c>
      <c r="AC88" s="823">
        <f t="shared" si="13"/>
        <v>0</v>
      </c>
      <c r="AD88" s="811">
        <f t="shared" si="14"/>
        <v>0</v>
      </c>
      <c r="AE88" s="811">
        <f t="shared" si="15"/>
        <v>0</v>
      </c>
      <c r="AF88" s="811"/>
      <c r="AG88" s="778"/>
      <c r="AH88" s="778"/>
    </row>
    <row r="89" spans="1:34" s="187" customFormat="1" x14ac:dyDescent="0.25">
      <c r="A89" s="890">
        <v>81</v>
      </c>
      <c r="B89" s="187">
        <v>81</v>
      </c>
      <c r="C89" s="779" t="s">
        <v>1031</v>
      </c>
      <c r="D89" s="815" t="s">
        <v>1032</v>
      </c>
      <c r="E89" s="784" t="s">
        <v>1033</v>
      </c>
      <c r="F89" s="784">
        <v>26962</v>
      </c>
      <c r="G89" s="784">
        <v>1</v>
      </c>
      <c r="H89" s="784">
        <v>1</v>
      </c>
      <c r="I89" s="817">
        <v>0.61896235078053263</v>
      </c>
      <c r="J89" s="818">
        <v>0.61896235078053263</v>
      </c>
      <c r="K89" s="819">
        <v>250</v>
      </c>
      <c r="L89" s="820">
        <v>185.68870523415978</v>
      </c>
      <c r="M89" s="821">
        <v>435.68870523415978</v>
      </c>
      <c r="N89" s="822">
        <v>400</v>
      </c>
      <c r="O89" s="822"/>
      <c r="P89" s="822"/>
      <c r="Q89" s="816">
        <v>200</v>
      </c>
      <c r="W89" s="823">
        <f t="shared" si="8"/>
        <v>215</v>
      </c>
      <c r="X89" s="823">
        <f t="shared" si="9"/>
        <v>173.30945821854914</v>
      </c>
      <c r="Y89" s="811">
        <f t="shared" si="10"/>
        <v>388.30945821854914</v>
      </c>
      <c r="Z89" s="811">
        <f t="shared" si="11"/>
        <v>-11.690541781450861</v>
      </c>
      <c r="AA89" s="811"/>
      <c r="AB89" s="823">
        <f t="shared" si="12"/>
        <v>170</v>
      </c>
      <c r="AC89" s="823">
        <f t="shared" si="13"/>
        <v>154.74058769513317</v>
      </c>
      <c r="AD89" s="811">
        <f t="shared" si="14"/>
        <v>324.74058769513317</v>
      </c>
      <c r="AE89" s="811">
        <f t="shared" si="15"/>
        <v>-75.259412304866828</v>
      </c>
      <c r="AF89" s="811"/>
      <c r="AG89" s="778"/>
      <c r="AH89" s="778">
        <v>1</v>
      </c>
    </row>
    <row r="90" spans="1:34" s="187" customFormat="1" x14ac:dyDescent="0.25">
      <c r="A90" s="890">
        <v>82</v>
      </c>
      <c r="B90" s="187">
        <v>82</v>
      </c>
      <c r="C90" s="779" t="s">
        <v>1034</v>
      </c>
      <c r="D90" s="815"/>
      <c r="E90" s="784"/>
      <c r="F90" s="784">
        <v>24483</v>
      </c>
      <c r="G90" s="784">
        <v>1</v>
      </c>
      <c r="H90" s="784">
        <v>0</v>
      </c>
      <c r="I90" s="817">
        <v>0</v>
      </c>
      <c r="J90" s="818">
        <v>0.56205234159779616</v>
      </c>
      <c r="K90" s="819">
        <v>250</v>
      </c>
      <c r="L90" s="820">
        <v>168.61570247933884</v>
      </c>
      <c r="M90" s="821">
        <v>0</v>
      </c>
      <c r="N90" s="824">
        <v>0</v>
      </c>
      <c r="O90" s="824"/>
      <c r="P90" s="824"/>
      <c r="Q90" s="816"/>
      <c r="W90" s="823">
        <f t="shared" si="8"/>
        <v>0</v>
      </c>
      <c r="X90" s="823">
        <f t="shared" si="9"/>
        <v>0</v>
      </c>
      <c r="Y90" s="811">
        <f t="shared" si="10"/>
        <v>0</v>
      </c>
      <c r="Z90" s="811">
        <f t="shared" si="11"/>
        <v>0</v>
      </c>
      <c r="AA90" s="811"/>
      <c r="AB90" s="823">
        <f t="shared" si="12"/>
        <v>0</v>
      </c>
      <c r="AC90" s="823">
        <f t="shared" si="13"/>
        <v>0</v>
      </c>
      <c r="AD90" s="811">
        <f t="shared" si="14"/>
        <v>0</v>
      </c>
      <c r="AE90" s="811">
        <f t="shared" si="15"/>
        <v>0</v>
      </c>
      <c r="AF90" s="811"/>
      <c r="AG90" s="778"/>
      <c r="AH90" s="778"/>
    </row>
    <row r="91" spans="1:34" s="187" customFormat="1" x14ac:dyDescent="0.25">
      <c r="A91" s="890">
        <v>83</v>
      </c>
      <c r="B91" s="187">
        <v>83</v>
      </c>
      <c r="C91" s="779" t="s">
        <v>1035</v>
      </c>
      <c r="D91" s="815"/>
      <c r="E91" s="784"/>
      <c r="F91" s="784">
        <v>23726</v>
      </c>
      <c r="G91" s="784">
        <v>1</v>
      </c>
      <c r="H91" s="784">
        <v>0</v>
      </c>
      <c r="I91" s="817">
        <v>0</v>
      </c>
      <c r="J91" s="818">
        <v>0.54467401285583106</v>
      </c>
      <c r="K91" s="819">
        <v>250</v>
      </c>
      <c r="L91" s="820">
        <v>163.40220385674931</v>
      </c>
      <c r="M91" s="821">
        <v>0</v>
      </c>
      <c r="N91" s="824">
        <v>0</v>
      </c>
      <c r="O91" s="824"/>
      <c r="P91" s="824"/>
      <c r="Q91" s="816"/>
      <c r="W91" s="823">
        <f t="shared" si="8"/>
        <v>0</v>
      </c>
      <c r="X91" s="823">
        <f t="shared" si="9"/>
        <v>0</v>
      </c>
      <c r="Y91" s="811">
        <f t="shared" si="10"/>
        <v>0</v>
      </c>
      <c r="Z91" s="811">
        <f t="shared" si="11"/>
        <v>0</v>
      </c>
      <c r="AA91" s="811"/>
      <c r="AB91" s="823">
        <f t="shared" si="12"/>
        <v>0</v>
      </c>
      <c r="AC91" s="823">
        <f t="shared" si="13"/>
        <v>0</v>
      </c>
      <c r="AD91" s="811">
        <f t="shared" si="14"/>
        <v>0</v>
      </c>
      <c r="AE91" s="811">
        <f t="shared" si="15"/>
        <v>0</v>
      </c>
      <c r="AF91" s="811"/>
      <c r="AG91" s="778"/>
      <c r="AH91" s="778"/>
    </row>
    <row r="92" spans="1:34" s="187" customFormat="1" x14ac:dyDescent="0.25">
      <c r="A92" s="890">
        <v>84</v>
      </c>
      <c r="B92" s="187">
        <v>84</v>
      </c>
      <c r="C92" s="779" t="s">
        <v>1036</v>
      </c>
      <c r="D92" s="815"/>
      <c r="E92" s="784"/>
      <c r="F92" s="784">
        <v>23626</v>
      </c>
      <c r="G92" s="784">
        <v>1</v>
      </c>
      <c r="H92" s="784">
        <v>0</v>
      </c>
      <c r="I92" s="817">
        <v>0</v>
      </c>
      <c r="J92" s="818">
        <v>0.54237832874196512</v>
      </c>
      <c r="K92" s="819">
        <v>250</v>
      </c>
      <c r="L92" s="820">
        <v>162.71349862258953</v>
      </c>
      <c r="M92" s="821">
        <v>0</v>
      </c>
      <c r="N92" s="824">
        <v>0</v>
      </c>
      <c r="O92" s="824"/>
      <c r="P92" s="824"/>
      <c r="Q92" s="816"/>
      <c r="W92" s="823">
        <f t="shared" si="8"/>
        <v>0</v>
      </c>
      <c r="X92" s="823">
        <f t="shared" si="9"/>
        <v>0</v>
      </c>
      <c r="Y92" s="811">
        <f t="shared" si="10"/>
        <v>0</v>
      </c>
      <c r="Z92" s="811">
        <f t="shared" si="11"/>
        <v>0</v>
      </c>
      <c r="AA92" s="811"/>
      <c r="AB92" s="823">
        <f t="shared" si="12"/>
        <v>0</v>
      </c>
      <c r="AC92" s="823">
        <f t="shared" si="13"/>
        <v>0</v>
      </c>
      <c r="AD92" s="811">
        <f t="shared" si="14"/>
        <v>0</v>
      </c>
      <c r="AE92" s="811">
        <f t="shared" si="15"/>
        <v>0</v>
      </c>
      <c r="AF92" s="811"/>
      <c r="AG92" s="778"/>
      <c r="AH92" s="778"/>
    </row>
    <row r="93" spans="1:34" s="187" customFormat="1" x14ac:dyDescent="0.25">
      <c r="A93" s="890">
        <v>85</v>
      </c>
      <c r="B93" s="187">
        <v>85</v>
      </c>
      <c r="C93" s="779" t="s">
        <v>1037</v>
      </c>
      <c r="D93" s="815"/>
      <c r="E93" s="784"/>
      <c r="F93" s="784">
        <v>26891</v>
      </c>
      <c r="G93" s="784">
        <v>1</v>
      </c>
      <c r="H93" s="784">
        <v>0</v>
      </c>
      <c r="I93" s="817">
        <v>0</v>
      </c>
      <c r="J93" s="818">
        <v>0.61733241505968783</v>
      </c>
      <c r="K93" s="819">
        <v>250</v>
      </c>
      <c r="L93" s="820">
        <v>185.19972451790636</v>
      </c>
      <c r="M93" s="821">
        <v>0</v>
      </c>
      <c r="N93" s="824">
        <v>0</v>
      </c>
      <c r="O93" s="824"/>
      <c r="P93" s="824"/>
      <c r="Q93" s="816"/>
      <c r="W93" s="823">
        <f t="shared" si="8"/>
        <v>0</v>
      </c>
      <c r="X93" s="823">
        <f t="shared" si="9"/>
        <v>0</v>
      </c>
      <c r="Y93" s="811">
        <f t="shared" si="10"/>
        <v>0</v>
      </c>
      <c r="Z93" s="811">
        <f t="shared" si="11"/>
        <v>0</v>
      </c>
      <c r="AA93" s="811"/>
      <c r="AB93" s="823">
        <f t="shared" si="12"/>
        <v>0</v>
      </c>
      <c r="AC93" s="823">
        <f t="shared" si="13"/>
        <v>0</v>
      </c>
      <c r="AD93" s="811">
        <f t="shared" si="14"/>
        <v>0</v>
      </c>
      <c r="AE93" s="811">
        <f t="shared" si="15"/>
        <v>0</v>
      </c>
      <c r="AF93" s="811"/>
      <c r="AG93" s="778"/>
      <c r="AH93" s="778"/>
    </row>
    <row r="94" spans="1:34" s="187" customFormat="1" x14ac:dyDescent="0.25">
      <c r="A94" s="890">
        <v>86</v>
      </c>
      <c r="B94" s="187">
        <v>86</v>
      </c>
      <c r="C94" s="779" t="s">
        <v>1038</v>
      </c>
      <c r="D94" s="815"/>
      <c r="E94" s="784"/>
      <c r="F94" s="784">
        <v>26986</v>
      </c>
      <c r="G94" s="784">
        <v>1</v>
      </c>
      <c r="H94" s="784">
        <v>0</v>
      </c>
      <c r="I94" s="817">
        <v>0</v>
      </c>
      <c r="J94" s="818">
        <v>0.61951331496786044</v>
      </c>
      <c r="K94" s="819">
        <v>250</v>
      </c>
      <c r="L94" s="820">
        <v>185.85399449035813</v>
      </c>
      <c r="M94" s="821">
        <v>0</v>
      </c>
      <c r="N94" s="824">
        <v>0</v>
      </c>
      <c r="O94" s="824"/>
      <c r="P94" s="824"/>
      <c r="Q94" s="816"/>
      <c r="W94" s="823">
        <f t="shared" si="8"/>
        <v>0</v>
      </c>
      <c r="X94" s="823">
        <f t="shared" si="9"/>
        <v>0</v>
      </c>
      <c r="Y94" s="811">
        <f t="shared" si="10"/>
        <v>0</v>
      </c>
      <c r="Z94" s="811">
        <f t="shared" si="11"/>
        <v>0</v>
      </c>
      <c r="AA94" s="811"/>
      <c r="AB94" s="823">
        <f t="shared" si="12"/>
        <v>0</v>
      </c>
      <c r="AC94" s="823">
        <f t="shared" si="13"/>
        <v>0</v>
      </c>
      <c r="AD94" s="811">
        <f t="shared" si="14"/>
        <v>0</v>
      </c>
      <c r="AE94" s="811">
        <f t="shared" si="15"/>
        <v>0</v>
      </c>
      <c r="AF94" s="811"/>
      <c r="AG94" s="778"/>
      <c r="AH94" s="778"/>
    </row>
    <row r="95" spans="1:34" s="187" customFormat="1" x14ac:dyDescent="0.25">
      <c r="A95" s="890">
        <v>87</v>
      </c>
      <c r="B95" s="187">
        <v>87</v>
      </c>
      <c r="C95" s="779" t="s">
        <v>1039</v>
      </c>
      <c r="D95" s="815" t="s">
        <v>1040</v>
      </c>
      <c r="E95" s="784" t="s">
        <v>1041</v>
      </c>
      <c r="F95" s="784">
        <v>21734</v>
      </c>
      <c r="G95" s="784">
        <v>1</v>
      </c>
      <c r="H95" s="784">
        <v>1</v>
      </c>
      <c r="I95" s="817">
        <v>0.49894398530762168</v>
      </c>
      <c r="J95" s="818">
        <v>0.49894398530762168</v>
      </c>
      <c r="K95" s="819">
        <v>250</v>
      </c>
      <c r="L95" s="820">
        <v>149.68319559228649</v>
      </c>
      <c r="M95" s="821">
        <v>399.68319559228649</v>
      </c>
      <c r="N95" s="822">
        <v>400</v>
      </c>
      <c r="O95" s="822"/>
      <c r="P95" s="822"/>
      <c r="Q95" s="816">
        <v>200</v>
      </c>
      <c r="W95" s="823">
        <f t="shared" si="8"/>
        <v>215</v>
      </c>
      <c r="X95" s="823">
        <f t="shared" si="9"/>
        <v>139.70431588613408</v>
      </c>
      <c r="Y95" s="811">
        <f t="shared" si="10"/>
        <v>354.70431588613405</v>
      </c>
      <c r="Z95" s="811">
        <f t="shared" si="11"/>
        <v>-45.295684113865946</v>
      </c>
      <c r="AA95" s="811"/>
      <c r="AB95" s="823">
        <f t="shared" si="12"/>
        <v>170</v>
      </c>
      <c r="AC95" s="823">
        <f t="shared" si="13"/>
        <v>124.73599632690542</v>
      </c>
      <c r="AD95" s="811">
        <f t="shared" si="14"/>
        <v>294.73599632690542</v>
      </c>
      <c r="AE95" s="811">
        <f t="shared" si="15"/>
        <v>-105.26400367309458</v>
      </c>
      <c r="AF95" s="811"/>
      <c r="AG95" s="778"/>
      <c r="AH95" s="778">
        <v>1</v>
      </c>
    </row>
    <row r="96" spans="1:34" s="187" customFormat="1" x14ac:dyDescent="0.25">
      <c r="A96" s="890">
        <v>88</v>
      </c>
      <c r="B96" s="187">
        <v>88</v>
      </c>
      <c r="C96" s="779" t="s">
        <v>1042</v>
      </c>
      <c r="D96" s="815"/>
      <c r="E96" s="784" t="s">
        <v>1043</v>
      </c>
      <c r="F96" s="784">
        <v>21705</v>
      </c>
      <c r="G96" s="784">
        <v>1</v>
      </c>
      <c r="H96" s="784">
        <v>0</v>
      </c>
      <c r="I96" s="817">
        <v>0</v>
      </c>
      <c r="J96" s="818">
        <v>0.49827823691460055</v>
      </c>
      <c r="K96" s="819">
        <v>250</v>
      </c>
      <c r="L96" s="820">
        <v>149.48347107438016</v>
      </c>
      <c r="M96" s="821">
        <v>0</v>
      </c>
      <c r="N96" s="824">
        <v>0</v>
      </c>
      <c r="O96" s="824"/>
      <c r="P96" s="824"/>
      <c r="Q96" s="816"/>
      <c r="W96" s="823">
        <f t="shared" si="8"/>
        <v>0</v>
      </c>
      <c r="X96" s="823">
        <f t="shared" si="9"/>
        <v>0</v>
      </c>
      <c r="Y96" s="811">
        <f t="shared" si="10"/>
        <v>0</v>
      </c>
      <c r="Z96" s="811">
        <f t="shared" si="11"/>
        <v>0</v>
      </c>
      <c r="AA96" s="811"/>
      <c r="AB96" s="823">
        <f t="shared" si="12"/>
        <v>0</v>
      </c>
      <c r="AC96" s="823">
        <f t="shared" si="13"/>
        <v>0</v>
      </c>
      <c r="AD96" s="811">
        <f t="shared" si="14"/>
        <v>0</v>
      </c>
      <c r="AE96" s="811">
        <f t="shared" si="15"/>
        <v>0</v>
      </c>
      <c r="AF96" s="811"/>
      <c r="AG96" s="778"/>
      <c r="AH96" s="778"/>
    </row>
    <row r="97" spans="1:39" s="187" customFormat="1" x14ac:dyDescent="0.25">
      <c r="A97" s="890">
        <v>89</v>
      </c>
      <c r="B97" s="187">
        <v>89</v>
      </c>
      <c r="C97" s="779" t="s">
        <v>1044</v>
      </c>
      <c r="D97" s="815"/>
      <c r="E97" s="784"/>
      <c r="F97" s="784">
        <v>21654</v>
      </c>
      <c r="G97" s="784">
        <v>1</v>
      </c>
      <c r="H97" s="784">
        <v>0</v>
      </c>
      <c r="I97" s="817">
        <v>0</v>
      </c>
      <c r="J97" s="818">
        <v>0.4971074380165289</v>
      </c>
      <c r="K97" s="819">
        <v>250</v>
      </c>
      <c r="L97" s="820">
        <v>149.13223140495867</v>
      </c>
      <c r="M97" s="821">
        <v>0</v>
      </c>
      <c r="N97" s="824">
        <v>0</v>
      </c>
      <c r="O97" s="824"/>
      <c r="P97" s="824"/>
      <c r="Q97" s="816"/>
      <c r="W97" s="823">
        <f t="shared" si="8"/>
        <v>0</v>
      </c>
      <c r="X97" s="823">
        <f t="shared" si="9"/>
        <v>0</v>
      </c>
      <c r="Y97" s="811">
        <f t="shared" si="10"/>
        <v>0</v>
      </c>
      <c r="Z97" s="811">
        <f t="shared" si="11"/>
        <v>0</v>
      </c>
      <c r="AA97" s="811"/>
      <c r="AB97" s="823">
        <f t="shared" si="12"/>
        <v>0</v>
      </c>
      <c r="AC97" s="823">
        <f t="shared" si="13"/>
        <v>0</v>
      </c>
      <c r="AD97" s="811">
        <f t="shared" si="14"/>
        <v>0</v>
      </c>
      <c r="AE97" s="811">
        <f t="shared" si="15"/>
        <v>0</v>
      </c>
      <c r="AF97" s="811"/>
      <c r="AG97" s="778"/>
      <c r="AH97" s="778"/>
      <c r="AI97" s="778"/>
      <c r="AJ97" s="778"/>
      <c r="AK97" s="778"/>
      <c r="AL97" s="778"/>
      <c r="AM97" s="778"/>
    </row>
    <row r="98" spans="1:39" s="187" customFormat="1" x14ac:dyDescent="0.25">
      <c r="A98" s="890">
        <v>90</v>
      </c>
      <c r="B98" s="187">
        <v>90</v>
      </c>
      <c r="C98" s="779" t="s">
        <v>1045</v>
      </c>
      <c r="D98" s="815"/>
      <c r="E98" s="784"/>
      <c r="F98" s="784">
        <v>24790</v>
      </c>
      <c r="G98" s="784">
        <v>1</v>
      </c>
      <c r="H98" s="784">
        <v>0</v>
      </c>
      <c r="I98" s="817">
        <v>0</v>
      </c>
      <c r="J98" s="818">
        <v>0.56910009182736454</v>
      </c>
      <c r="K98" s="819">
        <v>250</v>
      </c>
      <c r="L98" s="820">
        <v>170.73002754820936</v>
      </c>
      <c r="M98" s="821">
        <v>0</v>
      </c>
      <c r="N98" s="824">
        <v>0</v>
      </c>
      <c r="O98" s="824"/>
      <c r="P98" s="824"/>
      <c r="Q98" s="816"/>
      <c r="W98" s="823">
        <f t="shared" si="8"/>
        <v>0</v>
      </c>
      <c r="X98" s="823">
        <f t="shared" si="9"/>
        <v>0</v>
      </c>
      <c r="Y98" s="811">
        <f t="shared" si="10"/>
        <v>0</v>
      </c>
      <c r="Z98" s="811">
        <f t="shared" si="11"/>
        <v>0</v>
      </c>
      <c r="AA98" s="811"/>
      <c r="AB98" s="823">
        <f t="shared" si="12"/>
        <v>0</v>
      </c>
      <c r="AC98" s="823">
        <f t="shared" si="13"/>
        <v>0</v>
      </c>
      <c r="AD98" s="811">
        <f t="shared" si="14"/>
        <v>0</v>
      </c>
      <c r="AE98" s="811">
        <f t="shared" si="15"/>
        <v>0</v>
      </c>
      <c r="AF98" s="811"/>
      <c r="AG98" s="778"/>
      <c r="AH98" s="778"/>
      <c r="AI98" s="778"/>
      <c r="AJ98" s="778"/>
      <c r="AK98" s="778"/>
      <c r="AL98" s="778"/>
      <c r="AM98" s="778"/>
    </row>
    <row r="99" spans="1:39" s="187" customFormat="1" ht="15.75" thickBot="1" x14ac:dyDescent="0.3">
      <c r="A99" s="890">
        <v>91</v>
      </c>
      <c r="B99" s="187">
        <v>91</v>
      </c>
      <c r="C99" s="779"/>
      <c r="D99" s="815"/>
      <c r="E99" s="784"/>
      <c r="F99" s="784"/>
      <c r="G99" s="784"/>
      <c r="H99" s="842"/>
      <c r="I99" s="829">
        <v>10.707713498622589</v>
      </c>
      <c r="J99" s="830">
        <v>26.346740128558313</v>
      </c>
      <c r="K99" s="843"/>
      <c r="L99" s="832"/>
      <c r="M99" s="833">
        <v>7712.3140495867765</v>
      </c>
      <c r="N99" s="854">
        <v>7200</v>
      </c>
      <c r="O99" s="855"/>
      <c r="P99" s="855"/>
      <c r="Q99" s="816"/>
      <c r="W99" s="823">
        <f t="shared" si="8"/>
        <v>0</v>
      </c>
      <c r="X99" s="823">
        <f t="shared" si="9"/>
        <v>0</v>
      </c>
      <c r="Y99" s="811">
        <f t="shared" si="10"/>
        <v>0</v>
      </c>
      <c r="Z99" s="811">
        <f t="shared" si="11"/>
        <v>0</v>
      </c>
      <c r="AA99" s="811"/>
      <c r="AB99" s="823">
        <f t="shared" si="12"/>
        <v>0</v>
      </c>
      <c r="AC99" s="823">
        <f t="shared" si="13"/>
        <v>0</v>
      </c>
      <c r="AD99" s="811">
        <f t="shared" si="14"/>
        <v>0</v>
      </c>
      <c r="AE99" s="811">
        <f t="shared" si="15"/>
        <v>0</v>
      </c>
      <c r="AF99" s="811"/>
      <c r="AG99" s="778"/>
      <c r="AH99" s="778"/>
      <c r="AI99" s="778"/>
      <c r="AJ99" s="778"/>
      <c r="AK99" s="778"/>
      <c r="AL99" s="778"/>
      <c r="AM99" s="778"/>
    </row>
    <row r="100" spans="1:39" s="187" customFormat="1" ht="15.75" thickTop="1" x14ac:dyDescent="0.25">
      <c r="A100" s="890">
        <v>92</v>
      </c>
      <c r="B100" s="187">
        <v>92</v>
      </c>
      <c r="C100" s="779"/>
      <c r="D100" s="815"/>
      <c r="E100" s="784"/>
      <c r="F100" s="784"/>
      <c r="G100" s="784"/>
      <c r="H100" s="779"/>
      <c r="I100" s="779"/>
      <c r="J100" s="788"/>
      <c r="K100" s="784"/>
      <c r="L100" s="836"/>
      <c r="M100" s="837"/>
      <c r="N100" s="838"/>
      <c r="O100" s="838"/>
      <c r="P100" s="838"/>
      <c r="Q100" s="816"/>
      <c r="W100" s="823">
        <f t="shared" si="8"/>
        <v>0</v>
      </c>
      <c r="X100" s="823">
        <f t="shared" si="9"/>
        <v>0</v>
      </c>
      <c r="Y100" s="811">
        <f t="shared" si="10"/>
        <v>0</v>
      </c>
      <c r="Z100" s="811">
        <f t="shared" si="11"/>
        <v>0</v>
      </c>
      <c r="AA100" s="811"/>
      <c r="AB100" s="823">
        <f t="shared" si="12"/>
        <v>0</v>
      </c>
      <c r="AC100" s="823">
        <f t="shared" si="13"/>
        <v>0</v>
      </c>
      <c r="AD100" s="811">
        <f t="shared" si="14"/>
        <v>0</v>
      </c>
      <c r="AE100" s="811">
        <f t="shared" si="15"/>
        <v>0</v>
      </c>
      <c r="AF100" s="811"/>
      <c r="AG100" s="778"/>
      <c r="AH100" s="778"/>
      <c r="AI100" s="778"/>
      <c r="AJ100" s="778"/>
      <c r="AK100" s="778"/>
      <c r="AL100" s="778"/>
      <c r="AM100" s="778"/>
    </row>
    <row r="101" spans="1:39" s="187" customFormat="1" x14ac:dyDescent="0.25">
      <c r="A101" s="890">
        <v>93</v>
      </c>
      <c r="B101" s="187">
        <v>93</v>
      </c>
      <c r="C101" s="779"/>
      <c r="D101" s="815"/>
      <c r="E101" s="784"/>
      <c r="F101" s="784"/>
      <c r="G101" s="784"/>
      <c r="H101" s="779"/>
      <c r="I101" s="779"/>
      <c r="J101" s="788"/>
      <c r="K101" s="784"/>
      <c r="L101" s="836"/>
      <c r="M101" s="814"/>
      <c r="N101" s="838"/>
      <c r="O101" s="838"/>
      <c r="P101" s="838"/>
      <c r="Q101" s="816"/>
      <c r="R101" s="779"/>
      <c r="S101" s="779"/>
      <c r="W101" s="823">
        <f t="shared" si="8"/>
        <v>0</v>
      </c>
      <c r="X101" s="823">
        <f t="shared" si="9"/>
        <v>0</v>
      </c>
      <c r="Y101" s="811">
        <f t="shared" si="10"/>
        <v>0</v>
      </c>
      <c r="Z101" s="811">
        <f t="shared" si="11"/>
        <v>0</v>
      </c>
      <c r="AA101" s="811"/>
      <c r="AB101" s="823">
        <f t="shared" si="12"/>
        <v>0</v>
      </c>
      <c r="AC101" s="823">
        <f t="shared" si="13"/>
        <v>0</v>
      </c>
      <c r="AD101" s="811">
        <f t="shared" si="14"/>
        <v>0</v>
      </c>
      <c r="AE101" s="811">
        <f t="shared" si="15"/>
        <v>0</v>
      </c>
      <c r="AF101" s="811"/>
      <c r="AG101" s="778"/>
      <c r="AH101" s="778"/>
      <c r="AI101" s="778"/>
      <c r="AJ101" s="778"/>
      <c r="AK101" s="778"/>
      <c r="AL101" s="778"/>
      <c r="AM101" s="778"/>
    </row>
    <row r="102" spans="1:39" s="187" customFormat="1" x14ac:dyDescent="0.25">
      <c r="A102" s="890">
        <v>94</v>
      </c>
      <c r="B102" s="187">
        <v>94</v>
      </c>
      <c r="C102" s="812" t="s">
        <v>1046</v>
      </c>
      <c r="D102" s="813"/>
      <c r="E102" s="835"/>
      <c r="F102" s="839" t="s">
        <v>854</v>
      </c>
      <c r="G102" s="839"/>
      <c r="H102" s="793"/>
      <c r="I102" s="793"/>
      <c r="J102" s="840" t="s">
        <v>858</v>
      </c>
      <c r="K102" s="839" t="s">
        <v>859</v>
      </c>
      <c r="L102" s="841" t="s">
        <v>900</v>
      </c>
      <c r="M102" s="841" t="s">
        <v>317</v>
      </c>
      <c r="N102" s="838"/>
      <c r="O102" s="838"/>
      <c r="P102" s="838"/>
      <c r="Q102" s="816"/>
      <c r="R102" s="779"/>
      <c r="S102" s="779"/>
      <c r="W102" s="823">
        <f t="shared" si="8"/>
        <v>0</v>
      </c>
      <c r="X102" s="823">
        <f t="shared" si="9"/>
        <v>0</v>
      </c>
      <c r="Y102" s="811">
        <f t="shared" si="10"/>
        <v>0</v>
      </c>
      <c r="Z102" s="811">
        <f t="shared" si="11"/>
        <v>0</v>
      </c>
      <c r="AA102" s="811"/>
      <c r="AB102" s="823">
        <f t="shared" si="12"/>
        <v>0</v>
      </c>
      <c r="AC102" s="823">
        <f t="shared" si="13"/>
        <v>0</v>
      </c>
      <c r="AD102" s="811">
        <f t="shared" si="14"/>
        <v>0</v>
      </c>
      <c r="AE102" s="811">
        <f t="shared" si="15"/>
        <v>0</v>
      </c>
      <c r="AF102" s="811"/>
      <c r="AG102" s="778"/>
      <c r="AH102" s="778"/>
      <c r="AI102" s="778"/>
      <c r="AJ102" s="778"/>
      <c r="AK102" s="778"/>
      <c r="AL102" s="778"/>
      <c r="AM102" s="778"/>
    </row>
    <row r="103" spans="1:39" s="187" customFormat="1" x14ac:dyDescent="0.25">
      <c r="A103" s="890">
        <v>95</v>
      </c>
      <c r="B103" s="187">
        <v>95</v>
      </c>
      <c r="C103" s="779"/>
      <c r="D103" s="815"/>
      <c r="E103" s="784"/>
      <c r="F103" s="784"/>
      <c r="G103" s="784"/>
      <c r="H103" s="784"/>
      <c r="I103" s="784"/>
      <c r="J103" s="788"/>
      <c r="K103" s="784"/>
      <c r="L103" s="836"/>
      <c r="M103" s="814"/>
      <c r="N103" s="838"/>
      <c r="O103" s="838"/>
      <c r="P103" s="838"/>
      <c r="Q103" s="816"/>
      <c r="R103" s="779"/>
      <c r="S103" s="779"/>
      <c r="W103" s="823">
        <f t="shared" si="8"/>
        <v>0</v>
      </c>
      <c r="X103" s="823">
        <f t="shared" si="9"/>
        <v>0</v>
      </c>
      <c r="Y103" s="811">
        <f t="shared" si="10"/>
        <v>0</v>
      </c>
      <c r="Z103" s="811">
        <f t="shared" si="11"/>
        <v>0</v>
      </c>
      <c r="AA103" s="811"/>
      <c r="AB103" s="823">
        <f t="shared" si="12"/>
        <v>0</v>
      </c>
      <c r="AC103" s="823">
        <f t="shared" si="13"/>
        <v>0</v>
      </c>
      <c r="AD103" s="811">
        <f t="shared" si="14"/>
        <v>0</v>
      </c>
      <c r="AE103" s="811">
        <f t="shared" si="15"/>
        <v>0</v>
      </c>
      <c r="AF103" s="811"/>
      <c r="AG103" s="778"/>
      <c r="AH103" s="778"/>
      <c r="AI103" s="778"/>
      <c r="AJ103" s="778"/>
      <c r="AK103" s="778"/>
      <c r="AL103" s="778"/>
      <c r="AM103" s="778"/>
    </row>
    <row r="104" spans="1:39" s="187" customFormat="1" x14ac:dyDescent="0.25">
      <c r="A104" s="890">
        <v>96</v>
      </c>
      <c r="B104" s="187">
        <v>96</v>
      </c>
      <c r="C104" s="779" t="s">
        <v>1047</v>
      </c>
      <c r="D104" s="815" t="s">
        <v>1048</v>
      </c>
      <c r="E104" s="784" t="s">
        <v>1049</v>
      </c>
      <c r="F104" s="784"/>
      <c r="G104" s="784">
        <v>1</v>
      </c>
      <c r="H104" s="784">
        <v>1</v>
      </c>
      <c r="I104" s="817">
        <v>3.14</v>
      </c>
      <c r="J104" s="818">
        <v>3.14</v>
      </c>
      <c r="K104" s="819">
        <v>250</v>
      </c>
      <c r="L104" s="820">
        <v>942</v>
      </c>
      <c r="M104" s="821">
        <v>1192</v>
      </c>
      <c r="N104" s="822">
        <v>400</v>
      </c>
      <c r="O104" s="822"/>
      <c r="P104" s="822"/>
      <c r="Q104" s="816">
        <v>400</v>
      </c>
      <c r="R104" s="779"/>
      <c r="S104" s="779"/>
      <c r="W104" s="823">
        <f t="shared" si="8"/>
        <v>215</v>
      </c>
      <c r="X104" s="823">
        <f t="shared" si="9"/>
        <v>879.2</v>
      </c>
      <c r="Y104" s="811">
        <f t="shared" si="10"/>
        <v>1094.2</v>
      </c>
      <c r="Z104" s="811">
        <f t="shared" si="11"/>
        <v>694.2</v>
      </c>
      <c r="AA104" s="811"/>
      <c r="AB104" s="823">
        <f t="shared" si="12"/>
        <v>170</v>
      </c>
      <c r="AC104" s="823">
        <f t="shared" si="13"/>
        <v>785</v>
      </c>
      <c r="AD104" s="811">
        <f t="shared" si="14"/>
        <v>955</v>
      </c>
      <c r="AE104" s="811">
        <f t="shared" si="15"/>
        <v>555</v>
      </c>
      <c r="AF104" s="811"/>
      <c r="AG104" s="778"/>
      <c r="AH104" s="778"/>
      <c r="AI104" s="778"/>
      <c r="AJ104" s="778"/>
      <c r="AK104" s="778"/>
      <c r="AL104" s="778"/>
      <c r="AM104" s="778">
        <v>1</v>
      </c>
    </row>
    <row r="105" spans="1:39" s="187" customFormat="1" x14ac:dyDescent="0.25">
      <c r="A105" s="890">
        <v>97</v>
      </c>
      <c r="B105" s="187">
        <v>97</v>
      </c>
      <c r="C105" s="779" t="s">
        <v>1050</v>
      </c>
      <c r="D105" s="815" t="s">
        <v>1051</v>
      </c>
      <c r="E105" s="784" t="s">
        <v>1052</v>
      </c>
      <c r="F105" s="784"/>
      <c r="G105" s="784">
        <v>1</v>
      </c>
      <c r="H105" s="784">
        <v>1</v>
      </c>
      <c r="I105" s="817">
        <v>2.86</v>
      </c>
      <c r="J105" s="818">
        <v>2.86</v>
      </c>
      <c r="K105" s="819">
        <v>250</v>
      </c>
      <c r="L105" s="820">
        <v>858</v>
      </c>
      <c r="M105" s="821">
        <v>1108</v>
      </c>
      <c r="N105" s="822">
        <v>400</v>
      </c>
      <c r="O105" s="822"/>
      <c r="P105" s="822"/>
      <c r="Q105" s="816">
        <v>200</v>
      </c>
      <c r="R105" s="779"/>
      <c r="S105" s="779"/>
      <c r="W105" s="823">
        <f t="shared" si="8"/>
        <v>215</v>
      </c>
      <c r="X105" s="823">
        <f t="shared" si="9"/>
        <v>800.8</v>
      </c>
      <c r="Y105" s="811">
        <f t="shared" si="10"/>
        <v>1015.8</v>
      </c>
      <c r="Z105" s="811">
        <f t="shared" si="11"/>
        <v>615.79999999999995</v>
      </c>
      <c r="AA105" s="811"/>
      <c r="AB105" s="823">
        <f t="shared" si="12"/>
        <v>170</v>
      </c>
      <c r="AC105" s="823">
        <f t="shared" si="13"/>
        <v>715</v>
      </c>
      <c r="AD105" s="811">
        <f t="shared" si="14"/>
        <v>885</v>
      </c>
      <c r="AE105" s="811">
        <f t="shared" si="15"/>
        <v>485</v>
      </c>
      <c r="AF105" s="811"/>
      <c r="AG105" s="778"/>
      <c r="AH105" s="778"/>
      <c r="AI105" s="778"/>
      <c r="AJ105" s="778"/>
      <c r="AK105" s="778"/>
      <c r="AL105" s="778">
        <v>1</v>
      </c>
      <c r="AM105" s="778"/>
    </row>
    <row r="106" spans="1:39" s="187" customFormat="1" x14ac:dyDescent="0.25">
      <c r="A106" s="890">
        <v>98</v>
      </c>
      <c r="B106" s="187">
        <v>98</v>
      </c>
      <c r="C106" s="779" t="s">
        <v>1053</v>
      </c>
      <c r="D106" s="815" t="s">
        <v>1054</v>
      </c>
      <c r="E106" s="784" t="s">
        <v>1055</v>
      </c>
      <c r="F106" s="784"/>
      <c r="G106" s="784">
        <v>1</v>
      </c>
      <c r="H106" s="784">
        <v>0</v>
      </c>
      <c r="I106" s="817">
        <v>0</v>
      </c>
      <c r="J106" s="818">
        <v>2.5</v>
      </c>
      <c r="K106" s="819">
        <v>250</v>
      </c>
      <c r="L106" s="820">
        <v>750</v>
      </c>
      <c r="M106" s="821">
        <v>0</v>
      </c>
      <c r="N106" s="824">
        <v>0</v>
      </c>
      <c r="O106" s="824"/>
      <c r="P106" s="824"/>
      <c r="Q106" s="816"/>
      <c r="R106" s="779"/>
      <c r="S106" s="779"/>
      <c r="W106" s="823">
        <f t="shared" si="8"/>
        <v>0</v>
      </c>
      <c r="X106" s="823">
        <f t="shared" si="9"/>
        <v>0</v>
      </c>
      <c r="Y106" s="811">
        <f t="shared" si="10"/>
        <v>0</v>
      </c>
      <c r="Z106" s="811">
        <f t="shared" si="11"/>
        <v>0</v>
      </c>
      <c r="AA106" s="811"/>
      <c r="AB106" s="823">
        <f t="shared" si="12"/>
        <v>0</v>
      </c>
      <c r="AC106" s="823">
        <f t="shared" si="13"/>
        <v>0</v>
      </c>
      <c r="AD106" s="811">
        <f t="shared" si="14"/>
        <v>0</v>
      </c>
      <c r="AE106" s="811">
        <f t="shared" si="15"/>
        <v>0</v>
      </c>
      <c r="AF106" s="811"/>
      <c r="AG106" s="778"/>
      <c r="AH106" s="778"/>
      <c r="AI106" s="778"/>
      <c r="AJ106" s="778"/>
      <c r="AK106" s="778"/>
      <c r="AL106" s="778"/>
      <c r="AM106" s="778"/>
    </row>
    <row r="107" spans="1:39" s="187" customFormat="1" x14ac:dyDescent="0.25">
      <c r="A107" s="890">
        <v>99</v>
      </c>
      <c r="B107" s="187">
        <v>99</v>
      </c>
      <c r="C107" s="779" t="s">
        <v>1056</v>
      </c>
      <c r="D107" s="815" t="s">
        <v>1057</v>
      </c>
      <c r="E107" s="784" t="s">
        <v>1058</v>
      </c>
      <c r="F107" s="784"/>
      <c r="G107" s="784">
        <v>1</v>
      </c>
      <c r="H107" s="784">
        <v>1</v>
      </c>
      <c r="I107" s="817">
        <v>2.5</v>
      </c>
      <c r="J107" s="818">
        <v>2.5</v>
      </c>
      <c r="K107" s="819">
        <v>250</v>
      </c>
      <c r="L107" s="820">
        <v>750</v>
      </c>
      <c r="M107" s="821">
        <v>1000</v>
      </c>
      <c r="N107" s="822">
        <v>400</v>
      </c>
      <c r="O107" s="822"/>
      <c r="P107" s="822"/>
      <c r="Q107" s="816">
        <v>100</v>
      </c>
      <c r="R107" s="779"/>
      <c r="S107" s="825">
        <v>39205</v>
      </c>
      <c r="W107" s="823">
        <f t="shared" si="8"/>
        <v>215</v>
      </c>
      <c r="X107" s="823">
        <f t="shared" si="9"/>
        <v>700</v>
      </c>
      <c r="Y107" s="811">
        <f t="shared" si="10"/>
        <v>915</v>
      </c>
      <c r="Z107" s="811">
        <f t="shared" si="11"/>
        <v>515</v>
      </c>
      <c r="AA107" s="811"/>
      <c r="AB107" s="823">
        <f t="shared" si="12"/>
        <v>170</v>
      </c>
      <c r="AC107" s="823">
        <f t="shared" si="13"/>
        <v>625</v>
      </c>
      <c r="AD107" s="811">
        <f t="shared" si="14"/>
        <v>795</v>
      </c>
      <c r="AE107" s="811">
        <f t="shared" si="15"/>
        <v>395</v>
      </c>
      <c r="AF107" s="811"/>
      <c r="AG107" s="778"/>
      <c r="AH107" s="778"/>
      <c r="AI107" s="778"/>
      <c r="AJ107" s="778"/>
      <c r="AK107" s="778">
        <v>1</v>
      </c>
      <c r="AL107" s="778"/>
      <c r="AM107" s="778"/>
    </row>
    <row r="108" spans="1:39" s="187" customFormat="1" x14ac:dyDescent="0.25">
      <c r="A108" s="890">
        <v>100</v>
      </c>
      <c r="B108" s="187">
        <v>100</v>
      </c>
      <c r="C108" s="779" t="s">
        <v>945</v>
      </c>
      <c r="D108" s="815" t="s">
        <v>1059</v>
      </c>
      <c r="E108" s="784" t="s">
        <v>1060</v>
      </c>
      <c r="F108" s="784"/>
      <c r="G108" s="784">
        <v>1</v>
      </c>
      <c r="H108" s="784">
        <v>1</v>
      </c>
      <c r="I108" s="817">
        <v>2.5</v>
      </c>
      <c r="J108" s="818">
        <v>2.5</v>
      </c>
      <c r="K108" s="819">
        <v>250</v>
      </c>
      <c r="L108" s="820">
        <v>750</v>
      </c>
      <c r="M108" s="821">
        <v>1000</v>
      </c>
      <c r="N108" s="822">
        <v>400</v>
      </c>
      <c r="O108" s="822"/>
      <c r="P108" s="822"/>
      <c r="Q108" s="816">
        <v>400</v>
      </c>
      <c r="R108" s="779"/>
      <c r="S108" s="779"/>
      <c r="W108" s="823">
        <f t="shared" si="8"/>
        <v>215</v>
      </c>
      <c r="X108" s="823">
        <f t="shared" si="9"/>
        <v>700</v>
      </c>
      <c r="Y108" s="811">
        <f t="shared" si="10"/>
        <v>915</v>
      </c>
      <c r="Z108" s="811">
        <f t="shared" si="11"/>
        <v>515</v>
      </c>
      <c r="AA108" s="811"/>
      <c r="AB108" s="823">
        <f t="shared" si="12"/>
        <v>170</v>
      </c>
      <c r="AC108" s="823">
        <f t="shared" si="13"/>
        <v>625</v>
      </c>
      <c r="AD108" s="811">
        <f t="shared" si="14"/>
        <v>795</v>
      </c>
      <c r="AE108" s="811">
        <f t="shared" si="15"/>
        <v>395</v>
      </c>
      <c r="AF108" s="811"/>
      <c r="AG108" s="778"/>
      <c r="AH108" s="778"/>
      <c r="AI108" s="778"/>
      <c r="AJ108" s="778"/>
      <c r="AK108" s="778">
        <v>1</v>
      </c>
      <c r="AL108" s="778"/>
      <c r="AM108" s="778"/>
    </row>
    <row r="109" spans="1:39" s="187" customFormat="1" x14ac:dyDescent="0.25">
      <c r="A109" s="890">
        <v>101</v>
      </c>
      <c r="B109" s="187">
        <v>101</v>
      </c>
      <c r="C109" s="779" t="s">
        <v>915</v>
      </c>
      <c r="D109" s="815" t="s">
        <v>1061</v>
      </c>
      <c r="E109" s="784" t="s">
        <v>1062</v>
      </c>
      <c r="F109" s="784"/>
      <c r="G109" s="784">
        <v>1</v>
      </c>
      <c r="H109" s="784">
        <v>1</v>
      </c>
      <c r="I109" s="817">
        <v>2.5099999999999998</v>
      </c>
      <c r="J109" s="818">
        <v>2.5099999999999998</v>
      </c>
      <c r="K109" s="819">
        <v>250</v>
      </c>
      <c r="L109" s="820">
        <v>752.99999999999989</v>
      </c>
      <c r="M109" s="821">
        <v>1002.9999999999999</v>
      </c>
      <c r="N109" s="822">
        <v>400</v>
      </c>
      <c r="O109" s="822"/>
      <c r="P109" s="822"/>
      <c r="Q109" s="816">
        <v>400</v>
      </c>
      <c r="R109" s="779"/>
      <c r="S109" s="779"/>
      <c r="W109" s="823">
        <f t="shared" si="8"/>
        <v>215</v>
      </c>
      <c r="X109" s="823">
        <f t="shared" si="9"/>
        <v>702.8</v>
      </c>
      <c r="Y109" s="811">
        <f t="shared" si="10"/>
        <v>917.8</v>
      </c>
      <c r="Z109" s="811">
        <f t="shared" si="11"/>
        <v>517.79999999999995</v>
      </c>
      <c r="AA109" s="811"/>
      <c r="AB109" s="823">
        <f t="shared" si="12"/>
        <v>170</v>
      </c>
      <c r="AC109" s="823">
        <f t="shared" si="13"/>
        <v>627.5</v>
      </c>
      <c r="AD109" s="811">
        <f t="shared" si="14"/>
        <v>797.5</v>
      </c>
      <c r="AE109" s="811">
        <f t="shared" si="15"/>
        <v>397.5</v>
      </c>
      <c r="AF109" s="811"/>
      <c r="AG109" s="778"/>
      <c r="AH109" s="778"/>
      <c r="AI109" s="778"/>
      <c r="AJ109" s="778"/>
      <c r="AK109" s="778"/>
      <c r="AL109" s="778">
        <v>1</v>
      </c>
      <c r="AM109" s="778"/>
    </row>
    <row r="110" spans="1:39" s="187" customFormat="1" x14ac:dyDescent="0.25">
      <c r="A110" s="890">
        <v>102</v>
      </c>
      <c r="B110" s="187">
        <v>102</v>
      </c>
      <c r="C110" s="779" t="s">
        <v>948</v>
      </c>
      <c r="D110" s="815" t="s">
        <v>1063</v>
      </c>
      <c r="E110" s="784" t="s">
        <v>1064</v>
      </c>
      <c r="F110" s="784"/>
      <c r="G110" s="784">
        <v>1</v>
      </c>
      <c r="H110" s="784">
        <v>1</v>
      </c>
      <c r="I110" s="817">
        <v>2.5099999999999998</v>
      </c>
      <c r="J110" s="818">
        <v>2.5099999999999998</v>
      </c>
      <c r="K110" s="819">
        <v>250</v>
      </c>
      <c r="L110" s="820">
        <v>752.99999999999989</v>
      </c>
      <c r="M110" s="821">
        <v>1002.9999999999999</v>
      </c>
      <c r="N110" s="822">
        <v>400</v>
      </c>
      <c r="O110" s="822"/>
      <c r="P110" s="822"/>
      <c r="Q110" s="816">
        <v>200</v>
      </c>
      <c r="R110" s="816">
        <v>200</v>
      </c>
      <c r="S110" s="779"/>
      <c r="W110" s="823">
        <f t="shared" si="8"/>
        <v>215</v>
      </c>
      <c r="X110" s="823">
        <f t="shared" si="9"/>
        <v>702.8</v>
      </c>
      <c r="Y110" s="811">
        <f t="shared" si="10"/>
        <v>917.8</v>
      </c>
      <c r="Z110" s="811">
        <f t="shared" si="11"/>
        <v>517.79999999999995</v>
      </c>
      <c r="AA110" s="811"/>
      <c r="AB110" s="823">
        <f t="shared" si="12"/>
        <v>170</v>
      </c>
      <c r="AC110" s="823">
        <f t="shared" si="13"/>
        <v>627.5</v>
      </c>
      <c r="AD110" s="811">
        <f t="shared" si="14"/>
        <v>797.5</v>
      </c>
      <c r="AE110" s="811">
        <f t="shared" si="15"/>
        <v>397.5</v>
      </c>
      <c r="AF110" s="811"/>
      <c r="AG110" s="778"/>
      <c r="AH110" s="778"/>
      <c r="AI110" s="778"/>
      <c r="AJ110" s="778"/>
      <c r="AK110" s="778"/>
      <c r="AL110" s="778">
        <v>1</v>
      </c>
      <c r="AM110" s="778"/>
    </row>
    <row r="111" spans="1:39" s="187" customFormat="1" x14ac:dyDescent="0.25">
      <c r="A111" s="890">
        <v>103</v>
      </c>
      <c r="B111" s="187">
        <v>103</v>
      </c>
      <c r="C111" s="779" t="s">
        <v>1065</v>
      </c>
      <c r="D111" s="815" t="s">
        <v>1066</v>
      </c>
      <c r="E111" s="784" t="s">
        <v>1067</v>
      </c>
      <c r="F111" s="784"/>
      <c r="G111" s="784">
        <v>1</v>
      </c>
      <c r="H111" s="784">
        <v>1</v>
      </c>
      <c r="I111" s="817">
        <v>2.17</v>
      </c>
      <c r="J111" s="818">
        <v>2.17</v>
      </c>
      <c r="K111" s="819">
        <v>250</v>
      </c>
      <c r="L111" s="820">
        <v>651</v>
      </c>
      <c r="M111" s="821">
        <v>901</v>
      </c>
      <c r="N111" s="822">
        <v>400</v>
      </c>
      <c r="O111" s="822"/>
      <c r="P111" s="822"/>
      <c r="Q111" s="816">
        <v>200</v>
      </c>
      <c r="R111" s="816">
        <v>200</v>
      </c>
      <c r="S111" s="779"/>
      <c r="W111" s="823">
        <f t="shared" si="8"/>
        <v>215</v>
      </c>
      <c r="X111" s="823">
        <f t="shared" si="9"/>
        <v>607.6</v>
      </c>
      <c r="Y111" s="811">
        <f t="shared" si="10"/>
        <v>822.6</v>
      </c>
      <c r="Z111" s="811">
        <f t="shared" si="11"/>
        <v>422.6</v>
      </c>
      <c r="AA111" s="811"/>
      <c r="AB111" s="823">
        <f t="shared" si="12"/>
        <v>170</v>
      </c>
      <c r="AC111" s="823">
        <f t="shared" si="13"/>
        <v>542.5</v>
      </c>
      <c r="AD111" s="811">
        <f t="shared" si="14"/>
        <v>712.5</v>
      </c>
      <c r="AE111" s="811">
        <f t="shared" si="15"/>
        <v>312.5</v>
      </c>
      <c r="AF111" s="811"/>
      <c r="AG111" s="778"/>
      <c r="AH111" s="778"/>
      <c r="AI111" s="778"/>
      <c r="AJ111" s="778"/>
      <c r="AK111" s="778">
        <v>1</v>
      </c>
      <c r="AL111" s="778"/>
      <c r="AM111" s="778"/>
    </row>
    <row r="112" spans="1:39" s="187" customFormat="1" x14ac:dyDescent="0.25">
      <c r="A112" s="890">
        <v>104</v>
      </c>
      <c r="B112" s="187">
        <v>104</v>
      </c>
      <c r="C112" s="779" t="s">
        <v>953</v>
      </c>
      <c r="D112" s="815" t="s">
        <v>1068</v>
      </c>
      <c r="E112" s="784" t="s">
        <v>1069</v>
      </c>
      <c r="F112" s="784"/>
      <c r="G112" s="784">
        <v>1</v>
      </c>
      <c r="H112" s="784">
        <v>1</v>
      </c>
      <c r="I112" s="817">
        <v>1.92</v>
      </c>
      <c r="J112" s="818">
        <v>1.92</v>
      </c>
      <c r="K112" s="819">
        <v>250</v>
      </c>
      <c r="L112" s="820">
        <v>576</v>
      </c>
      <c r="M112" s="821">
        <v>826</v>
      </c>
      <c r="N112" s="822">
        <v>400</v>
      </c>
      <c r="O112" s="822"/>
      <c r="P112" s="822"/>
      <c r="Q112" s="816">
        <v>200</v>
      </c>
      <c r="R112" s="779"/>
      <c r="S112" s="825">
        <v>39205</v>
      </c>
      <c r="W112" s="823">
        <f t="shared" si="8"/>
        <v>215</v>
      </c>
      <c r="X112" s="823">
        <f t="shared" si="9"/>
        <v>537.6</v>
      </c>
      <c r="Y112" s="811">
        <f t="shared" si="10"/>
        <v>752.6</v>
      </c>
      <c r="Z112" s="811">
        <f t="shared" si="11"/>
        <v>352.6</v>
      </c>
      <c r="AA112" s="811"/>
      <c r="AB112" s="823">
        <f t="shared" si="12"/>
        <v>170</v>
      </c>
      <c r="AC112" s="823">
        <f t="shared" si="13"/>
        <v>480</v>
      </c>
      <c r="AD112" s="811">
        <f t="shared" si="14"/>
        <v>650</v>
      </c>
      <c r="AE112" s="811">
        <f t="shared" si="15"/>
        <v>250</v>
      </c>
      <c r="AF112" s="811"/>
      <c r="AG112" s="778"/>
      <c r="AH112" s="778"/>
      <c r="AI112" s="778"/>
      <c r="AJ112" s="778">
        <v>1</v>
      </c>
      <c r="AK112" s="778"/>
      <c r="AL112" s="778"/>
      <c r="AM112" s="778"/>
    </row>
    <row r="113" spans="1:43" s="187" customFormat="1" x14ac:dyDescent="0.25">
      <c r="A113" s="890">
        <v>105</v>
      </c>
      <c r="B113" s="187">
        <v>105</v>
      </c>
      <c r="C113" s="779" t="s">
        <v>956</v>
      </c>
      <c r="D113" s="815" t="s">
        <v>1070</v>
      </c>
      <c r="E113" s="784" t="s">
        <v>1071</v>
      </c>
      <c r="F113" s="784"/>
      <c r="G113" s="784">
        <v>1</v>
      </c>
      <c r="H113" s="784">
        <v>1</v>
      </c>
      <c r="I113" s="817">
        <v>2.09</v>
      </c>
      <c r="J113" s="818">
        <v>2.09</v>
      </c>
      <c r="K113" s="819">
        <v>250</v>
      </c>
      <c r="L113" s="820">
        <v>627</v>
      </c>
      <c r="M113" s="821">
        <v>877</v>
      </c>
      <c r="N113" s="822">
        <v>400</v>
      </c>
      <c r="O113" s="822"/>
      <c r="P113" s="822"/>
      <c r="Q113" s="816">
        <v>200</v>
      </c>
      <c r="R113" s="779"/>
      <c r="S113" s="779"/>
      <c r="W113" s="823">
        <f t="shared" si="8"/>
        <v>215</v>
      </c>
      <c r="X113" s="823">
        <f t="shared" si="9"/>
        <v>585.19999999999993</v>
      </c>
      <c r="Y113" s="811">
        <f t="shared" si="10"/>
        <v>800.19999999999993</v>
      </c>
      <c r="Z113" s="811">
        <f t="shared" si="11"/>
        <v>400.19999999999993</v>
      </c>
      <c r="AA113" s="811"/>
      <c r="AB113" s="823">
        <f t="shared" si="12"/>
        <v>170</v>
      </c>
      <c r="AC113" s="823">
        <f t="shared" si="13"/>
        <v>522.5</v>
      </c>
      <c r="AD113" s="811">
        <f t="shared" si="14"/>
        <v>692.5</v>
      </c>
      <c r="AE113" s="811">
        <f t="shared" si="15"/>
        <v>292.5</v>
      </c>
      <c r="AF113" s="811"/>
      <c r="AG113" s="778"/>
      <c r="AH113" s="778"/>
      <c r="AI113" s="778"/>
      <c r="AJ113" s="778"/>
      <c r="AK113" s="778">
        <v>1</v>
      </c>
      <c r="AL113" s="778"/>
      <c r="AM113" s="778"/>
      <c r="AN113" s="778"/>
      <c r="AO113" s="778"/>
      <c r="AP113" s="778"/>
      <c r="AQ113" s="778"/>
    </row>
    <row r="114" spans="1:43" s="187" customFormat="1" x14ac:dyDescent="0.25">
      <c r="A114" s="890">
        <v>106</v>
      </c>
      <c r="B114" s="187">
        <v>106</v>
      </c>
      <c r="C114" s="779" t="s">
        <v>1072</v>
      </c>
      <c r="D114" s="815" t="s">
        <v>1073</v>
      </c>
      <c r="E114" s="784" t="s">
        <v>1074</v>
      </c>
      <c r="F114" s="784"/>
      <c r="G114" s="784">
        <v>1</v>
      </c>
      <c r="H114" s="784">
        <v>0</v>
      </c>
      <c r="I114" s="817">
        <v>0</v>
      </c>
      <c r="J114" s="818">
        <v>2.34</v>
      </c>
      <c r="K114" s="819">
        <v>250</v>
      </c>
      <c r="L114" s="820">
        <v>702</v>
      </c>
      <c r="M114" s="821">
        <v>0</v>
      </c>
      <c r="N114" s="822">
        <v>400</v>
      </c>
      <c r="O114" s="822"/>
      <c r="P114" s="822"/>
      <c r="Q114" s="816"/>
      <c r="R114" s="779"/>
      <c r="S114" s="825">
        <v>39205</v>
      </c>
      <c r="W114" s="823">
        <f t="shared" si="8"/>
        <v>0</v>
      </c>
      <c r="X114" s="823">
        <f t="shared" si="9"/>
        <v>0</v>
      </c>
      <c r="Y114" s="811">
        <f t="shared" si="10"/>
        <v>0</v>
      </c>
      <c r="Z114" s="811">
        <f t="shared" si="11"/>
        <v>0</v>
      </c>
      <c r="AA114" s="811"/>
      <c r="AB114" s="823">
        <f t="shared" si="12"/>
        <v>0</v>
      </c>
      <c r="AC114" s="823">
        <f t="shared" si="13"/>
        <v>0</v>
      </c>
      <c r="AD114" s="811">
        <f t="shared" si="14"/>
        <v>0</v>
      </c>
      <c r="AE114" s="811">
        <f t="shared" si="15"/>
        <v>0</v>
      </c>
      <c r="AF114" s="811"/>
      <c r="AG114" s="778"/>
      <c r="AH114" s="778"/>
      <c r="AI114" s="778"/>
      <c r="AJ114" s="778"/>
      <c r="AK114" s="778"/>
      <c r="AL114" s="778"/>
      <c r="AM114" s="778"/>
      <c r="AN114" s="778"/>
      <c r="AO114" s="778"/>
      <c r="AP114" s="778"/>
      <c r="AQ114" s="778"/>
    </row>
    <row r="115" spans="1:43" s="187" customFormat="1" x14ac:dyDescent="0.25">
      <c r="A115" s="890">
        <v>107</v>
      </c>
      <c r="B115" s="187">
        <v>107</v>
      </c>
      <c r="C115" s="779" t="s">
        <v>1075</v>
      </c>
      <c r="D115" s="815" t="s">
        <v>1076</v>
      </c>
      <c r="E115" s="784" t="s">
        <v>1077</v>
      </c>
      <c r="F115" s="784"/>
      <c r="G115" s="784">
        <v>1</v>
      </c>
      <c r="H115" s="784">
        <v>1</v>
      </c>
      <c r="I115" s="817">
        <v>1.71</v>
      </c>
      <c r="J115" s="818">
        <v>1.71</v>
      </c>
      <c r="K115" s="819">
        <v>250</v>
      </c>
      <c r="L115" s="820">
        <v>513</v>
      </c>
      <c r="M115" s="821">
        <v>763</v>
      </c>
      <c r="N115" s="822">
        <v>400</v>
      </c>
      <c r="O115" s="822"/>
      <c r="P115" s="822"/>
      <c r="Q115" s="816">
        <v>200</v>
      </c>
      <c r="R115" s="779"/>
      <c r="S115" s="779"/>
      <c r="W115" s="823">
        <f t="shared" si="8"/>
        <v>215</v>
      </c>
      <c r="X115" s="823">
        <f t="shared" si="9"/>
        <v>478.8</v>
      </c>
      <c r="Y115" s="811">
        <f t="shared" si="10"/>
        <v>693.8</v>
      </c>
      <c r="Z115" s="811">
        <f t="shared" si="11"/>
        <v>293.79999999999995</v>
      </c>
      <c r="AA115" s="811"/>
      <c r="AB115" s="823">
        <f t="shared" si="12"/>
        <v>170</v>
      </c>
      <c r="AC115" s="823">
        <f t="shared" si="13"/>
        <v>427.5</v>
      </c>
      <c r="AD115" s="811">
        <f t="shared" si="14"/>
        <v>597.5</v>
      </c>
      <c r="AE115" s="811">
        <f t="shared" si="15"/>
        <v>197.5</v>
      </c>
      <c r="AF115" s="811"/>
      <c r="AG115" s="778"/>
      <c r="AH115" s="778"/>
      <c r="AI115" s="778"/>
      <c r="AJ115" s="778">
        <v>1</v>
      </c>
      <c r="AK115" s="778"/>
      <c r="AL115" s="778"/>
      <c r="AM115" s="778"/>
      <c r="AN115" s="778"/>
      <c r="AO115" s="778"/>
      <c r="AP115" s="778"/>
      <c r="AQ115" s="778"/>
    </row>
    <row r="116" spans="1:43" s="187" customFormat="1" x14ac:dyDescent="0.25">
      <c r="A116" s="890">
        <v>108</v>
      </c>
      <c r="B116" s="187">
        <v>108</v>
      </c>
      <c r="C116" s="779" t="s">
        <v>1078</v>
      </c>
      <c r="D116" s="815" t="s">
        <v>1079</v>
      </c>
      <c r="E116" s="784" t="s">
        <v>1080</v>
      </c>
      <c r="F116" s="784"/>
      <c r="G116" s="784">
        <v>1</v>
      </c>
      <c r="H116" s="784">
        <v>1</v>
      </c>
      <c r="I116" s="856">
        <v>5.42</v>
      </c>
      <c r="J116" s="818">
        <v>5.42</v>
      </c>
      <c r="K116" s="819">
        <v>250</v>
      </c>
      <c r="L116" s="820">
        <v>1626</v>
      </c>
      <c r="M116" s="821">
        <v>1876</v>
      </c>
      <c r="N116" s="822">
        <v>400</v>
      </c>
      <c r="O116" s="822"/>
      <c r="P116" s="822"/>
      <c r="Q116" s="816">
        <v>200</v>
      </c>
      <c r="R116" s="779"/>
      <c r="S116" s="779"/>
      <c r="W116" s="823">
        <f t="shared" si="8"/>
        <v>215</v>
      </c>
      <c r="X116" s="823">
        <f t="shared" si="9"/>
        <v>1517.6</v>
      </c>
      <c r="Y116" s="811">
        <f t="shared" si="10"/>
        <v>1732.6</v>
      </c>
      <c r="Z116" s="811">
        <f t="shared" si="11"/>
        <v>1332.6</v>
      </c>
      <c r="AA116" s="811"/>
      <c r="AB116" s="823">
        <f t="shared" si="12"/>
        <v>170</v>
      </c>
      <c r="AC116" s="823">
        <f t="shared" si="13"/>
        <v>1355</v>
      </c>
      <c r="AD116" s="811">
        <f t="shared" si="14"/>
        <v>1525</v>
      </c>
      <c r="AE116" s="811">
        <f t="shared" si="15"/>
        <v>1125</v>
      </c>
      <c r="AF116" s="811"/>
      <c r="AG116" s="778"/>
      <c r="AH116" s="778"/>
      <c r="AI116" s="778"/>
      <c r="AJ116" s="778"/>
      <c r="AK116" s="778"/>
      <c r="AL116" s="778"/>
      <c r="AM116" s="778"/>
      <c r="AN116" s="778"/>
      <c r="AO116" s="778"/>
      <c r="AP116" s="778"/>
      <c r="AQ116" s="778">
        <v>1</v>
      </c>
    </row>
    <row r="117" spans="1:43" s="187" customFormat="1" x14ac:dyDescent="0.25">
      <c r="A117" s="890">
        <v>109</v>
      </c>
      <c r="B117" s="187">
        <v>109</v>
      </c>
      <c r="C117" s="779" t="s">
        <v>1081</v>
      </c>
      <c r="D117" s="815" t="s">
        <v>1082</v>
      </c>
      <c r="E117" s="784" t="s">
        <v>1083</v>
      </c>
      <c r="F117" s="784"/>
      <c r="G117" s="784">
        <v>1</v>
      </c>
      <c r="H117" s="784">
        <v>1</v>
      </c>
      <c r="I117" s="817">
        <v>1.57</v>
      </c>
      <c r="J117" s="818">
        <v>1.57</v>
      </c>
      <c r="K117" s="819">
        <v>250</v>
      </c>
      <c r="L117" s="820">
        <v>471</v>
      </c>
      <c r="M117" s="821">
        <v>721</v>
      </c>
      <c r="N117" s="822">
        <v>400</v>
      </c>
      <c r="O117" s="822"/>
      <c r="P117" s="822"/>
      <c r="Q117" s="816">
        <v>200</v>
      </c>
      <c r="R117" s="816">
        <v>200</v>
      </c>
      <c r="W117" s="823">
        <f t="shared" si="8"/>
        <v>215</v>
      </c>
      <c r="X117" s="823">
        <f t="shared" si="9"/>
        <v>439.6</v>
      </c>
      <c r="Y117" s="811">
        <f t="shared" si="10"/>
        <v>654.6</v>
      </c>
      <c r="Z117" s="811">
        <f t="shared" si="11"/>
        <v>254.60000000000002</v>
      </c>
      <c r="AA117" s="811"/>
      <c r="AB117" s="823">
        <f t="shared" si="12"/>
        <v>170</v>
      </c>
      <c r="AC117" s="823">
        <f t="shared" si="13"/>
        <v>392.5</v>
      </c>
      <c r="AD117" s="811">
        <f t="shared" si="14"/>
        <v>562.5</v>
      </c>
      <c r="AE117" s="811">
        <f t="shared" si="15"/>
        <v>162.5</v>
      </c>
      <c r="AF117" s="811"/>
      <c r="AG117" s="778"/>
      <c r="AH117" s="778"/>
      <c r="AI117" s="778"/>
      <c r="AJ117" s="778">
        <v>1</v>
      </c>
      <c r="AK117" s="778"/>
      <c r="AL117" s="778"/>
      <c r="AM117" s="778"/>
      <c r="AN117" s="778"/>
      <c r="AO117" s="778"/>
      <c r="AP117" s="778"/>
      <c r="AQ117" s="778"/>
    </row>
    <row r="118" spans="1:43" s="187" customFormat="1" x14ac:dyDescent="0.25">
      <c r="A118" s="890">
        <v>110</v>
      </c>
      <c r="B118" s="187">
        <v>110</v>
      </c>
      <c r="C118" s="779" t="s">
        <v>1084</v>
      </c>
      <c r="D118" s="815" t="s">
        <v>1085</v>
      </c>
      <c r="E118" s="784" t="s">
        <v>1086</v>
      </c>
      <c r="F118" s="784"/>
      <c r="G118" s="784">
        <v>1</v>
      </c>
      <c r="H118" s="784">
        <v>1</v>
      </c>
      <c r="I118" s="817">
        <v>1.85</v>
      </c>
      <c r="J118" s="818">
        <v>1.85</v>
      </c>
      <c r="K118" s="819">
        <v>250</v>
      </c>
      <c r="L118" s="820">
        <v>555</v>
      </c>
      <c r="M118" s="821">
        <v>805</v>
      </c>
      <c r="N118" s="822">
        <v>400</v>
      </c>
      <c r="O118" s="822"/>
      <c r="P118" s="822"/>
      <c r="Q118" s="816">
        <v>200</v>
      </c>
      <c r="R118" s="779"/>
      <c r="W118" s="823">
        <f t="shared" si="8"/>
        <v>215</v>
      </c>
      <c r="X118" s="823">
        <f t="shared" si="9"/>
        <v>518</v>
      </c>
      <c r="Y118" s="811">
        <f t="shared" si="10"/>
        <v>733</v>
      </c>
      <c r="Z118" s="811">
        <f t="shared" si="11"/>
        <v>333</v>
      </c>
      <c r="AA118" s="811"/>
      <c r="AB118" s="823">
        <f t="shared" si="12"/>
        <v>170</v>
      </c>
      <c r="AC118" s="823">
        <f t="shared" si="13"/>
        <v>462.5</v>
      </c>
      <c r="AD118" s="811">
        <f t="shared" si="14"/>
        <v>632.5</v>
      </c>
      <c r="AE118" s="811">
        <f t="shared" si="15"/>
        <v>232.5</v>
      </c>
      <c r="AF118" s="811"/>
      <c r="AG118" s="778"/>
      <c r="AH118" s="778"/>
      <c r="AI118" s="778"/>
      <c r="AJ118" s="778">
        <v>1</v>
      </c>
      <c r="AK118" s="778"/>
      <c r="AL118" s="778"/>
      <c r="AM118" s="778"/>
      <c r="AN118" s="778"/>
      <c r="AO118" s="778"/>
      <c r="AP118" s="778"/>
      <c r="AQ118" s="778"/>
    </row>
    <row r="119" spans="1:43" s="187" customFormat="1" x14ac:dyDescent="0.25">
      <c r="A119" s="890">
        <v>111</v>
      </c>
      <c r="B119" s="187">
        <v>111</v>
      </c>
      <c r="C119" s="779" t="s">
        <v>1087</v>
      </c>
      <c r="D119" s="815" t="s">
        <v>1088</v>
      </c>
      <c r="E119" s="784" t="s">
        <v>1089</v>
      </c>
      <c r="F119" s="784"/>
      <c r="G119" s="784">
        <v>1</v>
      </c>
      <c r="H119" s="784">
        <v>0</v>
      </c>
      <c r="I119" s="817">
        <v>0</v>
      </c>
      <c r="J119" s="818">
        <v>2.02</v>
      </c>
      <c r="K119" s="819">
        <v>250</v>
      </c>
      <c r="L119" s="820">
        <v>606</v>
      </c>
      <c r="M119" s="821">
        <v>0</v>
      </c>
      <c r="N119" s="824">
        <v>0</v>
      </c>
      <c r="O119" s="824"/>
      <c r="P119" s="824"/>
      <c r="Q119" s="816"/>
      <c r="R119" s="779"/>
      <c r="W119" s="823">
        <f t="shared" si="8"/>
        <v>0</v>
      </c>
      <c r="X119" s="823">
        <f t="shared" si="9"/>
        <v>0</v>
      </c>
      <c r="Y119" s="811">
        <f t="shared" si="10"/>
        <v>0</v>
      </c>
      <c r="Z119" s="811">
        <f t="shared" si="11"/>
        <v>0</v>
      </c>
      <c r="AA119" s="811"/>
      <c r="AB119" s="823">
        <f t="shared" si="12"/>
        <v>0</v>
      </c>
      <c r="AC119" s="823">
        <f t="shared" si="13"/>
        <v>0</v>
      </c>
      <c r="AD119" s="811">
        <f t="shared" si="14"/>
        <v>0</v>
      </c>
      <c r="AE119" s="811">
        <f t="shared" si="15"/>
        <v>0</v>
      </c>
      <c r="AF119" s="811"/>
      <c r="AG119" s="778"/>
      <c r="AH119" s="778"/>
      <c r="AI119" s="778"/>
      <c r="AJ119" s="778"/>
      <c r="AK119" s="778"/>
      <c r="AL119" s="778"/>
      <c r="AM119" s="778"/>
      <c r="AN119" s="778"/>
      <c r="AO119" s="778"/>
      <c r="AP119" s="778"/>
      <c r="AQ119" s="778"/>
    </row>
    <row r="120" spans="1:43" s="187" customFormat="1" x14ac:dyDescent="0.25">
      <c r="A120" s="890">
        <v>112</v>
      </c>
      <c r="B120" s="187">
        <v>112</v>
      </c>
      <c r="C120" s="779" t="s">
        <v>1090</v>
      </c>
      <c r="D120" s="815" t="s">
        <v>1091</v>
      </c>
      <c r="E120" s="784" t="s">
        <v>1092</v>
      </c>
      <c r="F120" s="784"/>
      <c r="G120" s="784">
        <v>1</v>
      </c>
      <c r="H120" s="784">
        <v>1</v>
      </c>
      <c r="I120" s="817">
        <v>2.02</v>
      </c>
      <c r="J120" s="818">
        <v>2.02</v>
      </c>
      <c r="K120" s="819">
        <v>250</v>
      </c>
      <c r="L120" s="820">
        <v>606</v>
      </c>
      <c r="M120" s="821">
        <v>856</v>
      </c>
      <c r="N120" s="822">
        <v>400</v>
      </c>
      <c r="O120" s="822"/>
      <c r="P120" s="822"/>
      <c r="Q120" s="816">
        <v>200</v>
      </c>
      <c r="R120" s="779"/>
      <c r="W120" s="823">
        <f t="shared" si="8"/>
        <v>215</v>
      </c>
      <c r="X120" s="823">
        <f t="shared" si="9"/>
        <v>565.6</v>
      </c>
      <c r="Y120" s="811">
        <f t="shared" si="10"/>
        <v>780.6</v>
      </c>
      <c r="Z120" s="811">
        <f t="shared" si="11"/>
        <v>380.6</v>
      </c>
      <c r="AA120" s="811"/>
      <c r="AB120" s="823">
        <f t="shared" si="12"/>
        <v>170</v>
      </c>
      <c r="AC120" s="823">
        <f t="shared" si="13"/>
        <v>505</v>
      </c>
      <c r="AD120" s="811">
        <f t="shared" si="14"/>
        <v>675</v>
      </c>
      <c r="AE120" s="811">
        <f t="shared" si="15"/>
        <v>275</v>
      </c>
      <c r="AF120" s="811"/>
      <c r="AG120" s="778"/>
      <c r="AH120" s="778"/>
      <c r="AI120" s="778"/>
      <c r="AJ120" s="778"/>
      <c r="AK120" s="778">
        <v>1</v>
      </c>
      <c r="AL120" s="778"/>
      <c r="AM120" s="778"/>
      <c r="AN120" s="778"/>
      <c r="AO120" s="778"/>
      <c r="AP120" s="778"/>
      <c r="AQ120" s="778"/>
    </row>
    <row r="121" spans="1:43" s="187" customFormat="1" x14ac:dyDescent="0.25">
      <c r="A121" s="890">
        <v>113</v>
      </c>
      <c r="B121" s="187">
        <v>113</v>
      </c>
      <c r="C121" s="779" t="s">
        <v>1093</v>
      </c>
      <c r="D121" s="815" t="s">
        <v>1094</v>
      </c>
      <c r="E121" s="784" t="s">
        <v>1095</v>
      </c>
      <c r="F121" s="784"/>
      <c r="G121" s="784">
        <v>1</v>
      </c>
      <c r="H121" s="784">
        <v>1</v>
      </c>
      <c r="I121" s="817">
        <v>2.02</v>
      </c>
      <c r="J121" s="818">
        <v>2.02</v>
      </c>
      <c r="K121" s="819">
        <v>250</v>
      </c>
      <c r="L121" s="820">
        <v>606</v>
      </c>
      <c r="M121" s="821">
        <v>856</v>
      </c>
      <c r="N121" s="822">
        <v>400</v>
      </c>
      <c r="O121" s="822"/>
      <c r="P121" s="822"/>
      <c r="Q121" s="816">
        <v>400</v>
      </c>
      <c r="R121" s="779"/>
      <c r="W121" s="823">
        <f t="shared" si="8"/>
        <v>215</v>
      </c>
      <c r="X121" s="823">
        <f t="shared" si="9"/>
        <v>565.6</v>
      </c>
      <c r="Y121" s="811">
        <f t="shared" si="10"/>
        <v>780.6</v>
      </c>
      <c r="Z121" s="811">
        <f t="shared" si="11"/>
        <v>380.6</v>
      </c>
      <c r="AA121" s="811"/>
      <c r="AB121" s="823">
        <f t="shared" si="12"/>
        <v>170</v>
      </c>
      <c r="AC121" s="823">
        <f t="shared" si="13"/>
        <v>505</v>
      </c>
      <c r="AD121" s="811">
        <f t="shared" si="14"/>
        <v>675</v>
      </c>
      <c r="AE121" s="811">
        <f t="shared" si="15"/>
        <v>275</v>
      </c>
      <c r="AF121" s="811"/>
      <c r="AG121" s="778"/>
      <c r="AH121" s="778"/>
      <c r="AI121" s="778"/>
      <c r="AJ121" s="778"/>
      <c r="AK121" s="778">
        <v>1</v>
      </c>
      <c r="AL121" s="778"/>
      <c r="AM121" s="778"/>
      <c r="AN121" s="778"/>
      <c r="AO121" s="778"/>
      <c r="AP121" s="778"/>
      <c r="AQ121" s="778"/>
    </row>
    <row r="122" spans="1:43" s="187" customFormat="1" x14ac:dyDescent="0.25">
      <c r="A122" s="890">
        <v>114</v>
      </c>
      <c r="B122" s="187">
        <v>114</v>
      </c>
      <c r="C122" s="779" t="s">
        <v>991</v>
      </c>
      <c r="D122" s="815" t="s">
        <v>1096</v>
      </c>
      <c r="E122" s="784" t="s">
        <v>1097</v>
      </c>
      <c r="F122" s="784"/>
      <c r="G122" s="784">
        <v>1</v>
      </c>
      <c r="H122" s="784">
        <v>1</v>
      </c>
      <c r="I122" s="817">
        <v>2.02</v>
      </c>
      <c r="J122" s="818">
        <v>2.02</v>
      </c>
      <c r="K122" s="819">
        <v>250</v>
      </c>
      <c r="L122" s="820">
        <v>606</v>
      </c>
      <c r="M122" s="821">
        <v>856</v>
      </c>
      <c r="N122" s="824">
        <v>400</v>
      </c>
      <c r="O122" s="824"/>
      <c r="P122" s="824"/>
      <c r="Q122" s="816">
        <v>400</v>
      </c>
      <c r="R122" s="779"/>
      <c r="W122" s="823">
        <f t="shared" si="8"/>
        <v>215</v>
      </c>
      <c r="X122" s="823">
        <f t="shared" si="9"/>
        <v>565.6</v>
      </c>
      <c r="Y122" s="811">
        <f t="shared" si="10"/>
        <v>780.6</v>
      </c>
      <c r="Z122" s="811">
        <f t="shared" si="11"/>
        <v>380.6</v>
      </c>
      <c r="AA122" s="811"/>
      <c r="AB122" s="823">
        <f t="shared" si="12"/>
        <v>170</v>
      </c>
      <c r="AC122" s="823">
        <f t="shared" si="13"/>
        <v>505</v>
      </c>
      <c r="AD122" s="811">
        <f t="shared" si="14"/>
        <v>675</v>
      </c>
      <c r="AE122" s="811">
        <f t="shared" si="15"/>
        <v>275</v>
      </c>
      <c r="AF122" s="811"/>
      <c r="AG122" s="778"/>
      <c r="AH122" s="778"/>
      <c r="AI122" s="778"/>
      <c r="AJ122" s="778"/>
      <c r="AK122" s="778">
        <v>1</v>
      </c>
      <c r="AL122" s="778"/>
      <c r="AM122" s="778"/>
      <c r="AN122" s="778"/>
      <c r="AO122" s="778"/>
      <c r="AP122" s="778"/>
      <c r="AQ122" s="778"/>
    </row>
    <row r="123" spans="1:43" s="187" customFormat="1" x14ac:dyDescent="0.25">
      <c r="A123" s="890">
        <v>115</v>
      </c>
      <c r="B123" s="187">
        <v>115</v>
      </c>
      <c r="C123" s="779" t="s">
        <v>1098</v>
      </c>
      <c r="D123" s="815" t="s">
        <v>1099</v>
      </c>
      <c r="E123" s="784" t="s">
        <v>1100</v>
      </c>
      <c r="F123" s="784"/>
      <c r="G123" s="784">
        <v>1</v>
      </c>
      <c r="H123" s="784">
        <v>1</v>
      </c>
      <c r="I123" s="817">
        <v>2.0499999999999998</v>
      </c>
      <c r="J123" s="818">
        <v>2.0499999999999998</v>
      </c>
      <c r="K123" s="819">
        <v>250</v>
      </c>
      <c r="L123" s="820">
        <v>615</v>
      </c>
      <c r="M123" s="821">
        <v>865</v>
      </c>
      <c r="N123" s="822">
        <v>400</v>
      </c>
      <c r="O123" s="822"/>
      <c r="P123" s="822"/>
      <c r="Q123" s="816">
        <v>200</v>
      </c>
      <c r="R123" s="779"/>
      <c r="W123" s="823">
        <f t="shared" si="8"/>
        <v>215</v>
      </c>
      <c r="X123" s="823">
        <f t="shared" si="9"/>
        <v>574</v>
      </c>
      <c r="Y123" s="811">
        <f t="shared" si="10"/>
        <v>789</v>
      </c>
      <c r="Z123" s="811">
        <f t="shared" si="11"/>
        <v>389</v>
      </c>
      <c r="AA123" s="811"/>
      <c r="AB123" s="823">
        <f t="shared" si="12"/>
        <v>170</v>
      </c>
      <c r="AC123" s="823">
        <f t="shared" si="13"/>
        <v>512.5</v>
      </c>
      <c r="AD123" s="811">
        <f t="shared" si="14"/>
        <v>682.5</v>
      </c>
      <c r="AE123" s="811">
        <f t="shared" si="15"/>
        <v>282.5</v>
      </c>
      <c r="AF123" s="811"/>
      <c r="AG123" s="778"/>
      <c r="AH123" s="778"/>
      <c r="AI123" s="778"/>
      <c r="AJ123" s="778"/>
      <c r="AK123" s="778">
        <v>1</v>
      </c>
      <c r="AL123" s="778"/>
      <c r="AM123" s="778"/>
      <c r="AN123" s="778"/>
      <c r="AO123" s="778"/>
      <c r="AP123" s="778"/>
      <c r="AQ123" s="778"/>
    </row>
    <row r="124" spans="1:43" s="187" customFormat="1" x14ac:dyDescent="0.25">
      <c r="A124" s="890">
        <v>116</v>
      </c>
      <c r="B124" s="187">
        <v>116</v>
      </c>
      <c r="C124" s="779" t="s">
        <v>1101</v>
      </c>
      <c r="D124" s="815" t="s">
        <v>1102</v>
      </c>
      <c r="E124" s="784"/>
      <c r="F124" s="784"/>
      <c r="G124" s="784">
        <v>1</v>
      </c>
      <c r="H124" s="784">
        <v>0</v>
      </c>
      <c r="I124" s="817">
        <v>0</v>
      </c>
      <c r="J124" s="818">
        <v>2.06</v>
      </c>
      <c r="K124" s="819">
        <v>250</v>
      </c>
      <c r="L124" s="820">
        <v>618</v>
      </c>
      <c r="M124" s="821">
        <v>0</v>
      </c>
      <c r="N124" s="824">
        <v>0</v>
      </c>
      <c r="O124" s="824"/>
      <c r="P124" s="824"/>
      <c r="Q124" s="816"/>
      <c r="R124" s="779"/>
      <c r="W124" s="823">
        <f t="shared" si="8"/>
        <v>0</v>
      </c>
      <c r="X124" s="823">
        <f t="shared" si="9"/>
        <v>0</v>
      </c>
      <c r="Y124" s="811">
        <f t="shared" si="10"/>
        <v>0</v>
      </c>
      <c r="Z124" s="811">
        <f t="shared" si="11"/>
        <v>0</v>
      </c>
      <c r="AA124" s="811"/>
      <c r="AB124" s="823">
        <f t="shared" si="12"/>
        <v>0</v>
      </c>
      <c r="AC124" s="823">
        <f t="shared" si="13"/>
        <v>0</v>
      </c>
      <c r="AD124" s="811">
        <f t="shared" si="14"/>
        <v>0</v>
      </c>
      <c r="AE124" s="811">
        <f t="shared" si="15"/>
        <v>0</v>
      </c>
      <c r="AF124" s="811"/>
      <c r="AG124" s="778"/>
      <c r="AH124" s="778"/>
      <c r="AI124" s="778"/>
      <c r="AJ124" s="778"/>
      <c r="AK124" s="778"/>
      <c r="AL124" s="778"/>
      <c r="AM124" s="778"/>
      <c r="AN124" s="778"/>
      <c r="AO124" s="778"/>
      <c r="AP124" s="778"/>
      <c r="AQ124" s="778"/>
    </row>
    <row r="125" spans="1:43" s="187" customFormat="1" x14ac:dyDescent="0.25">
      <c r="A125" s="890">
        <v>117</v>
      </c>
      <c r="B125" s="187">
        <v>117</v>
      </c>
      <c r="C125" s="779" t="s">
        <v>1000</v>
      </c>
      <c r="D125" s="815" t="s">
        <v>1103</v>
      </c>
      <c r="E125" s="784" t="s">
        <v>1104</v>
      </c>
      <c r="F125" s="784"/>
      <c r="G125" s="784">
        <v>1</v>
      </c>
      <c r="H125" s="784">
        <v>0</v>
      </c>
      <c r="I125" s="817">
        <v>0</v>
      </c>
      <c r="J125" s="818">
        <v>2.06</v>
      </c>
      <c r="K125" s="819">
        <v>250</v>
      </c>
      <c r="L125" s="820">
        <v>618</v>
      </c>
      <c r="M125" s="821">
        <v>0</v>
      </c>
      <c r="N125" s="824">
        <v>0</v>
      </c>
      <c r="O125" s="824"/>
      <c r="P125" s="824"/>
      <c r="Q125" s="816"/>
      <c r="R125" s="779"/>
      <c r="W125" s="823">
        <f t="shared" si="8"/>
        <v>0</v>
      </c>
      <c r="X125" s="823">
        <f t="shared" si="9"/>
        <v>0</v>
      </c>
      <c r="Y125" s="811">
        <f t="shared" si="10"/>
        <v>0</v>
      </c>
      <c r="Z125" s="811">
        <f t="shared" si="11"/>
        <v>0</v>
      </c>
      <c r="AA125" s="811"/>
      <c r="AB125" s="823">
        <f t="shared" si="12"/>
        <v>0</v>
      </c>
      <c r="AC125" s="823">
        <f t="shared" si="13"/>
        <v>0</v>
      </c>
      <c r="AD125" s="811">
        <f t="shared" si="14"/>
        <v>0</v>
      </c>
      <c r="AE125" s="811">
        <f t="shared" si="15"/>
        <v>0</v>
      </c>
      <c r="AF125" s="811"/>
      <c r="AG125" s="778"/>
      <c r="AH125" s="778"/>
      <c r="AI125" s="778"/>
      <c r="AJ125" s="778"/>
      <c r="AK125" s="778"/>
      <c r="AL125" s="778"/>
      <c r="AM125" s="778"/>
      <c r="AN125" s="778"/>
      <c r="AO125" s="778"/>
      <c r="AP125" s="778"/>
      <c r="AQ125" s="778"/>
    </row>
    <row r="126" spans="1:43" s="187" customFormat="1" x14ac:dyDescent="0.25">
      <c r="A126" s="890">
        <v>118</v>
      </c>
      <c r="B126" s="187">
        <v>118</v>
      </c>
      <c r="C126" s="779" t="s">
        <v>1003</v>
      </c>
      <c r="D126" s="815" t="s">
        <v>1105</v>
      </c>
      <c r="E126" s="784" t="s">
        <v>1106</v>
      </c>
      <c r="F126" s="784"/>
      <c r="G126" s="784">
        <v>1</v>
      </c>
      <c r="H126" s="784">
        <v>1</v>
      </c>
      <c r="I126" s="817">
        <v>1.97</v>
      </c>
      <c r="J126" s="818">
        <v>1.97</v>
      </c>
      <c r="K126" s="819">
        <v>250</v>
      </c>
      <c r="L126" s="820">
        <v>591</v>
      </c>
      <c r="M126" s="821">
        <v>841</v>
      </c>
      <c r="N126" s="822">
        <v>400</v>
      </c>
      <c r="O126" s="822"/>
      <c r="P126" s="822"/>
      <c r="Q126" s="816">
        <v>200</v>
      </c>
      <c r="R126" s="779"/>
      <c r="W126" s="823">
        <f t="shared" si="8"/>
        <v>215</v>
      </c>
      <c r="X126" s="823">
        <f t="shared" si="9"/>
        <v>551.6</v>
      </c>
      <c r="Y126" s="811">
        <f t="shared" si="10"/>
        <v>766.6</v>
      </c>
      <c r="Z126" s="811">
        <f t="shared" si="11"/>
        <v>366.6</v>
      </c>
      <c r="AA126" s="811"/>
      <c r="AB126" s="823">
        <f t="shared" si="12"/>
        <v>170</v>
      </c>
      <c r="AC126" s="823">
        <f t="shared" si="13"/>
        <v>492.5</v>
      </c>
      <c r="AD126" s="811">
        <f t="shared" si="14"/>
        <v>662.5</v>
      </c>
      <c r="AE126" s="811">
        <f t="shared" si="15"/>
        <v>262.5</v>
      </c>
      <c r="AF126" s="811"/>
      <c r="AG126" s="778"/>
      <c r="AH126" s="778"/>
      <c r="AI126" s="778"/>
      <c r="AJ126" s="778">
        <v>1</v>
      </c>
      <c r="AK126" s="778"/>
      <c r="AL126" s="778"/>
      <c r="AM126" s="778"/>
      <c r="AN126" s="778"/>
      <c r="AO126" s="778"/>
      <c r="AP126" s="778"/>
      <c r="AQ126" s="778"/>
    </row>
    <row r="127" spans="1:43" s="187" customFormat="1" x14ac:dyDescent="0.25">
      <c r="A127" s="890">
        <v>119</v>
      </c>
      <c r="B127" s="187">
        <v>119</v>
      </c>
      <c r="C127" s="779" t="s">
        <v>1107</v>
      </c>
      <c r="D127" s="815" t="s">
        <v>1108</v>
      </c>
      <c r="E127" s="784" t="s">
        <v>1109</v>
      </c>
      <c r="F127" s="784"/>
      <c r="G127" s="784">
        <v>1</v>
      </c>
      <c r="H127" s="784">
        <v>1</v>
      </c>
      <c r="I127" s="817">
        <v>1.94</v>
      </c>
      <c r="J127" s="818">
        <v>1.94</v>
      </c>
      <c r="K127" s="819">
        <v>250</v>
      </c>
      <c r="L127" s="820">
        <v>582</v>
      </c>
      <c r="M127" s="821">
        <v>832</v>
      </c>
      <c r="N127" s="822">
        <v>400</v>
      </c>
      <c r="O127" s="822"/>
      <c r="P127" s="822"/>
      <c r="Q127" s="816">
        <v>200</v>
      </c>
      <c r="R127" s="779"/>
      <c r="W127" s="823">
        <f t="shared" si="8"/>
        <v>215</v>
      </c>
      <c r="X127" s="823">
        <f t="shared" si="9"/>
        <v>543.19999999999993</v>
      </c>
      <c r="Y127" s="811">
        <f t="shared" si="10"/>
        <v>758.19999999999993</v>
      </c>
      <c r="Z127" s="811">
        <f t="shared" si="11"/>
        <v>358.19999999999993</v>
      </c>
      <c r="AA127" s="811"/>
      <c r="AB127" s="823">
        <f t="shared" si="12"/>
        <v>170</v>
      </c>
      <c r="AC127" s="823">
        <f t="shared" si="13"/>
        <v>485</v>
      </c>
      <c r="AD127" s="811">
        <f t="shared" si="14"/>
        <v>655</v>
      </c>
      <c r="AE127" s="811">
        <f t="shared" si="15"/>
        <v>255</v>
      </c>
      <c r="AF127" s="811"/>
      <c r="AG127" s="778"/>
      <c r="AH127" s="778"/>
      <c r="AI127" s="778"/>
      <c r="AJ127" s="778">
        <v>1</v>
      </c>
      <c r="AK127" s="778"/>
      <c r="AL127" s="778"/>
      <c r="AM127" s="778"/>
      <c r="AN127" s="778"/>
      <c r="AO127" s="778"/>
      <c r="AP127" s="778"/>
      <c r="AQ127" s="778"/>
    </row>
    <row r="128" spans="1:43" s="187" customFormat="1" ht="15.75" thickBot="1" x14ac:dyDescent="0.3">
      <c r="A128" s="890">
        <v>120</v>
      </c>
      <c r="B128" s="187">
        <v>120</v>
      </c>
      <c r="C128" s="779"/>
      <c r="D128" s="815"/>
      <c r="E128" s="784"/>
      <c r="F128" s="784"/>
      <c r="G128" s="784"/>
      <c r="H128" s="842"/>
      <c r="I128" s="829">
        <v>44.77</v>
      </c>
      <c r="J128" s="857">
        <v>55.750000000000014</v>
      </c>
      <c r="K128" s="858"/>
      <c r="L128" s="859"/>
      <c r="M128" s="833">
        <v>18181</v>
      </c>
      <c r="N128" s="854">
        <v>8000</v>
      </c>
      <c r="O128" s="855"/>
      <c r="P128" s="855"/>
      <c r="Q128" s="816"/>
      <c r="R128" s="779"/>
      <c r="W128" s="823">
        <f t="shared" si="8"/>
        <v>0</v>
      </c>
      <c r="X128" s="823">
        <f t="shared" si="9"/>
        <v>0</v>
      </c>
      <c r="Y128" s="811">
        <f t="shared" si="10"/>
        <v>0</v>
      </c>
      <c r="Z128" s="811">
        <f t="shared" si="11"/>
        <v>0</v>
      </c>
      <c r="AA128" s="811"/>
      <c r="AB128" s="823">
        <f t="shared" si="12"/>
        <v>0</v>
      </c>
      <c r="AC128" s="823">
        <f t="shared" si="13"/>
        <v>0</v>
      </c>
      <c r="AD128" s="811">
        <f t="shared" si="14"/>
        <v>0</v>
      </c>
      <c r="AE128" s="811">
        <f t="shared" si="15"/>
        <v>0</v>
      </c>
      <c r="AF128" s="811"/>
      <c r="AG128" s="778"/>
      <c r="AH128" s="778"/>
      <c r="AI128" s="778"/>
      <c r="AJ128" s="778"/>
      <c r="AK128" s="778"/>
      <c r="AL128" s="778"/>
      <c r="AM128" s="778"/>
      <c r="AN128" s="778"/>
      <c r="AO128" s="778"/>
      <c r="AP128" s="778"/>
      <c r="AQ128" s="778"/>
    </row>
    <row r="129" spans="1:43" s="187" customFormat="1" ht="15.75" thickTop="1" x14ac:dyDescent="0.25">
      <c r="A129" s="890">
        <v>121</v>
      </c>
      <c r="B129" s="187">
        <v>121</v>
      </c>
      <c r="C129" s="779"/>
      <c r="D129" s="815"/>
      <c r="E129" s="784"/>
      <c r="F129" s="784"/>
      <c r="G129" s="784"/>
      <c r="H129" s="779"/>
      <c r="I129" s="779"/>
      <c r="J129" s="779"/>
      <c r="K129" s="779"/>
      <c r="L129" s="814"/>
      <c r="M129" s="814"/>
      <c r="N129" s="838"/>
      <c r="O129" s="838"/>
      <c r="P129" s="838"/>
      <c r="Q129" s="816"/>
      <c r="R129" s="779"/>
      <c r="W129" s="823">
        <f t="shared" si="8"/>
        <v>0</v>
      </c>
      <c r="X129" s="823">
        <f t="shared" si="9"/>
        <v>0</v>
      </c>
      <c r="Y129" s="811">
        <f t="shared" si="10"/>
        <v>0</v>
      </c>
      <c r="Z129" s="811">
        <f t="shared" si="11"/>
        <v>0</v>
      </c>
      <c r="AA129" s="811"/>
      <c r="AB129" s="823">
        <f t="shared" si="12"/>
        <v>0</v>
      </c>
      <c r="AC129" s="823">
        <f t="shared" si="13"/>
        <v>0</v>
      </c>
      <c r="AD129" s="811">
        <f t="shared" si="14"/>
        <v>0</v>
      </c>
      <c r="AE129" s="811">
        <f t="shared" si="15"/>
        <v>0</v>
      </c>
      <c r="AF129" s="811"/>
      <c r="AG129" s="778"/>
      <c r="AH129" s="778"/>
      <c r="AI129" s="778"/>
      <c r="AJ129" s="778"/>
      <c r="AK129" s="778"/>
      <c r="AL129" s="778"/>
      <c r="AM129" s="778"/>
      <c r="AN129" s="778"/>
      <c r="AO129" s="778"/>
      <c r="AP129" s="778"/>
      <c r="AQ129" s="778"/>
    </row>
    <row r="130" spans="1:43" s="187" customFormat="1" x14ac:dyDescent="0.25">
      <c r="A130" s="890">
        <v>122</v>
      </c>
      <c r="B130" s="187">
        <v>122</v>
      </c>
      <c r="C130" s="812" t="s">
        <v>1110</v>
      </c>
      <c r="D130" s="813"/>
      <c r="E130" s="835"/>
      <c r="F130" s="839" t="s">
        <v>854</v>
      </c>
      <c r="G130" s="839"/>
      <c r="H130" s="793"/>
      <c r="I130" s="793"/>
      <c r="J130" s="840" t="s">
        <v>858</v>
      </c>
      <c r="K130" s="839" t="s">
        <v>859</v>
      </c>
      <c r="L130" s="841" t="s">
        <v>900</v>
      </c>
      <c r="M130" s="841" t="s">
        <v>317</v>
      </c>
      <c r="N130" s="838"/>
      <c r="O130" s="838"/>
      <c r="P130" s="838"/>
      <c r="Q130" s="816"/>
      <c r="R130" s="779"/>
      <c r="W130" s="823">
        <f t="shared" si="8"/>
        <v>0</v>
      </c>
      <c r="X130" s="823">
        <f t="shared" si="9"/>
        <v>0</v>
      </c>
      <c r="Y130" s="811">
        <f t="shared" si="10"/>
        <v>0</v>
      </c>
      <c r="Z130" s="811">
        <f t="shared" si="11"/>
        <v>0</v>
      </c>
      <c r="AA130" s="811"/>
      <c r="AB130" s="823">
        <f t="shared" si="12"/>
        <v>0</v>
      </c>
      <c r="AC130" s="823">
        <f t="shared" si="13"/>
        <v>0</v>
      </c>
      <c r="AD130" s="811">
        <f t="shared" si="14"/>
        <v>0</v>
      </c>
      <c r="AE130" s="811">
        <f t="shared" si="15"/>
        <v>0</v>
      </c>
      <c r="AF130" s="811"/>
      <c r="AG130" s="778"/>
      <c r="AH130" s="778"/>
      <c r="AI130" s="778"/>
      <c r="AJ130" s="778"/>
      <c r="AK130" s="778"/>
      <c r="AL130" s="778"/>
      <c r="AM130" s="778"/>
      <c r="AN130" s="778"/>
      <c r="AO130" s="778"/>
      <c r="AP130" s="778"/>
      <c r="AQ130" s="778"/>
    </row>
    <row r="131" spans="1:43" s="187" customFormat="1" x14ac:dyDescent="0.25">
      <c r="A131" s="890">
        <v>123</v>
      </c>
      <c r="B131" s="187">
        <v>123</v>
      </c>
      <c r="C131" s="779"/>
      <c r="D131" s="815"/>
      <c r="E131" s="784"/>
      <c r="F131" s="784"/>
      <c r="G131" s="784"/>
      <c r="H131" s="779"/>
      <c r="I131" s="779"/>
      <c r="J131" s="779"/>
      <c r="K131" s="779"/>
      <c r="L131" s="814"/>
      <c r="M131" s="814"/>
      <c r="N131" s="838"/>
      <c r="O131" s="838"/>
      <c r="P131" s="838"/>
      <c r="Q131" s="816"/>
      <c r="R131" s="779"/>
      <c r="W131" s="823">
        <f t="shared" si="8"/>
        <v>0</v>
      </c>
      <c r="X131" s="823">
        <f t="shared" si="9"/>
        <v>0</v>
      </c>
      <c r="Y131" s="811">
        <f t="shared" si="10"/>
        <v>0</v>
      </c>
      <c r="Z131" s="811">
        <f t="shared" si="11"/>
        <v>0</v>
      </c>
      <c r="AA131" s="811"/>
      <c r="AB131" s="823">
        <f t="shared" si="12"/>
        <v>0</v>
      </c>
      <c r="AC131" s="823">
        <f t="shared" si="13"/>
        <v>0</v>
      </c>
      <c r="AD131" s="811">
        <f t="shared" si="14"/>
        <v>0</v>
      </c>
      <c r="AE131" s="811">
        <f t="shared" si="15"/>
        <v>0</v>
      </c>
      <c r="AF131" s="811"/>
      <c r="AG131" s="778"/>
      <c r="AH131" s="778"/>
      <c r="AI131" s="778"/>
      <c r="AJ131" s="778"/>
      <c r="AK131" s="778"/>
      <c r="AL131" s="778"/>
      <c r="AM131" s="778"/>
      <c r="AN131" s="778"/>
      <c r="AO131" s="778"/>
      <c r="AP131" s="778"/>
      <c r="AQ131" s="778"/>
    </row>
    <row r="132" spans="1:43" s="187" customFormat="1" x14ac:dyDescent="0.25">
      <c r="A132" s="890">
        <v>124</v>
      </c>
      <c r="B132" s="187">
        <v>124</v>
      </c>
      <c r="C132" s="779" t="s">
        <v>1111</v>
      </c>
      <c r="D132" s="815"/>
      <c r="E132" s="784"/>
      <c r="F132" s="784"/>
      <c r="G132" s="784">
        <v>1</v>
      </c>
      <c r="H132" s="784">
        <v>0</v>
      </c>
      <c r="I132" s="817">
        <v>0</v>
      </c>
      <c r="J132" s="860">
        <v>5</v>
      </c>
      <c r="K132" s="816">
        <v>250</v>
      </c>
      <c r="L132" s="820">
        <v>1500</v>
      </c>
      <c r="M132" s="821">
        <v>0</v>
      </c>
      <c r="N132" s="824">
        <v>0</v>
      </c>
      <c r="O132" s="824"/>
      <c r="P132" s="824"/>
      <c r="Q132" s="816"/>
      <c r="R132" s="779"/>
      <c r="W132" s="823">
        <f t="shared" si="8"/>
        <v>0</v>
      </c>
      <c r="X132" s="823">
        <f t="shared" si="9"/>
        <v>0</v>
      </c>
      <c r="Y132" s="811">
        <f t="shared" si="10"/>
        <v>0</v>
      </c>
      <c r="Z132" s="811">
        <f t="shared" si="11"/>
        <v>0</v>
      </c>
      <c r="AA132" s="811"/>
      <c r="AB132" s="823">
        <f t="shared" si="12"/>
        <v>0</v>
      </c>
      <c r="AC132" s="823">
        <f t="shared" si="13"/>
        <v>0</v>
      </c>
      <c r="AD132" s="811">
        <f t="shared" si="14"/>
        <v>0</v>
      </c>
      <c r="AE132" s="811">
        <f t="shared" si="15"/>
        <v>0</v>
      </c>
      <c r="AF132" s="811"/>
      <c r="AG132" s="778"/>
      <c r="AH132" s="778"/>
      <c r="AI132" s="778"/>
      <c r="AJ132" s="778"/>
      <c r="AK132" s="778"/>
      <c r="AL132" s="778"/>
      <c r="AM132" s="778"/>
      <c r="AN132" s="778"/>
      <c r="AO132" s="778"/>
      <c r="AP132" s="778"/>
      <c r="AQ132" s="778"/>
    </row>
    <row r="133" spans="1:43" s="187" customFormat="1" x14ac:dyDescent="0.25">
      <c r="A133" s="890">
        <v>125</v>
      </c>
      <c r="B133" s="187">
        <v>125</v>
      </c>
      <c r="C133" s="779" t="s">
        <v>1112</v>
      </c>
      <c r="D133" s="815" t="s">
        <v>1113</v>
      </c>
      <c r="E133" s="784" t="s">
        <v>1114</v>
      </c>
      <c r="F133" s="784"/>
      <c r="G133" s="784">
        <v>1</v>
      </c>
      <c r="H133" s="784">
        <v>1</v>
      </c>
      <c r="I133" s="817">
        <v>5.36</v>
      </c>
      <c r="J133" s="860">
        <v>5.36</v>
      </c>
      <c r="K133" s="816">
        <v>250</v>
      </c>
      <c r="L133" s="820">
        <v>1608</v>
      </c>
      <c r="M133" s="821">
        <v>1858</v>
      </c>
      <c r="N133" s="822">
        <v>400</v>
      </c>
      <c r="O133" s="822"/>
      <c r="P133" s="822"/>
      <c r="Q133" s="816">
        <v>200</v>
      </c>
      <c r="R133" s="779"/>
      <c r="S133" s="779"/>
      <c r="W133" s="823">
        <f t="shared" si="8"/>
        <v>215</v>
      </c>
      <c r="X133" s="823">
        <f t="shared" si="9"/>
        <v>1500.8000000000002</v>
      </c>
      <c r="Y133" s="811">
        <f t="shared" si="10"/>
        <v>1715.8000000000002</v>
      </c>
      <c r="Z133" s="811">
        <f t="shared" si="11"/>
        <v>1315.8000000000002</v>
      </c>
      <c r="AA133" s="811"/>
      <c r="AB133" s="823">
        <f t="shared" si="12"/>
        <v>170</v>
      </c>
      <c r="AC133" s="823">
        <f t="shared" si="13"/>
        <v>1340</v>
      </c>
      <c r="AD133" s="811">
        <f t="shared" si="14"/>
        <v>1510</v>
      </c>
      <c r="AE133" s="811">
        <f t="shared" si="15"/>
        <v>1110</v>
      </c>
      <c r="AF133" s="811"/>
      <c r="AG133" s="778"/>
      <c r="AH133" s="778"/>
      <c r="AI133" s="778"/>
      <c r="AJ133" s="778"/>
      <c r="AK133" s="778"/>
      <c r="AL133" s="778"/>
      <c r="AM133" s="778"/>
      <c r="AN133" s="778"/>
      <c r="AO133" s="778"/>
      <c r="AP133" s="778"/>
      <c r="AQ133" s="778">
        <v>1</v>
      </c>
    </row>
    <row r="134" spans="1:43" s="187" customFormat="1" x14ac:dyDescent="0.25">
      <c r="A134" s="890">
        <v>126</v>
      </c>
      <c r="B134" s="187">
        <v>126</v>
      </c>
      <c r="C134" s="779" t="s">
        <v>1115</v>
      </c>
      <c r="D134" s="815" t="s">
        <v>1116</v>
      </c>
      <c r="E134" s="784" t="s">
        <v>1117</v>
      </c>
      <c r="F134" s="784"/>
      <c r="G134" s="784">
        <v>1</v>
      </c>
      <c r="H134" s="784">
        <v>1</v>
      </c>
      <c r="I134" s="817">
        <v>5.13</v>
      </c>
      <c r="J134" s="860">
        <v>5.13</v>
      </c>
      <c r="K134" s="816">
        <v>250</v>
      </c>
      <c r="L134" s="820">
        <v>1539</v>
      </c>
      <c r="M134" s="821">
        <v>1789</v>
      </c>
      <c r="N134" s="822">
        <v>400</v>
      </c>
      <c r="O134" s="822"/>
      <c r="P134" s="822"/>
      <c r="Q134" s="816">
        <v>200</v>
      </c>
      <c r="R134" s="779"/>
      <c r="S134" s="779"/>
      <c r="W134" s="823">
        <f t="shared" si="8"/>
        <v>215</v>
      </c>
      <c r="X134" s="823">
        <f t="shared" si="9"/>
        <v>1436.3999999999999</v>
      </c>
      <c r="Y134" s="811">
        <f t="shared" si="10"/>
        <v>1651.3999999999999</v>
      </c>
      <c r="Z134" s="811">
        <f t="shared" si="11"/>
        <v>1251.3999999999999</v>
      </c>
      <c r="AA134" s="811"/>
      <c r="AB134" s="823">
        <f t="shared" si="12"/>
        <v>170</v>
      </c>
      <c r="AC134" s="823">
        <f t="shared" si="13"/>
        <v>1282.5</v>
      </c>
      <c r="AD134" s="811">
        <f t="shared" si="14"/>
        <v>1452.5</v>
      </c>
      <c r="AE134" s="811">
        <f t="shared" si="15"/>
        <v>1052.5</v>
      </c>
      <c r="AF134" s="811"/>
      <c r="AG134" s="778"/>
      <c r="AH134" s="778"/>
      <c r="AI134" s="778"/>
      <c r="AJ134" s="778"/>
      <c r="AK134" s="778"/>
      <c r="AL134" s="778"/>
      <c r="AM134" s="778"/>
      <c r="AN134" s="778"/>
      <c r="AO134" s="778"/>
      <c r="AP134" s="778"/>
      <c r="AQ134" s="778">
        <v>1</v>
      </c>
    </row>
    <row r="135" spans="1:43" s="187" customFormat="1" x14ac:dyDescent="0.25">
      <c r="A135" s="890">
        <v>127</v>
      </c>
      <c r="B135" s="187">
        <v>127</v>
      </c>
      <c r="C135" s="779" t="s">
        <v>1056</v>
      </c>
      <c r="D135" s="815"/>
      <c r="E135" s="784"/>
      <c r="F135" s="784"/>
      <c r="G135" s="784">
        <v>1</v>
      </c>
      <c r="H135" s="784">
        <v>0</v>
      </c>
      <c r="I135" s="817">
        <v>0</v>
      </c>
      <c r="J135" s="860">
        <v>4.51</v>
      </c>
      <c r="K135" s="816">
        <v>250</v>
      </c>
      <c r="L135" s="820">
        <v>1353</v>
      </c>
      <c r="M135" s="821">
        <v>0</v>
      </c>
      <c r="N135" s="824">
        <v>0</v>
      </c>
      <c r="O135" s="824"/>
      <c r="P135" s="824"/>
      <c r="Q135" s="816"/>
      <c r="R135" s="779"/>
      <c r="S135" s="779"/>
      <c r="W135" s="823">
        <f t="shared" si="8"/>
        <v>0</v>
      </c>
      <c r="X135" s="823">
        <f t="shared" si="9"/>
        <v>0</v>
      </c>
      <c r="Y135" s="811">
        <f t="shared" si="10"/>
        <v>0</v>
      </c>
      <c r="Z135" s="811">
        <f t="shared" si="11"/>
        <v>0</v>
      </c>
      <c r="AA135" s="811"/>
      <c r="AB135" s="823">
        <f t="shared" si="12"/>
        <v>0</v>
      </c>
      <c r="AC135" s="823">
        <f t="shared" si="13"/>
        <v>0</v>
      </c>
      <c r="AD135" s="811">
        <f t="shared" si="14"/>
        <v>0</v>
      </c>
      <c r="AE135" s="811">
        <f t="shared" si="15"/>
        <v>0</v>
      </c>
      <c r="AF135" s="811"/>
      <c r="AG135" s="778"/>
      <c r="AH135" s="778"/>
      <c r="AI135" s="778"/>
      <c r="AJ135" s="778"/>
      <c r="AK135" s="778"/>
      <c r="AL135" s="778"/>
      <c r="AM135" s="778"/>
      <c r="AN135" s="778"/>
      <c r="AO135" s="778"/>
      <c r="AP135" s="778"/>
      <c r="AQ135" s="778"/>
    </row>
    <row r="136" spans="1:43" s="187" customFormat="1" x14ac:dyDescent="0.25">
      <c r="A136" s="890">
        <v>128</v>
      </c>
      <c r="B136" s="187">
        <v>128</v>
      </c>
      <c r="C136" s="779" t="s">
        <v>1118</v>
      </c>
      <c r="D136" s="815" t="s">
        <v>1119</v>
      </c>
      <c r="E136" s="784" t="s">
        <v>1120</v>
      </c>
      <c r="F136" s="784"/>
      <c r="G136" s="784">
        <v>1</v>
      </c>
      <c r="H136" s="784">
        <v>1</v>
      </c>
      <c r="I136" s="817">
        <v>5.01</v>
      </c>
      <c r="J136" s="860">
        <v>5.01</v>
      </c>
      <c r="K136" s="816">
        <v>250</v>
      </c>
      <c r="L136" s="820">
        <v>1503</v>
      </c>
      <c r="M136" s="821">
        <v>1753</v>
      </c>
      <c r="N136" s="822">
        <v>400</v>
      </c>
      <c r="O136" s="822"/>
      <c r="P136" s="822"/>
      <c r="Q136" s="816">
        <v>400</v>
      </c>
      <c r="R136" s="779"/>
      <c r="S136" s="825">
        <v>39205</v>
      </c>
      <c r="W136" s="823">
        <f t="shared" si="8"/>
        <v>215</v>
      </c>
      <c r="X136" s="823">
        <f t="shared" si="9"/>
        <v>1402.8</v>
      </c>
      <c r="Y136" s="811">
        <f t="shared" si="10"/>
        <v>1617.8</v>
      </c>
      <c r="Z136" s="811">
        <f t="shared" si="11"/>
        <v>1217.8</v>
      </c>
      <c r="AA136" s="811"/>
      <c r="AB136" s="823">
        <f t="shared" si="12"/>
        <v>170</v>
      </c>
      <c r="AC136" s="823">
        <f t="shared" si="13"/>
        <v>1252.5</v>
      </c>
      <c r="AD136" s="811">
        <f t="shared" si="14"/>
        <v>1422.5</v>
      </c>
      <c r="AE136" s="811">
        <f t="shared" si="15"/>
        <v>1022.5</v>
      </c>
      <c r="AF136" s="811"/>
      <c r="AG136" s="778"/>
      <c r="AH136" s="778"/>
      <c r="AI136" s="778"/>
      <c r="AJ136" s="778"/>
      <c r="AK136" s="778"/>
      <c r="AL136" s="778"/>
      <c r="AM136" s="778"/>
      <c r="AN136" s="778"/>
      <c r="AO136" s="778"/>
      <c r="AP136" s="778"/>
      <c r="AQ136" s="778">
        <v>1</v>
      </c>
    </row>
    <row r="137" spans="1:43" s="187" customFormat="1" x14ac:dyDescent="0.25">
      <c r="A137" s="890">
        <v>129</v>
      </c>
      <c r="B137" s="187">
        <v>129</v>
      </c>
      <c r="C137" s="779" t="s">
        <v>892</v>
      </c>
      <c r="D137" s="815" t="s">
        <v>1121</v>
      </c>
      <c r="E137" s="784" t="s">
        <v>1122</v>
      </c>
      <c r="F137" s="784"/>
      <c r="G137" s="784">
        <v>1</v>
      </c>
      <c r="H137" s="784">
        <v>1</v>
      </c>
      <c r="I137" s="817">
        <v>5.07</v>
      </c>
      <c r="J137" s="860">
        <v>5.07</v>
      </c>
      <c r="K137" s="816">
        <v>250</v>
      </c>
      <c r="L137" s="820">
        <v>1521</v>
      </c>
      <c r="M137" s="821">
        <v>1771</v>
      </c>
      <c r="N137" s="822">
        <v>400</v>
      </c>
      <c r="O137" s="822"/>
      <c r="P137" s="822"/>
      <c r="Q137" s="816">
        <v>400</v>
      </c>
      <c r="R137" s="779"/>
      <c r="S137" s="779"/>
      <c r="W137" s="823">
        <f t="shared" si="8"/>
        <v>215</v>
      </c>
      <c r="X137" s="823">
        <f t="shared" si="9"/>
        <v>1419.6000000000001</v>
      </c>
      <c r="Y137" s="811">
        <f t="shared" si="10"/>
        <v>1634.6000000000001</v>
      </c>
      <c r="Z137" s="811">
        <f t="shared" si="11"/>
        <v>1234.6000000000001</v>
      </c>
      <c r="AA137" s="811"/>
      <c r="AB137" s="823">
        <f t="shared" si="12"/>
        <v>170</v>
      </c>
      <c r="AC137" s="823">
        <f t="shared" si="13"/>
        <v>1267.5</v>
      </c>
      <c r="AD137" s="811">
        <f t="shared" si="14"/>
        <v>1437.5</v>
      </c>
      <c r="AE137" s="811">
        <f t="shared" si="15"/>
        <v>1037.5</v>
      </c>
      <c r="AF137" s="811"/>
      <c r="AG137" s="778"/>
      <c r="AH137" s="778"/>
      <c r="AI137" s="778"/>
      <c r="AJ137" s="778"/>
      <c r="AK137" s="778"/>
      <c r="AL137" s="778"/>
      <c r="AM137" s="778"/>
      <c r="AN137" s="778"/>
      <c r="AO137" s="778"/>
      <c r="AP137" s="778"/>
      <c r="AQ137" s="778">
        <v>1</v>
      </c>
    </row>
    <row r="138" spans="1:43" s="187" customFormat="1" x14ac:dyDescent="0.25">
      <c r="A138" s="890">
        <v>130</v>
      </c>
      <c r="B138" s="187">
        <v>130</v>
      </c>
      <c r="C138" s="779" t="s">
        <v>1123</v>
      </c>
      <c r="D138" s="815" t="s">
        <v>1124</v>
      </c>
      <c r="E138" s="784" t="s">
        <v>1125</v>
      </c>
      <c r="F138" s="784"/>
      <c r="G138" s="784">
        <v>1</v>
      </c>
      <c r="H138" s="784">
        <v>1</v>
      </c>
      <c r="I138" s="817">
        <v>5.01</v>
      </c>
      <c r="J138" s="860">
        <v>5.01</v>
      </c>
      <c r="K138" s="816">
        <v>250</v>
      </c>
      <c r="L138" s="820">
        <v>1503</v>
      </c>
      <c r="M138" s="821">
        <v>1753</v>
      </c>
      <c r="N138" s="822">
        <v>400</v>
      </c>
      <c r="O138" s="822"/>
      <c r="P138" s="822"/>
      <c r="Q138" s="816">
        <v>400</v>
      </c>
      <c r="R138" s="779"/>
      <c r="S138" s="779"/>
      <c r="W138" s="823">
        <f t="shared" si="8"/>
        <v>215</v>
      </c>
      <c r="X138" s="823">
        <f t="shared" si="9"/>
        <v>1402.8</v>
      </c>
      <c r="Y138" s="811">
        <f t="shared" si="10"/>
        <v>1617.8</v>
      </c>
      <c r="Z138" s="811">
        <f t="shared" si="11"/>
        <v>1217.8</v>
      </c>
      <c r="AA138" s="811"/>
      <c r="AB138" s="823">
        <f t="shared" si="12"/>
        <v>170</v>
      </c>
      <c r="AC138" s="823">
        <f t="shared" si="13"/>
        <v>1252.5</v>
      </c>
      <c r="AD138" s="811">
        <f t="shared" si="14"/>
        <v>1422.5</v>
      </c>
      <c r="AE138" s="811">
        <f t="shared" si="15"/>
        <v>1022.5</v>
      </c>
      <c r="AF138" s="811"/>
      <c r="AG138" s="778"/>
      <c r="AH138" s="778"/>
      <c r="AI138" s="778"/>
      <c r="AJ138" s="778"/>
      <c r="AK138" s="778"/>
      <c r="AL138" s="778"/>
      <c r="AM138" s="778"/>
      <c r="AN138" s="778"/>
      <c r="AO138" s="778"/>
      <c r="AP138" s="778"/>
      <c r="AQ138" s="778">
        <v>1</v>
      </c>
    </row>
    <row r="139" spans="1:43" s="187" customFormat="1" x14ac:dyDescent="0.25">
      <c r="A139" s="890">
        <v>131</v>
      </c>
      <c r="B139" s="187">
        <v>131</v>
      </c>
      <c r="C139" s="779" t="s">
        <v>897</v>
      </c>
      <c r="D139" s="815" t="s">
        <v>1126</v>
      </c>
      <c r="E139" s="784" t="s">
        <v>1125</v>
      </c>
      <c r="F139" s="784"/>
      <c r="G139" s="784">
        <v>1</v>
      </c>
      <c r="H139" s="784">
        <v>1</v>
      </c>
      <c r="I139" s="817">
        <v>4.83</v>
      </c>
      <c r="J139" s="860">
        <v>4.83</v>
      </c>
      <c r="K139" s="816">
        <v>250</v>
      </c>
      <c r="L139" s="820">
        <v>1449</v>
      </c>
      <c r="M139" s="821">
        <v>1699</v>
      </c>
      <c r="N139" s="822">
        <v>400</v>
      </c>
      <c r="O139" s="822"/>
      <c r="P139" s="822"/>
      <c r="Q139" s="816">
        <v>400</v>
      </c>
      <c r="R139" s="779"/>
      <c r="S139" s="779"/>
      <c r="W139" s="823">
        <f t="shared" si="8"/>
        <v>215</v>
      </c>
      <c r="X139" s="823">
        <f t="shared" si="9"/>
        <v>1352.4</v>
      </c>
      <c r="Y139" s="811">
        <f t="shared" si="10"/>
        <v>1567.4</v>
      </c>
      <c r="Z139" s="811">
        <f t="shared" si="11"/>
        <v>1167.4000000000001</v>
      </c>
      <c r="AA139" s="811"/>
      <c r="AB139" s="823">
        <f t="shared" si="12"/>
        <v>170</v>
      </c>
      <c r="AC139" s="823">
        <f t="shared" si="13"/>
        <v>1207.5</v>
      </c>
      <c r="AD139" s="811">
        <f t="shared" si="14"/>
        <v>1377.5</v>
      </c>
      <c r="AE139" s="811">
        <f t="shared" si="15"/>
        <v>977.5</v>
      </c>
      <c r="AF139" s="811"/>
      <c r="AG139" s="778"/>
      <c r="AH139" s="778"/>
      <c r="AI139" s="778"/>
      <c r="AJ139" s="778"/>
      <c r="AK139" s="778"/>
      <c r="AL139" s="778"/>
      <c r="AM139" s="778"/>
      <c r="AN139" s="778"/>
      <c r="AO139" s="778"/>
      <c r="AP139" s="778">
        <v>1</v>
      </c>
      <c r="AQ139" s="778"/>
    </row>
    <row r="140" spans="1:43" s="187" customFormat="1" x14ac:dyDescent="0.25">
      <c r="A140" s="890">
        <v>132</v>
      </c>
      <c r="B140" s="187">
        <v>132</v>
      </c>
      <c r="C140" s="779" t="s">
        <v>1127</v>
      </c>
      <c r="D140" s="815"/>
      <c r="E140" s="784"/>
      <c r="F140" s="784"/>
      <c r="G140" s="784">
        <v>1</v>
      </c>
      <c r="H140" s="784">
        <v>0</v>
      </c>
      <c r="I140" s="817">
        <v>0</v>
      </c>
      <c r="J140" s="860">
        <v>1.5</v>
      </c>
      <c r="K140" s="816">
        <v>250</v>
      </c>
      <c r="L140" s="820">
        <v>450</v>
      </c>
      <c r="M140" s="821">
        <v>0</v>
      </c>
      <c r="N140" s="824">
        <v>0</v>
      </c>
      <c r="O140" s="824"/>
      <c r="P140" s="824"/>
      <c r="Q140" s="816"/>
      <c r="R140" s="779"/>
      <c r="S140" s="779"/>
      <c r="W140" s="823">
        <f t="shared" si="8"/>
        <v>0</v>
      </c>
      <c r="X140" s="823">
        <f t="shared" si="9"/>
        <v>0</v>
      </c>
      <c r="Y140" s="811">
        <f t="shared" si="10"/>
        <v>0</v>
      </c>
      <c r="Z140" s="811">
        <f t="shared" si="11"/>
        <v>0</v>
      </c>
      <c r="AA140" s="811"/>
      <c r="AB140" s="823">
        <f t="shared" si="12"/>
        <v>0</v>
      </c>
      <c r="AC140" s="823">
        <f t="shared" si="13"/>
        <v>0</v>
      </c>
      <c r="AD140" s="811">
        <f t="shared" si="14"/>
        <v>0</v>
      </c>
      <c r="AE140" s="811">
        <f t="shared" si="15"/>
        <v>0</v>
      </c>
      <c r="AF140" s="811"/>
      <c r="AG140" s="778"/>
      <c r="AH140" s="778"/>
      <c r="AI140" s="778"/>
      <c r="AJ140" s="778"/>
      <c r="AK140" s="778"/>
      <c r="AL140" s="778"/>
      <c r="AM140" s="778"/>
      <c r="AN140" s="778"/>
      <c r="AO140" s="778"/>
      <c r="AP140" s="778"/>
      <c r="AQ140" s="778"/>
    </row>
    <row r="141" spans="1:43" s="187" customFormat="1" x14ac:dyDescent="0.25">
      <c r="A141" s="890">
        <v>133</v>
      </c>
      <c r="B141" s="187">
        <v>133</v>
      </c>
      <c r="C141" s="779" t="s">
        <v>956</v>
      </c>
      <c r="D141" s="815"/>
      <c r="E141" s="784"/>
      <c r="F141" s="784"/>
      <c r="G141" s="784">
        <v>1</v>
      </c>
      <c r="H141" s="784">
        <v>0</v>
      </c>
      <c r="I141" s="817">
        <v>0</v>
      </c>
      <c r="J141" s="860">
        <v>3.48</v>
      </c>
      <c r="K141" s="816">
        <v>250</v>
      </c>
      <c r="L141" s="820">
        <v>1044</v>
      </c>
      <c r="M141" s="821">
        <v>0</v>
      </c>
      <c r="N141" s="824">
        <v>0</v>
      </c>
      <c r="O141" s="824"/>
      <c r="P141" s="824"/>
      <c r="Q141" s="816"/>
      <c r="R141" s="779"/>
      <c r="S141" s="779"/>
      <c r="W141" s="823">
        <f t="shared" ref="W141:W204" si="16">IF(H141=1,$W$9,0)</f>
        <v>0</v>
      </c>
      <c r="X141" s="823">
        <f t="shared" ref="X141:X204" si="17">IF(H141=1,$X$9*I141,0)</f>
        <v>0</v>
      </c>
      <c r="Y141" s="811">
        <f t="shared" ref="Y141:Y204" si="18">+X141+W141</f>
        <v>0</v>
      </c>
      <c r="Z141" s="811">
        <f t="shared" ref="Z141:Z204" si="19">IF(H141=1,Y141-400,0)</f>
        <v>0</v>
      </c>
      <c r="AA141" s="811"/>
      <c r="AB141" s="823">
        <f t="shared" ref="AB141:AB204" si="20">IF($H141=1,$AB$9,0)</f>
        <v>0</v>
      </c>
      <c r="AC141" s="823">
        <f t="shared" ref="AC141:AC204" si="21">IF($H141=1,$AC$9*I141,0)</f>
        <v>0</v>
      </c>
      <c r="AD141" s="811">
        <f t="shared" ref="AD141:AD204" si="22">+AC141+AB141</f>
        <v>0</v>
      </c>
      <c r="AE141" s="811">
        <f t="shared" ref="AE141:AE204" si="23">IF($H141=1,AD141-400,0)</f>
        <v>0</v>
      </c>
      <c r="AF141" s="811"/>
      <c r="AG141" s="778"/>
      <c r="AH141" s="778"/>
      <c r="AI141" s="778"/>
      <c r="AJ141" s="778"/>
      <c r="AK141" s="778"/>
      <c r="AL141" s="778"/>
      <c r="AM141" s="778"/>
      <c r="AN141" s="778"/>
      <c r="AO141" s="778"/>
      <c r="AP141" s="778"/>
      <c r="AQ141" s="778"/>
    </row>
    <row r="142" spans="1:43" s="187" customFormat="1" x14ac:dyDescent="0.25">
      <c r="A142" s="890">
        <v>134</v>
      </c>
      <c r="B142" s="187">
        <v>134</v>
      </c>
      <c r="C142" s="861" t="s">
        <v>1128</v>
      </c>
      <c r="D142" s="862"/>
      <c r="E142" s="783"/>
      <c r="F142" s="784"/>
      <c r="G142" s="784">
        <v>1</v>
      </c>
      <c r="H142" s="784">
        <v>0</v>
      </c>
      <c r="I142" s="817">
        <v>0</v>
      </c>
      <c r="J142" s="860">
        <v>2.52</v>
      </c>
      <c r="K142" s="816">
        <v>250</v>
      </c>
      <c r="L142" s="820">
        <v>756</v>
      </c>
      <c r="M142" s="821">
        <v>0</v>
      </c>
      <c r="N142" s="824">
        <v>0</v>
      </c>
      <c r="O142" s="824"/>
      <c r="P142" s="824"/>
      <c r="Q142" s="816"/>
      <c r="R142" s="779"/>
      <c r="S142" s="779"/>
      <c r="W142" s="823">
        <f t="shared" si="16"/>
        <v>0</v>
      </c>
      <c r="X142" s="823">
        <f t="shared" si="17"/>
        <v>0</v>
      </c>
      <c r="Y142" s="811">
        <f t="shared" si="18"/>
        <v>0</v>
      </c>
      <c r="Z142" s="811">
        <f t="shared" si="19"/>
        <v>0</v>
      </c>
      <c r="AA142" s="811"/>
      <c r="AB142" s="823">
        <f t="shared" si="20"/>
        <v>0</v>
      </c>
      <c r="AC142" s="823">
        <f t="shared" si="21"/>
        <v>0</v>
      </c>
      <c r="AD142" s="811">
        <f t="shared" si="22"/>
        <v>0</v>
      </c>
      <c r="AE142" s="811">
        <f t="shared" si="23"/>
        <v>0</v>
      </c>
      <c r="AF142" s="811"/>
      <c r="AG142" s="778"/>
      <c r="AH142" s="778"/>
      <c r="AI142" s="778"/>
      <c r="AJ142" s="778"/>
      <c r="AK142" s="778"/>
      <c r="AL142" s="778"/>
      <c r="AM142" s="778"/>
      <c r="AN142" s="778"/>
      <c r="AO142" s="778"/>
      <c r="AP142" s="778"/>
      <c r="AQ142" s="778"/>
    </row>
    <row r="143" spans="1:43" s="187" customFormat="1" x14ac:dyDescent="0.25">
      <c r="A143" s="890">
        <v>135</v>
      </c>
      <c r="B143" s="187">
        <v>135</v>
      </c>
      <c r="C143" s="779" t="s">
        <v>962</v>
      </c>
      <c r="D143" s="815" t="s">
        <v>1129</v>
      </c>
      <c r="E143" s="784" t="s">
        <v>1130</v>
      </c>
      <c r="F143" s="784"/>
      <c r="G143" s="784">
        <v>1</v>
      </c>
      <c r="H143" s="784">
        <v>1</v>
      </c>
      <c r="I143" s="817">
        <v>4</v>
      </c>
      <c r="J143" s="860">
        <v>4</v>
      </c>
      <c r="K143" s="816">
        <v>250</v>
      </c>
      <c r="L143" s="820">
        <v>1200</v>
      </c>
      <c r="M143" s="821">
        <v>1450</v>
      </c>
      <c r="N143" s="822">
        <v>400</v>
      </c>
      <c r="O143" s="822"/>
      <c r="P143" s="822"/>
      <c r="Q143" s="816">
        <v>400</v>
      </c>
      <c r="R143" s="779"/>
      <c r="S143" s="779"/>
      <c r="W143" s="823">
        <f t="shared" si="16"/>
        <v>215</v>
      </c>
      <c r="X143" s="823">
        <f t="shared" si="17"/>
        <v>1120</v>
      </c>
      <c r="Y143" s="811">
        <f t="shared" si="18"/>
        <v>1335</v>
      </c>
      <c r="Z143" s="811">
        <f t="shared" si="19"/>
        <v>935</v>
      </c>
      <c r="AA143" s="811"/>
      <c r="AB143" s="823">
        <f t="shared" si="20"/>
        <v>170</v>
      </c>
      <c r="AC143" s="823">
        <f t="shared" si="21"/>
        <v>1000</v>
      </c>
      <c r="AD143" s="811">
        <f t="shared" si="22"/>
        <v>1170</v>
      </c>
      <c r="AE143" s="811">
        <f t="shared" si="23"/>
        <v>770</v>
      </c>
      <c r="AF143" s="811"/>
      <c r="AG143" s="778"/>
      <c r="AH143" s="778"/>
      <c r="AI143" s="778"/>
      <c r="AJ143" s="778"/>
      <c r="AK143" s="778"/>
      <c r="AL143" s="778"/>
      <c r="AM143" s="778"/>
      <c r="AN143" s="778"/>
      <c r="AO143" s="778"/>
      <c r="AP143" s="778">
        <v>1</v>
      </c>
      <c r="AQ143" s="778"/>
    </row>
    <row r="144" spans="1:43" s="187" customFormat="1" ht="15.75" thickBot="1" x14ac:dyDescent="0.3">
      <c r="A144" s="890">
        <v>136</v>
      </c>
      <c r="B144" s="187">
        <v>136</v>
      </c>
      <c r="C144" s="779"/>
      <c r="D144" s="815"/>
      <c r="E144" s="784"/>
      <c r="F144" s="784"/>
      <c r="G144" s="784"/>
      <c r="H144" s="842"/>
      <c r="I144" s="829">
        <v>34.409999999999997</v>
      </c>
      <c r="J144" s="844">
        <v>51.419999999999995</v>
      </c>
      <c r="K144" s="863"/>
      <c r="L144" s="864"/>
      <c r="M144" s="833">
        <v>12073</v>
      </c>
      <c r="N144" s="833">
        <v>2800</v>
      </c>
      <c r="O144" s="834"/>
      <c r="P144" s="834"/>
      <c r="Q144" s="816"/>
      <c r="R144" s="779"/>
      <c r="S144" s="779"/>
      <c r="W144" s="823">
        <f t="shared" si="16"/>
        <v>0</v>
      </c>
      <c r="X144" s="823">
        <f t="shared" si="17"/>
        <v>0</v>
      </c>
      <c r="Y144" s="811">
        <f t="shared" si="18"/>
        <v>0</v>
      </c>
      <c r="Z144" s="811">
        <f t="shared" si="19"/>
        <v>0</v>
      </c>
      <c r="AA144" s="811"/>
      <c r="AB144" s="823">
        <f t="shared" si="20"/>
        <v>0</v>
      </c>
      <c r="AC144" s="823">
        <f t="shared" si="21"/>
        <v>0</v>
      </c>
      <c r="AD144" s="811">
        <f t="shared" si="22"/>
        <v>0</v>
      </c>
      <c r="AE144" s="811">
        <f t="shared" si="23"/>
        <v>0</v>
      </c>
      <c r="AF144" s="811"/>
      <c r="AG144" s="778"/>
      <c r="AH144" s="778"/>
      <c r="AI144" s="778"/>
      <c r="AJ144" s="778"/>
      <c r="AK144" s="778"/>
      <c r="AL144" s="778"/>
      <c r="AM144" s="778"/>
      <c r="AN144" s="778"/>
      <c r="AO144" s="778"/>
      <c r="AP144" s="778"/>
      <c r="AQ144" s="778"/>
    </row>
    <row r="145" spans="1:34" s="187" customFormat="1" ht="15.75" thickTop="1" x14ac:dyDescent="0.25">
      <c r="A145" s="890">
        <v>137</v>
      </c>
      <c r="B145" s="187">
        <v>137</v>
      </c>
      <c r="C145" s="779"/>
      <c r="D145" s="815"/>
      <c r="E145" s="784"/>
      <c r="F145" s="784"/>
      <c r="G145" s="784"/>
      <c r="H145" s="779"/>
      <c r="I145" s="779"/>
      <c r="J145" s="779"/>
      <c r="K145" s="779"/>
      <c r="L145" s="814"/>
      <c r="M145" s="821"/>
      <c r="N145" s="838"/>
      <c r="O145" s="838"/>
      <c r="P145" s="838"/>
      <c r="Q145" s="816"/>
      <c r="R145" s="779"/>
      <c r="S145" s="779"/>
      <c r="W145" s="823">
        <f t="shared" si="16"/>
        <v>0</v>
      </c>
      <c r="X145" s="823">
        <f t="shared" si="17"/>
        <v>0</v>
      </c>
      <c r="Y145" s="811">
        <f t="shared" si="18"/>
        <v>0</v>
      </c>
      <c r="Z145" s="811">
        <f t="shared" si="19"/>
        <v>0</v>
      </c>
      <c r="AA145" s="811"/>
      <c r="AB145" s="823">
        <f t="shared" si="20"/>
        <v>0</v>
      </c>
      <c r="AC145" s="823">
        <f t="shared" si="21"/>
        <v>0</v>
      </c>
      <c r="AD145" s="811">
        <f t="shared" si="22"/>
        <v>0</v>
      </c>
      <c r="AE145" s="811">
        <f t="shared" si="23"/>
        <v>0</v>
      </c>
      <c r="AF145" s="811"/>
      <c r="AG145" s="778"/>
      <c r="AH145" s="778"/>
    </row>
    <row r="146" spans="1:34" s="187" customFormat="1" x14ac:dyDescent="0.25">
      <c r="A146" s="890">
        <v>138</v>
      </c>
      <c r="B146" s="187">
        <v>138</v>
      </c>
      <c r="C146" s="779"/>
      <c r="D146" s="815"/>
      <c r="E146" s="784"/>
      <c r="F146" s="784"/>
      <c r="G146" s="784"/>
      <c r="H146" s="779"/>
      <c r="I146" s="779"/>
      <c r="J146" s="779"/>
      <c r="K146" s="779"/>
      <c r="L146" s="814"/>
      <c r="M146" s="821"/>
      <c r="N146" s="838"/>
      <c r="O146" s="838"/>
      <c r="P146" s="838"/>
      <c r="Q146" s="816"/>
      <c r="R146" s="779"/>
      <c r="S146" s="779"/>
      <c r="W146" s="823">
        <f t="shared" si="16"/>
        <v>0</v>
      </c>
      <c r="X146" s="823">
        <f t="shared" si="17"/>
        <v>0</v>
      </c>
      <c r="Y146" s="811">
        <f t="shared" si="18"/>
        <v>0</v>
      </c>
      <c r="Z146" s="811">
        <f t="shared" si="19"/>
        <v>0</v>
      </c>
      <c r="AA146" s="811"/>
      <c r="AB146" s="823">
        <f t="shared" si="20"/>
        <v>0</v>
      </c>
      <c r="AC146" s="823">
        <f t="shared" si="21"/>
        <v>0</v>
      </c>
      <c r="AD146" s="811">
        <f t="shared" si="22"/>
        <v>0</v>
      </c>
      <c r="AE146" s="811">
        <f t="shared" si="23"/>
        <v>0</v>
      </c>
      <c r="AF146" s="811"/>
      <c r="AG146" s="778"/>
      <c r="AH146" s="778"/>
    </row>
    <row r="147" spans="1:34" s="187" customFormat="1" x14ac:dyDescent="0.25">
      <c r="A147" s="890">
        <v>139</v>
      </c>
      <c r="B147" s="187">
        <v>139</v>
      </c>
      <c r="C147" s="812" t="s">
        <v>1131</v>
      </c>
      <c r="D147" s="809"/>
      <c r="E147" s="839"/>
      <c r="F147" s="839" t="s">
        <v>854</v>
      </c>
      <c r="G147" s="839"/>
      <c r="H147" s="793"/>
      <c r="I147" s="793"/>
      <c r="J147" s="840" t="s">
        <v>858</v>
      </c>
      <c r="K147" s="839" t="s">
        <v>859</v>
      </c>
      <c r="L147" s="841" t="s">
        <v>900</v>
      </c>
      <c r="M147" s="841" t="s">
        <v>317</v>
      </c>
      <c r="N147" s="838"/>
      <c r="O147" s="838"/>
      <c r="P147" s="838"/>
      <c r="Q147" s="816"/>
      <c r="R147" s="779"/>
      <c r="S147" s="779"/>
      <c r="W147" s="823">
        <f t="shared" si="16"/>
        <v>0</v>
      </c>
      <c r="X147" s="823">
        <f t="shared" si="17"/>
        <v>0</v>
      </c>
      <c r="Y147" s="811">
        <f t="shared" si="18"/>
        <v>0</v>
      </c>
      <c r="Z147" s="811">
        <f t="shared" si="19"/>
        <v>0</v>
      </c>
      <c r="AA147" s="811"/>
      <c r="AB147" s="823">
        <f t="shared" si="20"/>
        <v>0</v>
      </c>
      <c r="AC147" s="823">
        <f t="shared" si="21"/>
        <v>0</v>
      </c>
      <c r="AD147" s="811">
        <f t="shared" si="22"/>
        <v>0</v>
      </c>
      <c r="AE147" s="811">
        <f t="shared" si="23"/>
        <v>0</v>
      </c>
      <c r="AF147" s="811"/>
      <c r="AG147" s="778"/>
      <c r="AH147" s="778"/>
    </row>
    <row r="148" spans="1:34" s="187" customFormat="1" x14ac:dyDescent="0.25">
      <c r="A148" s="890">
        <v>140</v>
      </c>
      <c r="B148" s="187">
        <v>140</v>
      </c>
      <c r="C148" s="779"/>
      <c r="D148" s="815"/>
      <c r="E148" s="784"/>
      <c r="F148" s="784"/>
      <c r="G148" s="784"/>
      <c r="H148" s="779"/>
      <c r="I148" s="779"/>
      <c r="J148" s="779"/>
      <c r="K148" s="779"/>
      <c r="L148" s="814"/>
      <c r="M148" s="814"/>
      <c r="N148" s="838"/>
      <c r="O148" s="838"/>
      <c r="P148" s="838"/>
      <c r="Q148" s="816"/>
      <c r="R148" s="779"/>
      <c r="S148" s="779"/>
      <c r="W148" s="823">
        <f t="shared" si="16"/>
        <v>0</v>
      </c>
      <c r="X148" s="823">
        <f t="shared" si="17"/>
        <v>0</v>
      </c>
      <c r="Y148" s="811">
        <f t="shared" si="18"/>
        <v>0</v>
      </c>
      <c r="Z148" s="811">
        <f t="shared" si="19"/>
        <v>0</v>
      </c>
      <c r="AA148" s="811"/>
      <c r="AB148" s="823">
        <f t="shared" si="20"/>
        <v>0</v>
      </c>
      <c r="AC148" s="823">
        <f t="shared" si="21"/>
        <v>0</v>
      </c>
      <c r="AD148" s="811">
        <f t="shared" si="22"/>
        <v>0</v>
      </c>
      <c r="AE148" s="811">
        <f t="shared" si="23"/>
        <v>0</v>
      </c>
      <c r="AF148" s="811"/>
      <c r="AG148" s="778"/>
      <c r="AH148" s="778"/>
    </row>
    <row r="149" spans="1:34" s="187" customFormat="1" x14ac:dyDescent="0.25">
      <c r="A149" s="890">
        <v>141</v>
      </c>
      <c r="B149" s="187">
        <v>141</v>
      </c>
      <c r="C149" s="779" t="s">
        <v>1132</v>
      </c>
      <c r="D149" s="815" t="s">
        <v>1133</v>
      </c>
      <c r="E149" s="784"/>
      <c r="F149" s="784">
        <v>23295</v>
      </c>
      <c r="G149" s="784">
        <v>1</v>
      </c>
      <c r="H149" s="784">
        <v>0</v>
      </c>
      <c r="I149" s="817">
        <v>0</v>
      </c>
      <c r="J149" s="861">
        <v>0.53477961432506882</v>
      </c>
      <c r="K149" s="816">
        <v>250</v>
      </c>
      <c r="L149" s="820">
        <v>160.43388429752065</v>
      </c>
      <c r="M149" s="821">
        <v>0</v>
      </c>
      <c r="N149" s="824">
        <v>0</v>
      </c>
      <c r="O149" s="824"/>
      <c r="P149" s="824"/>
      <c r="Q149" s="816"/>
      <c r="W149" s="823">
        <f t="shared" si="16"/>
        <v>0</v>
      </c>
      <c r="X149" s="823">
        <f t="shared" si="17"/>
        <v>0</v>
      </c>
      <c r="Y149" s="811">
        <f t="shared" si="18"/>
        <v>0</v>
      </c>
      <c r="Z149" s="811">
        <f t="shared" si="19"/>
        <v>0</v>
      </c>
      <c r="AA149" s="811"/>
      <c r="AB149" s="823">
        <f t="shared" si="20"/>
        <v>0</v>
      </c>
      <c r="AC149" s="823">
        <f t="shared" si="21"/>
        <v>0</v>
      </c>
      <c r="AD149" s="811">
        <f t="shared" si="22"/>
        <v>0</v>
      </c>
      <c r="AE149" s="811">
        <f t="shared" si="23"/>
        <v>0</v>
      </c>
      <c r="AF149" s="811"/>
      <c r="AG149" s="778"/>
      <c r="AH149" s="778"/>
    </row>
    <row r="150" spans="1:34" s="187" customFormat="1" x14ac:dyDescent="0.25">
      <c r="A150" s="890">
        <v>142</v>
      </c>
      <c r="B150" s="187">
        <v>142</v>
      </c>
      <c r="C150" s="779" t="s">
        <v>1134</v>
      </c>
      <c r="D150" s="815" t="s">
        <v>1135</v>
      </c>
      <c r="E150" s="784" t="s">
        <v>1136</v>
      </c>
      <c r="F150" s="784">
        <v>24453</v>
      </c>
      <c r="G150" s="784">
        <v>1</v>
      </c>
      <c r="H150" s="784">
        <v>1</v>
      </c>
      <c r="I150" s="817">
        <v>0.5613636363636364</v>
      </c>
      <c r="J150" s="861">
        <v>0.5613636363636364</v>
      </c>
      <c r="K150" s="816">
        <v>250</v>
      </c>
      <c r="L150" s="820">
        <v>168.40909090909091</v>
      </c>
      <c r="M150" s="821">
        <v>418.40909090909088</v>
      </c>
      <c r="N150" s="822">
        <v>400</v>
      </c>
      <c r="O150" s="822"/>
      <c r="P150" s="822"/>
      <c r="Q150" s="816">
        <v>200</v>
      </c>
      <c r="W150" s="823">
        <f t="shared" si="16"/>
        <v>215</v>
      </c>
      <c r="X150" s="823">
        <f t="shared" si="17"/>
        <v>157.18181818181819</v>
      </c>
      <c r="Y150" s="811">
        <f t="shared" si="18"/>
        <v>372.18181818181819</v>
      </c>
      <c r="Z150" s="811">
        <f t="shared" si="19"/>
        <v>-27.818181818181813</v>
      </c>
      <c r="AA150" s="811"/>
      <c r="AB150" s="823">
        <f t="shared" si="20"/>
        <v>170</v>
      </c>
      <c r="AC150" s="823">
        <f t="shared" si="21"/>
        <v>140.34090909090909</v>
      </c>
      <c r="AD150" s="811">
        <f t="shared" si="22"/>
        <v>310.34090909090912</v>
      </c>
      <c r="AE150" s="811">
        <f t="shared" si="23"/>
        <v>-89.659090909090878</v>
      </c>
      <c r="AF150" s="811"/>
      <c r="AG150" s="778"/>
      <c r="AH150" s="778">
        <v>1</v>
      </c>
    </row>
    <row r="151" spans="1:34" s="187" customFormat="1" x14ac:dyDescent="0.25">
      <c r="A151" s="890">
        <v>143</v>
      </c>
      <c r="B151" s="187">
        <v>143</v>
      </c>
      <c r="C151" s="779" t="s">
        <v>1137</v>
      </c>
      <c r="D151" s="815" t="s">
        <v>1138</v>
      </c>
      <c r="E151" s="784"/>
      <c r="F151" s="784">
        <v>33794</v>
      </c>
      <c r="G151" s="784">
        <v>1</v>
      </c>
      <c r="H151" s="784">
        <v>0</v>
      </c>
      <c r="I151" s="817">
        <v>0</v>
      </c>
      <c r="J151" s="861">
        <v>0.77580348943985311</v>
      </c>
      <c r="K151" s="816">
        <v>250</v>
      </c>
      <c r="L151" s="820">
        <v>232.74104683195594</v>
      </c>
      <c r="M151" s="821">
        <v>0</v>
      </c>
      <c r="N151" s="824">
        <v>0</v>
      </c>
      <c r="O151" s="824"/>
      <c r="P151" s="824"/>
      <c r="Q151" s="816"/>
      <c r="W151" s="823">
        <f t="shared" si="16"/>
        <v>0</v>
      </c>
      <c r="X151" s="823">
        <f t="shared" si="17"/>
        <v>0</v>
      </c>
      <c r="Y151" s="811">
        <f t="shared" si="18"/>
        <v>0</v>
      </c>
      <c r="Z151" s="811">
        <f t="shared" si="19"/>
        <v>0</v>
      </c>
      <c r="AA151" s="811"/>
      <c r="AB151" s="823">
        <f t="shared" si="20"/>
        <v>0</v>
      </c>
      <c r="AC151" s="823">
        <f t="shared" si="21"/>
        <v>0</v>
      </c>
      <c r="AD151" s="811">
        <f t="shared" si="22"/>
        <v>0</v>
      </c>
      <c r="AE151" s="811">
        <f t="shared" si="23"/>
        <v>0</v>
      </c>
      <c r="AF151" s="811"/>
      <c r="AG151" s="778"/>
      <c r="AH151" s="778"/>
    </row>
    <row r="152" spans="1:34" s="187" customFormat="1" x14ac:dyDescent="0.25">
      <c r="A152" s="890">
        <v>144</v>
      </c>
      <c r="B152" s="187">
        <v>144</v>
      </c>
      <c r="C152" s="779" t="s">
        <v>1139</v>
      </c>
      <c r="D152" s="815" t="s">
        <v>1140</v>
      </c>
      <c r="E152" s="784"/>
      <c r="F152" s="784">
        <v>42839</v>
      </c>
      <c r="G152" s="784">
        <v>1</v>
      </c>
      <c r="H152" s="784">
        <v>0</v>
      </c>
      <c r="I152" s="817">
        <v>0</v>
      </c>
      <c r="J152" s="861">
        <v>0.98344811753902661</v>
      </c>
      <c r="K152" s="816">
        <v>250</v>
      </c>
      <c r="L152" s="820">
        <v>295.03443526170798</v>
      </c>
      <c r="M152" s="821">
        <v>0</v>
      </c>
      <c r="N152" s="824">
        <v>0</v>
      </c>
      <c r="O152" s="824"/>
      <c r="P152" s="824"/>
      <c r="Q152" s="816"/>
      <c r="W152" s="823">
        <f t="shared" si="16"/>
        <v>0</v>
      </c>
      <c r="X152" s="823">
        <f t="shared" si="17"/>
        <v>0</v>
      </c>
      <c r="Y152" s="811">
        <f t="shared" si="18"/>
        <v>0</v>
      </c>
      <c r="Z152" s="811">
        <f t="shared" si="19"/>
        <v>0</v>
      </c>
      <c r="AA152" s="811"/>
      <c r="AB152" s="823">
        <f t="shared" si="20"/>
        <v>0</v>
      </c>
      <c r="AC152" s="823">
        <f t="shared" si="21"/>
        <v>0</v>
      </c>
      <c r="AD152" s="811">
        <f t="shared" si="22"/>
        <v>0</v>
      </c>
      <c r="AE152" s="811">
        <f t="shared" si="23"/>
        <v>0</v>
      </c>
      <c r="AF152" s="811"/>
      <c r="AG152" s="778"/>
      <c r="AH152" s="778"/>
    </row>
    <row r="153" spans="1:34" s="187" customFormat="1" x14ac:dyDescent="0.25">
      <c r="A153" s="890">
        <v>145</v>
      </c>
      <c r="B153" s="187">
        <v>145</v>
      </c>
      <c r="C153" s="779" t="s">
        <v>1141</v>
      </c>
      <c r="D153" s="815" t="s">
        <v>1142</v>
      </c>
      <c r="E153" s="784"/>
      <c r="F153" s="784">
        <v>24956</v>
      </c>
      <c r="G153" s="784">
        <v>1</v>
      </c>
      <c r="H153" s="784">
        <v>0</v>
      </c>
      <c r="I153" s="817">
        <v>0</v>
      </c>
      <c r="J153" s="861">
        <v>0.57291092745638195</v>
      </c>
      <c r="K153" s="816">
        <v>250</v>
      </c>
      <c r="L153" s="820">
        <v>171.87327823691459</v>
      </c>
      <c r="M153" s="821">
        <v>0</v>
      </c>
      <c r="N153" s="824">
        <v>0</v>
      </c>
      <c r="O153" s="824"/>
      <c r="P153" s="824"/>
      <c r="Q153" s="816"/>
      <c r="W153" s="823">
        <f t="shared" si="16"/>
        <v>0</v>
      </c>
      <c r="X153" s="823">
        <f t="shared" si="17"/>
        <v>0</v>
      </c>
      <c r="Y153" s="811">
        <f t="shared" si="18"/>
        <v>0</v>
      </c>
      <c r="Z153" s="811">
        <f t="shared" si="19"/>
        <v>0</v>
      </c>
      <c r="AA153" s="811"/>
      <c r="AB153" s="823">
        <f t="shared" si="20"/>
        <v>0</v>
      </c>
      <c r="AC153" s="823">
        <f t="shared" si="21"/>
        <v>0</v>
      </c>
      <c r="AD153" s="811">
        <f t="shared" si="22"/>
        <v>0</v>
      </c>
      <c r="AE153" s="811">
        <f t="shared" si="23"/>
        <v>0</v>
      </c>
      <c r="AF153" s="811"/>
      <c r="AG153" s="778"/>
      <c r="AH153" s="778"/>
    </row>
    <row r="154" spans="1:34" s="187" customFormat="1" x14ac:dyDescent="0.25">
      <c r="A154" s="890">
        <v>146</v>
      </c>
      <c r="B154" s="187">
        <v>146</v>
      </c>
      <c r="C154" s="779" t="s">
        <v>1143</v>
      </c>
      <c r="D154" s="815" t="s">
        <v>1144</v>
      </c>
      <c r="E154" s="784"/>
      <c r="F154" s="784">
        <v>24956</v>
      </c>
      <c r="G154" s="784">
        <v>1</v>
      </c>
      <c r="H154" s="784">
        <v>0</v>
      </c>
      <c r="I154" s="817">
        <v>0</v>
      </c>
      <c r="J154" s="861">
        <v>0.57291092745638195</v>
      </c>
      <c r="K154" s="816">
        <v>250</v>
      </c>
      <c r="L154" s="820">
        <v>171.87327823691459</v>
      </c>
      <c r="M154" s="821">
        <v>0</v>
      </c>
      <c r="N154" s="824">
        <v>0</v>
      </c>
      <c r="O154" s="824"/>
      <c r="P154" s="824"/>
      <c r="Q154" s="816"/>
      <c r="W154" s="823">
        <f t="shared" si="16"/>
        <v>0</v>
      </c>
      <c r="X154" s="823">
        <f t="shared" si="17"/>
        <v>0</v>
      </c>
      <c r="Y154" s="811">
        <f t="shared" si="18"/>
        <v>0</v>
      </c>
      <c r="Z154" s="811">
        <f t="shared" si="19"/>
        <v>0</v>
      </c>
      <c r="AA154" s="811"/>
      <c r="AB154" s="823">
        <f t="shared" si="20"/>
        <v>0</v>
      </c>
      <c r="AC154" s="823">
        <f t="shared" si="21"/>
        <v>0</v>
      </c>
      <c r="AD154" s="811">
        <f t="shared" si="22"/>
        <v>0</v>
      </c>
      <c r="AE154" s="811">
        <f t="shared" si="23"/>
        <v>0</v>
      </c>
      <c r="AF154" s="811"/>
      <c r="AG154" s="778"/>
      <c r="AH154" s="778"/>
    </row>
    <row r="155" spans="1:34" s="187" customFormat="1" x14ac:dyDescent="0.25">
      <c r="A155" s="890">
        <v>147</v>
      </c>
      <c r="B155" s="187">
        <v>147</v>
      </c>
      <c r="C155" s="779" t="s">
        <v>1145</v>
      </c>
      <c r="D155" s="815" t="s">
        <v>1146</v>
      </c>
      <c r="E155" s="784" t="s">
        <v>1147</v>
      </c>
      <c r="F155" s="784">
        <v>23856</v>
      </c>
      <c r="G155" s="784">
        <v>1</v>
      </c>
      <c r="H155" s="784">
        <v>1</v>
      </c>
      <c r="I155" s="817">
        <v>0.54765840220385675</v>
      </c>
      <c r="J155" s="861">
        <v>0.54765840220385675</v>
      </c>
      <c r="K155" s="816">
        <v>250</v>
      </c>
      <c r="L155" s="820">
        <v>164.29752066115702</v>
      </c>
      <c r="M155" s="821">
        <v>414.29752066115702</v>
      </c>
      <c r="N155" s="822">
        <v>400</v>
      </c>
      <c r="O155" s="822"/>
      <c r="P155" s="822"/>
      <c r="Q155" s="816">
        <v>200</v>
      </c>
      <c r="W155" s="823">
        <f t="shared" si="16"/>
        <v>215</v>
      </c>
      <c r="X155" s="823">
        <f t="shared" si="17"/>
        <v>153.34435261707989</v>
      </c>
      <c r="Y155" s="811">
        <f t="shared" si="18"/>
        <v>368.34435261707989</v>
      </c>
      <c r="Z155" s="811">
        <f t="shared" si="19"/>
        <v>-31.655647382920108</v>
      </c>
      <c r="AA155" s="811"/>
      <c r="AB155" s="823">
        <f t="shared" si="20"/>
        <v>170</v>
      </c>
      <c r="AC155" s="823">
        <f t="shared" si="21"/>
        <v>136.9146005509642</v>
      </c>
      <c r="AD155" s="811">
        <f t="shared" si="22"/>
        <v>306.91460055096422</v>
      </c>
      <c r="AE155" s="811">
        <f t="shared" si="23"/>
        <v>-93.085399449035776</v>
      </c>
      <c r="AF155" s="811"/>
      <c r="AG155" s="778"/>
      <c r="AH155" s="778">
        <v>1</v>
      </c>
    </row>
    <row r="156" spans="1:34" s="187" customFormat="1" x14ac:dyDescent="0.25">
      <c r="A156" s="890">
        <v>148</v>
      </c>
      <c r="B156" s="187">
        <v>148</v>
      </c>
      <c r="C156" s="779" t="s">
        <v>1148</v>
      </c>
      <c r="D156" s="815" t="s">
        <v>1149</v>
      </c>
      <c r="E156" s="784"/>
      <c r="F156" s="784">
        <v>24780</v>
      </c>
      <c r="G156" s="784">
        <v>1</v>
      </c>
      <c r="H156" s="784">
        <v>0</v>
      </c>
      <c r="I156" s="817">
        <v>0</v>
      </c>
      <c r="J156" s="861">
        <v>0.56887052341597799</v>
      </c>
      <c r="K156" s="816">
        <v>250</v>
      </c>
      <c r="L156" s="820">
        <v>170.6611570247934</v>
      </c>
      <c r="M156" s="821">
        <v>0</v>
      </c>
      <c r="N156" s="824">
        <v>0</v>
      </c>
      <c r="O156" s="824"/>
      <c r="P156" s="824"/>
      <c r="Q156" s="816"/>
      <c r="W156" s="823">
        <f t="shared" si="16"/>
        <v>0</v>
      </c>
      <c r="X156" s="823">
        <f t="shared" si="17"/>
        <v>0</v>
      </c>
      <c r="Y156" s="811">
        <f t="shared" si="18"/>
        <v>0</v>
      </c>
      <c r="Z156" s="811">
        <f t="shared" si="19"/>
        <v>0</v>
      </c>
      <c r="AA156" s="811"/>
      <c r="AB156" s="823">
        <f t="shared" si="20"/>
        <v>0</v>
      </c>
      <c r="AC156" s="823">
        <f t="shared" si="21"/>
        <v>0</v>
      </c>
      <c r="AD156" s="811">
        <f t="shared" si="22"/>
        <v>0</v>
      </c>
      <c r="AE156" s="811">
        <f t="shared" si="23"/>
        <v>0</v>
      </c>
      <c r="AF156" s="811"/>
      <c r="AG156" s="778"/>
      <c r="AH156" s="778"/>
    </row>
    <row r="157" spans="1:34" s="187" customFormat="1" x14ac:dyDescent="0.25">
      <c r="A157" s="890">
        <v>149</v>
      </c>
      <c r="B157" s="187">
        <v>149</v>
      </c>
      <c r="C157" s="779" t="s">
        <v>1150</v>
      </c>
      <c r="D157" s="815" t="s">
        <v>1151</v>
      </c>
      <c r="E157" s="784"/>
      <c r="F157" s="784">
        <v>25132</v>
      </c>
      <c r="G157" s="784">
        <v>1</v>
      </c>
      <c r="H157" s="784">
        <v>0</v>
      </c>
      <c r="I157" s="817">
        <v>0</v>
      </c>
      <c r="J157" s="861">
        <v>0.57695133149678601</v>
      </c>
      <c r="K157" s="816">
        <v>250</v>
      </c>
      <c r="L157" s="820">
        <v>173.0853994490358</v>
      </c>
      <c r="M157" s="821">
        <v>0</v>
      </c>
      <c r="N157" s="824">
        <v>0</v>
      </c>
      <c r="O157" s="824"/>
      <c r="P157" s="824"/>
      <c r="Q157" s="816"/>
      <c r="W157" s="823">
        <f t="shared" si="16"/>
        <v>0</v>
      </c>
      <c r="X157" s="823">
        <f t="shared" si="17"/>
        <v>0</v>
      </c>
      <c r="Y157" s="811">
        <f t="shared" si="18"/>
        <v>0</v>
      </c>
      <c r="Z157" s="811">
        <f t="shared" si="19"/>
        <v>0</v>
      </c>
      <c r="AA157" s="811"/>
      <c r="AB157" s="823">
        <f t="shared" si="20"/>
        <v>0</v>
      </c>
      <c r="AC157" s="823">
        <f t="shared" si="21"/>
        <v>0</v>
      </c>
      <c r="AD157" s="811">
        <f t="shared" si="22"/>
        <v>0</v>
      </c>
      <c r="AE157" s="811">
        <f t="shared" si="23"/>
        <v>0</v>
      </c>
      <c r="AF157" s="811"/>
      <c r="AG157" s="778"/>
      <c r="AH157" s="778"/>
    </row>
    <row r="158" spans="1:34" s="187" customFormat="1" x14ac:dyDescent="0.25">
      <c r="A158" s="890">
        <v>150</v>
      </c>
      <c r="B158" s="187">
        <v>150</v>
      </c>
      <c r="C158" s="779" t="s">
        <v>1152</v>
      </c>
      <c r="D158" s="815" t="s">
        <v>1153</v>
      </c>
      <c r="E158" s="784"/>
      <c r="F158" s="784">
        <v>26056</v>
      </c>
      <c r="G158" s="784">
        <v>1</v>
      </c>
      <c r="H158" s="784">
        <v>0</v>
      </c>
      <c r="I158" s="817">
        <v>0</v>
      </c>
      <c r="J158" s="861">
        <v>0.59816345270890725</v>
      </c>
      <c r="K158" s="816">
        <v>250</v>
      </c>
      <c r="L158" s="820">
        <v>179.44903581267218</v>
      </c>
      <c r="M158" s="821">
        <v>0</v>
      </c>
      <c r="N158" s="824">
        <v>0</v>
      </c>
      <c r="O158" s="824"/>
      <c r="P158" s="824"/>
      <c r="Q158" s="816"/>
      <c r="W158" s="823">
        <f t="shared" si="16"/>
        <v>0</v>
      </c>
      <c r="X158" s="823">
        <f t="shared" si="17"/>
        <v>0</v>
      </c>
      <c r="Y158" s="811">
        <f t="shared" si="18"/>
        <v>0</v>
      </c>
      <c r="Z158" s="811">
        <f t="shared" si="19"/>
        <v>0</v>
      </c>
      <c r="AA158" s="811"/>
      <c r="AB158" s="823">
        <f t="shared" si="20"/>
        <v>0</v>
      </c>
      <c r="AC158" s="823">
        <f t="shared" si="21"/>
        <v>0</v>
      </c>
      <c r="AD158" s="811">
        <f t="shared" si="22"/>
        <v>0</v>
      </c>
      <c r="AE158" s="811">
        <f t="shared" si="23"/>
        <v>0</v>
      </c>
      <c r="AF158" s="811"/>
      <c r="AG158" s="778"/>
      <c r="AH158" s="778"/>
    </row>
    <row r="159" spans="1:34" s="187" customFormat="1" x14ac:dyDescent="0.25">
      <c r="A159" s="890">
        <v>151</v>
      </c>
      <c r="B159" s="187">
        <v>151</v>
      </c>
      <c r="C159" s="779" t="s">
        <v>1154</v>
      </c>
      <c r="D159" s="815" t="s">
        <v>1155</v>
      </c>
      <c r="E159" s="784"/>
      <c r="F159" s="784">
        <v>26056</v>
      </c>
      <c r="G159" s="784">
        <v>1</v>
      </c>
      <c r="H159" s="784">
        <v>0</v>
      </c>
      <c r="I159" s="817">
        <v>0</v>
      </c>
      <c r="J159" s="861">
        <v>0.59816345270890725</v>
      </c>
      <c r="K159" s="816">
        <v>250</v>
      </c>
      <c r="L159" s="820">
        <v>179.44903581267218</v>
      </c>
      <c r="M159" s="821">
        <v>0</v>
      </c>
      <c r="N159" s="824">
        <v>0</v>
      </c>
      <c r="O159" s="824"/>
      <c r="P159" s="824"/>
      <c r="Q159" s="816"/>
      <c r="W159" s="823">
        <f t="shared" si="16"/>
        <v>0</v>
      </c>
      <c r="X159" s="823">
        <f t="shared" si="17"/>
        <v>0</v>
      </c>
      <c r="Y159" s="811">
        <f t="shared" si="18"/>
        <v>0</v>
      </c>
      <c r="Z159" s="811">
        <f t="shared" si="19"/>
        <v>0</v>
      </c>
      <c r="AA159" s="811"/>
      <c r="AB159" s="823">
        <f t="shared" si="20"/>
        <v>0</v>
      </c>
      <c r="AC159" s="823">
        <f t="shared" si="21"/>
        <v>0</v>
      </c>
      <c r="AD159" s="811">
        <f t="shared" si="22"/>
        <v>0</v>
      </c>
      <c r="AE159" s="811">
        <f t="shared" si="23"/>
        <v>0</v>
      </c>
      <c r="AF159" s="811"/>
      <c r="AG159" s="778"/>
      <c r="AH159" s="778"/>
    </row>
    <row r="160" spans="1:34" s="187" customFormat="1" x14ac:dyDescent="0.25">
      <c r="A160" s="890">
        <v>152</v>
      </c>
      <c r="B160" s="187">
        <v>152</v>
      </c>
      <c r="C160" s="779" t="s">
        <v>1156</v>
      </c>
      <c r="D160" s="815" t="s">
        <v>1157</v>
      </c>
      <c r="E160" s="784"/>
      <c r="F160" s="784">
        <v>26056</v>
      </c>
      <c r="G160" s="784">
        <v>1</v>
      </c>
      <c r="H160" s="784">
        <v>0</v>
      </c>
      <c r="I160" s="817">
        <v>0</v>
      </c>
      <c r="J160" s="861">
        <v>0.59816345270890725</v>
      </c>
      <c r="K160" s="816">
        <v>250</v>
      </c>
      <c r="L160" s="820">
        <v>179.44903581267218</v>
      </c>
      <c r="M160" s="821">
        <v>0</v>
      </c>
      <c r="N160" s="824">
        <v>0</v>
      </c>
      <c r="O160" s="824"/>
      <c r="P160" s="824"/>
      <c r="Q160" s="816"/>
      <c r="W160" s="823">
        <f t="shared" si="16"/>
        <v>0</v>
      </c>
      <c r="X160" s="823">
        <f t="shared" si="17"/>
        <v>0</v>
      </c>
      <c r="Y160" s="811">
        <f t="shared" si="18"/>
        <v>0</v>
      </c>
      <c r="Z160" s="811">
        <f t="shared" si="19"/>
        <v>0</v>
      </c>
      <c r="AA160" s="811"/>
      <c r="AB160" s="823">
        <f t="shared" si="20"/>
        <v>0</v>
      </c>
      <c r="AC160" s="823">
        <f t="shared" si="21"/>
        <v>0</v>
      </c>
      <c r="AD160" s="811">
        <f t="shared" si="22"/>
        <v>0</v>
      </c>
      <c r="AE160" s="811">
        <f t="shared" si="23"/>
        <v>0</v>
      </c>
      <c r="AF160" s="811"/>
      <c r="AG160" s="778"/>
      <c r="AH160" s="778"/>
    </row>
    <row r="161" spans="1:34" s="187" customFormat="1" x14ac:dyDescent="0.25">
      <c r="A161" s="890">
        <v>153</v>
      </c>
      <c r="B161" s="187">
        <v>153</v>
      </c>
      <c r="C161" s="779" t="s">
        <v>1158</v>
      </c>
      <c r="D161" s="815" t="s">
        <v>1159</v>
      </c>
      <c r="E161" s="784"/>
      <c r="F161" s="784">
        <v>23856</v>
      </c>
      <c r="G161" s="784">
        <v>1</v>
      </c>
      <c r="H161" s="784">
        <v>0</v>
      </c>
      <c r="I161" s="817">
        <v>0</v>
      </c>
      <c r="J161" s="861">
        <v>0.54765840220385675</v>
      </c>
      <c r="K161" s="816">
        <v>250</v>
      </c>
      <c r="L161" s="820">
        <v>164.29752066115702</v>
      </c>
      <c r="M161" s="821">
        <v>0</v>
      </c>
      <c r="N161" s="824">
        <v>0</v>
      </c>
      <c r="O161" s="824"/>
      <c r="P161" s="824"/>
      <c r="Q161" s="816"/>
      <c r="W161" s="823">
        <f t="shared" si="16"/>
        <v>0</v>
      </c>
      <c r="X161" s="823">
        <f t="shared" si="17"/>
        <v>0</v>
      </c>
      <c r="Y161" s="811">
        <f t="shared" si="18"/>
        <v>0</v>
      </c>
      <c r="Z161" s="811">
        <f t="shared" si="19"/>
        <v>0</v>
      </c>
      <c r="AA161" s="811"/>
      <c r="AB161" s="823">
        <f t="shared" si="20"/>
        <v>0</v>
      </c>
      <c r="AC161" s="823">
        <f t="shared" si="21"/>
        <v>0</v>
      </c>
      <c r="AD161" s="811">
        <f t="shared" si="22"/>
        <v>0</v>
      </c>
      <c r="AE161" s="811">
        <f t="shared" si="23"/>
        <v>0</v>
      </c>
      <c r="AF161" s="811"/>
      <c r="AG161" s="778"/>
      <c r="AH161" s="778"/>
    </row>
    <row r="162" spans="1:34" s="187" customFormat="1" x14ac:dyDescent="0.25">
      <c r="A162" s="890">
        <v>154</v>
      </c>
      <c r="B162" s="187">
        <v>154</v>
      </c>
      <c r="C162" s="779" t="s">
        <v>1160</v>
      </c>
      <c r="D162" s="815" t="s">
        <v>1161</v>
      </c>
      <c r="E162" s="784"/>
      <c r="F162" s="784">
        <v>23856</v>
      </c>
      <c r="G162" s="784">
        <v>1</v>
      </c>
      <c r="H162" s="784">
        <v>0</v>
      </c>
      <c r="I162" s="817">
        <v>0</v>
      </c>
      <c r="J162" s="861">
        <v>0.54765840220385675</v>
      </c>
      <c r="K162" s="816">
        <v>250</v>
      </c>
      <c r="L162" s="820">
        <v>164.29752066115702</v>
      </c>
      <c r="M162" s="821">
        <v>0</v>
      </c>
      <c r="N162" s="824">
        <v>0</v>
      </c>
      <c r="O162" s="824"/>
      <c r="P162" s="824"/>
      <c r="Q162" s="816"/>
      <c r="W162" s="823">
        <f t="shared" si="16"/>
        <v>0</v>
      </c>
      <c r="X162" s="823">
        <f t="shared" si="17"/>
        <v>0</v>
      </c>
      <c r="Y162" s="811">
        <f t="shared" si="18"/>
        <v>0</v>
      </c>
      <c r="Z162" s="811">
        <f t="shared" si="19"/>
        <v>0</v>
      </c>
      <c r="AA162" s="811"/>
      <c r="AB162" s="823">
        <f t="shared" si="20"/>
        <v>0</v>
      </c>
      <c r="AC162" s="823">
        <f t="shared" si="21"/>
        <v>0</v>
      </c>
      <c r="AD162" s="811">
        <f t="shared" si="22"/>
        <v>0</v>
      </c>
      <c r="AE162" s="811">
        <f t="shared" si="23"/>
        <v>0</v>
      </c>
      <c r="AF162" s="811"/>
      <c r="AG162" s="778"/>
      <c r="AH162" s="778"/>
    </row>
    <row r="163" spans="1:34" s="187" customFormat="1" x14ac:dyDescent="0.25">
      <c r="A163" s="890">
        <v>155</v>
      </c>
      <c r="B163" s="187">
        <v>155</v>
      </c>
      <c r="C163" s="779" t="s">
        <v>1162</v>
      </c>
      <c r="D163" s="815" t="s">
        <v>1163</v>
      </c>
      <c r="E163" s="784" t="s">
        <v>1164</v>
      </c>
      <c r="F163" s="784">
        <v>24956</v>
      </c>
      <c r="G163" s="784">
        <v>1</v>
      </c>
      <c r="H163" s="784">
        <v>1</v>
      </c>
      <c r="I163" s="817">
        <v>0.57291092745638195</v>
      </c>
      <c r="J163" s="861">
        <v>0.57291092745638195</v>
      </c>
      <c r="K163" s="816">
        <v>250</v>
      </c>
      <c r="L163" s="820">
        <v>171.87327823691459</v>
      </c>
      <c r="M163" s="821">
        <v>421.87327823691459</v>
      </c>
      <c r="N163" s="822">
        <v>400</v>
      </c>
      <c r="O163" s="822"/>
      <c r="P163" s="822"/>
      <c r="Q163" s="816">
        <v>200</v>
      </c>
      <c r="W163" s="823">
        <f t="shared" si="16"/>
        <v>215</v>
      </c>
      <c r="X163" s="823">
        <f t="shared" si="17"/>
        <v>160.41505968778694</v>
      </c>
      <c r="Y163" s="811">
        <f t="shared" si="18"/>
        <v>375.41505968778694</v>
      </c>
      <c r="Z163" s="811">
        <f t="shared" si="19"/>
        <v>-24.584940312213064</v>
      </c>
      <c r="AA163" s="811"/>
      <c r="AB163" s="823">
        <f t="shared" si="20"/>
        <v>170</v>
      </c>
      <c r="AC163" s="823">
        <f t="shared" si="21"/>
        <v>143.22773186409549</v>
      </c>
      <c r="AD163" s="811">
        <f t="shared" si="22"/>
        <v>313.22773186409552</v>
      </c>
      <c r="AE163" s="811">
        <f t="shared" si="23"/>
        <v>-86.772268135904483</v>
      </c>
      <c r="AF163" s="811"/>
      <c r="AG163" s="778"/>
      <c r="AH163" s="778">
        <v>1</v>
      </c>
    </row>
    <row r="164" spans="1:34" s="187" customFormat="1" x14ac:dyDescent="0.25">
      <c r="A164" s="890">
        <v>156</v>
      </c>
      <c r="B164" s="187">
        <v>156</v>
      </c>
      <c r="C164" s="779" t="s">
        <v>1165</v>
      </c>
      <c r="D164" s="815" t="s">
        <v>1166</v>
      </c>
      <c r="E164" s="784" t="s">
        <v>1167</v>
      </c>
      <c r="F164" s="784">
        <v>24956</v>
      </c>
      <c r="G164" s="784">
        <v>1</v>
      </c>
      <c r="H164" s="784">
        <v>1</v>
      </c>
      <c r="I164" s="817">
        <v>0.57291092745638195</v>
      </c>
      <c r="J164" s="861">
        <v>0.57291092745638195</v>
      </c>
      <c r="K164" s="816">
        <v>250</v>
      </c>
      <c r="L164" s="820">
        <v>171.87327823691459</v>
      </c>
      <c r="M164" s="821">
        <v>421.87327823691459</v>
      </c>
      <c r="N164" s="822">
        <v>400</v>
      </c>
      <c r="O164" s="822"/>
      <c r="P164" s="822"/>
      <c r="Q164" s="816">
        <v>400</v>
      </c>
      <c r="W164" s="823">
        <f t="shared" si="16"/>
        <v>215</v>
      </c>
      <c r="X164" s="823">
        <f t="shared" si="17"/>
        <v>160.41505968778694</v>
      </c>
      <c r="Y164" s="811">
        <f t="shared" si="18"/>
        <v>375.41505968778694</v>
      </c>
      <c r="Z164" s="811">
        <f t="shared" si="19"/>
        <v>-24.584940312213064</v>
      </c>
      <c r="AA164" s="811"/>
      <c r="AB164" s="823">
        <f t="shared" si="20"/>
        <v>170</v>
      </c>
      <c r="AC164" s="823">
        <f t="shared" si="21"/>
        <v>143.22773186409549</v>
      </c>
      <c r="AD164" s="811">
        <f t="shared" si="22"/>
        <v>313.22773186409552</v>
      </c>
      <c r="AE164" s="811">
        <f t="shared" si="23"/>
        <v>-86.772268135904483</v>
      </c>
      <c r="AF164" s="811"/>
      <c r="AG164" s="778"/>
      <c r="AH164" s="778">
        <v>1</v>
      </c>
    </row>
    <row r="165" spans="1:34" s="187" customFormat="1" x14ac:dyDescent="0.25">
      <c r="A165" s="890">
        <v>157</v>
      </c>
      <c r="B165" s="187">
        <v>157</v>
      </c>
      <c r="C165" s="779" t="s">
        <v>1168</v>
      </c>
      <c r="D165" s="815" t="s">
        <v>1169</v>
      </c>
      <c r="E165" s="784"/>
      <c r="F165" s="784">
        <v>24956</v>
      </c>
      <c r="G165" s="784">
        <v>1</v>
      </c>
      <c r="H165" s="784">
        <v>0</v>
      </c>
      <c r="I165" s="817">
        <v>0</v>
      </c>
      <c r="J165" s="861">
        <v>0.57291092745638195</v>
      </c>
      <c r="K165" s="816">
        <v>250</v>
      </c>
      <c r="L165" s="820">
        <v>171.87327823691459</v>
      </c>
      <c r="M165" s="821">
        <v>0</v>
      </c>
      <c r="N165" s="824">
        <v>0</v>
      </c>
      <c r="O165" s="824"/>
      <c r="P165" s="824"/>
      <c r="Q165" s="816"/>
      <c r="W165" s="823">
        <f t="shared" si="16"/>
        <v>0</v>
      </c>
      <c r="X165" s="823">
        <f t="shared" si="17"/>
        <v>0</v>
      </c>
      <c r="Y165" s="811">
        <f t="shared" si="18"/>
        <v>0</v>
      </c>
      <c r="Z165" s="811">
        <f t="shared" si="19"/>
        <v>0</v>
      </c>
      <c r="AA165" s="811"/>
      <c r="AB165" s="823">
        <f t="shared" si="20"/>
        <v>0</v>
      </c>
      <c r="AC165" s="823">
        <f t="shared" si="21"/>
        <v>0</v>
      </c>
      <c r="AD165" s="811">
        <f t="shared" si="22"/>
        <v>0</v>
      </c>
      <c r="AE165" s="811">
        <f t="shared" si="23"/>
        <v>0</v>
      </c>
      <c r="AF165" s="811"/>
      <c r="AG165" s="778"/>
      <c r="AH165" s="778"/>
    </row>
    <row r="166" spans="1:34" s="187" customFormat="1" x14ac:dyDescent="0.25">
      <c r="A166" s="890">
        <v>158</v>
      </c>
      <c r="B166" s="187">
        <v>158</v>
      </c>
      <c r="C166" s="779" t="s">
        <v>1170</v>
      </c>
      <c r="D166" s="815" t="s">
        <v>1171</v>
      </c>
      <c r="E166" s="784"/>
      <c r="F166" s="784">
        <v>24956</v>
      </c>
      <c r="G166" s="784">
        <v>1</v>
      </c>
      <c r="H166" s="784">
        <v>0</v>
      </c>
      <c r="I166" s="817">
        <v>0</v>
      </c>
      <c r="J166" s="861">
        <v>0.57291092745638195</v>
      </c>
      <c r="K166" s="816">
        <v>250</v>
      </c>
      <c r="L166" s="820">
        <v>171.87327823691459</v>
      </c>
      <c r="M166" s="821">
        <v>0</v>
      </c>
      <c r="N166" s="824">
        <v>0</v>
      </c>
      <c r="O166" s="824"/>
      <c r="P166" s="824"/>
      <c r="Q166" s="816"/>
      <c r="W166" s="823">
        <f t="shared" si="16"/>
        <v>0</v>
      </c>
      <c r="X166" s="823">
        <f t="shared" si="17"/>
        <v>0</v>
      </c>
      <c r="Y166" s="811">
        <f t="shared" si="18"/>
        <v>0</v>
      </c>
      <c r="Z166" s="811">
        <f t="shared" si="19"/>
        <v>0</v>
      </c>
      <c r="AA166" s="811"/>
      <c r="AB166" s="823">
        <f t="shared" si="20"/>
        <v>0</v>
      </c>
      <c r="AC166" s="823">
        <f t="shared" si="21"/>
        <v>0</v>
      </c>
      <c r="AD166" s="811">
        <f t="shared" si="22"/>
        <v>0</v>
      </c>
      <c r="AE166" s="811">
        <f t="shared" si="23"/>
        <v>0</v>
      </c>
      <c r="AF166" s="811"/>
      <c r="AG166" s="778"/>
      <c r="AH166" s="778"/>
    </row>
    <row r="167" spans="1:34" s="187" customFormat="1" x14ac:dyDescent="0.25">
      <c r="A167" s="890">
        <v>159</v>
      </c>
      <c r="B167" s="187">
        <v>159</v>
      </c>
      <c r="C167" s="779" t="s">
        <v>1172</v>
      </c>
      <c r="D167" s="815" t="s">
        <v>1173</v>
      </c>
      <c r="E167" s="784" t="s">
        <v>1174</v>
      </c>
      <c r="F167" s="784">
        <v>24956</v>
      </c>
      <c r="G167" s="784">
        <v>1</v>
      </c>
      <c r="H167" s="784">
        <v>1</v>
      </c>
      <c r="I167" s="817">
        <v>0.57291092745638195</v>
      </c>
      <c r="J167" s="861">
        <v>0.57291092745638195</v>
      </c>
      <c r="K167" s="816">
        <v>250</v>
      </c>
      <c r="L167" s="820">
        <v>171.87327823691459</v>
      </c>
      <c r="M167" s="821">
        <v>421.87327823691459</v>
      </c>
      <c r="N167" s="822">
        <v>400</v>
      </c>
      <c r="O167" s="822"/>
      <c r="P167" s="822"/>
      <c r="Q167" s="816">
        <v>200</v>
      </c>
      <c r="W167" s="823">
        <f t="shared" si="16"/>
        <v>215</v>
      </c>
      <c r="X167" s="823">
        <f t="shared" si="17"/>
        <v>160.41505968778694</v>
      </c>
      <c r="Y167" s="811">
        <f t="shared" si="18"/>
        <v>375.41505968778694</v>
      </c>
      <c r="Z167" s="811">
        <f t="shared" si="19"/>
        <v>-24.584940312213064</v>
      </c>
      <c r="AA167" s="811"/>
      <c r="AB167" s="823">
        <f t="shared" si="20"/>
        <v>170</v>
      </c>
      <c r="AC167" s="823">
        <f t="shared" si="21"/>
        <v>143.22773186409549</v>
      </c>
      <c r="AD167" s="811">
        <f t="shared" si="22"/>
        <v>313.22773186409552</v>
      </c>
      <c r="AE167" s="811">
        <f t="shared" si="23"/>
        <v>-86.772268135904483</v>
      </c>
      <c r="AF167" s="811"/>
      <c r="AG167" s="778"/>
      <c r="AH167" s="778">
        <v>1</v>
      </c>
    </row>
    <row r="168" spans="1:34" s="187" customFormat="1" x14ac:dyDescent="0.25">
      <c r="A168" s="890">
        <v>160</v>
      </c>
      <c r="B168" s="187">
        <v>160</v>
      </c>
      <c r="C168" s="779" t="s">
        <v>1175</v>
      </c>
      <c r="D168" s="815" t="s">
        <v>1176</v>
      </c>
      <c r="E168" s="784" t="s">
        <v>1177</v>
      </c>
      <c r="F168" s="784">
        <v>24956</v>
      </c>
      <c r="G168" s="784">
        <v>1</v>
      </c>
      <c r="H168" s="784">
        <v>1</v>
      </c>
      <c r="I168" s="817">
        <v>0.57291092745638195</v>
      </c>
      <c r="J168" s="861">
        <v>0.57291092745638195</v>
      </c>
      <c r="K168" s="816">
        <v>250</v>
      </c>
      <c r="L168" s="820">
        <v>171.87327823691459</v>
      </c>
      <c r="M168" s="821">
        <v>421.87327823691459</v>
      </c>
      <c r="N168" s="822">
        <v>400</v>
      </c>
      <c r="O168" s="822"/>
      <c r="P168" s="822"/>
      <c r="Q168" s="816">
        <v>200</v>
      </c>
      <c r="W168" s="823">
        <f t="shared" si="16"/>
        <v>215</v>
      </c>
      <c r="X168" s="823">
        <f t="shared" si="17"/>
        <v>160.41505968778694</v>
      </c>
      <c r="Y168" s="811">
        <f t="shared" si="18"/>
        <v>375.41505968778694</v>
      </c>
      <c r="Z168" s="811">
        <f t="shared" si="19"/>
        <v>-24.584940312213064</v>
      </c>
      <c r="AA168" s="811"/>
      <c r="AB168" s="823">
        <f t="shared" si="20"/>
        <v>170</v>
      </c>
      <c r="AC168" s="823">
        <f t="shared" si="21"/>
        <v>143.22773186409549</v>
      </c>
      <c r="AD168" s="811">
        <f t="shared" si="22"/>
        <v>313.22773186409552</v>
      </c>
      <c r="AE168" s="811">
        <f t="shared" si="23"/>
        <v>-86.772268135904483</v>
      </c>
      <c r="AF168" s="811"/>
      <c r="AG168" s="778"/>
      <c r="AH168" s="778">
        <v>1</v>
      </c>
    </row>
    <row r="169" spans="1:34" s="187" customFormat="1" x14ac:dyDescent="0.25">
      <c r="A169" s="890">
        <v>161</v>
      </c>
      <c r="B169" s="187">
        <v>161</v>
      </c>
      <c r="C169" s="779" t="s">
        <v>1178</v>
      </c>
      <c r="D169" s="815" t="s">
        <v>1179</v>
      </c>
      <c r="E169" s="784"/>
      <c r="F169" s="784">
        <v>24956</v>
      </c>
      <c r="G169" s="784">
        <v>1</v>
      </c>
      <c r="H169" s="784">
        <v>0</v>
      </c>
      <c r="I169" s="817">
        <v>0</v>
      </c>
      <c r="J169" s="861">
        <v>0.57291092745638195</v>
      </c>
      <c r="K169" s="816">
        <v>250</v>
      </c>
      <c r="L169" s="820">
        <v>171.87327823691459</v>
      </c>
      <c r="M169" s="821">
        <v>0</v>
      </c>
      <c r="N169" s="824">
        <v>0</v>
      </c>
      <c r="O169" s="824"/>
      <c r="P169" s="824"/>
      <c r="Q169" s="816"/>
      <c r="W169" s="823">
        <f t="shared" si="16"/>
        <v>0</v>
      </c>
      <c r="X169" s="823">
        <f t="shared" si="17"/>
        <v>0</v>
      </c>
      <c r="Y169" s="811">
        <f t="shared" si="18"/>
        <v>0</v>
      </c>
      <c r="Z169" s="811">
        <f t="shared" si="19"/>
        <v>0</v>
      </c>
      <c r="AA169" s="811"/>
      <c r="AB169" s="823">
        <f t="shared" si="20"/>
        <v>0</v>
      </c>
      <c r="AC169" s="823">
        <f t="shared" si="21"/>
        <v>0</v>
      </c>
      <c r="AD169" s="811">
        <f t="shared" si="22"/>
        <v>0</v>
      </c>
      <c r="AE169" s="811">
        <f t="shared" si="23"/>
        <v>0</v>
      </c>
      <c r="AF169" s="811"/>
      <c r="AG169" s="778"/>
      <c r="AH169" s="778"/>
    </row>
    <row r="170" spans="1:34" s="187" customFormat="1" x14ac:dyDescent="0.25">
      <c r="A170" s="890">
        <v>162</v>
      </c>
      <c r="B170" s="187">
        <v>162</v>
      </c>
      <c r="C170" s="779" t="s">
        <v>1180</v>
      </c>
      <c r="D170" s="815" t="s">
        <v>1181</v>
      </c>
      <c r="E170" s="784" t="s">
        <v>1182</v>
      </c>
      <c r="F170" s="784">
        <v>24956</v>
      </c>
      <c r="G170" s="784">
        <v>1</v>
      </c>
      <c r="H170" s="784">
        <v>1</v>
      </c>
      <c r="I170" s="817">
        <v>0.57291092745638195</v>
      </c>
      <c r="J170" s="861">
        <v>0.57291092745638195</v>
      </c>
      <c r="K170" s="816">
        <v>250</v>
      </c>
      <c r="L170" s="820">
        <v>171.87327823691459</v>
      </c>
      <c r="M170" s="821">
        <v>421.87327823691459</v>
      </c>
      <c r="N170" s="822">
        <v>400</v>
      </c>
      <c r="O170" s="822"/>
      <c r="P170" s="822"/>
      <c r="Q170" s="816">
        <v>400</v>
      </c>
      <c r="W170" s="823">
        <f t="shared" si="16"/>
        <v>215</v>
      </c>
      <c r="X170" s="823">
        <f t="shared" si="17"/>
        <v>160.41505968778694</v>
      </c>
      <c r="Y170" s="811">
        <f t="shared" si="18"/>
        <v>375.41505968778694</v>
      </c>
      <c r="Z170" s="811">
        <f t="shared" si="19"/>
        <v>-24.584940312213064</v>
      </c>
      <c r="AA170" s="811"/>
      <c r="AB170" s="823">
        <f t="shared" si="20"/>
        <v>170</v>
      </c>
      <c r="AC170" s="823">
        <f t="shared" si="21"/>
        <v>143.22773186409549</v>
      </c>
      <c r="AD170" s="811">
        <f t="shared" si="22"/>
        <v>313.22773186409552</v>
      </c>
      <c r="AE170" s="811">
        <f t="shared" si="23"/>
        <v>-86.772268135904483</v>
      </c>
      <c r="AF170" s="811"/>
      <c r="AG170" s="778"/>
      <c r="AH170" s="778">
        <v>1</v>
      </c>
    </row>
    <row r="171" spans="1:34" s="187" customFormat="1" x14ac:dyDescent="0.25">
      <c r="A171" s="890">
        <v>163</v>
      </c>
      <c r="B171" s="187">
        <v>163</v>
      </c>
      <c r="C171" s="779" t="s">
        <v>1183</v>
      </c>
      <c r="D171" s="815" t="s">
        <v>1184</v>
      </c>
      <c r="E171" s="784"/>
      <c r="F171" s="784">
        <v>24956</v>
      </c>
      <c r="G171" s="784">
        <v>1</v>
      </c>
      <c r="H171" s="784">
        <v>0</v>
      </c>
      <c r="I171" s="817">
        <v>0</v>
      </c>
      <c r="J171" s="861">
        <v>0.57291092745638195</v>
      </c>
      <c r="K171" s="816">
        <v>250</v>
      </c>
      <c r="L171" s="820">
        <v>171.87327823691459</v>
      </c>
      <c r="M171" s="821">
        <v>0</v>
      </c>
      <c r="N171" s="824">
        <v>0</v>
      </c>
      <c r="O171" s="824"/>
      <c r="P171" s="824"/>
      <c r="Q171" s="816"/>
      <c r="W171" s="823">
        <f t="shared" si="16"/>
        <v>0</v>
      </c>
      <c r="X171" s="823">
        <f t="shared" si="17"/>
        <v>0</v>
      </c>
      <c r="Y171" s="811">
        <f t="shared" si="18"/>
        <v>0</v>
      </c>
      <c r="Z171" s="811">
        <f t="shared" si="19"/>
        <v>0</v>
      </c>
      <c r="AA171" s="811"/>
      <c r="AB171" s="823">
        <f t="shared" si="20"/>
        <v>0</v>
      </c>
      <c r="AC171" s="823">
        <f t="shared" si="21"/>
        <v>0</v>
      </c>
      <c r="AD171" s="811">
        <f t="shared" si="22"/>
        <v>0</v>
      </c>
      <c r="AE171" s="811">
        <f t="shared" si="23"/>
        <v>0</v>
      </c>
      <c r="AF171" s="811"/>
      <c r="AG171" s="778"/>
      <c r="AH171" s="778"/>
    </row>
    <row r="172" spans="1:34" s="187" customFormat="1" x14ac:dyDescent="0.25">
      <c r="A172" s="890">
        <v>164</v>
      </c>
      <c r="B172" s="187">
        <v>164</v>
      </c>
      <c r="C172" s="779" t="s">
        <v>1185</v>
      </c>
      <c r="D172" s="815" t="s">
        <v>1186</v>
      </c>
      <c r="E172" s="784" t="s">
        <v>1187</v>
      </c>
      <c r="F172" s="784">
        <v>24956</v>
      </c>
      <c r="G172" s="784">
        <v>1</v>
      </c>
      <c r="H172" s="784">
        <v>1</v>
      </c>
      <c r="I172" s="817">
        <v>0.57291092745638195</v>
      </c>
      <c r="J172" s="861">
        <v>0.57291092745638195</v>
      </c>
      <c r="K172" s="816">
        <v>250</v>
      </c>
      <c r="L172" s="820">
        <v>171.87327823691459</v>
      </c>
      <c r="M172" s="821">
        <v>421.87327823691459</v>
      </c>
      <c r="N172" s="822">
        <v>400</v>
      </c>
      <c r="O172" s="822"/>
      <c r="P172" s="822"/>
      <c r="Q172" s="816">
        <v>200</v>
      </c>
      <c r="W172" s="823">
        <f t="shared" si="16"/>
        <v>215</v>
      </c>
      <c r="X172" s="823">
        <f t="shared" si="17"/>
        <v>160.41505968778694</v>
      </c>
      <c r="Y172" s="811">
        <f t="shared" si="18"/>
        <v>375.41505968778694</v>
      </c>
      <c r="Z172" s="811">
        <f t="shared" si="19"/>
        <v>-24.584940312213064</v>
      </c>
      <c r="AA172" s="811"/>
      <c r="AB172" s="823">
        <f t="shared" si="20"/>
        <v>170</v>
      </c>
      <c r="AC172" s="823">
        <f t="shared" si="21"/>
        <v>143.22773186409549</v>
      </c>
      <c r="AD172" s="811">
        <f t="shared" si="22"/>
        <v>313.22773186409552</v>
      </c>
      <c r="AE172" s="811">
        <f t="shared" si="23"/>
        <v>-86.772268135904483</v>
      </c>
      <c r="AF172" s="811"/>
      <c r="AG172" s="778"/>
      <c r="AH172" s="778">
        <v>1</v>
      </c>
    </row>
    <row r="173" spans="1:34" s="187" customFormat="1" x14ac:dyDescent="0.25">
      <c r="A173" s="890">
        <v>165</v>
      </c>
      <c r="B173" s="187">
        <v>165</v>
      </c>
      <c r="C173" s="779" t="s">
        <v>1188</v>
      </c>
      <c r="D173" s="815" t="s">
        <v>1189</v>
      </c>
      <c r="E173" s="784" t="s">
        <v>1190</v>
      </c>
      <c r="F173" s="784">
        <v>24959</v>
      </c>
      <c r="G173" s="784">
        <v>1</v>
      </c>
      <c r="H173" s="784">
        <v>1</v>
      </c>
      <c r="I173" s="817">
        <v>0.57297979797979803</v>
      </c>
      <c r="J173" s="861">
        <v>0.57297979797979803</v>
      </c>
      <c r="K173" s="816">
        <v>250</v>
      </c>
      <c r="L173" s="820">
        <v>171.89393939393941</v>
      </c>
      <c r="M173" s="821">
        <v>421.89393939393938</v>
      </c>
      <c r="N173" s="822">
        <v>400</v>
      </c>
      <c r="O173" s="822"/>
      <c r="P173" s="822"/>
      <c r="Q173" s="816">
        <v>400</v>
      </c>
      <c r="W173" s="823">
        <f t="shared" si="16"/>
        <v>215</v>
      </c>
      <c r="X173" s="823">
        <f t="shared" si="17"/>
        <v>160.43434343434345</v>
      </c>
      <c r="Y173" s="811">
        <f t="shared" si="18"/>
        <v>375.43434343434342</v>
      </c>
      <c r="Z173" s="811">
        <f t="shared" si="19"/>
        <v>-24.565656565656582</v>
      </c>
      <c r="AA173" s="811"/>
      <c r="AB173" s="823">
        <f t="shared" si="20"/>
        <v>170</v>
      </c>
      <c r="AC173" s="823">
        <f t="shared" si="21"/>
        <v>143.24494949494951</v>
      </c>
      <c r="AD173" s="811">
        <f t="shared" si="22"/>
        <v>313.24494949494954</v>
      </c>
      <c r="AE173" s="811">
        <f t="shared" si="23"/>
        <v>-86.755050505050463</v>
      </c>
      <c r="AF173" s="811"/>
      <c r="AG173" s="778"/>
      <c r="AH173" s="778">
        <v>1</v>
      </c>
    </row>
    <row r="174" spans="1:34" s="187" customFormat="1" x14ac:dyDescent="0.25">
      <c r="A174" s="890">
        <v>166</v>
      </c>
      <c r="B174" s="187">
        <v>166</v>
      </c>
      <c r="C174" s="779" t="s">
        <v>1191</v>
      </c>
      <c r="D174" s="815" t="s">
        <v>1192</v>
      </c>
      <c r="E174" s="784"/>
      <c r="F174" s="784">
        <v>26689</v>
      </c>
      <c r="G174" s="784">
        <v>1</v>
      </c>
      <c r="H174" s="784">
        <v>0</v>
      </c>
      <c r="I174" s="817">
        <v>0</v>
      </c>
      <c r="J174" s="861">
        <v>0.61269513314967861</v>
      </c>
      <c r="K174" s="816">
        <v>250</v>
      </c>
      <c r="L174" s="820">
        <v>183.80853994490357</v>
      </c>
      <c r="M174" s="821">
        <v>0</v>
      </c>
      <c r="N174" s="824">
        <v>0</v>
      </c>
      <c r="O174" s="824"/>
      <c r="P174" s="824"/>
      <c r="Q174" s="816"/>
      <c r="W174" s="823">
        <f t="shared" si="16"/>
        <v>0</v>
      </c>
      <c r="X174" s="823">
        <f t="shared" si="17"/>
        <v>0</v>
      </c>
      <c r="Y174" s="811">
        <f t="shared" si="18"/>
        <v>0</v>
      </c>
      <c r="Z174" s="811">
        <f t="shared" si="19"/>
        <v>0</v>
      </c>
      <c r="AA174" s="811"/>
      <c r="AB174" s="823">
        <f t="shared" si="20"/>
        <v>0</v>
      </c>
      <c r="AC174" s="823">
        <f t="shared" si="21"/>
        <v>0</v>
      </c>
      <c r="AD174" s="811">
        <f t="shared" si="22"/>
        <v>0</v>
      </c>
      <c r="AE174" s="811">
        <f t="shared" si="23"/>
        <v>0</v>
      </c>
      <c r="AF174" s="811"/>
      <c r="AG174" s="778"/>
      <c r="AH174" s="778"/>
    </row>
    <row r="175" spans="1:34" s="187" customFormat="1" x14ac:dyDescent="0.25">
      <c r="A175" s="890">
        <v>167</v>
      </c>
      <c r="B175" s="187">
        <v>167</v>
      </c>
      <c r="C175" s="779" t="s">
        <v>1193</v>
      </c>
      <c r="D175" s="815" t="s">
        <v>1194</v>
      </c>
      <c r="E175" s="784"/>
      <c r="F175" s="784">
        <v>26055</v>
      </c>
      <c r="G175" s="784">
        <v>1</v>
      </c>
      <c r="H175" s="784">
        <v>0</v>
      </c>
      <c r="I175" s="817">
        <v>0</v>
      </c>
      <c r="J175" s="861">
        <v>0.59814049586776863</v>
      </c>
      <c r="K175" s="816">
        <v>250</v>
      </c>
      <c r="L175" s="820">
        <v>179.44214876033058</v>
      </c>
      <c r="M175" s="821">
        <v>0</v>
      </c>
      <c r="N175" s="824">
        <v>0</v>
      </c>
      <c r="O175" s="824"/>
      <c r="P175" s="824"/>
      <c r="Q175" s="816"/>
      <c r="W175" s="823">
        <f t="shared" si="16"/>
        <v>0</v>
      </c>
      <c r="X175" s="823">
        <f t="shared" si="17"/>
        <v>0</v>
      </c>
      <c r="Y175" s="811">
        <f t="shared" si="18"/>
        <v>0</v>
      </c>
      <c r="Z175" s="811">
        <f t="shared" si="19"/>
        <v>0</v>
      </c>
      <c r="AA175" s="811"/>
      <c r="AB175" s="823">
        <f t="shared" si="20"/>
        <v>0</v>
      </c>
      <c r="AC175" s="823">
        <f t="shared" si="21"/>
        <v>0</v>
      </c>
      <c r="AD175" s="811">
        <f t="shared" si="22"/>
        <v>0</v>
      </c>
      <c r="AE175" s="811">
        <f t="shared" si="23"/>
        <v>0</v>
      </c>
      <c r="AF175" s="811"/>
      <c r="AG175" s="778"/>
      <c r="AH175" s="778"/>
    </row>
    <row r="176" spans="1:34" s="187" customFormat="1" x14ac:dyDescent="0.25">
      <c r="A176" s="890">
        <v>168</v>
      </c>
      <c r="B176" s="187">
        <v>168</v>
      </c>
      <c r="C176" s="779" t="s">
        <v>1195</v>
      </c>
      <c r="D176" s="815" t="s">
        <v>1196</v>
      </c>
      <c r="E176" s="784"/>
      <c r="F176" s="784">
        <v>31327</v>
      </c>
      <c r="G176" s="784">
        <v>1</v>
      </c>
      <c r="H176" s="784">
        <v>0</v>
      </c>
      <c r="I176" s="817">
        <v>0</v>
      </c>
      <c r="J176" s="861">
        <v>0.71916896235078054</v>
      </c>
      <c r="K176" s="816">
        <v>250</v>
      </c>
      <c r="L176" s="820">
        <v>215.75068870523415</v>
      </c>
      <c r="M176" s="821">
        <v>0</v>
      </c>
      <c r="N176" s="824">
        <v>0</v>
      </c>
      <c r="O176" s="824"/>
      <c r="P176" s="824"/>
      <c r="Q176" s="816"/>
      <c r="W176" s="823">
        <f t="shared" si="16"/>
        <v>0</v>
      </c>
      <c r="X176" s="823">
        <f t="shared" si="17"/>
        <v>0</v>
      </c>
      <c r="Y176" s="811">
        <f t="shared" si="18"/>
        <v>0</v>
      </c>
      <c r="Z176" s="811">
        <f t="shared" si="19"/>
        <v>0</v>
      </c>
      <c r="AA176" s="811"/>
      <c r="AB176" s="823">
        <f t="shared" si="20"/>
        <v>0</v>
      </c>
      <c r="AC176" s="823">
        <f t="shared" si="21"/>
        <v>0</v>
      </c>
      <c r="AD176" s="811">
        <f t="shared" si="22"/>
        <v>0</v>
      </c>
      <c r="AE176" s="811">
        <f t="shared" si="23"/>
        <v>0</v>
      </c>
      <c r="AF176" s="811"/>
      <c r="AG176" s="778"/>
      <c r="AH176" s="778"/>
    </row>
    <row r="177" spans="1:34" s="187" customFormat="1" x14ac:dyDescent="0.25">
      <c r="A177" s="890">
        <v>169</v>
      </c>
      <c r="B177" s="187">
        <v>169</v>
      </c>
      <c r="C177" s="779" t="s">
        <v>1197</v>
      </c>
      <c r="D177" s="815" t="s">
        <v>1198</v>
      </c>
      <c r="E177" s="784"/>
      <c r="F177" s="784">
        <v>37062</v>
      </c>
      <c r="G177" s="784">
        <v>1</v>
      </c>
      <c r="H177" s="784">
        <v>0</v>
      </c>
      <c r="I177" s="817">
        <v>0</v>
      </c>
      <c r="J177" s="861">
        <v>0.85082644628099169</v>
      </c>
      <c r="K177" s="816">
        <v>250</v>
      </c>
      <c r="L177" s="820">
        <v>255.24793388429751</v>
      </c>
      <c r="M177" s="821">
        <v>0</v>
      </c>
      <c r="N177" s="824">
        <v>0</v>
      </c>
      <c r="O177" s="824"/>
      <c r="P177" s="824"/>
      <c r="Q177" s="816"/>
      <c r="W177" s="823">
        <f t="shared" si="16"/>
        <v>0</v>
      </c>
      <c r="X177" s="823">
        <f t="shared" si="17"/>
        <v>0</v>
      </c>
      <c r="Y177" s="811">
        <f t="shared" si="18"/>
        <v>0</v>
      </c>
      <c r="Z177" s="811">
        <f t="shared" si="19"/>
        <v>0</v>
      </c>
      <c r="AA177" s="811"/>
      <c r="AB177" s="823">
        <f t="shared" si="20"/>
        <v>0</v>
      </c>
      <c r="AC177" s="823">
        <f t="shared" si="21"/>
        <v>0</v>
      </c>
      <c r="AD177" s="811">
        <f t="shared" si="22"/>
        <v>0</v>
      </c>
      <c r="AE177" s="811">
        <f t="shared" si="23"/>
        <v>0</v>
      </c>
      <c r="AF177" s="811"/>
      <c r="AG177" s="778"/>
      <c r="AH177" s="778"/>
    </row>
    <row r="178" spans="1:34" s="187" customFormat="1" x14ac:dyDescent="0.25">
      <c r="A178" s="890">
        <v>170</v>
      </c>
      <c r="B178" s="187">
        <v>170</v>
      </c>
      <c r="C178" s="779" t="s">
        <v>1199</v>
      </c>
      <c r="D178" s="815" t="s">
        <v>1200</v>
      </c>
      <c r="E178" s="784"/>
      <c r="F178" s="784">
        <v>38785</v>
      </c>
      <c r="G178" s="784">
        <v>1</v>
      </c>
      <c r="H178" s="784">
        <v>0</v>
      </c>
      <c r="I178" s="817">
        <v>0</v>
      </c>
      <c r="J178" s="861">
        <v>0.8903810835629018</v>
      </c>
      <c r="K178" s="816">
        <v>250</v>
      </c>
      <c r="L178" s="820">
        <v>267.11432506887053</v>
      </c>
      <c r="M178" s="821">
        <v>0</v>
      </c>
      <c r="N178" s="824">
        <v>0</v>
      </c>
      <c r="O178" s="824"/>
      <c r="P178" s="824"/>
      <c r="Q178" s="816"/>
      <c r="W178" s="823">
        <f t="shared" si="16"/>
        <v>0</v>
      </c>
      <c r="X178" s="823">
        <f t="shared" si="17"/>
        <v>0</v>
      </c>
      <c r="Y178" s="811">
        <f t="shared" si="18"/>
        <v>0</v>
      </c>
      <c r="Z178" s="811">
        <f t="shared" si="19"/>
        <v>0</v>
      </c>
      <c r="AA178" s="811"/>
      <c r="AB178" s="823">
        <f t="shared" si="20"/>
        <v>0</v>
      </c>
      <c r="AC178" s="823">
        <f t="shared" si="21"/>
        <v>0</v>
      </c>
      <c r="AD178" s="811">
        <f t="shared" si="22"/>
        <v>0</v>
      </c>
      <c r="AE178" s="811">
        <f t="shared" si="23"/>
        <v>0</v>
      </c>
      <c r="AF178" s="811"/>
      <c r="AG178" s="778"/>
      <c r="AH178" s="778"/>
    </row>
    <row r="179" spans="1:34" s="187" customFormat="1" x14ac:dyDescent="0.25">
      <c r="A179" s="890">
        <v>171</v>
      </c>
      <c r="B179" s="187">
        <v>171</v>
      </c>
      <c r="C179" s="779" t="s">
        <v>1201</v>
      </c>
      <c r="D179" s="815" t="s">
        <v>1202</v>
      </c>
      <c r="E179" s="784"/>
      <c r="F179" s="784">
        <v>40070</v>
      </c>
      <c r="G179" s="784">
        <v>1</v>
      </c>
      <c r="H179" s="784">
        <v>0</v>
      </c>
      <c r="I179" s="817">
        <v>0</v>
      </c>
      <c r="J179" s="861">
        <v>0.91988062442607899</v>
      </c>
      <c r="K179" s="816">
        <v>250</v>
      </c>
      <c r="L179" s="820">
        <v>275.96418732782371</v>
      </c>
      <c r="M179" s="821">
        <v>0</v>
      </c>
      <c r="N179" s="824">
        <v>0</v>
      </c>
      <c r="O179" s="824"/>
      <c r="P179" s="824"/>
      <c r="Q179" s="816"/>
      <c r="W179" s="823">
        <f t="shared" si="16"/>
        <v>0</v>
      </c>
      <c r="X179" s="823">
        <f t="shared" si="17"/>
        <v>0</v>
      </c>
      <c r="Y179" s="811">
        <f t="shared" si="18"/>
        <v>0</v>
      </c>
      <c r="Z179" s="811">
        <f t="shared" si="19"/>
        <v>0</v>
      </c>
      <c r="AA179" s="811"/>
      <c r="AB179" s="823">
        <f t="shared" si="20"/>
        <v>0</v>
      </c>
      <c r="AC179" s="823">
        <f t="shared" si="21"/>
        <v>0</v>
      </c>
      <c r="AD179" s="811">
        <f t="shared" si="22"/>
        <v>0</v>
      </c>
      <c r="AE179" s="811">
        <f t="shared" si="23"/>
        <v>0</v>
      </c>
      <c r="AF179" s="811"/>
      <c r="AG179" s="778"/>
      <c r="AH179" s="778"/>
    </row>
    <row r="180" spans="1:34" s="187" customFormat="1" x14ac:dyDescent="0.25">
      <c r="A180" s="890">
        <v>172</v>
      </c>
      <c r="B180" s="187">
        <v>172</v>
      </c>
      <c r="C180" s="779" t="s">
        <v>1203</v>
      </c>
      <c r="D180" s="815" t="s">
        <v>1204</v>
      </c>
      <c r="E180" s="784"/>
      <c r="F180" s="784">
        <v>27909</v>
      </c>
      <c r="G180" s="784">
        <v>1</v>
      </c>
      <c r="H180" s="784">
        <v>0</v>
      </c>
      <c r="I180" s="817">
        <v>0</v>
      </c>
      <c r="J180" s="861">
        <v>0.64070247933884295</v>
      </c>
      <c r="K180" s="816">
        <v>250</v>
      </c>
      <c r="L180" s="820">
        <v>192.21074380165288</v>
      </c>
      <c r="M180" s="821">
        <v>0</v>
      </c>
      <c r="N180" s="824">
        <v>0</v>
      </c>
      <c r="O180" s="824"/>
      <c r="P180" s="824"/>
      <c r="Q180" s="816"/>
      <c r="W180" s="823">
        <f t="shared" si="16"/>
        <v>0</v>
      </c>
      <c r="X180" s="823">
        <f t="shared" si="17"/>
        <v>0</v>
      </c>
      <c r="Y180" s="811">
        <f t="shared" si="18"/>
        <v>0</v>
      </c>
      <c r="Z180" s="811">
        <f t="shared" si="19"/>
        <v>0</v>
      </c>
      <c r="AA180" s="811"/>
      <c r="AB180" s="823">
        <f t="shared" si="20"/>
        <v>0</v>
      </c>
      <c r="AC180" s="823">
        <f t="shared" si="21"/>
        <v>0</v>
      </c>
      <c r="AD180" s="811">
        <f t="shared" si="22"/>
        <v>0</v>
      </c>
      <c r="AE180" s="811">
        <f t="shared" si="23"/>
        <v>0</v>
      </c>
      <c r="AF180" s="811"/>
      <c r="AG180" s="778"/>
      <c r="AH180" s="778"/>
    </row>
    <row r="181" spans="1:34" s="187" customFormat="1" x14ac:dyDescent="0.25">
      <c r="A181" s="890">
        <v>173</v>
      </c>
      <c r="B181" s="187">
        <v>173</v>
      </c>
      <c r="C181" s="779" t="s">
        <v>1205</v>
      </c>
      <c r="D181" s="815" t="s">
        <v>1206</v>
      </c>
      <c r="E181" s="784"/>
      <c r="F181" s="784">
        <v>31765</v>
      </c>
      <c r="G181" s="784">
        <v>1</v>
      </c>
      <c r="H181" s="784">
        <v>0</v>
      </c>
      <c r="I181" s="817">
        <v>0</v>
      </c>
      <c r="J181" s="861">
        <v>0.72922405876951335</v>
      </c>
      <c r="K181" s="816">
        <v>250</v>
      </c>
      <c r="L181" s="820">
        <v>218.76721763085399</v>
      </c>
      <c r="M181" s="821">
        <v>0</v>
      </c>
      <c r="N181" s="824">
        <v>0</v>
      </c>
      <c r="O181" s="824"/>
      <c r="P181" s="824"/>
      <c r="Q181" s="816"/>
      <c r="R181" s="779"/>
      <c r="W181" s="823">
        <f t="shared" si="16"/>
        <v>0</v>
      </c>
      <c r="X181" s="823">
        <f t="shared" si="17"/>
        <v>0</v>
      </c>
      <c r="Y181" s="811">
        <f t="shared" si="18"/>
        <v>0</v>
      </c>
      <c r="Z181" s="811">
        <f t="shared" si="19"/>
        <v>0</v>
      </c>
      <c r="AA181" s="811"/>
      <c r="AB181" s="823">
        <f t="shared" si="20"/>
        <v>0</v>
      </c>
      <c r="AC181" s="823">
        <f t="shared" si="21"/>
        <v>0</v>
      </c>
      <c r="AD181" s="811">
        <f t="shared" si="22"/>
        <v>0</v>
      </c>
      <c r="AE181" s="811">
        <f t="shared" si="23"/>
        <v>0</v>
      </c>
      <c r="AF181" s="811"/>
      <c r="AG181" s="778"/>
      <c r="AH181" s="778"/>
    </row>
    <row r="182" spans="1:34" s="187" customFormat="1" x14ac:dyDescent="0.25">
      <c r="A182" s="890">
        <v>174</v>
      </c>
      <c r="B182" s="187">
        <v>174</v>
      </c>
      <c r="C182" s="779" t="s">
        <v>1207</v>
      </c>
      <c r="D182" s="815" t="s">
        <v>1208</v>
      </c>
      <c r="E182" s="784"/>
      <c r="F182" s="784">
        <v>24933</v>
      </c>
      <c r="G182" s="784">
        <v>1</v>
      </c>
      <c r="H182" s="784">
        <v>0</v>
      </c>
      <c r="I182" s="817">
        <v>0</v>
      </c>
      <c r="J182" s="861">
        <v>0.57238292011019287</v>
      </c>
      <c r="K182" s="816">
        <v>250</v>
      </c>
      <c r="L182" s="820">
        <v>171.71487603305786</v>
      </c>
      <c r="M182" s="821">
        <v>0</v>
      </c>
      <c r="N182" s="824">
        <v>0</v>
      </c>
      <c r="O182" s="824"/>
      <c r="P182" s="824"/>
      <c r="Q182" s="816"/>
      <c r="R182" s="779"/>
      <c r="W182" s="823">
        <f t="shared" si="16"/>
        <v>0</v>
      </c>
      <c r="X182" s="823">
        <f t="shared" si="17"/>
        <v>0</v>
      </c>
      <c r="Y182" s="811">
        <f t="shared" si="18"/>
        <v>0</v>
      </c>
      <c r="Z182" s="811">
        <f t="shared" si="19"/>
        <v>0</v>
      </c>
      <c r="AA182" s="811"/>
      <c r="AB182" s="823">
        <f t="shared" si="20"/>
        <v>0</v>
      </c>
      <c r="AC182" s="823">
        <f t="shared" si="21"/>
        <v>0</v>
      </c>
      <c r="AD182" s="811">
        <f t="shared" si="22"/>
        <v>0</v>
      </c>
      <c r="AE182" s="811">
        <f t="shared" si="23"/>
        <v>0</v>
      </c>
      <c r="AF182" s="811"/>
      <c r="AG182" s="778"/>
      <c r="AH182" s="778"/>
    </row>
    <row r="183" spans="1:34" s="187" customFormat="1" x14ac:dyDescent="0.25">
      <c r="A183" s="890">
        <v>175</v>
      </c>
      <c r="B183" s="187">
        <v>175</v>
      </c>
      <c r="C183" s="779" t="s">
        <v>1209</v>
      </c>
      <c r="D183" s="815" t="s">
        <v>1210</v>
      </c>
      <c r="E183" s="784"/>
      <c r="F183" s="784">
        <v>22850</v>
      </c>
      <c r="G183" s="784">
        <v>1</v>
      </c>
      <c r="H183" s="784">
        <v>0</v>
      </c>
      <c r="I183" s="817">
        <v>0</v>
      </c>
      <c r="J183" s="861">
        <v>0.52456382001836543</v>
      </c>
      <c r="K183" s="816">
        <v>250</v>
      </c>
      <c r="L183" s="820">
        <v>157.36914600550963</v>
      </c>
      <c r="M183" s="821">
        <v>0</v>
      </c>
      <c r="N183" s="824">
        <v>0</v>
      </c>
      <c r="O183" s="824"/>
      <c r="P183" s="824"/>
      <c r="Q183" s="816"/>
      <c r="R183" s="779"/>
      <c r="W183" s="823">
        <f t="shared" si="16"/>
        <v>0</v>
      </c>
      <c r="X183" s="823">
        <f t="shared" si="17"/>
        <v>0</v>
      </c>
      <c r="Y183" s="811">
        <f t="shared" si="18"/>
        <v>0</v>
      </c>
      <c r="Z183" s="811">
        <f t="shared" si="19"/>
        <v>0</v>
      </c>
      <c r="AA183" s="811"/>
      <c r="AB183" s="823">
        <f t="shared" si="20"/>
        <v>0</v>
      </c>
      <c r="AC183" s="823">
        <f t="shared" si="21"/>
        <v>0</v>
      </c>
      <c r="AD183" s="811">
        <f t="shared" si="22"/>
        <v>0</v>
      </c>
      <c r="AE183" s="811">
        <f t="shared" si="23"/>
        <v>0</v>
      </c>
      <c r="AF183" s="811"/>
      <c r="AG183" s="778"/>
      <c r="AH183" s="778"/>
    </row>
    <row r="184" spans="1:34" s="187" customFormat="1" x14ac:dyDescent="0.25">
      <c r="A184" s="890">
        <v>176</v>
      </c>
      <c r="B184" s="187">
        <v>176</v>
      </c>
      <c r="C184" s="779" t="s">
        <v>1211</v>
      </c>
      <c r="D184" s="815" t="s">
        <v>1212</v>
      </c>
      <c r="E184" s="784" t="s">
        <v>1213</v>
      </c>
      <c r="F184" s="784">
        <v>27863</v>
      </c>
      <c r="G184" s="784">
        <v>1</v>
      </c>
      <c r="H184" s="784">
        <v>1</v>
      </c>
      <c r="I184" s="817">
        <v>0.63964646464646469</v>
      </c>
      <c r="J184" s="861">
        <v>0.63964646464646469</v>
      </c>
      <c r="K184" s="816">
        <v>250</v>
      </c>
      <c r="L184" s="820">
        <v>191.89393939393941</v>
      </c>
      <c r="M184" s="821">
        <v>441.89393939393938</v>
      </c>
      <c r="N184" s="822">
        <v>400</v>
      </c>
      <c r="O184" s="822"/>
      <c r="P184" s="822"/>
      <c r="Q184" s="816">
        <v>400</v>
      </c>
      <c r="R184" s="779"/>
      <c r="W184" s="823">
        <f t="shared" si="16"/>
        <v>215</v>
      </c>
      <c r="X184" s="823">
        <f t="shared" si="17"/>
        <v>179.1010101010101</v>
      </c>
      <c r="Y184" s="811">
        <f t="shared" si="18"/>
        <v>394.1010101010101</v>
      </c>
      <c r="Z184" s="811">
        <f t="shared" si="19"/>
        <v>-5.8989898989898961</v>
      </c>
      <c r="AA184" s="811"/>
      <c r="AB184" s="823">
        <f t="shared" si="20"/>
        <v>170</v>
      </c>
      <c r="AC184" s="823">
        <f t="shared" si="21"/>
        <v>159.91161616161617</v>
      </c>
      <c r="AD184" s="811">
        <f t="shared" si="22"/>
        <v>329.91161616161617</v>
      </c>
      <c r="AE184" s="811">
        <f t="shared" si="23"/>
        <v>-70.088383838383834</v>
      </c>
      <c r="AF184" s="811"/>
      <c r="AG184" s="778"/>
      <c r="AH184" s="778">
        <v>1</v>
      </c>
    </row>
    <row r="185" spans="1:34" s="187" customFormat="1" x14ac:dyDescent="0.25">
      <c r="A185" s="890">
        <v>177</v>
      </c>
      <c r="B185" s="187">
        <v>177</v>
      </c>
      <c r="C185" s="779" t="s">
        <v>1214</v>
      </c>
      <c r="D185" s="815" t="s">
        <v>1215</v>
      </c>
      <c r="E185" s="784"/>
      <c r="F185" s="784">
        <v>25747</v>
      </c>
      <c r="G185" s="784">
        <v>1</v>
      </c>
      <c r="H185" s="784">
        <v>0</v>
      </c>
      <c r="I185" s="817">
        <v>0</v>
      </c>
      <c r="J185" s="861">
        <v>0.59106978879706151</v>
      </c>
      <c r="K185" s="816">
        <v>250</v>
      </c>
      <c r="L185" s="820">
        <v>177.32093663911846</v>
      </c>
      <c r="M185" s="821">
        <v>0</v>
      </c>
      <c r="N185" s="824">
        <v>0</v>
      </c>
      <c r="O185" s="824"/>
      <c r="P185" s="824"/>
      <c r="Q185" s="816"/>
      <c r="R185" s="779"/>
      <c r="W185" s="823">
        <f t="shared" si="16"/>
        <v>0</v>
      </c>
      <c r="X185" s="823">
        <f t="shared" si="17"/>
        <v>0</v>
      </c>
      <c r="Y185" s="811">
        <f t="shared" si="18"/>
        <v>0</v>
      </c>
      <c r="Z185" s="811">
        <f t="shared" si="19"/>
        <v>0</v>
      </c>
      <c r="AA185" s="811"/>
      <c r="AB185" s="823">
        <f t="shared" si="20"/>
        <v>0</v>
      </c>
      <c r="AC185" s="823">
        <f t="shared" si="21"/>
        <v>0</v>
      </c>
      <c r="AD185" s="811">
        <f t="shared" si="22"/>
        <v>0</v>
      </c>
      <c r="AE185" s="811">
        <f t="shared" si="23"/>
        <v>0</v>
      </c>
      <c r="AF185" s="811"/>
      <c r="AG185" s="778"/>
      <c r="AH185" s="778"/>
    </row>
    <row r="186" spans="1:34" s="187" customFormat="1" x14ac:dyDescent="0.25">
      <c r="A186" s="890">
        <v>178</v>
      </c>
      <c r="B186" s="187">
        <v>178</v>
      </c>
      <c r="C186" s="779" t="s">
        <v>1216</v>
      </c>
      <c r="D186" s="815" t="s">
        <v>1217</v>
      </c>
      <c r="E186" s="784" t="s">
        <v>1218</v>
      </c>
      <c r="F186" s="784">
        <v>24432</v>
      </c>
      <c r="G186" s="784">
        <v>1</v>
      </c>
      <c r="H186" s="784">
        <v>1</v>
      </c>
      <c r="I186" s="817">
        <v>0.56088154269972457</v>
      </c>
      <c r="J186" s="861">
        <v>0.56088154269972457</v>
      </c>
      <c r="K186" s="816">
        <v>250</v>
      </c>
      <c r="L186" s="820">
        <v>168.26446280991738</v>
      </c>
      <c r="M186" s="821">
        <v>418.2644628099174</v>
      </c>
      <c r="N186" s="822">
        <v>400</v>
      </c>
      <c r="O186" s="822"/>
      <c r="P186" s="822"/>
      <c r="Q186" s="816">
        <v>200</v>
      </c>
      <c r="R186" s="779"/>
      <c r="W186" s="823">
        <f t="shared" si="16"/>
        <v>215</v>
      </c>
      <c r="X186" s="823">
        <f t="shared" si="17"/>
        <v>157.04683195592287</v>
      </c>
      <c r="Y186" s="811">
        <f t="shared" si="18"/>
        <v>372.04683195592287</v>
      </c>
      <c r="Z186" s="811">
        <f t="shared" si="19"/>
        <v>-27.953168044077131</v>
      </c>
      <c r="AA186" s="811"/>
      <c r="AB186" s="823">
        <f t="shared" si="20"/>
        <v>170</v>
      </c>
      <c r="AC186" s="823">
        <f t="shared" si="21"/>
        <v>140.22038567493115</v>
      </c>
      <c r="AD186" s="811">
        <f t="shared" si="22"/>
        <v>310.22038567493115</v>
      </c>
      <c r="AE186" s="811">
        <f t="shared" si="23"/>
        <v>-89.779614325068849</v>
      </c>
      <c r="AF186" s="811"/>
      <c r="AG186" s="778"/>
      <c r="AH186" s="778">
        <v>1</v>
      </c>
    </row>
    <row r="187" spans="1:34" s="187" customFormat="1" x14ac:dyDescent="0.25">
      <c r="A187" s="890">
        <v>179</v>
      </c>
      <c r="B187" s="187">
        <v>179</v>
      </c>
      <c r="C187" s="779" t="s">
        <v>1219</v>
      </c>
      <c r="D187" s="815" t="s">
        <v>1220</v>
      </c>
      <c r="E187" s="784" t="s">
        <v>1221</v>
      </c>
      <c r="F187" s="784">
        <v>22539</v>
      </c>
      <c r="G187" s="784">
        <v>1</v>
      </c>
      <c r="H187" s="784">
        <v>1</v>
      </c>
      <c r="I187" s="817">
        <v>0.51742424242424245</v>
      </c>
      <c r="J187" s="861">
        <v>0.51742424242424245</v>
      </c>
      <c r="K187" s="816">
        <v>250</v>
      </c>
      <c r="L187" s="820">
        <v>155.22727272727275</v>
      </c>
      <c r="M187" s="821">
        <v>405.22727272727275</v>
      </c>
      <c r="N187" s="822">
        <v>400</v>
      </c>
      <c r="O187" s="822"/>
      <c r="P187" s="822"/>
      <c r="Q187" s="816">
        <v>200</v>
      </c>
      <c r="R187" s="779"/>
      <c r="W187" s="823">
        <f t="shared" si="16"/>
        <v>215</v>
      </c>
      <c r="X187" s="823">
        <f t="shared" si="17"/>
        <v>144.87878787878788</v>
      </c>
      <c r="Y187" s="811">
        <f t="shared" si="18"/>
        <v>359.87878787878788</v>
      </c>
      <c r="Z187" s="811">
        <f t="shared" si="19"/>
        <v>-40.121212121212125</v>
      </c>
      <c r="AA187" s="811"/>
      <c r="AB187" s="823">
        <f t="shared" si="20"/>
        <v>170</v>
      </c>
      <c r="AC187" s="823">
        <f t="shared" si="21"/>
        <v>129.35606060606062</v>
      </c>
      <c r="AD187" s="811">
        <f t="shared" si="22"/>
        <v>299.35606060606062</v>
      </c>
      <c r="AE187" s="811">
        <f t="shared" si="23"/>
        <v>-100.64393939393938</v>
      </c>
      <c r="AF187" s="811"/>
      <c r="AG187" s="778"/>
      <c r="AH187" s="778">
        <v>1</v>
      </c>
    </row>
    <row r="188" spans="1:34" s="187" customFormat="1" x14ac:dyDescent="0.25">
      <c r="A188" s="890">
        <v>180</v>
      </c>
      <c r="B188" s="187">
        <v>180</v>
      </c>
      <c r="C188" s="779" t="s">
        <v>1222</v>
      </c>
      <c r="D188" s="815" t="s">
        <v>1223</v>
      </c>
      <c r="E188" s="784"/>
      <c r="F188" s="784">
        <v>24739</v>
      </c>
      <c r="G188" s="784">
        <v>1</v>
      </c>
      <c r="H188" s="784">
        <v>0</v>
      </c>
      <c r="I188" s="817">
        <v>0</v>
      </c>
      <c r="J188" s="861">
        <v>0.56792929292929295</v>
      </c>
      <c r="K188" s="816">
        <v>250</v>
      </c>
      <c r="L188" s="820">
        <v>170.37878787878788</v>
      </c>
      <c r="M188" s="821">
        <v>0</v>
      </c>
      <c r="N188" s="824">
        <v>0</v>
      </c>
      <c r="O188" s="824"/>
      <c r="P188" s="824"/>
      <c r="Q188" s="816"/>
      <c r="R188" s="779"/>
      <c r="W188" s="823">
        <f t="shared" si="16"/>
        <v>0</v>
      </c>
      <c r="X188" s="823">
        <f t="shared" si="17"/>
        <v>0</v>
      </c>
      <c r="Y188" s="811">
        <f t="shared" si="18"/>
        <v>0</v>
      </c>
      <c r="Z188" s="811">
        <f t="shared" si="19"/>
        <v>0</v>
      </c>
      <c r="AA188" s="811"/>
      <c r="AB188" s="823">
        <f t="shared" si="20"/>
        <v>0</v>
      </c>
      <c r="AC188" s="823">
        <f t="shared" si="21"/>
        <v>0</v>
      </c>
      <c r="AD188" s="811">
        <f t="shared" si="22"/>
        <v>0</v>
      </c>
      <c r="AE188" s="811">
        <f t="shared" si="23"/>
        <v>0</v>
      </c>
      <c r="AF188" s="811"/>
      <c r="AG188" s="778"/>
      <c r="AH188" s="778"/>
    </row>
    <row r="189" spans="1:34" s="187" customFormat="1" x14ac:dyDescent="0.25">
      <c r="A189" s="890">
        <v>181</v>
      </c>
      <c r="B189" s="187">
        <v>181</v>
      </c>
      <c r="C189" s="779" t="s">
        <v>1224</v>
      </c>
      <c r="D189" s="815" t="s">
        <v>1225</v>
      </c>
      <c r="E189" s="784" t="s">
        <v>1226</v>
      </c>
      <c r="F189" s="784">
        <v>22539</v>
      </c>
      <c r="G189" s="784">
        <v>1</v>
      </c>
      <c r="H189" s="784">
        <v>1</v>
      </c>
      <c r="I189" s="817">
        <v>0.51742424242424245</v>
      </c>
      <c r="J189" s="861">
        <v>0.51742424242424245</v>
      </c>
      <c r="K189" s="816">
        <v>250</v>
      </c>
      <c r="L189" s="820">
        <v>155.22727272727275</v>
      </c>
      <c r="M189" s="821">
        <v>405.22727272727275</v>
      </c>
      <c r="N189" s="822">
        <v>400</v>
      </c>
      <c r="O189" s="822"/>
      <c r="P189" s="822"/>
      <c r="Q189" s="816">
        <v>200</v>
      </c>
      <c r="R189" s="816">
        <v>200</v>
      </c>
      <c r="W189" s="823">
        <f t="shared" si="16"/>
        <v>215</v>
      </c>
      <c r="X189" s="823">
        <f t="shared" si="17"/>
        <v>144.87878787878788</v>
      </c>
      <c r="Y189" s="811">
        <f t="shared" si="18"/>
        <v>359.87878787878788</v>
      </c>
      <c r="Z189" s="811">
        <f t="shared" si="19"/>
        <v>-40.121212121212125</v>
      </c>
      <c r="AA189" s="811"/>
      <c r="AB189" s="823">
        <f t="shared" si="20"/>
        <v>170</v>
      </c>
      <c r="AC189" s="823">
        <f t="shared" si="21"/>
        <v>129.35606060606062</v>
      </c>
      <c r="AD189" s="811">
        <f t="shared" si="22"/>
        <v>299.35606060606062</v>
      </c>
      <c r="AE189" s="811">
        <f t="shared" si="23"/>
        <v>-100.64393939393938</v>
      </c>
      <c r="AF189" s="811"/>
      <c r="AG189" s="778"/>
      <c r="AH189" s="778">
        <v>1</v>
      </c>
    </row>
    <row r="190" spans="1:34" s="187" customFormat="1" x14ac:dyDescent="0.25">
      <c r="A190" s="890">
        <v>182</v>
      </c>
      <c r="B190" s="187">
        <v>182</v>
      </c>
      <c r="C190" s="779" t="s">
        <v>1227</v>
      </c>
      <c r="D190" s="815" t="s">
        <v>1228</v>
      </c>
      <c r="E190" s="784" t="s">
        <v>1229</v>
      </c>
      <c r="F190" s="784">
        <v>22539</v>
      </c>
      <c r="G190" s="784">
        <v>1</v>
      </c>
      <c r="H190" s="784">
        <v>1</v>
      </c>
      <c r="I190" s="817">
        <v>0.51742424242424245</v>
      </c>
      <c r="J190" s="861">
        <v>0.51742424242424245</v>
      </c>
      <c r="K190" s="816">
        <v>250</v>
      </c>
      <c r="L190" s="820">
        <v>155.22727272727275</v>
      </c>
      <c r="M190" s="821">
        <v>405.22727272727275</v>
      </c>
      <c r="N190" s="822">
        <v>400</v>
      </c>
      <c r="O190" s="822"/>
      <c r="P190" s="822"/>
      <c r="Q190" s="816">
        <v>200</v>
      </c>
      <c r="R190" s="779"/>
      <c r="W190" s="823">
        <f t="shared" si="16"/>
        <v>215</v>
      </c>
      <c r="X190" s="823">
        <f t="shared" si="17"/>
        <v>144.87878787878788</v>
      </c>
      <c r="Y190" s="811">
        <f t="shared" si="18"/>
        <v>359.87878787878788</v>
      </c>
      <c r="Z190" s="811">
        <f t="shared" si="19"/>
        <v>-40.121212121212125</v>
      </c>
      <c r="AA190" s="811"/>
      <c r="AB190" s="823">
        <f t="shared" si="20"/>
        <v>170</v>
      </c>
      <c r="AC190" s="823">
        <f t="shared" si="21"/>
        <v>129.35606060606062</v>
      </c>
      <c r="AD190" s="811">
        <f t="shared" si="22"/>
        <v>299.35606060606062</v>
      </c>
      <c r="AE190" s="811">
        <f t="shared" si="23"/>
        <v>-100.64393939393938</v>
      </c>
      <c r="AF190" s="811"/>
      <c r="AG190" s="778"/>
      <c r="AH190" s="778">
        <v>1</v>
      </c>
    </row>
    <row r="191" spans="1:34" s="187" customFormat="1" x14ac:dyDescent="0.25">
      <c r="A191" s="890">
        <v>183</v>
      </c>
      <c r="B191" s="187">
        <v>183</v>
      </c>
      <c r="C191" s="779" t="s">
        <v>1230</v>
      </c>
      <c r="D191" s="815" t="s">
        <v>1231</v>
      </c>
      <c r="E191" s="784" t="s">
        <v>1232</v>
      </c>
      <c r="F191" s="784">
        <v>22000</v>
      </c>
      <c r="G191" s="784">
        <v>1</v>
      </c>
      <c r="H191" s="784">
        <v>1</v>
      </c>
      <c r="I191" s="817">
        <v>0.50505050505050508</v>
      </c>
      <c r="J191" s="861">
        <v>0.50505050505050508</v>
      </c>
      <c r="K191" s="816">
        <v>250</v>
      </c>
      <c r="L191" s="820">
        <v>151.51515151515153</v>
      </c>
      <c r="M191" s="821">
        <v>401.5151515151515</v>
      </c>
      <c r="N191" s="822">
        <v>400</v>
      </c>
      <c r="O191" s="822"/>
      <c r="P191" s="822"/>
      <c r="Q191" s="816">
        <v>200</v>
      </c>
      <c r="R191" s="816">
        <v>200</v>
      </c>
      <c r="W191" s="823">
        <f t="shared" si="16"/>
        <v>215</v>
      </c>
      <c r="X191" s="823">
        <f t="shared" si="17"/>
        <v>141.41414141414143</v>
      </c>
      <c r="Y191" s="811">
        <f t="shared" si="18"/>
        <v>356.41414141414145</v>
      </c>
      <c r="Z191" s="811">
        <f t="shared" si="19"/>
        <v>-43.585858585858546</v>
      </c>
      <c r="AA191" s="811"/>
      <c r="AB191" s="823">
        <f t="shared" si="20"/>
        <v>170</v>
      </c>
      <c r="AC191" s="823">
        <f t="shared" si="21"/>
        <v>126.26262626262627</v>
      </c>
      <c r="AD191" s="811">
        <f t="shared" si="22"/>
        <v>296.26262626262627</v>
      </c>
      <c r="AE191" s="811">
        <f t="shared" si="23"/>
        <v>-103.73737373737373</v>
      </c>
      <c r="AF191" s="811"/>
      <c r="AG191" s="778"/>
      <c r="AH191" s="778">
        <v>1</v>
      </c>
    </row>
    <row r="192" spans="1:34" s="187" customFormat="1" x14ac:dyDescent="0.25">
      <c r="A192" s="890">
        <v>184</v>
      </c>
      <c r="B192" s="187">
        <v>184</v>
      </c>
      <c r="C192" s="779" t="s">
        <v>1233</v>
      </c>
      <c r="D192" s="815" t="s">
        <v>1234</v>
      </c>
      <c r="E192" s="784" t="s">
        <v>1235</v>
      </c>
      <c r="F192" s="784">
        <v>22000</v>
      </c>
      <c r="G192" s="784">
        <v>1</v>
      </c>
      <c r="H192" s="784">
        <v>1</v>
      </c>
      <c r="I192" s="817">
        <v>0.50505050505050508</v>
      </c>
      <c r="J192" s="861">
        <v>0.50505050505050508</v>
      </c>
      <c r="K192" s="816">
        <v>250</v>
      </c>
      <c r="L192" s="820">
        <v>151.51515151515153</v>
      </c>
      <c r="M192" s="821">
        <v>401.5151515151515</v>
      </c>
      <c r="N192" s="822">
        <v>400</v>
      </c>
      <c r="O192" s="822"/>
      <c r="P192" s="822"/>
      <c r="Q192" s="816">
        <v>200</v>
      </c>
      <c r="R192" s="779"/>
      <c r="W192" s="823">
        <f t="shared" si="16"/>
        <v>215</v>
      </c>
      <c r="X192" s="823">
        <f t="shared" si="17"/>
        <v>141.41414141414143</v>
      </c>
      <c r="Y192" s="811">
        <f t="shared" si="18"/>
        <v>356.41414141414145</v>
      </c>
      <c r="Z192" s="811">
        <f t="shared" si="19"/>
        <v>-43.585858585858546</v>
      </c>
      <c r="AA192" s="811"/>
      <c r="AB192" s="823">
        <f t="shared" si="20"/>
        <v>170</v>
      </c>
      <c r="AC192" s="823">
        <f t="shared" si="21"/>
        <v>126.26262626262627</v>
      </c>
      <c r="AD192" s="811">
        <f t="shared" si="22"/>
        <v>296.26262626262627</v>
      </c>
      <c r="AE192" s="811">
        <f t="shared" si="23"/>
        <v>-103.73737373737373</v>
      </c>
      <c r="AF192" s="811"/>
      <c r="AG192" s="778"/>
      <c r="AH192" s="778">
        <v>1</v>
      </c>
    </row>
    <row r="193" spans="1:34" s="187" customFormat="1" x14ac:dyDescent="0.25">
      <c r="A193" s="890">
        <v>185</v>
      </c>
      <c r="B193" s="187">
        <v>185</v>
      </c>
      <c r="C193" s="779" t="s">
        <v>1236</v>
      </c>
      <c r="D193" s="815" t="s">
        <v>1237</v>
      </c>
      <c r="E193" s="784" t="s">
        <v>1238</v>
      </c>
      <c r="F193" s="784">
        <v>22000</v>
      </c>
      <c r="G193" s="784">
        <v>1</v>
      </c>
      <c r="H193" s="784">
        <v>1</v>
      </c>
      <c r="I193" s="817">
        <v>0.50505050505050508</v>
      </c>
      <c r="J193" s="861">
        <v>0.50505050505050508</v>
      </c>
      <c r="K193" s="816">
        <v>250</v>
      </c>
      <c r="L193" s="820">
        <v>151.51515151515153</v>
      </c>
      <c r="M193" s="821">
        <v>401.5151515151515</v>
      </c>
      <c r="N193" s="822">
        <v>400</v>
      </c>
      <c r="O193" s="822"/>
      <c r="P193" s="822"/>
      <c r="Q193" s="816">
        <v>200</v>
      </c>
      <c r="R193" s="779"/>
      <c r="W193" s="823">
        <f t="shared" si="16"/>
        <v>215</v>
      </c>
      <c r="X193" s="823">
        <f t="shared" si="17"/>
        <v>141.41414141414143</v>
      </c>
      <c r="Y193" s="811">
        <f t="shared" si="18"/>
        <v>356.41414141414145</v>
      </c>
      <c r="Z193" s="811">
        <f t="shared" si="19"/>
        <v>-43.585858585858546</v>
      </c>
      <c r="AA193" s="811"/>
      <c r="AB193" s="823">
        <f t="shared" si="20"/>
        <v>170</v>
      </c>
      <c r="AC193" s="823">
        <f t="shared" si="21"/>
        <v>126.26262626262627</v>
      </c>
      <c r="AD193" s="811">
        <f t="shared" si="22"/>
        <v>296.26262626262627</v>
      </c>
      <c r="AE193" s="811">
        <f t="shared" si="23"/>
        <v>-103.73737373737373</v>
      </c>
      <c r="AF193" s="811"/>
      <c r="AG193" s="778"/>
      <c r="AH193" s="778">
        <v>1</v>
      </c>
    </row>
    <row r="194" spans="1:34" s="187" customFormat="1" x14ac:dyDescent="0.25">
      <c r="A194" s="890">
        <v>186</v>
      </c>
      <c r="B194" s="187">
        <v>186</v>
      </c>
      <c r="C194" s="779" t="s">
        <v>1239</v>
      </c>
      <c r="D194" s="815" t="s">
        <v>1240</v>
      </c>
      <c r="E194" s="784"/>
      <c r="F194" s="784">
        <v>26589</v>
      </c>
      <c r="G194" s="784">
        <v>1</v>
      </c>
      <c r="H194" s="784">
        <v>0</v>
      </c>
      <c r="I194" s="817">
        <v>0</v>
      </c>
      <c r="J194" s="861">
        <v>0.61039944903581267</v>
      </c>
      <c r="K194" s="816">
        <v>250</v>
      </c>
      <c r="L194" s="820">
        <v>183.11983471074379</v>
      </c>
      <c r="M194" s="821">
        <v>0</v>
      </c>
      <c r="N194" s="824">
        <v>0</v>
      </c>
      <c r="O194" s="824"/>
      <c r="P194" s="824"/>
      <c r="Q194" s="816"/>
      <c r="R194" s="779"/>
      <c r="W194" s="823">
        <f t="shared" si="16"/>
        <v>0</v>
      </c>
      <c r="X194" s="823">
        <f t="shared" si="17"/>
        <v>0</v>
      </c>
      <c r="Y194" s="811">
        <f t="shared" si="18"/>
        <v>0</v>
      </c>
      <c r="Z194" s="811">
        <f t="shared" si="19"/>
        <v>0</v>
      </c>
      <c r="AA194" s="811"/>
      <c r="AB194" s="823">
        <f t="shared" si="20"/>
        <v>0</v>
      </c>
      <c r="AC194" s="823">
        <f t="shared" si="21"/>
        <v>0</v>
      </c>
      <c r="AD194" s="811">
        <f t="shared" si="22"/>
        <v>0</v>
      </c>
      <c r="AE194" s="811">
        <f t="shared" si="23"/>
        <v>0</v>
      </c>
      <c r="AF194" s="811"/>
      <c r="AG194" s="778"/>
      <c r="AH194" s="778"/>
    </row>
    <row r="195" spans="1:34" s="187" customFormat="1" x14ac:dyDescent="0.25">
      <c r="A195" s="890">
        <v>187</v>
      </c>
      <c r="B195" s="187">
        <v>187</v>
      </c>
      <c r="C195" s="779" t="s">
        <v>1241</v>
      </c>
      <c r="D195" s="815" t="s">
        <v>1242</v>
      </c>
      <c r="E195" s="784" t="s">
        <v>1243</v>
      </c>
      <c r="F195" s="784">
        <v>27073</v>
      </c>
      <c r="G195" s="784">
        <v>1</v>
      </c>
      <c r="H195" s="784">
        <v>1</v>
      </c>
      <c r="I195" s="817">
        <v>0.62151056014692374</v>
      </c>
      <c r="J195" s="861">
        <v>0.62151056014692374</v>
      </c>
      <c r="K195" s="816">
        <v>250</v>
      </c>
      <c r="L195" s="820">
        <v>186.45316804407713</v>
      </c>
      <c r="M195" s="821">
        <v>436.45316804407713</v>
      </c>
      <c r="N195" s="822">
        <v>400</v>
      </c>
      <c r="O195" s="822"/>
      <c r="P195" s="822"/>
      <c r="Q195" s="816">
        <v>200</v>
      </c>
      <c r="R195" s="779"/>
      <c r="W195" s="823">
        <f t="shared" si="16"/>
        <v>215</v>
      </c>
      <c r="X195" s="823">
        <f t="shared" si="17"/>
        <v>174.02295684113864</v>
      </c>
      <c r="Y195" s="811">
        <f t="shared" si="18"/>
        <v>389.02295684113864</v>
      </c>
      <c r="Z195" s="811">
        <f t="shared" si="19"/>
        <v>-10.977043158861363</v>
      </c>
      <c r="AA195" s="811"/>
      <c r="AB195" s="823">
        <f t="shared" si="20"/>
        <v>170</v>
      </c>
      <c r="AC195" s="823">
        <f t="shared" si="21"/>
        <v>155.37764003673092</v>
      </c>
      <c r="AD195" s="811">
        <f t="shared" si="22"/>
        <v>325.3776400367309</v>
      </c>
      <c r="AE195" s="811">
        <f t="shared" si="23"/>
        <v>-74.622359963269105</v>
      </c>
      <c r="AF195" s="811"/>
      <c r="AG195" s="778"/>
      <c r="AH195" s="778">
        <v>1</v>
      </c>
    </row>
    <row r="196" spans="1:34" s="187" customFormat="1" x14ac:dyDescent="0.25">
      <c r="A196" s="890">
        <v>188</v>
      </c>
      <c r="B196" s="187">
        <v>188</v>
      </c>
      <c r="C196" s="779" t="s">
        <v>1244</v>
      </c>
      <c r="D196" s="815" t="s">
        <v>1245</v>
      </c>
      <c r="E196" s="784"/>
      <c r="F196" s="784">
        <v>22539</v>
      </c>
      <c r="G196" s="784">
        <v>1</v>
      </c>
      <c r="H196" s="784">
        <v>0</v>
      </c>
      <c r="I196" s="817">
        <v>0</v>
      </c>
      <c r="J196" s="861">
        <v>0.51742424242424245</v>
      </c>
      <c r="K196" s="816">
        <v>250</v>
      </c>
      <c r="L196" s="820">
        <v>155.22727272727275</v>
      </c>
      <c r="M196" s="821">
        <v>0</v>
      </c>
      <c r="N196" s="824">
        <v>0</v>
      </c>
      <c r="O196" s="824"/>
      <c r="P196" s="824"/>
      <c r="Q196" s="816"/>
      <c r="R196" s="779"/>
      <c r="W196" s="823">
        <f t="shared" si="16"/>
        <v>0</v>
      </c>
      <c r="X196" s="823">
        <f t="shared" si="17"/>
        <v>0</v>
      </c>
      <c r="Y196" s="811">
        <f t="shared" si="18"/>
        <v>0</v>
      </c>
      <c r="Z196" s="811">
        <f t="shared" si="19"/>
        <v>0</v>
      </c>
      <c r="AA196" s="811"/>
      <c r="AB196" s="823">
        <f t="shared" si="20"/>
        <v>0</v>
      </c>
      <c r="AC196" s="823">
        <f t="shared" si="21"/>
        <v>0</v>
      </c>
      <c r="AD196" s="811">
        <f t="shared" si="22"/>
        <v>0</v>
      </c>
      <c r="AE196" s="811">
        <f t="shared" si="23"/>
        <v>0</v>
      </c>
      <c r="AF196" s="811"/>
      <c r="AG196" s="778"/>
      <c r="AH196" s="778"/>
    </row>
    <row r="197" spans="1:34" s="187" customFormat="1" x14ac:dyDescent="0.25">
      <c r="A197" s="890">
        <v>189</v>
      </c>
      <c r="B197" s="187">
        <v>189</v>
      </c>
      <c r="C197" s="779" t="s">
        <v>1246</v>
      </c>
      <c r="D197" s="815" t="s">
        <v>1247</v>
      </c>
      <c r="E197" s="784" t="s">
        <v>1248</v>
      </c>
      <c r="F197" s="784">
        <v>22539</v>
      </c>
      <c r="G197" s="784">
        <v>1</v>
      </c>
      <c r="H197" s="784">
        <v>1</v>
      </c>
      <c r="I197" s="817">
        <v>0.51742424242424245</v>
      </c>
      <c r="J197" s="861">
        <v>0.51742424242424245</v>
      </c>
      <c r="K197" s="816">
        <v>250</v>
      </c>
      <c r="L197" s="820">
        <v>155.22727272727275</v>
      </c>
      <c r="M197" s="821">
        <v>405.22727272727275</v>
      </c>
      <c r="N197" s="822">
        <v>400</v>
      </c>
      <c r="O197" s="822"/>
      <c r="P197" s="822"/>
      <c r="Q197" s="816">
        <v>200</v>
      </c>
      <c r="W197" s="823">
        <f t="shared" si="16"/>
        <v>215</v>
      </c>
      <c r="X197" s="823">
        <f t="shared" si="17"/>
        <v>144.87878787878788</v>
      </c>
      <c r="Y197" s="811">
        <f t="shared" si="18"/>
        <v>359.87878787878788</v>
      </c>
      <c r="Z197" s="811">
        <f t="shared" si="19"/>
        <v>-40.121212121212125</v>
      </c>
      <c r="AA197" s="811"/>
      <c r="AB197" s="823">
        <f t="shared" si="20"/>
        <v>170</v>
      </c>
      <c r="AC197" s="823">
        <f t="shared" si="21"/>
        <v>129.35606060606062</v>
      </c>
      <c r="AD197" s="811">
        <f t="shared" si="22"/>
        <v>299.35606060606062</v>
      </c>
      <c r="AE197" s="811">
        <f t="shared" si="23"/>
        <v>-100.64393939393938</v>
      </c>
      <c r="AF197" s="811"/>
      <c r="AG197" s="778"/>
      <c r="AH197" s="778">
        <v>1</v>
      </c>
    </row>
    <row r="198" spans="1:34" s="187" customFormat="1" x14ac:dyDescent="0.25">
      <c r="A198" s="890">
        <v>190</v>
      </c>
      <c r="B198" s="187">
        <v>190</v>
      </c>
      <c r="C198" s="779" t="s">
        <v>1249</v>
      </c>
      <c r="D198" s="815" t="s">
        <v>1250</v>
      </c>
      <c r="E198" s="784" t="s">
        <v>1251</v>
      </c>
      <c r="F198" s="784">
        <v>22539</v>
      </c>
      <c r="G198" s="784">
        <v>1</v>
      </c>
      <c r="H198" s="784">
        <v>1</v>
      </c>
      <c r="I198" s="817">
        <v>0.51742424242424245</v>
      </c>
      <c r="J198" s="861">
        <v>0.51742424242424245</v>
      </c>
      <c r="K198" s="816">
        <v>250</v>
      </c>
      <c r="L198" s="820">
        <v>155.22727272727275</v>
      </c>
      <c r="M198" s="821">
        <v>405.22727272727275</v>
      </c>
      <c r="N198" s="822">
        <v>400</v>
      </c>
      <c r="O198" s="822"/>
      <c r="P198" s="822"/>
      <c r="Q198" s="816">
        <v>200</v>
      </c>
      <c r="W198" s="823">
        <f t="shared" si="16"/>
        <v>215</v>
      </c>
      <c r="X198" s="823">
        <f t="shared" si="17"/>
        <v>144.87878787878788</v>
      </c>
      <c r="Y198" s="811">
        <f t="shared" si="18"/>
        <v>359.87878787878788</v>
      </c>
      <c r="Z198" s="811">
        <f t="shared" si="19"/>
        <v>-40.121212121212125</v>
      </c>
      <c r="AA198" s="811"/>
      <c r="AB198" s="823">
        <f t="shared" si="20"/>
        <v>170</v>
      </c>
      <c r="AC198" s="823">
        <f t="shared" si="21"/>
        <v>129.35606060606062</v>
      </c>
      <c r="AD198" s="811">
        <f t="shared" si="22"/>
        <v>299.35606060606062</v>
      </c>
      <c r="AE198" s="811">
        <f t="shared" si="23"/>
        <v>-100.64393939393938</v>
      </c>
      <c r="AF198" s="811"/>
      <c r="AG198" s="778"/>
      <c r="AH198" s="778">
        <v>1</v>
      </c>
    </row>
    <row r="199" spans="1:34" s="187" customFormat="1" x14ac:dyDescent="0.25">
      <c r="A199" s="890">
        <v>191</v>
      </c>
      <c r="B199" s="187">
        <v>191</v>
      </c>
      <c r="C199" s="779" t="s">
        <v>1252</v>
      </c>
      <c r="D199" s="815" t="s">
        <v>1253</v>
      </c>
      <c r="E199" s="784" t="s">
        <v>1254</v>
      </c>
      <c r="F199" s="784">
        <v>22539</v>
      </c>
      <c r="G199" s="784">
        <v>1</v>
      </c>
      <c r="H199" s="784">
        <v>1</v>
      </c>
      <c r="I199" s="817">
        <v>0.51742424242424245</v>
      </c>
      <c r="J199" s="861">
        <v>0.51742424242424245</v>
      </c>
      <c r="K199" s="816">
        <v>250</v>
      </c>
      <c r="L199" s="820">
        <v>155.22727272727275</v>
      </c>
      <c r="M199" s="821">
        <v>405.22727272727275</v>
      </c>
      <c r="N199" s="822">
        <v>400</v>
      </c>
      <c r="O199" s="822"/>
      <c r="P199" s="822"/>
      <c r="Q199" s="816">
        <v>200</v>
      </c>
      <c r="W199" s="823">
        <f t="shared" si="16"/>
        <v>215</v>
      </c>
      <c r="X199" s="823">
        <f t="shared" si="17"/>
        <v>144.87878787878788</v>
      </c>
      <c r="Y199" s="811">
        <f t="shared" si="18"/>
        <v>359.87878787878788</v>
      </c>
      <c r="Z199" s="811">
        <f t="shared" si="19"/>
        <v>-40.121212121212125</v>
      </c>
      <c r="AA199" s="811"/>
      <c r="AB199" s="823">
        <f t="shared" si="20"/>
        <v>170</v>
      </c>
      <c r="AC199" s="823">
        <f t="shared" si="21"/>
        <v>129.35606060606062</v>
      </c>
      <c r="AD199" s="811">
        <f t="shared" si="22"/>
        <v>299.35606060606062</v>
      </c>
      <c r="AE199" s="811">
        <f t="shared" si="23"/>
        <v>-100.64393939393938</v>
      </c>
      <c r="AF199" s="811"/>
      <c r="AG199" s="778"/>
      <c r="AH199" s="778">
        <v>1</v>
      </c>
    </row>
    <row r="200" spans="1:34" s="187" customFormat="1" x14ac:dyDescent="0.25">
      <c r="A200" s="890">
        <v>192</v>
      </c>
      <c r="B200" s="187">
        <v>192</v>
      </c>
      <c r="C200" s="779" t="s">
        <v>1255</v>
      </c>
      <c r="D200" s="815" t="s">
        <v>1256</v>
      </c>
      <c r="E200" s="784" t="s">
        <v>1257</v>
      </c>
      <c r="F200" s="784">
        <v>22539</v>
      </c>
      <c r="G200" s="784">
        <v>1</v>
      </c>
      <c r="H200" s="784">
        <v>1</v>
      </c>
      <c r="I200" s="817">
        <v>0.51742424242424245</v>
      </c>
      <c r="J200" s="861">
        <v>0.51742424242424245</v>
      </c>
      <c r="K200" s="816">
        <v>250</v>
      </c>
      <c r="L200" s="820">
        <v>155.22727272727275</v>
      </c>
      <c r="M200" s="821">
        <v>405.22727272727275</v>
      </c>
      <c r="N200" s="822">
        <v>400</v>
      </c>
      <c r="O200" s="822"/>
      <c r="P200" s="822"/>
      <c r="Q200" s="816">
        <v>200</v>
      </c>
      <c r="W200" s="823">
        <f t="shared" si="16"/>
        <v>215</v>
      </c>
      <c r="X200" s="823">
        <f t="shared" si="17"/>
        <v>144.87878787878788</v>
      </c>
      <c r="Y200" s="811">
        <f t="shared" si="18"/>
        <v>359.87878787878788</v>
      </c>
      <c r="Z200" s="811">
        <f t="shared" si="19"/>
        <v>-40.121212121212125</v>
      </c>
      <c r="AA200" s="811"/>
      <c r="AB200" s="823">
        <f t="shared" si="20"/>
        <v>170</v>
      </c>
      <c r="AC200" s="823">
        <f t="shared" si="21"/>
        <v>129.35606060606062</v>
      </c>
      <c r="AD200" s="811">
        <f t="shared" si="22"/>
        <v>299.35606060606062</v>
      </c>
      <c r="AE200" s="811">
        <f t="shared" si="23"/>
        <v>-100.64393939393938</v>
      </c>
      <c r="AF200" s="811"/>
      <c r="AG200" s="778"/>
      <c r="AH200" s="778">
        <v>1</v>
      </c>
    </row>
    <row r="201" spans="1:34" s="187" customFormat="1" x14ac:dyDescent="0.25">
      <c r="A201" s="890">
        <v>193</v>
      </c>
      <c r="B201" s="187">
        <v>193</v>
      </c>
      <c r="C201" s="779" t="s">
        <v>1258</v>
      </c>
      <c r="D201" s="815" t="s">
        <v>1259</v>
      </c>
      <c r="E201" s="784" t="s">
        <v>1260</v>
      </c>
      <c r="F201" s="784">
        <v>22539</v>
      </c>
      <c r="G201" s="784">
        <v>1</v>
      </c>
      <c r="H201" s="784">
        <v>1</v>
      </c>
      <c r="I201" s="817">
        <v>0.51742424242424245</v>
      </c>
      <c r="J201" s="861">
        <v>0.51742424242424245</v>
      </c>
      <c r="K201" s="816">
        <v>250</v>
      </c>
      <c r="L201" s="820">
        <v>155.22727272727275</v>
      </c>
      <c r="M201" s="821">
        <v>405.22727272727275</v>
      </c>
      <c r="N201" s="822">
        <v>400</v>
      </c>
      <c r="O201" s="822"/>
      <c r="P201" s="822"/>
      <c r="Q201" s="816">
        <v>200</v>
      </c>
      <c r="W201" s="823">
        <f t="shared" si="16"/>
        <v>215</v>
      </c>
      <c r="X201" s="823">
        <f t="shared" si="17"/>
        <v>144.87878787878788</v>
      </c>
      <c r="Y201" s="811">
        <f t="shared" si="18"/>
        <v>359.87878787878788</v>
      </c>
      <c r="Z201" s="811">
        <f t="shared" si="19"/>
        <v>-40.121212121212125</v>
      </c>
      <c r="AA201" s="811"/>
      <c r="AB201" s="823">
        <f t="shared" si="20"/>
        <v>170</v>
      </c>
      <c r="AC201" s="823">
        <f t="shared" si="21"/>
        <v>129.35606060606062</v>
      </c>
      <c r="AD201" s="811">
        <f t="shared" si="22"/>
        <v>299.35606060606062</v>
      </c>
      <c r="AE201" s="811">
        <f t="shared" si="23"/>
        <v>-100.64393939393938</v>
      </c>
      <c r="AF201" s="811"/>
      <c r="AG201" s="778"/>
      <c r="AH201" s="778">
        <v>1</v>
      </c>
    </row>
    <row r="202" spans="1:34" s="187" customFormat="1" x14ac:dyDescent="0.25">
      <c r="A202" s="890">
        <v>194</v>
      </c>
      <c r="B202" s="187">
        <v>194</v>
      </c>
      <c r="C202" s="779" t="s">
        <v>1261</v>
      </c>
      <c r="D202" s="815" t="s">
        <v>1262</v>
      </c>
      <c r="E202" s="784" t="s">
        <v>1263</v>
      </c>
      <c r="F202" s="784">
        <v>22539</v>
      </c>
      <c r="G202" s="784">
        <v>1</v>
      </c>
      <c r="H202" s="784">
        <v>1</v>
      </c>
      <c r="I202" s="817">
        <v>0.51742424242424245</v>
      </c>
      <c r="J202" s="861">
        <v>0.51742424242424245</v>
      </c>
      <c r="K202" s="816">
        <v>250</v>
      </c>
      <c r="L202" s="820">
        <v>155.22727272727275</v>
      </c>
      <c r="M202" s="821">
        <v>405.22727272727275</v>
      </c>
      <c r="N202" s="822">
        <v>400</v>
      </c>
      <c r="O202" s="822"/>
      <c r="P202" s="822"/>
      <c r="Q202" s="816">
        <v>200</v>
      </c>
      <c r="W202" s="823">
        <f t="shared" si="16"/>
        <v>215</v>
      </c>
      <c r="X202" s="823">
        <f t="shared" si="17"/>
        <v>144.87878787878788</v>
      </c>
      <c r="Y202" s="811">
        <f t="shared" si="18"/>
        <v>359.87878787878788</v>
      </c>
      <c r="Z202" s="811">
        <f t="shared" si="19"/>
        <v>-40.121212121212125</v>
      </c>
      <c r="AA202" s="811"/>
      <c r="AB202" s="823">
        <f t="shared" si="20"/>
        <v>170</v>
      </c>
      <c r="AC202" s="823">
        <f t="shared" si="21"/>
        <v>129.35606060606062</v>
      </c>
      <c r="AD202" s="811">
        <f t="shared" si="22"/>
        <v>299.35606060606062</v>
      </c>
      <c r="AE202" s="811">
        <f t="shared" si="23"/>
        <v>-100.64393939393938</v>
      </c>
      <c r="AF202" s="811"/>
      <c r="AG202" s="778"/>
      <c r="AH202" s="778">
        <v>1</v>
      </c>
    </row>
    <row r="203" spans="1:34" s="187" customFormat="1" x14ac:dyDescent="0.25">
      <c r="A203" s="890">
        <v>195</v>
      </c>
      <c r="B203" s="187">
        <v>195</v>
      </c>
      <c r="C203" s="779" t="s">
        <v>1264</v>
      </c>
      <c r="D203" s="815" t="s">
        <v>1265</v>
      </c>
      <c r="E203" s="784" t="s">
        <v>1266</v>
      </c>
      <c r="F203" s="784">
        <v>22539</v>
      </c>
      <c r="G203" s="784">
        <v>1</v>
      </c>
      <c r="H203" s="784">
        <v>1</v>
      </c>
      <c r="I203" s="817">
        <v>0.51742424242424245</v>
      </c>
      <c r="J203" s="861">
        <v>0.51742424242424245</v>
      </c>
      <c r="K203" s="816">
        <v>250</v>
      </c>
      <c r="L203" s="820">
        <v>155.22727272727275</v>
      </c>
      <c r="M203" s="821">
        <v>405.22727272727275</v>
      </c>
      <c r="N203" s="822">
        <v>400</v>
      </c>
      <c r="O203" s="822"/>
      <c r="P203" s="822"/>
      <c r="Q203" s="816">
        <v>200</v>
      </c>
      <c r="W203" s="823">
        <f t="shared" si="16"/>
        <v>215</v>
      </c>
      <c r="X203" s="823">
        <f t="shared" si="17"/>
        <v>144.87878787878788</v>
      </c>
      <c r="Y203" s="811">
        <f t="shared" si="18"/>
        <v>359.87878787878788</v>
      </c>
      <c r="Z203" s="811">
        <f t="shared" si="19"/>
        <v>-40.121212121212125</v>
      </c>
      <c r="AA203" s="811"/>
      <c r="AB203" s="823">
        <f t="shared" si="20"/>
        <v>170</v>
      </c>
      <c r="AC203" s="823">
        <f t="shared" si="21"/>
        <v>129.35606060606062</v>
      </c>
      <c r="AD203" s="811">
        <f t="shared" si="22"/>
        <v>299.35606060606062</v>
      </c>
      <c r="AE203" s="811">
        <f t="shared" si="23"/>
        <v>-100.64393939393938</v>
      </c>
      <c r="AF203" s="811"/>
      <c r="AG203" s="778"/>
      <c r="AH203" s="778">
        <v>1</v>
      </c>
    </row>
    <row r="204" spans="1:34" s="187" customFormat="1" x14ac:dyDescent="0.25">
      <c r="A204" s="890">
        <v>196</v>
      </c>
      <c r="B204" s="187">
        <v>196</v>
      </c>
      <c r="C204" s="779" t="s">
        <v>1267</v>
      </c>
      <c r="D204" s="815" t="s">
        <v>1268</v>
      </c>
      <c r="E204" s="784" t="s">
        <v>1269</v>
      </c>
      <c r="F204" s="784">
        <v>22539</v>
      </c>
      <c r="G204" s="784">
        <v>1</v>
      </c>
      <c r="H204" s="784">
        <v>1</v>
      </c>
      <c r="I204" s="817">
        <v>0.51742424242424245</v>
      </c>
      <c r="J204" s="861">
        <v>0.51742424242424245</v>
      </c>
      <c r="K204" s="816">
        <v>250</v>
      </c>
      <c r="L204" s="820">
        <v>155.22727272727275</v>
      </c>
      <c r="M204" s="821">
        <v>405.22727272727275</v>
      </c>
      <c r="N204" s="822">
        <v>400</v>
      </c>
      <c r="O204" s="822"/>
      <c r="P204" s="822"/>
      <c r="Q204" s="816">
        <v>200</v>
      </c>
      <c r="W204" s="823">
        <f t="shared" si="16"/>
        <v>215</v>
      </c>
      <c r="X204" s="823">
        <f t="shared" si="17"/>
        <v>144.87878787878788</v>
      </c>
      <c r="Y204" s="811">
        <f t="shared" si="18"/>
        <v>359.87878787878788</v>
      </c>
      <c r="Z204" s="811">
        <f t="shared" si="19"/>
        <v>-40.121212121212125</v>
      </c>
      <c r="AA204" s="811"/>
      <c r="AB204" s="823">
        <f t="shared" si="20"/>
        <v>170</v>
      </c>
      <c r="AC204" s="823">
        <f t="shared" si="21"/>
        <v>129.35606060606062</v>
      </c>
      <c r="AD204" s="811">
        <f t="shared" si="22"/>
        <v>299.35606060606062</v>
      </c>
      <c r="AE204" s="811">
        <f t="shared" si="23"/>
        <v>-100.64393939393938</v>
      </c>
      <c r="AF204" s="811"/>
      <c r="AG204" s="778"/>
      <c r="AH204" s="778">
        <v>1</v>
      </c>
    </row>
    <row r="205" spans="1:34" s="187" customFormat="1" x14ac:dyDescent="0.25">
      <c r="A205" s="890">
        <v>197</v>
      </c>
      <c r="B205" s="187">
        <v>197</v>
      </c>
      <c r="C205" s="779" t="s">
        <v>1270</v>
      </c>
      <c r="D205" s="815" t="s">
        <v>1271</v>
      </c>
      <c r="E205" s="784"/>
      <c r="F205" s="784">
        <v>24994</v>
      </c>
      <c r="G205" s="784">
        <v>1</v>
      </c>
      <c r="H205" s="784">
        <v>0</v>
      </c>
      <c r="I205" s="817">
        <v>0</v>
      </c>
      <c r="J205" s="861">
        <v>0.57378328741965101</v>
      </c>
      <c r="K205" s="816">
        <v>250</v>
      </c>
      <c r="L205" s="820">
        <v>172.13498622589529</v>
      </c>
      <c r="M205" s="821">
        <v>0</v>
      </c>
      <c r="N205" s="824">
        <v>0</v>
      </c>
      <c r="O205" s="824"/>
      <c r="P205" s="824"/>
      <c r="Q205" s="816"/>
      <c r="W205" s="823">
        <f t="shared" ref="W205:W268" si="24">IF(H205=1,$W$9,0)</f>
        <v>0</v>
      </c>
      <c r="X205" s="823">
        <f t="shared" ref="X205:X268" si="25">IF(H205=1,$X$9*I205,0)</f>
        <v>0</v>
      </c>
      <c r="Y205" s="811">
        <f t="shared" ref="Y205:Y268" si="26">+X205+W205</f>
        <v>0</v>
      </c>
      <c r="Z205" s="811">
        <f t="shared" ref="Z205:Z268" si="27">IF(H205=1,Y205-400,0)</f>
        <v>0</v>
      </c>
      <c r="AA205" s="811"/>
      <c r="AB205" s="823">
        <f t="shared" ref="AB205:AB268" si="28">IF($H205=1,$AB$9,0)</f>
        <v>0</v>
      </c>
      <c r="AC205" s="823">
        <f t="shared" ref="AC205:AC268" si="29">IF($H205=1,$AC$9*I205,0)</f>
        <v>0</v>
      </c>
      <c r="AD205" s="811">
        <f t="shared" ref="AD205:AD268" si="30">+AC205+AB205</f>
        <v>0</v>
      </c>
      <c r="AE205" s="811">
        <f t="shared" ref="AE205:AE268" si="31">IF($H205=1,AD205-400,0)</f>
        <v>0</v>
      </c>
      <c r="AF205" s="811"/>
      <c r="AG205" s="778"/>
      <c r="AH205" s="778"/>
    </row>
    <row r="206" spans="1:34" s="187" customFormat="1" x14ac:dyDescent="0.25">
      <c r="A206" s="890">
        <v>198</v>
      </c>
      <c r="B206" s="187">
        <v>198</v>
      </c>
      <c r="C206" s="779" t="s">
        <v>1272</v>
      </c>
      <c r="D206" s="815" t="s">
        <v>1273</v>
      </c>
      <c r="E206" s="784"/>
      <c r="F206" s="784">
        <v>24994</v>
      </c>
      <c r="G206" s="784">
        <v>1</v>
      </c>
      <c r="H206" s="784">
        <v>0</v>
      </c>
      <c r="I206" s="817">
        <v>0</v>
      </c>
      <c r="J206" s="861">
        <v>0.57378328741965101</v>
      </c>
      <c r="K206" s="816">
        <v>250</v>
      </c>
      <c r="L206" s="820">
        <v>172.13498622589529</v>
      </c>
      <c r="M206" s="821">
        <v>0</v>
      </c>
      <c r="N206" s="824">
        <v>0</v>
      </c>
      <c r="O206" s="824"/>
      <c r="P206" s="824"/>
      <c r="Q206" s="816"/>
      <c r="W206" s="823">
        <f t="shared" si="24"/>
        <v>0</v>
      </c>
      <c r="X206" s="823">
        <f t="shared" si="25"/>
        <v>0</v>
      </c>
      <c r="Y206" s="811">
        <f t="shared" si="26"/>
        <v>0</v>
      </c>
      <c r="Z206" s="811">
        <f t="shared" si="27"/>
        <v>0</v>
      </c>
      <c r="AA206" s="811"/>
      <c r="AB206" s="823">
        <f t="shared" si="28"/>
        <v>0</v>
      </c>
      <c r="AC206" s="823">
        <f t="shared" si="29"/>
        <v>0</v>
      </c>
      <c r="AD206" s="811">
        <f t="shared" si="30"/>
        <v>0</v>
      </c>
      <c r="AE206" s="811">
        <f t="shared" si="31"/>
        <v>0</v>
      </c>
      <c r="AF206" s="811"/>
      <c r="AG206" s="778"/>
      <c r="AH206" s="778"/>
    </row>
    <row r="207" spans="1:34" s="187" customFormat="1" x14ac:dyDescent="0.25">
      <c r="A207" s="890">
        <v>199</v>
      </c>
      <c r="B207" s="187">
        <v>199</v>
      </c>
      <c r="C207" s="779" t="s">
        <v>1274</v>
      </c>
      <c r="D207" s="815" t="s">
        <v>1275</v>
      </c>
      <c r="E207" s="784" t="s">
        <v>1276</v>
      </c>
      <c r="F207" s="784">
        <v>22440</v>
      </c>
      <c r="G207" s="784">
        <v>1</v>
      </c>
      <c r="H207" s="784">
        <v>1</v>
      </c>
      <c r="I207" s="817">
        <v>0.51515151515151514</v>
      </c>
      <c r="J207" s="861">
        <v>0.51515151515151514</v>
      </c>
      <c r="K207" s="816">
        <v>250</v>
      </c>
      <c r="L207" s="820">
        <v>154.54545454545453</v>
      </c>
      <c r="M207" s="821">
        <v>404.5454545454545</v>
      </c>
      <c r="N207" s="822">
        <v>400</v>
      </c>
      <c r="O207" s="822"/>
      <c r="P207" s="822"/>
      <c r="Q207" s="816">
        <v>200</v>
      </c>
      <c r="W207" s="823">
        <f t="shared" si="24"/>
        <v>215</v>
      </c>
      <c r="X207" s="823">
        <f t="shared" si="25"/>
        <v>144.24242424242425</v>
      </c>
      <c r="Y207" s="811">
        <f t="shared" si="26"/>
        <v>359.24242424242425</v>
      </c>
      <c r="Z207" s="811">
        <f t="shared" si="27"/>
        <v>-40.757575757575751</v>
      </c>
      <c r="AA207" s="811"/>
      <c r="AB207" s="823">
        <f t="shared" si="28"/>
        <v>170</v>
      </c>
      <c r="AC207" s="823">
        <f t="shared" si="29"/>
        <v>128.78787878787878</v>
      </c>
      <c r="AD207" s="811">
        <f t="shared" si="30"/>
        <v>298.78787878787875</v>
      </c>
      <c r="AE207" s="811">
        <f t="shared" si="31"/>
        <v>-101.21212121212125</v>
      </c>
      <c r="AF207" s="811"/>
      <c r="AG207" s="778"/>
      <c r="AH207" s="778">
        <v>1</v>
      </c>
    </row>
    <row r="208" spans="1:34" s="187" customFormat="1" x14ac:dyDescent="0.25">
      <c r="A208" s="890">
        <v>200</v>
      </c>
      <c r="B208" s="187">
        <v>200</v>
      </c>
      <c r="C208" s="779" t="s">
        <v>1277</v>
      </c>
      <c r="D208" s="815" t="s">
        <v>1278</v>
      </c>
      <c r="E208" s="784"/>
      <c r="F208" s="784">
        <v>23320</v>
      </c>
      <c r="G208" s="784">
        <v>1</v>
      </c>
      <c r="H208" s="784">
        <v>0</v>
      </c>
      <c r="I208" s="817">
        <v>0</v>
      </c>
      <c r="J208" s="861">
        <v>0.53535353535353536</v>
      </c>
      <c r="K208" s="816">
        <v>250</v>
      </c>
      <c r="L208" s="820">
        <v>160.60606060606059</v>
      </c>
      <c r="M208" s="821">
        <v>0</v>
      </c>
      <c r="N208" s="824">
        <v>0</v>
      </c>
      <c r="O208" s="824"/>
      <c r="P208" s="824"/>
      <c r="Q208" s="816"/>
      <c r="W208" s="823">
        <f t="shared" si="24"/>
        <v>0</v>
      </c>
      <c r="X208" s="823">
        <f t="shared" si="25"/>
        <v>0</v>
      </c>
      <c r="Y208" s="811">
        <f t="shared" si="26"/>
        <v>0</v>
      </c>
      <c r="Z208" s="811">
        <f t="shared" si="27"/>
        <v>0</v>
      </c>
      <c r="AA208" s="811"/>
      <c r="AB208" s="823">
        <f t="shared" si="28"/>
        <v>0</v>
      </c>
      <c r="AC208" s="823">
        <f t="shared" si="29"/>
        <v>0</v>
      </c>
      <c r="AD208" s="811">
        <f t="shared" si="30"/>
        <v>0</v>
      </c>
      <c r="AE208" s="811">
        <f t="shared" si="31"/>
        <v>0</v>
      </c>
      <c r="AF208" s="811"/>
      <c r="AG208" s="778"/>
      <c r="AH208" s="778"/>
    </row>
    <row r="209" spans="1:32" s="187" customFormat="1" x14ac:dyDescent="0.25">
      <c r="A209" s="890">
        <v>201</v>
      </c>
      <c r="B209" s="187">
        <v>201</v>
      </c>
      <c r="C209" s="779" t="s">
        <v>1279</v>
      </c>
      <c r="D209" s="815" t="s">
        <v>1280</v>
      </c>
      <c r="E209" s="784"/>
      <c r="F209" s="784">
        <v>44604</v>
      </c>
      <c r="G209" s="784">
        <v>1</v>
      </c>
      <c r="H209" s="784">
        <v>0</v>
      </c>
      <c r="I209" s="817">
        <v>0</v>
      </c>
      <c r="J209" s="861">
        <v>1.0239669421487603</v>
      </c>
      <c r="K209" s="816">
        <v>250</v>
      </c>
      <c r="L209" s="820">
        <v>307.19008264462809</v>
      </c>
      <c r="M209" s="821">
        <v>0</v>
      </c>
      <c r="N209" s="824">
        <v>0</v>
      </c>
      <c r="O209" s="824"/>
      <c r="P209" s="824"/>
      <c r="Q209" s="816"/>
      <c r="W209" s="823">
        <f t="shared" si="24"/>
        <v>0</v>
      </c>
      <c r="X209" s="823">
        <f t="shared" si="25"/>
        <v>0</v>
      </c>
      <c r="Y209" s="811">
        <f t="shared" si="26"/>
        <v>0</v>
      </c>
      <c r="Z209" s="811">
        <f t="shared" si="27"/>
        <v>0</v>
      </c>
      <c r="AA209" s="811"/>
      <c r="AB209" s="823">
        <f t="shared" si="28"/>
        <v>0</v>
      </c>
      <c r="AC209" s="823">
        <f t="shared" si="29"/>
        <v>0</v>
      </c>
      <c r="AD209" s="811">
        <f t="shared" si="30"/>
        <v>0</v>
      </c>
      <c r="AE209" s="811">
        <f t="shared" si="31"/>
        <v>0</v>
      </c>
      <c r="AF209" s="811"/>
    </row>
    <row r="210" spans="1:32" s="187" customFormat="1" x14ac:dyDescent="0.25">
      <c r="A210" s="890">
        <v>202</v>
      </c>
      <c r="B210" s="187">
        <v>202</v>
      </c>
      <c r="C210" s="779" t="s">
        <v>1281</v>
      </c>
      <c r="D210" s="815" t="s">
        <v>1282</v>
      </c>
      <c r="E210" s="784"/>
      <c r="F210" s="784">
        <v>27998</v>
      </c>
      <c r="G210" s="784">
        <v>1</v>
      </c>
      <c r="H210" s="784">
        <v>0</v>
      </c>
      <c r="I210" s="817">
        <v>0</v>
      </c>
      <c r="J210" s="861">
        <v>0.6427456382001836</v>
      </c>
      <c r="K210" s="816">
        <v>250</v>
      </c>
      <c r="L210" s="820">
        <v>192.82369146005507</v>
      </c>
      <c r="M210" s="821">
        <v>0</v>
      </c>
      <c r="N210" s="824">
        <v>0</v>
      </c>
      <c r="O210" s="824"/>
      <c r="P210" s="824"/>
      <c r="Q210" s="816"/>
      <c r="W210" s="823">
        <f t="shared" si="24"/>
        <v>0</v>
      </c>
      <c r="X210" s="823">
        <f t="shared" si="25"/>
        <v>0</v>
      </c>
      <c r="Y210" s="811">
        <f t="shared" si="26"/>
        <v>0</v>
      </c>
      <c r="Z210" s="811">
        <f t="shared" si="27"/>
        <v>0</v>
      </c>
      <c r="AA210" s="811"/>
      <c r="AB210" s="823">
        <f t="shared" si="28"/>
        <v>0</v>
      </c>
      <c r="AC210" s="823">
        <f t="shared" si="29"/>
        <v>0</v>
      </c>
      <c r="AD210" s="811">
        <f t="shared" si="30"/>
        <v>0</v>
      </c>
      <c r="AE210" s="811">
        <f t="shared" si="31"/>
        <v>0</v>
      </c>
      <c r="AF210" s="811"/>
    </row>
    <row r="211" spans="1:32" s="187" customFormat="1" x14ac:dyDescent="0.25">
      <c r="A211" s="890">
        <v>203</v>
      </c>
      <c r="B211" s="187">
        <v>203</v>
      </c>
      <c r="C211" s="779" t="s">
        <v>1283</v>
      </c>
      <c r="D211" s="815" t="s">
        <v>1284</v>
      </c>
      <c r="E211" s="784"/>
      <c r="F211" s="784">
        <v>23372</v>
      </c>
      <c r="G211" s="784">
        <v>1</v>
      </c>
      <c r="H211" s="784">
        <v>0</v>
      </c>
      <c r="I211" s="817">
        <v>0</v>
      </c>
      <c r="J211" s="861">
        <v>0.53654729109274568</v>
      </c>
      <c r="K211" s="816">
        <v>250</v>
      </c>
      <c r="L211" s="820">
        <v>160.96418732782371</v>
      </c>
      <c r="M211" s="821">
        <v>0</v>
      </c>
      <c r="N211" s="824">
        <v>0</v>
      </c>
      <c r="O211" s="824"/>
      <c r="P211" s="824"/>
      <c r="Q211" s="816"/>
      <c r="W211" s="823">
        <f t="shared" si="24"/>
        <v>0</v>
      </c>
      <c r="X211" s="823">
        <f t="shared" si="25"/>
        <v>0</v>
      </c>
      <c r="Y211" s="811">
        <f t="shared" si="26"/>
        <v>0</v>
      </c>
      <c r="Z211" s="811">
        <f t="shared" si="27"/>
        <v>0</v>
      </c>
      <c r="AA211" s="811"/>
      <c r="AB211" s="823">
        <f t="shared" si="28"/>
        <v>0</v>
      </c>
      <c r="AC211" s="823">
        <f t="shared" si="29"/>
        <v>0</v>
      </c>
      <c r="AD211" s="811">
        <f t="shared" si="30"/>
        <v>0</v>
      </c>
      <c r="AE211" s="811">
        <f t="shared" si="31"/>
        <v>0</v>
      </c>
      <c r="AF211" s="811"/>
    </row>
    <row r="212" spans="1:32" s="187" customFormat="1" x14ac:dyDescent="0.25">
      <c r="A212" s="890">
        <v>204</v>
      </c>
      <c r="B212" s="187">
        <v>204</v>
      </c>
      <c r="C212" s="779" t="s">
        <v>1285</v>
      </c>
      <c r="D212" s="815" t="s">
        <v>1286</v>
      </c>
      <c r="E212" s="784"/>
      <c r="F212" s="784">
        <v>25750</v>
      </c>
      <c r="G212" s="784">
        <v>1</v>
      </c>
      <c r="H212" s="784">
        <v>0</v>
      </c>
      <c r="I212" s="817">
        <v>0</v>
      </c>
      <c r="J212" s="861">
        <v>0.59113865932047749</v>
      </c>
      <c r="K212" s="816">
        <v>250</v>
      </c>
      <c r="L212" s="820">
        <v>177.34159779614325</v>
      </c>
      <c r="M212" s="821">
        <v>0</v>
      </c>
      <c r="N212" s="824">
        <v>0</v>
      </c>
      <c r="O212" s="824"/>
      <c r="P212" s="824"/>
      <c r="Q212" s="816"/>
      <c r="W212" s="823">
        <f t="shared" si="24"/>
        <v>0</v>
      </c>
      <c r="X212" s="823">
        <f t="shared" si="25"/>
        <v>0</v>
      </c>
      <c r="Y212" s="811">
        <f t="shared" si="26"/>
        <v>0</v>
      </c>
      <c r="Z212" s="811">
        <f t="shared" si="27"/>
        <v>0</v>
      </c>
      <c r="AA212" s="811"/>
      <c r="AB212" s="823">
        <f t="shared" si="28"/>
        <v>0</v>
      </c>
      <c r="AC212" s="823">
        <f t="shared" si="29"/>
        <v>0</v>
      </c>
      <c r="AD212" s="811">
        <f t="shared" si="30"/>
        <v>0</v>
      </c>
      <c r="AE212" s="811">
        <f t="shared" si="31"/>
        <v>0</v>
      </c>
      <c r="AF212" s="811"/>
    </row>
    <row r="213" spans="1:32" s="187" customFormat="1" ht="15.75" thickBot="1" x14ac:dyDescent="0.3">
      <c r="A213" s="890">
        <v>205</v>
      </c>
      <c r="B213" s="187">
        <v>205</v>
      </c>
      <c r="C213" s="779"/>
      <c r="D213" s="815"/>
      <c r="E213" s="784"/>
      <c r="F213" s="784"/>
      <c r="G213" s="784"/>
      <c r="H213" s="865"/>
      <c r="I213" s="829">
        <v>14.663475665748395</v>
      </c>
      <c r="J213" s="866">
        <v>38.252708907254345</v>
      </c>
      <c r="K213" s="866"/>
      <c r="L213" s="833"/>
      <c r="M213" s="833">
        <v>11149.042699724514</v>
      </c>
      <c r="N213" s="833">
        <v>10800</v>
      </c>
      <c r="O213" s="834"/>
      <c r="P213" s="834"/>
      <c r="Q213" s="816"/>
      <c r="W213" s="823">
        <f t="shared" si="24"/>
        <v>0</v>
      </c>
      <c r="X213" s="823">
        <f t="shared" si="25"/>
        <v>0</v>
      </c>
      <c r="Y213" s="811">
        <f t="shared" si="26"/>
        <v>0</v>
      </c>
      <c r="Z213" s="811">
        <f t="shared" si="27"/>
        <v>0</v>
      </c>
      <c r="AA213" s="811"/>
      <c r="AB213" s="823">
        <f t="shared" si="28"/>
        <v>0</v>
      </c>
      <c r="AC213" s="823">
        <f t="shared" si="29"/>
        <v>0</v>
      </c>
      <c r="AD213" s="811">
        <f t="shared" si="30"/>
        <v>0</v>
      </c>
      <c r="AE213" s="811">
        <f t="shared" si="31"/>
        <v>0</v>
      </c>
      <c r="AF213" s="811"/>
    </row>
    <row r="214" spans="1:32" s="187" customFormat="1" ht="15.75" thickTop="1" x14ac:dyDescent="0.25">
      <c r="A214" s="890">
        <v>206</v>
      </c>
      <c r="B214" s="187">
        <v>206</v>
      </c>
      <c r="C214" s="779"/>
      <c r="D214" s="815"/>
      <c r="E214" s="784"/>
      <c r="F214" s="784"/>
      <c r="G214" s="784"/>
      <c r="H214" s="779"/>
      <c r="I214" s="779"/>
      <c r="J214" s="779"/>
      <c r="K214" s="779"/>
      <c r="L214" s="814"/>
      <c r="M214" s="814"/>
      <c r="N214" s="838"/>
      <c r="O214" s="838"/>
      <c r="P214" s="838"/>
      <c r="Q214" s="816"/>
      <c r="W214" s="823">
        <f t="shared" si="24"/>
        <v>0</v>
      </c>
      <c r="X214" s="823">
        <f t="shared" si="25"/>
        <v>0</v>
      </c>
      <c r="Y214" s="811">
        <f t="shared" si="26"/>
        <v>0</v>
      </c>
      <c r="Z214" s="811">
        <f t="shared" si="27"/>
        <v>0</v>
      </c>
      <c r="AA214" s="811"/>
      <c r="AB214" s="823">
        <f t="shared" si="28"/>
        <v>0</v>
      </c>
      <c r="AC214" s="823">
        <f t="shared" si="29"/>
        <v>0</v>
      </c>
      <c r="AD214" s="811">
        <f t="shared" si="30"/>
        <v>0</v>
      </c>
      <c r="AE214" s="811">
        <f t="shared" si="31"/>
        <v>0</v>
      </c>
      <c r="AF214" s="811"/>
    </row>
    <row r="215" spans="1:32" s="187" customFormat="1" x14ac:dyDescent="0.25">
      <c r="A215" s="890">
        <v>207</v>
      </c>
      <c r="B215" s="187">
        <v>207</v>
      </c>
      <c r="C215" s="812" t="s">
        <v>1287</v>
      </c>
      <c r="D215" s="809"/>
      <c r="E215" s="839"/>
      <c r="F215" s="839" t="s">
        <v>854</v>
      </c>
      <c r="G215" s="839"/>
      <c r="H215" s="793"/>
      <c r="I215" s="793"/>
      <c r="J215" s="840" t="s">
        <v>858</v>
      </c>
      <c r="K215" s="839" t="s">
        <v>859</v>
      </c>
      <c r="L215" s="841" t="s">
        <v>900</v>
      </c>
      <c r="M215" s="841" t="s">
        <v>317</v>
      </c>
      <c r="N215" s="838"/>
      <c r="O215" s="838"/>
      <c r="P215" s="838"/>
      <c r="Q215" s="816"/>
      <c r="W215" s="823">
        <f t="shared" si="24"/>
        <v>0</v>
      </c>
      <c r="X215" s="823">
        <f t="shared" si="25"/>
        <v>0</v>
      </c>
      <c r="Y215" s="811">
        <f t="shared" si="26"/>
        <v>0</v>
      </c>
      <c r="Z215" s="811">
        <f t="shared" si="27"/>
        <v>0</v>
      </c>
      <c r="AA215" s="811"/>
      <c r="AB215" s="823">
        <f t="shared" si="28"/>
        <v>0</v>
      </c>
      <c r="AC215" s="823">
        <f t="shared" si="29"/>
        <v>0</v>
      </c>
      <c r="AD215" s="811">
        <f t="shared" si="30"/>
        <v>0</v>
      </c>
      <c r="AE215" s="811">
        <f t="shared" si="31"/>
        <v>0</v>
      </c>
      <c r="AF215" s="811"/>
    </row>
    <row r="216" spans="1:32" s="187" customFormat="1" x14ac:dyDescent="0.25">
      <c r="A216" s="890">
        <v>208</v>
      </c>
      <c r="B216" s="187">
        <v>208</v>
      </c>
      <c r="C216" s="779"/>
      <c r="D216" s="815"/>
      <c r="E216" s="784"/>
      <c r="F216" s="784"/>
      <c r="G216" s="784"/>
      <c r="H216" s="779"/>
      <c r="I216" s="779"/>
      <c r="J216" s="779"/>
      <c r="K216" s="779"/>
      <c r="L216" s="814"/>
      <c r="M216" s="814"/>
      <c r="N216" s="838"/>
      <c r="O216" s="838"/>
      <c r="P216" s="838"/>
      <c r="Q216" s="816"/>
      <c r="W216" s="823">
        <f t="shared" si="24"/>
        <v>0</v>
      </c>
      <c r="X216" s="823">
        <f t="shared" si="25"/>
        <v>0</v>
      </c>
      <c r="Y216" s="811">
        <f t="shared" si="26"/>
        <v>0</v>
      </c>
      <c r="Z216" s="811">
        <f t="shared" si="27"/>
        <v>0</v>
      </c>
      <c r="AA216" s="811"/>
      <c r="AB216" s="823">
        <f t="shared" si="28"/>
        <v>0</v>
      </c>
      <c r="AC216" s="823">
        <f t="shared" si="29"/>
        <v>0</v>
      </c>
      <c r="AD216" s="811">
        <f t="shared" si="30"/>
        <v>0</v>
      </c>
      <c r="AE216" s="811">
        <f t="shared" si="31"/>
        <v>0</v>
      </c>
      <c r="AF216" s="811"/>
    </row>
    <row r="217" spans="1:32" s="187" customFormat="1" x14ac:dyDescent="0.25">
      <c r="A217" s="890">
        <v>209</v>
      </c>
      <c r="B217" s="187">
        <v>209</v>
      </c>
      <c r="C217" s="779" t="s">
        <v>1132</v>
      </c>
      <c r="D217" s="815" t="s">
        <v>1288</v>
      </c>
      <c r="E217" s="784"/>
      <c r="F217" s="784">
        <v>25928</v>
      </c>
      <c r="G217" s="784">
        <v>1</v>
      </c>
      <c r="H217" s="784">
        <v>0</v>
      </c>
      <c r="I217" s="817">
        <v>0</v>
      </c>
      <c r="J217" s="861">
        <v>0.59522497704315891</v>
      </c>
      <c r="K217" s="816">
        <v>250</v>
      </c>
      <c r="L217" s="820">
        <v>178.56749311294766</v>
      </c>
      <c r="M217" s="821">
        <v>0</v>
      </c>
      <c r="N217" s="824">
        <v>0</v>
      </c>
      <c r="O217" s="824"/>
      <c r="P217" s="824"/>
      <c r="Q217" s="816"/>
      <c r="W217" s="823">
        <f t="shared" si="24"/>
        <v>0</v>
      </c>
      <c r="X217" s="823">
        <f t="shared" si="25"/>
        <v>0</v>
      </c>
      <c r="Y217" s="811">
        <f t="shared" si="26"/>
        <v>0</v>
      </c>
      <c r="Z217" s="811">
        <f t="shared" si="27"/>
        <v>0</v>
      </c>
      <c r="AA217" s="811"/>
      <c r="AB217" s="823">
        <f t="shared" si="28"/>
        <v>0</v>
      </c>
      <c r="AC217" s="823">
        <f t="shared" si="29"/>
        <v>0</v>
      </c>
      <c r="AD217" s="811">
        <f t="shared" si="30"/>
        <v>0</v>
      </c>
      <c r="AE217" s="811">
        <f t="shared" si="31"/>
        <v>0</v>
      </c>
      <c r="AF217" s="811"/>
    </row>
    <row r="218" spans="1:32" s="187" customFormat="1" x14ac:dyDescent="0.25">
      <c r="A218" s="890">
        <v>210</v>
      </c>
      <c r="B218" s="187">
        <v>210</v>
      </c>
      <c r="C218" s="779" t="s">
        <v>1134</v>
      </c>
      <c r="D218" s="815" t="s">
        <v>1289</v>
      </c>
      <c r="E218" s="784"/>
      <c r="F218" s="784">
        <v>22437</v>
      </c>
      <c r="G218" s="784">
        <v>1</v>
      </c>
      <c r="H218" s="784">
        <v>0</v>
      </c>
      <c r="I218" s="817">
        <v>0</v>
      </c>
      <c r="J218" s="861">
        <v>0.51508264462809916</v>
      </c>
      <c r="K218" s="816">
        <v>250</v>
      </c>
      <c r="L218" s="820">
        <v>154.52479338842974</v>
      </c>
      <c r="M218" s="821">
        <v>0</v>
      </c>
      <c r="N218" s="824">
        <v>0</v>
      </c>
      <c r="O218" s="824"/>
      <c r="P218" s="824"/>
      <c r="Q218" s="816"/>
      <c r="W218" s="823">
        <f t="shared" si="24"/>
        <v>0</v>
      </c>
      <c r="X218" s="823">
        <f t="shared" si="25"/>
        <v>0</v>
      </c>
      <c r="Y218" s="811">
        <f t="shared" si="26"/>
        <v>0</v>
      </c>
      <c r="Z218" s="811">
        <f t="shared" si="27"/>
        <v>0</v>
      </c>
      <c r="AA218" s="811"/>
      <c r="AB218" s="823">
        <f t="shared" si="28"/>
        <v>0</v>
      </c>
      <c r="AC218" s="823">
        <f t="shared" si="29"/>
        <v>0</v>
      </c>
      <c r="AD218" s="811">
        <f t="shared" si="30"/>
        <v>0</v>
      </c>
      <c r="AE218" s="811">
        <f t="shared" si="31"/>
        <v>0</v>
      </c>
      <c r="AF218" s="811"/>
    </row>
    <row r="219" spans="1:32" s="187" customFormat="1" x14ac:dyDescent="0.25">
      <c r="A219" s="890">
        <v>211</v>
      </c>
      <c r="B219" s="187">
        <v>211</v>
      </c>
      <c r="C219" s="779" t="s">
        <v>1137</v>
      </c>
      <c r="D219" s="815" t="s">
        <v>1290</v>
      </c>
      <c r="E219" s="784"/>
      <c r="F219" s="784">
        <v>22437</v>
      </c>
      <c r="G219" s="784">
        <v>1</v>
      </c>
      <c r="H219" s="784">
        <v>0</v>
      </c>
      <c r="I219" s="817">
        <v>0</v>
      </c>
      <c r="J219" s="861">
        <v>0.51508264462809916</v>
      </c>
      <c r="K219" s="816">
        <v>250</v>
      </c>
      <c r="L219" s="820">
        <v>154.52479338842974</v>
      </c>
      <c r="M219" s="821">
        <v>0</v>
      </c>
      <c r="N219" s="824">
        <v>0</v>
      </c>
      <c r="O219" s="824"/>
      <c r="P219" s="824"/>
      <c r="Q219" s="816"/>
      <c r="W219" s="823">
        <f t="shared" si="24"/>
        <v>0</v>
      </c>
      <c r="X219" s="823">
        <f t="shared" si="25"/>
        <v>0</v>
      </c>
      <c r="Y219" s="811">
        <f t="shared" si="26"/>
        <v>0</v>
      </c>
      <c r="Z219" s="811">
        <f t="shared" si="27"/>
        <v>0</v>
      </c>
      <c r="AA219" s="811"/>
      <c r="AB219" s="823">
        <f t="shared" si="28"/>
        <v>0</v>
      </c>
      <c r="AC219" s="823">
        <f t="shared" si="29"/>
        <v>0</v>
      </c>
      <c r="AD219" s="811">
        <f t="shared" si="30"/>
        <v>0</v>
      </c>
      <c r="AE219" s="811">
        <f t="shared" si="31"/>
        <v>0</v>
      </c>
      <c r="AF219" s="811"/>
    </row>
    <row r="220" spans="1:32" s="187" customFormat="1" x14ac:dyDescent="0.25">
      <c r="A220" s="890">
        <v>212</v>
      </c>
      <c r="B220" s="187">
        <v>212</v>
      </c>
      <c r="C220" s="779" t="s">
        <v>1139</v>
      </c>
      <c r="D220" s="815" t="s">
        <v>1291</v>
      </c>
      <c r="E220" s="784"/>
      <c r="F220" s="784">
        <v>22345</v>
      </c>
      <c r="G220" s="784">
        <v>1</v>
      </c>
      <c r="H220" s="784">
        <v>0</v>
      </c>
      <c r="I220" s="817">
        <v>0</v>
      </c>
      <c r="J220" s="861">
        <v>0.51297061524334253</v>
      </c>
      <c r="K220" s="816">
        <v>250</v>
      </c>
      <c r="L220" s="820">
        <v>153.89118457300276</v>
      </c>
      <c r="M220" s="821">
        <v>0</v>
      </c>
      <c r="N220" s="824">
        <v>0</v>
      </c>
      <c r="O220" s="824"/>
      <c r="P220" s="824"/>
      <c r="Q220" s="816"/>
      <c r="W220" s="823">
        <f t="shared" si="24"/>
        <v>0</v>
      </c>
      <c r="X220" s="823">
        <f t="shared" si="25"/>
        <v>0</v>
      </c>
      <c r="Y220" s="811">
        <f t="shared" si="26"/>
        <v>0</v>
      </c>
      <c r="Z220" s="811">
        <f t="shared" si="27"/>
        <v>0</v>
      </c>
      <c r="AA220" s="811"/>
      <c r="AB220" s="823">
        <f t="shared" si="28"/>
        <v>0</v>
      </c>
      <c r="AC220" s="823">
        <f t="shared" si="29"/>
        <v>0</v>
      </c>
      <c r="AD220" s="811">
        <f t="shared" si="30"/>
        <v>0</v>
      </c>
      <c r="AE220" s="811">
        <f t="shared" si="31"/>
        <v>0</v>
      </c>
      <c r="AF220" s="811"/>
    </row>
    <row r="221" spans="1:32" s="187" customFormat="1" x14ac:dyDescent="0.25">
      <c r="A221" s="890">
        <v>213</v>
      </c>
      <c r="B221" s="187">
        <v>213</v>
      </c>
      <c r="C221" s="779" t="s">
        <v>1141</v>
      </c>
      <c r="D221" s="815" t="s">
        <v>1292</v>
      </c>
      <c r="E221" s="784"/>
      <c r="F221" s="784">
        <v>23798</v>
      </c>
      <c r="G221" s="784">
        <v>1</v>
      </c>
      <c r="H221" s="784">
        <v>0</v>
      </c>
      <c r="I221" s="817">
        <v>0</v>
      </c>
      <c r="J221" s="861">
        <v>0.54632690541781448</v>
      </c>
      <c r="K221" s="816">
        <v>250</v>
      </c>
      <c r="L221" s="820">
        <v>163.89807162534436</v>
      </c>
      <c r="M221" s="821">
        <v>0</v>
      </c>
      <c r="N221" s="824">
        <v>0</v>
      </c>
      <c r="O221" s="824"/>
      <c r="P221" s="824"/>
      <c r="Q221" s="816"/>
      <c r="W221" s="823">
        <f t="shared" si="24"/>
        <v>0</v>
      </c>
      <c r="X221" s="823">
        <f t="shared" si="25"/>
        <v>0</v>
      </c>
      <c r="Y221" s="811">
        <f t="shared" si="26"/>
        <v>0</v>
      </c>
      <c r="Z221" s="811">
        <f t="shared" si="27"/>
        <v>0</v>
      </c>
      <c r="AA221" s="811"/>
      <c r="AB221" s="823">
        <f t="shared" si="28"/>
        <v>0</v>
      </c>
      <c r="AC221" s="823">
        <f t="shared" si="29"/>
        <v>0</v>
      </c>
      <c r="AD221" s="811">
        <f t="shared" si="30"/>
        <v>0</v>
      </c>
      <c r="AE221" s="811">
        <f t="shared" si="31"/>
        <v>0</v>
      </c>
      <c r="AF221" s="811"/>
    </row>
    <row r="222" spans="1:32" s="187" customFormat="1" x14ac:dyDescent="0.25">
      <c r="A222" s="890">
        <v>214</v>
      </c>
      <c r="B222" s="187">
        <v>214</v>
      </c>
      <c r="C222" s="779" t="s">
        <v>1143</v>
      </c>
      <c r="D222" s="815" t="s">
        <v>1293</v>
      </c>
      <c r="E222" s="784"/>
      <c r="F222" s="784">
        <v>23116</v>
      </c>
      <c r="G222" s="784">
        <v>1</v>
      </c>
      <c r="H222" s="784">
        <v>0</v>
      </c>
      <c r="I222" s="817">
        <v>0</v>
      </c>
      <c r="J222" s="861">
        <v>0.53067033976124889</v>
      </c>
      <c r="K222" s="816">
        <v>250</v>
      </c>
      <c r="L222" s="820">
        <v>159.20110192837467</v>
      </c>
      <c r="M222" s="821">
        <v>0</v>
      </c>
      <c r="N222" s="824">
        <v>0</v>
      </c>
      <c r="O222" s="824"/>
      <c r="P222" s="824"/>
      <c r="Q222" s="816"/>
      <c r="W222" s="823">
        <f t="shared" si="24"/>
        <v>0</v>
      </c>
      <c r="X222" s="823">
        <f t="shared" si="25"/>
        <v>0</v>
      </c>
      <c r="Y222" s="811">
        <f t="shared" si="26"/>
        <v>0</v>
      </c>
      <c r="Z222" s="811">
        <f t="shared" si="27"/>
        <v>0</v>
      </c>
      <c r="AA222" s="811"/>
      <c r="AB222" s="823">
        <f t="shared" si="28"/>
        <v>0</v>
      </c>
      <c r="AC222" s="823">
        <f t="shared" si="29"/>
        <v>0</v>
      </c>
      <c r="AD222" s="811">
        <f t="shared" si="30"/>
        <v>0</v>
      </c>
      <c r="AE222" s="811">
        <f t="shared" si="31"/>
        <v>0</v>
      </c>
      <c r="AF222" s="811"/>
    </row>
    <row r="223" spans="1:32" s="187" customFormat="1" x14ac:dyDescent="0.25">
      <c r="A223" s="890">
        <v>215</v>
      </c>
      <c r="B223" s="187">
        <v>215</v>
      </c>
      <c r="C223" s="779" t="s">
        <v>1145</v>
      </c>
      <c r="D223" s="815" t="s">
        <v>1294</v>
      </c>
      <c r="E223" s="784"/>
      <c r="F223" s="784">
        <v>24113</v>
      </c>
      <c r="G223" s="784">
        <v>1</v>
      </c>
      <c r="H223" s="784">
        <v>0</v>
      </c>
      <c r="I223" s="817">
        <v>0</v>
      </c>
      <c r="J223" s="861">
        <v>0.55355831037649217</v>
      </c>
      <c r="K223" s="816">
        <v>250</v>
      </c>
      <c r="L223" s="820">
        <v>166.06749311294766</v>
      </c>
      <c r="M223" s="821">
        <v>0</v>
      </c>
      <c r="N223" s="824">
        <v>0</v>
      </c>
      <c r="O223" s="824"/>
      <c r="P223" s="824"/>
      <c r="Q223" s="816"/>
      <c r="W223" s="823">
        <f t="shared" si="24"/>
        <v>0</v>
      </c>
      <c r="X223" s="823">
        <f t="shared" si="25"/>
        <v>0</v>
      </c>
      <c r="Y223" s="811">
        <f t="shared" si="26"/>
        <v>0</v>
      </c>
      <c r="Z223" s="811">
        <f t="shared" si="27"/>
        <v>0</v>
      </c>
      <c r="AA223" s="811"/>
      <c r="AB223" s="823">
        <f t="shared" si="28"/>
        <v>0</v>
      </c>
      <c r="AC223" s="823">
        <f t="shared" si="29"/>
        <v>0</v>
      </c>
      <c r="AD223" s="811">
        <f t="shared" si="30"/>
        <v>0</v>
      </c>
      <c r="AE223" s="811">
        <f t="shared" si="31"/>
        <v>0</v>
      </c>
      <c r="AF223" s="811"/>
    </row>
    <row r="224" spans="1:32" s="187" customFormat="1" x14ac:dyDescent="0.25">
      <c r="A224" s="890">
        <v>216</v>
      </c>
      <c r="B224" s="187">
        <v>216</v>
      </c>
      <c r="C224" s="779" t="s">
        <v>1148</v>
      </c>
      <c r="D224" s="815" t="s">
        <v>1295</v>
      </c>
      <c r="E224" s="784"/>
      <c r="F224" s="784">
        <v>24293</v>
      </c>
      <c r="G224" s="784">
        <v>1</v>
      </c>
      <c r="H224" s="784">
        <v>0</v>
      </c>
      <c r="I224" s="817">
        <v>0</v>
      </c>
      <c r="J224" s="861">
        <v>0.55769054178145083</v>
      </c>
      <c r="K224" s="816">
        <v>250</v>
      </c>
      <c r="L224" s="820">
        <v>167.30716253443524</v>
      </c>
      <c r="M224" s="821">
        <v>0</v>
      </c>
      <c r="N224" s="824">
        <v>0</v>
      </c>
      <c r="O224" s="824"/>
      <c r="P224" s="824"/>
      <c r="Q224" s="816"/>
      <c r="W224" s="823">
        <f t="shared" si="24"/>
        <v>0</v>
      </c>
      <c r="X224" s="823">
        <f t="shared" si="25"/>
        <v>0</v>
      </c>
      <c r="Y224" s="811">
        <f t="shared" si="26"/>
        <v>0</v>
      </c>
      <c r="Z224" s="811">
        <f t="shared" si="27"/>
        <v>0</v>
      </c>
      <c r="AA224" s="811"/>
      <c r="AB224" s="823">
        <f t="shared" si="28"/>
        <v>0</v>
      </c>
      <c r="AC224" s="823">
        <f t="shared" si="29"/>
        <v>0</v>
      </c>
      <c r="AD224" s="811">
        <f t="shared" si="30"/>
        <v>0</v>
      </c>
      <c r="AE224" s="811">
        <f t="shared" si="31"/>
        <v>0</v>
      </c>
      <c r="AF224" s="811"/>
    </row>
    <row r="225" spans="1:34" s="187" customFormat="1" x14ac:dyDescent="0.25">
      <c r="A225" s="890">
        <v>217</v>
      </c>
      <c r="B225" s="187">
        <v>217</v>
      </c>
      <c r="C225" s="779" t="s">
        <v>1150</v>
      </c>
      <c r="D225" s="815" t="s">
        <v>1296</v>
      </c>
      <c r="E225" s="784" t="s">
        <v>1297</v>
      </c>
      <c r="F225" s="784">
        <v>22370</v>
      </c>
      <c r="G225" s="784">
        <v>1</v>
      </c>
      <c r="H225" s="784">
        <v>0</v>
      </c>
      <c r="I225" s="817">
        <v>0</v>
      </c>
      <c r="J225" s="861">
        <v>0.51354453627180896</v>
      </c>
      <c r="K225" s="816">
        <v>250</v>
      </c>
      <c r="L225" s="820">
        <v>154.06336088154268</v>
      </c>
      <c r="M225" s="821">
        <v>0</v>
      </c>
      <c r="N225" s="824">
        <v>0</v>
      </c>
      <c r="O225" s="824"/>
      <c r="P225" s="824"/>
      <c r="Q225" s="816"/>
      <c r="W225" s="823">
        <f t="shared" si="24"/>
        <v>0</v>
      </c>
      <c r="X225" s="823">
        <f t="shared" si="25"/>
        <v>0</v>
      </c>
      <c r="Y225" s="811">
        <f t="shared" si="26"/>
        <v>0</v>
      </c>
      <c r="Z225" s="811">
        <f t="shared" si="27"/>
        <v>0</v>
      </c>
      <c r="AA225" s="811"/>
      <c r="AB225" s="823">
        <f t="shared" si="28"/>
        <v>0</v>
      </c>
      <c r="AC225" s="823">
        <f t="shared" si="29"/>
        <v>0</v>
      </c>
      <c r="AD225" s="811">
        <f t="shared" si="30"/>
        <v>0</v>
      </c>
      <c r="AE225" s="811">
        <f t="shared" si="31"/>
        <v>0</v>
      </c>
      <c r="AF225" s="811"/>
      <c r="AG225" s="778"/>
      <c r="AH225" s="778"/>
    </row>
    <row r="226" spans="1:34" s="187" customFormat="1" x14ac:dyDescent="0.25">
      <c r="A226" s="890">
        <v>218</v>
      </c>
      <c r="B226" s="187">
        <v>218</v>
      </c>
      <c r="C226" s="779" t="s">
        <v>1152</v>
      </c>
      <c r="D226" s="815" t="s">
        <v>1298</v>
      </c>
      <c r="E226" s="784"/>
      <c r="F226" s="784">
        <v>22729</v>
      </c>
      <c r="G226" s="784">
        <v>1</v>
      </c>
      <c r="H226" s="784">
        <v>0</v>
      </c>
      <c r="I226" s="817">
        <v>0</v>
      </c>
      <c r="J226" s="861">
        <v>0.52178604224058767</v>
      </c>
      <c r="K226" s="816">
        <v>250</v>
      </c>
      <c r="L226" s="820">
        <v>156.53581267217629</v>
      </c>
      <c r="M226" s="821">
        <v>0</v>
      </c>
      <c r="N226" s="824">
        <v>0</v>
      </c>
      <c r="O226" s="824"/>
      <c r="P226" s="824"/>
      <c r="Q226" s="816"/>
      <c r="W226" s="823">
        <f t="shared" si="24"/>
        <v>0</v>
      </c>
      <c r="X226" s="823">
        <f t="shared" si="25"/>
        <v>0</v>
      </c>
      <c r="Y226" s="811">
        <f t="shared" si="26"/>
        <v>0</v>
      </c>
      <c r="Z226" s="811">
        <f t="shared" si="27"/>
        <v>0</v>
      </c>
      <c r="AA226" s="811"/>
      <c r="AB226" s="823">
        <f t="shared" si="28"/>
        <v>0</v>
      </c>
      <c r="AC226" s="823">
        <f t="shared" si="29"/>
        <v>0</v>
      </c>
      <c r="AD226" s="811">
        <f t="shared" si="30"/>
        <v>0</v>
      </c>
      <c r="AE226" s="811">
        <f t="shared" si="31"/>
        <v>0</v>
      </c>
      <c r="AF226" s="811"/>
      <c r="AG226" s="778"/>
      <c r="AH226" s="778"/>
    </row>
    <row r="227" spans="1:34" s="187" customFormat="1" x14ac:dyDescent="0.25">
      <c r="A227" s="890">
        <v>219</v>
      </c>
      <c r="B227" s="187">
        <v>219</v>
      </c>
      <c r="C227" s="779" t="s">
        <v>1154</v>
      </c>
      <c r="D227" s="815" t="s">
        <v>1299</v>
      </c>
      <c r="E227" s="784"/>
      <c r="F227" s="784">
        <v>23299</v>
      </c>
      <c r="G227" s="784">
        <v>1</v>
      </c>
      <c r="H227" s="784">
        <v>0</v>
      </c>
      <c r="I227" s="817">
        <v>0</v>
      </c>
      <c r="J227" s="861">
        <v>0.53487144168962353</v>
      </c>
      <c r="K227" s="816">
        <v>250</v>
      </c>
      <c r="L227" s="820">
        <v>160.46143250688706</v>
      </c>
      <c r="M227" s="821">
        <v>0</v>
      </c>
      <c r="N227" s="824">
        <v>0</v>
      </c>
      <c r="O227" s="824"/>
      <c r="P227" s="824"/>
      <c r="Q227" s="816"/>
      <c r="W227" s="823">
        <f t="shared" si="24"/>
        <v>0</v>
      </c>
      <c r="X227" s="823">
        <f t="shared" si="25"/>
        <v>0</v>
      </c>
      <c r="Y227" s="811">
        <f t="shared" si="26"/>
        <v>0</v>
      </c>
      <c r="Z227" s="811">
        <f t="shared" si="27"/>
        <v>0</v>
      </c>
      <c r="AA227" s="811"/>
      <c r="AB227" s="823">
        <f t="shared" si="28"/>
        <v>0</v>
      </c>
      <c r="AC227" s="823">
        <f t="shared" si="29"/>
        <v>0</v>
      </c>
      <c r="AD227" s="811">
        <f t="shared" si="30"/>
        <v>0</v>
      </c>
      <c r="AE227" s="811">
        <f t="shared" si="31"/>
        <v>0</v>
      </c>
      <c r="AF227" s="811"/>
      <c r="AG227" s="778"/>
      <c r="AH227" s="778"/>
    </row>
    <row r="228" spans="1:34" s="187" customFormat="1" x14ac:dyDescent="0.25">
      <c r="A228" s="890">
        <v>220</v>
      </c>
      <c r="B228" s="187">
        <v>220</v>
      </c>
      <c r="C228" s="779" t="s">
        <v>1156</v>
      </c>
      <c r="D228" s="815" t="s">
        <v>1300</v>
      </c>
      <c r="E228" s="784"/>
      <c r="F228" s="784">
        <v>23646</v>
      </c>
      <c r="G228" s="784">
        <v>1</v>
      </c>
      <c r="H228" s="784">
        <v>0</v>
      </c>
      <c r="I228" s="817">
        <v>0</v>
      </c>
      <c r="J228" s="861">
        <v>0.54283746556473833</v>
      </c>
      <c r="K228" s="816">
        <v>250</v>
      </c>
      <c r="L228" s="820">
        <v>162.85123966942149</v>
      </c>
      <c r="M228" s="821">
        <v>0</v>
      </c>
      <c r="N228" s="824">
        <v>0</v>
      </c>
      <c r="O228" s="824"/>
      <c r="P228" s="824"/>
      <c r="Q228" s="816"/>
      <c r="W228" s="823">
        <f t="shared" si="24"/>
        <v>0</v>
      </c>
      <c r="X228" s="823">
        <f t="shared" si="25"/>
        <v>0</v>
      </c>
      <c r="Y228" s="811">
        <f t="shared" si="26"/>
        <v>0</v>
      </c>
      <c r="Z228" s="811">
        <f t="shared" si="27"/>
        <v>0</v>
      </c>
      <c r="AA228" s="811"/>
      <c r="AB228" s="823">
        <f t="shared" si="28"/>
        <v>0</v>
      </c>
      <c r="AC228" s="823">
        <f t="shared" si="29"/>
        <v>0</v>
      </c>
      <c r="AD228" s="811">
        <f t="shared" si="30"/>
        <v>0</v>
      </c>
      <c r="AE228" s="811">
        <f t="shared" si="31"/>
        <v>0</v>
      </c>
      <c r="AF228" s="811"/>
      <c r="AG228" s="778"/>
      <c r="AH228" s="778"/>
    </row>
    <row r="229" spans="1:34" s="187" customFormat="1" x14ac:dyDescent="0.25">
      <c r="A229" s="890">
        <v>221</v>
      </c>
      <c r="B229" s="187">
        <v>221</v>
      </c>
      <c r="C229" s="779" t="s">
        <v>1158</v>
      </c>
      <c r="D229" s="815" t="s">
        <v>1301</v>
      </c>
      <c r="E229" s="784"/>
      <c r="F229" s="784">
        <v>23796</v>
      </c>
      <c r="G229" s="784">
        <v>1</v>
      </c>
      <c r="H229" s="784">
        <v>0</v>
      </c>
      <c r="I229" s="817">
        <v>0</v>
      </c>
      <c r="J229" s="861">
        <v>0.54628099173553724</v>
      </c>
      <c r="K229" s="816">
        <v>250</v>
      </c>
      <c r="L229" s="820">
        <v>163.88429752066116</v>
      </c>
      <c r="M229" s="821">
        <v>0</v>
      </c>
      <c r="N229" s="824">
        <v>0</v>
      </c>
      <c r="O229" s="824"/>
      <c r="P229" s="824"/>
      <c r="Q229" s="816"/>
      <c r="R229" s="779"/>
      <c r="S229" s="779"/>
      <c r="W229" s="823">
        <f t="shared" si="24"/>
        <v>0</v>
      </c>
      <c r="X229" s="823">
        <f t="shared" si="25"/>
        <v>0</v>
      </c>
      <c r="Y229" s="811">
        <f t="shared" si="26"/>
        <v>0</v>
      </c>
      <c r="Z229" s="811">
        <f t="shared" si="27"/>
        <v>0</v>
      </c>
      <c r="AA229" s="811"/>
      <c r="AB229" s="823">
        <f t="shared" si="28"/>
        <v>0</v>
      </c>
      <c r="AC229" s="823">
        <f t="shared" si="29"/>
        <v>0</v>
      </c>
      <c r="AD229" s="811">
        <f t="shared" si="30"/>
        <v>0</v>
      </c>
      <c r="AE229" s="811">
        <f t="shared" si="31"/>
        <v>0</v>
      </c>
      <c r="AF229" s="811"/>
      <c r="AG229" s="778"/>
      <c r="AH229" s="778"/>
    </row>
    <row r="230" spans="1:34" s="187" customFormat="1" x14ac:dyDescent="0.25">
      <c r="A230" s="890">
        <v>222</v>
      </c>
      <c r="B230" s="187">
        <v>222</v>
      </c>
      <c r="C230" s="779" t="s">
        <v>1160</v>
      </c>
      <c r="D230" s="815" t="s">
        <v>1302</v>
      </c>
      <c r="E230" s="784"/>
      <c r="F230" s="784">
        <v>23756</v>
      </c>
      <c r="G230" s="784">
        <v>1</v>
      </c>
      <c r="H230" s="784">
        <v>0</v>
      </c>
      <c r="I230" s="817">
        <v>0</v>
      </c>
      <c r="J230" s="861">
        <v>0.54536271808999082</v>
      </c>
      <c r="K230" s="816">
        <v>250</v>
      </c>
      <c r="L230" s="820">
        <v>163.60881542699724</v>
      </c>
      <c r="M230" s="821">
        <v>0</v>
      </c>
      <c r="N230" s="824">
        <v>0</v>
      </c>
      <c r="O230" s="824"/>
      <c r="P230" s="824"/>
      <c r="Q230" s="816"/>
      <c r="R230" s="779"/>
      <c r="S230" s="779"/>
      <c r="W230" s="823">
        <f t="shared" si="24"/>
        <v>0</v>
      </c>
      <c r="X230" s="823">
        <f t="shared" si="25"/>
        <v>0</v>
      </c>
      <c r="Y230" s="811">
        <f t="shared" si="26"/>
        <v>0</v>
      </c>
      <c r="Z230" s="811">
        <f t="shared" si="27"/>
        <v>0</v>
      </c>
      <c r="AA230" s="811"/>
      <c r="AB230" s="823">
        <f t="shared" si="28"/>
        <v>0</v>
      </c>
      <c r="AC230" s="823">
        <f t="shared" si="29"/>
        <v>0</v>
      </c>
      <c r="AD230" s="811">
        <f t="shared" si="30"/>
        <v>0</v>
      </c>
      <c r="AE230" s="811">
        <f t="shared" si="31"/>
        <v>0</v>
      </c>
      <c r="AF230" s="811"/>
      <c r="AG230" s="778"/>
      <c r="AH230" s="778"/>
    </row>
    <row r="231" spans="1:34" s="187" customFormat="1" x14ac:dyDescent="0.25">
      <c r="A231" s="890">
        <v>223</v>
      </c>
      <c r="B231" s="187">
        <v>223</v>
      </c>
      <c r="C231" s="779" t="s">
        <v>1162</v>
      </c>
      <c r="D231" s="815" t="s">
        <v>1303</v>
      </c>
      <c r="E231" s="784"/>
      <c r="F231" s="784">
        <v>24110</v>
      </c>
      <c r="G231" s="784">
        <v>1</v>
      </c>
      <c r="H231" s="784">
        <v>0</v>
      </c>
      <c r="I231" s="817">
        <v>0</v>
      </c>
      <c r="J231" s="861">
        <v>0.55348943985307619</v>
      </c>
      <c r="K231" s="816">
        <v>250</v>
      </c>
      <c r="L231" s="820">
        <v>166.04683195592287</v>
      </c>
      <c r="M231" s="821">
        <v>0</v>
      </c>
      <c r="N231" s="824">
        <v>0</v>
      </c>
      <c r="O231" s="824"/>
      <c r="P231" s="824"/>
      <c r="Q231" s="816"/>
      <c r="R231" s="779"/>
      <c r="S231" s="779"/>
      <c r="W231" s="823">
        <f t="shared" si="24"/>
        <v>0</v>
      </c>
      <c r="X231" s="823">
        <f t="shared" si="25"/>
        <v>0</v>
      </c>
      <c r="Y231" s="811">
        <f t="shared" si="26"/>
        <v>0</v>
      </c>
      <c r="Z231" s="811">
        <f t="shared" si="27"/>
        <v>0</v>
      </c>
      <c r="AA231" s="811"/>
      <c r="AB231" s="823">
        <f t="shared" si="28"/>
        <v>0</v>
      </c>
      <c r="AC231" s="823">
        <f t="shared" si="29"/>
        <v>0</v>
      </c>
      <c r="AD231" s="811">
        <f t="shared" si="30"/>
        <v>0</v>
      </c>
      <c r="AE231" s="811">
        <f t="shared" si="31"/>
        <v>0</v>
      </c>
      <c r="AF231" s="811"/>
      <c r="AG231" s="778"/>
      <c r="AH231" s="778"/>
    </row>
    <row r="232" spans="1:34" s="187" customFormat="1" x14ac:dyDescent="0.25">
      <c r="A232" s="890">
        <v>224</v>
      </c>
      <c r="B232" s="187">
        <v>224</v>
      </c>
      <c r="C232" s="779" t="s">
        <v>1165</v>
      </c>
      <c r="D232" s="815" t="s">
        <v>1304</v>
      </c>
      <c r="E232" s="784" t="s">
        <v>1305</v>
      </c>
      <c r="F232" s="784">
        <v>22925</v>
      </c>
      <c r="G232" s="784">
        <v>1</v>
      </c>
      <c r="H232" s="784">
        <v>1</v>
      </c>
      <c r="I232" s="817">
        <v>0.52628558310376494</v>
      </c>
      <c r="J232" s="861">
        <v>0.52628558310376494</v>
      </c>
      <c r="K232" s="816">
        <v>250</v>
      </c>
      <c r="L232" s="820">
        <v>157.88567493112947</v>
      </c>
      <c r="M232" s="821">
        <v>407.88567493112947</v>
      </c>
      <c r="N232" s="822">
        <v>400</v>
      </c>
      <c r="O232" s="822"/>
      <c r="P232" s="822"/>
      <c r="Q232" s="816">
        <v>400</v>
      </c>
      <c r="R232" s="779"/>
      <c r="S232" s="779"/>
      <c r="W232" s="823">
        <f t="shared" si="24"/>
        <v>215</v>
      </c>
      <c r="X232" s="823">
        <f t="shared" si="25"/>
        <v>147.35996326905419</v>
      </c>
      <c r="Y232" s="811">
        <f t="shared" si="26"/>
        <v>362.35996326905422</v>
      </c>
      <c r="Z232" s="811">
        <f t="shared" si="27"/>
        <v>-37.640036730945781</v>
      </c>
      <c r="AA232" s="811"/>
      <c r="AB232" s="823">
        <f t="shared" si="28"/>
        <v>170</v>
      </c>
      <c r="AC232" s="823">
        <f t="shared" si="29"/>
        <v>131.57139577594123</v>
      </c>
      <c r="AD232" s="811">
        <f t="shared" si="30"/>
        <v>301.57139577594126</v>
      </c>
      <c r="AE232" s="811">
        <f t="shared" si="31"/>
        <v>-98.428604224058745</v>
      </c>
      <c r="AF232" s="811"/>
      <c r="AG232" s="778"/>
      <c r="AH232" s="778">
        <v>1</v>
      </c>
    </row>
    <row r="233" spans="1:34" s="187" customFormat="1" x14ac:dyDescent="0.25">
      <c r="A233" s="890">
        <v>225</v>
      </c>
      <c r="B233" s="187">
        <v>225</v>
      </c>
      <c r="C233" s="779" t="s">
        <v>1168</v>
      </c>
      <c r="D233" s="815" t="s">
        <v>1306</v>
      </c>
      <c r="E233" s="784" t="s">
        <v>1307</v>
      </c>
      <c r="F233" s="784">
        <v>29592</v>
      </c>
      <c r="G233" s="784">
        <v>1</v>
      </c>
      <c r="H233" s="784">
        <v>1</v>
      </c>
      <c r="I233" s="817">
        <v>0.67933884297520664</v>
      </c>
      <c r="J233" s="861">
        <v>0.67933884297520664</v>
      </c>
      <c r="K233" s="816">
        <v>250</v>
      </c>
      <c r="L233" s="820">
        <v>203.801652892562</v>
      </c>
      <c r="M233" s="821">
        <v>453.801652892562</v>
      </c>
      <c r="N233" s="822">
        <v>400</v>
      </c>
      <c r="O233" s="822"/>
      <c r="P233" s="822"/>
      <c r="Q233" s="816">
        <v>200</v>
      </c>
      <c r="R233" s="779"/>
      <c r="S233" s="779"/>
      <c r="W233" s="823">
        <f t="shared" si="24"/>
        <v>215</v>
      </c>
      <c r="X233" s="823">
        <f t="shared" si="25"/>
        <v>190.21487603305786</v>
      </c>
      <c r="Y233" s="811">
        <f t="shared" si="26"/>
        <v>405.21487603305786</v>
      </c>
      <c r="Z233" s="811">
        <f t="shared" si="27"/>
        <v>5.2148760330578625</v>
      </c>
      <c r="AA233" s="811"/>
      <c r="AB233" s="823">
        <f t="shared" si="28"/>
        <v>170</v>
      </c>
      <c r="AC233" s="823">
        <f t="shared" si="29"/>
        <v>169.83471074380165</v>
      </c>
      <c r="AD233" s="811">
        <f t="shared" si="30"/>
        <v>339.83471074380168</v>
      </c>
      <c r="AE233" s="811">
        <f t="shared" si="31"/>
        <v>-60.165289256198321</v>
      </c>
      <c r="AF233" s="811"/>
      <c r="AG233" s="778"/>
      <c r="AH233" s="778">
        <v>1</v>
      </c>
    </row>
    <row r="234" spans="1:34" s="187" customFormat="1" x14ac:dyDescent="0.25">
      <c r="A234" s="890">
        <v>226</v>
      </c>
      <c r="B234" s="187">
        <v>226</v>
      </c>
      <c r="C234" s="779" t="s">
        <v>1170</v>
      </c>
      <c r="D234" s="815" t="s">
        <v>1308</v>
      </c>
      <c r="E234" s="784" t="s">
        <v>1309</v>
      </c>
      <c r="F234" s="784">
        <v>24067</v>
      </c>
      <c r="G234" s="784">
        <v>1</v>
      </c>
      <c r="H234" s="784">
        <v>1</v>
      </c>
      <c r="I234" s="817">
        <v>0.55250229568411391</v>
      </c>
      <c r="J234" s="861">
        <v>0.55250229568411391</v>
      </c>
      <c r="K234" s="816">
        <v>250</v>
      </c>
      <c r="L234" s="820">
        <v>165.75068870523418</v>
      </c>
      <c r="M234" s="821">
        <v>415.75068870523421</v>
      </c>
      <c r="N234" s="822">
        <v>400</v>
      </c>
      <c r="O234" s="822"/>
      <c r="P234" s="822"/>
      <c r="Q234" s="816">
        <v>200</v>
      </c>
      <c r="R234" s="779"/>
      <c r="S234" s="779"/>
      <c r="W234" s="823">
        <f t="shared" si="24"/>
        <v>215</v>
      </c>
      <c r="X234" s="823">
        <f t="shared" si="25"/>
        <v>154.7006427915519</v>
      </c>
      <c r="Y234" s="811">
        <f t="shared" si="26"/>
        <v>369.7006427915519</v>
      </c>
      <c r="Z234" s="811">
        <f t="shared" si="27"/>
        <v>-30.2993572084481</v>
      </c>
      <c r="AA234" s="811"/>
      <c r="AB234" s="823">
        <f t="shared" si="28"/>
        <v>170</v>
      </c>
      <c r="AC234" s="823">
        <f t="shared" si="29"/>
        <v>138.12557392102849</v>
      </c>
      <c r="AD234" s="811">
        <f t="shared" si="30"/>
        <v>308.12557392102849</v>
      </c>
      <c r="AE234" s="811">
        <f t="shared" si="31"/>
        <v>-91.87442607897151</v>
      </c>
      <c r="AF234" s="811"/>
      <c r="AG234" s="778"/>
      <c r="AH234" s="778">
        <v>1</v>
      </c>
    </row>
    <row r="235" spans="1:34" s="187" customFormat="1" x14ac:dyDescent="0.25">
      <c r="A235" s="890">
        <v>227</v>
      </c>
      <c r="B235" s="187">
        <v>227</v>
      </c>
      <c r="C235" s="779" t="s">
        <v>1172</v>
      </c>
      <c r="D235" s="815" t="s">
        <v>1310</v>
      </c>
      <c r="E235" s="784" t="s">
        <v>1311</v>
      </c>
      <c r="F235" s="784">
        <v>22706</v>
      </c>
      <c r="G235" s="784">
        <v>1</v>
      </c>
      <c r="H235" s="784">
        <v>0</v>
      </c>
      <c r="I235" s="817">
        <v>0</v>
      </c>
      <c r="J235" s="861">
        <v>0.52125803489439848</v>
      </c>
      <c r="K235" s="816">
        <v>250</v>
      </c>
      <c r="L235" s="820">
        <v>156.37741046831954</v>
      </c>
      <c r="M235" s="821">
        <v>0</v>
      </c>
      <c r="N235" s="824">
        <v>0</v>
      </c>
      <c r="O235" s="824"/>
      <c r="P235" s="824"/>
      <c r="Q235" s="816"/>
      <c r="R235" s="779"/>
      <c r="S235" s="779"/>
      <c r="W235" s="823">
        <f t="shared" si="24"/>
        <v>0</v>
      </c>
      <c r="X235" s="823">
        <f t="shared" si="25"/>
        <v>0</v>
      </c>
      <c r="Y235" s="811">
        <f t="shared" si="26"/>
        <v>0</v>
      </c>
      <c r="Z235" s="811">
        <f t="shared" si="27"/>
        <v>0</v>
      </c>
      <c r="AA235" s="811"/>
      <c r="AB235" s="823">
        <f t="shared" si="28"/>
        <v>0</v>
      </c>
      <c r="AC235" s="823">
        <f t="shared" si="29"/>
        <v>0</v>
      </c>
      <c r="AD235" s="811">
        <f t="shared" si="30"/>
        <v>0</v>
      </c>
      <c r="AE235" s="811">
        <f t="shared" si="31"/>
        <v>0</v>
      </c>
      <c r="AF235" s="811"/>
      <c r="AG235" s="778"/>
      <c r="AH235" s="778"/>
    </row>
    <row r="236" spans="1:34" s="187" customFormat="1" x14ac:dyDescent="0.25">
      <c r="A236" s="890">
        <v>228</v>
      </c>
      <c r="B236" s="187">
        <v>228</v>
      </c>
      <c r="C236" s="779" t="s">
        <v>1175</v>
      </c>
      <c r="D236" s="815" t="s">
        <v>1312</v>
      </c>
      <c r="E236" s="784" t="s">
        <v>1313</v>
      </c>
      <c r="F236" s="784">
        <v>29431</v>
      </c>
      <c r="G236" s="784">
        <v>1</v>
      </c>
      <c r="H236" s="784">
        <v>0</v>
      </c>
      <c r="I236" s="817">
        <v>0</v>
      </c>
      <c r="J236" s="861">
        <v>0.67564279155188245</v>
      </c>
      <c r="K236" s="816">
        <v>250</v>
      </c>
      <c r="L236" s="820">
        <v>202.69283746556474</v>
      </c>
      <c r="M236" s="821">
        <v>0</v>
      </c>
      <c r="N236" s="824">
        <v>0</v>
      </c>
      <c r="O236" s="824"/>
      <c r="P236" s="824"/>
      <c r="Q236" s="816"/>
      <c r="R236" s="779"/>
      <c r="S236" s="779"/>
      <c r="W236" s="823">
        <f t="shared" si="24"/>
        <v>0</v>
      </c>
      <c r="X236" s="823">
        <f t="shared" si="25"/>
        <v>0</v>
      </c>
      <c r="Y236" s="811">
        <f t="shared" si="26"/>
        <v>0</v>
      </c>
      <c r="Z236" s="811">
        <f t="shared" si="27"/>
        <v>0</v>
      </c>
      <c r="AA236" s="811"/>
      <c r="AB236" s="823">
        <f t="shared" si="28"/>
        <v>0</v>
      </c>
      <c r="AC236" s="823">
        <f t="shared" si="29"/>
        <v>0</v>
      </c>
      <c r="AD236" s="811">
        <f t="shared" si="30"/>
        <v>0</v>
      </c>
      <c r="AE236" s="811">
        <f t="shared" si="31"/>
        <v>0</v>
      </c>
      <c r="AF236" s="811"/>
      <c r="AG236" s="778"/>
      <c r="AH236" s="778"/>
    </row>
    <row r="237" spans="1:34" s="187" customFormat="1" x14ac:dyDescent="0.25">
      <c r="A237" s="890">
        <v>229</v>
      </c>
      <c r="B237" s="187">
        <v>229</v>
      </c>
      <c r="C237" s="779" t="s">
        <v>1178</v>
      </c>
      <c r="D237" s="815" t="s">
        <v>1314</v>
      </c>
      <c r="E237" s="784"/>
      <c r="F237" s="784">
        <v>27106</v>
      </c>
      <c r="G237" s="784">
        <v>1</v>
      </c>
      <c r="H237" s="784">
        <v>0</v>
      </c>
      <c r="I237" s="817">
        <v>0</v>
      </c>
      <c r="J237" s="861">
        <v>0.62226813590449959</v>
      </c>
      <c r="K237" s="816">
        <v>250</v>
      </c>
      <c r="L237" s="820">
        <v>186.68044077134988</v>
      </c>
      <c r="M237" s="821">
        <v>0</v>
      </c>
      <c r="N237" s="824">
        <v>0</v>
      </c>
      <c r="O237" s="824"/>
      <c r="P237" s="824"/>
      <c r="Q237" s="816"/>
      <c r="R237" s="779"/>
      <c r="S237" s="779"/>
      <c r="W237" s="823">
        <f t="shared" si="24"/>
        <v>0</v>
      </c>
      <c r="X237" s="823">
        <f t="shared" si="25"/>
        <v>0</v>
      </c>
      <c r="Y237" s="811">
        <f t="shared" si="26"/>
        <v>0</v>
      </c>
      <c r="Z237" s="811">
        <f t="shared" si="27"/>
        <v>0</v>
      </c>
      <c r="AA237" s="811"/>
      <c r="AB237" s="823">
        <f t="shared" si="28"/>
        <v>0</v>
      </c>
      <c r="AC237" s="823">
        <f t="shared" si="29"/>
        <v>0</v>
      </c>
      <c r="AD237" s="811">
        <f t="shared" si="30"/>
        <v>0</v>
      </c>
      <c r="AE237" s="811">
        <f t="shared" si="31"/>
        <v>0</v>
      </c>
      <c r="AF237" s="811"/>
      <c r="AG237" s="778"/>
      <c r="AH237" s="778"/>
    </row>
    <row r="238" spans="1:34" s="187" customFormat="1" x14ac:dyDescent="0.25">
      <c r="A238" s="890">
        <v>230</v>
      </c>
      <c r="B238" s="187">
        <v>230</v>
      </c>
      <c r="C238" s="779" t="s">
        <v>1180</v>
      </c>
      <c r="D238" s="815" t="s">
        <v>1315</v>
      </c>
      <c r="E238" s="784" t="s">
        <v>1316</v>
      </c>
      <c r="F238" s="784">
        <v>21649</v>
      </c>
      <c r="G238" s="784">
        <v>1</v>
      </c>
      <c r="H238" s="784">
        <v>1</v>
      </c>
      <c r="I238" s="817">
        <v>0.49699265381083563</v>
      </c>
      <c r="J238" s="861">
        <v>0.49699265381083563</v>
      </c>
      <c r="K238" s="816">
        <v>250</v>
      </c>
      <c r="L238" s="820">
        <v>149.09779614325069</v>
      </c>
      <c r="M238" s="821">
        <v>399.09779614325066</v>
      </c>
      <c r="N238" s="822">
        <v>400</v>
      </c>
      <c r="O238" s="822"/>
      <c r="P238" s="822"/>
      <c r="Q238" s="816">
        <v>200</v>
      </c>
      <c r="R238" s="779"/>
      <c r="S238" s="779"/>
      <c r="W238" s="823">
        <f t="shared" si="24"/>
        <v>215</v>
      </c>
      <c r="X238" s="823">
        <f t="shared" si="25"/>
        <v>139.15794306703398</v>
      </c>
      <c r="Y238" s="811">
        <f t="shared" si="26"/>
        <v>354.15794306703401</v>
      </c>
      <c r="Z238" s="811">
        <f t="shared" si="27"/>
        <v>-45.842056932965988</v>
      </c>
      <c r="AA238" s="811"/>
      <c r="AB238" s="823">
        <f t="shared" si="28"/>
        <v>170</v>
      </c>
      <c r="AC238" s="823">
        <f t="shared" si="29"/>
        <v>124.24816345270891</v>
      </c>
      <c r="AD238" s="811">
        <f t="shared" si="30"/>
        <v>294.24816345270892</v>
      </c>
      <c r="AE238" s="811">
        <f t="shared" si="31"/>
        <v>-105.75183654729108</v>
      </c>
      <c r="AF238" s="811"/>
      <c r="AG238" s="778">
        <v>1</v>
      </c>
      <c r="AH238" s="778"/>
    </row>
    <row r="239" spans="1:34" s="187" customFormat="1" x14ac:dyDescent="0.25">
      <c r="A239" s="890">
        <v>231</v>
      </c>
      <c r="B239" s="187">
        <v>231</v>
      </c>
      <c r="C239" s="779" t="s">
        <v>1317</v>
      </c>
      <c r="D239" s="815" t="s">
        <v>1318</v>
      </c>
      <c r="E239" s="784" t="s">
        <v>1319</v>
      </c>
      <c r="F239" s="784">
        <v>23735</v>
      </c>
      <c r="G239" s="784">
        <v>1</v>
      </c>
      <c r="H239" s="784">
        <v>1</v>
      </c>
      <c r="I239" s="817">
        <v>0.54488062442607899</v>
      </c>
      <c r="J239" s="861">
        <v>0.54488062442607899</v>
      </c>
      <c r="K239" s="816">
        <v>250</v>
      </c>
      <c r="L239" s="820">
        <v>163.46418732782371</v>
      </c>
      <c r="M239" s="821">
        <v>413.46418732782371</v>
      </c>
      <c r="N239" s="822">
        <v>400</v>
      </c>
      <c r="O239" s="822"/>
      <c r="P239" s="822"/>
      <c r="Q239" s="816">
        <v>400</v>
      </c>
      <c r="R239" s="779"/>
      <c r="S239" s="779"/>
      <c r="W239" s="823">
        <f t="shared" si="24"/>
        <v>215</v>
      </c>
      <c r="X239" s="823">
        <f t="shared" si="25"/>
        <v>152.56657483930212</v>
      </c>
      <c r="Y239" s="811">
        <f t="shared" si="26"/>
        <v>367.56657483930212</v>
      </c>
      <c r="Z239" s="811">
        <f t="shared" si="27"/>
        <v>-32.43342516069788</v>
      </c>
      <c r="AA239" s="811"/>
      <c r="AB239" s="823">
        <f t="shared" si="28"/>
        <v>170</v>
      </c>
      <c r="AC239" s="823">
        <f t="shared" si="29"/>
        <v>136.22015610651974</v>
      </c>
      <c r="AD239" s="811">
        <f t="shared" si="30"/>
        <v>306.22015610651977</v>
      </c>
      <c r="AE239" s="811">
        <f t="shared" si="31"/>
        <v>-93.779843893480233</v>
      </c>
      <c r="AF239" s="811"/>
      <c r="AG239" s="778"/>
      <c r="AH239" s="778">
        <v>1</v>
      </c>
    </row>
    <row r="240" spans="1:34" s="187" customFormat="1" x14ac:dyDescent="0.25">
      <c r="A240" s="890">
        <v>232</v>
      </c>
      <c r="B240" s="187">
        <v>232</v>
      </c>
      <c r="C240" s="779" t="s">
        <v>1320</v>
      </c>
      <c r="D240" s="815" t="s">
        <v>1321</v>
      </c>
      <c r="E240" s="784" t="s">
        <v>1322</v>
      </c>
      <c r="F240" s="784">
        <v>25497</v>
      </c>
      <c r="G240" s="784">
        <v>1</v>
      </c>
      <c r="H240" s="784">
        <v>1</v>
      </c>
      <c r="I240" s="817">
        <v>0.58533057851239667</v>
      </c>
      <c r="J240" s="861">
        <v>0.58533057851239667</v>
      </c>
      <c r="K240" s="816">
        <v>250</v>
      </c>
      <c r="L240" s="820">
        <v>175.599173553719</v>
      </c>
      <c r="M240" s="821">
        <v>425.59917355371897</v>
      </c>
      <c r="N240" s="822">
        <v>400</v>
      </c>
      <c r="O240" s="822"/>
      <c r="P240" s="822"/>
      <c r="Q240" s="816">
        <v>200</v>
      </c>
      <c r="R240" s="779"/>
      <c r="S240" s="825">
        <v>39205</v>
      </c>
      <c r="W240" s="823">
        <f t="shared" si="24"/>
        <v>215</v>
      </c>
      <c r="X240" s="823">
        <f t="shared" si="25"/>
        <v>163.89256198347107</v>
      </c>
      <c r="Y240" s="811">
        <f t="shared" si="26"/>
        <v>378.89256198347107</v>
      </c>
      <c r="Z240" s="811">
        <f t="shared" si="27"/>
        <v>-21.107438016528931</v>
      </c>
      <c r="AA240" s="811"/>
      <c r="AB240" s="823">
        <f t="shared" si="28"/>
        <v>170</v>
      </c>
      <c r="AC240" s="823">
        <f t="shared" si="29"/>
        <v>146.33264462809916</v>
      </c>
      <c r="AD240" s="811">
        <f t="shared" si="30"/>
        <v>316.33264462809916</v>
      </c>
      <c r="AE240" s="811">
        <f t="shared" si="31"/>
        <v>-83.66735537190084</v>
      </c>
      <c r="AF240" s="811"/>
      <c r="AG240" s="778"/>
      <c r="AH240" s="778">
        <v>1</v>
      </c>
    </row>
    <row r="241" spans="1:34" s="187" customFormat="1" x14ac:dyDescent="0.25">
      <c r="A241" s="890">
        <v>233</v>
      </c>
      <c r="B241" s="187">
        <v>233</v>
      </c>
      <c r="C241" s="779" t="s">
        <v>1323</v>
      </c>
      <c r="D241" s="815" t="s">
        <v>1324</v>
      </c>
      <c r="E241" s="784" t="s">
        <v>1325</v>
      </c>
      <c r="F241" s="784">
        <v>25291</v>
      </c>
      <c r="G241" s="784">
        <v>1</v>
      </c>
      <c r="H241" s="784">
        <v>1</v>
      </c>
      <c r="I241" s="817">
        <v>0.58060146923783285</v>
      </c>
      <c r="J241" s="861">
        <v>0.58060146923783285</v>
      </c>
      <c r="K241" s="816">
        <v>250</v>
      </c>
      <c r="L241" s="820">
        <v>174.18044077134985</v>
      </c>
      <c r="M241" s="821">
        <v>424.18044077134982</v>
      </c>
      <c r="N241" s="822">
        <v>400</v>
      </c>
      <c r="O241" s="822"/>
      <c r="P241" s="822"/>
      <c r="Q241" s="816">
        <v>400</v>
      </c>
      <c r="R241" s="779"/>
      <c r="S241" s="779"/>
      <c r="W241" s="823">
        <f t="shared" si="24"/>
        <v>215</v>
      </c>
      <c r="X241" s="823">
        <f t="shared" si="25"/>
        <v>162.5684113865932</v>
      </c>
      <c r="Y241" s="811">
        <f t="shared" si="26"/>
        <v>377.5684113865932</v>
      </c>
      <c r="Z241" s="811">
        <f t="shared" si="27"/>
        <v>-22.431588613406802</v>
      </c>
      <c r="AA241" s="811"/>
      <c r="AB241" s="823">
        <f t="shared" si="28"/>
        <v>170</v>
      </c>
      <c r="AC241" s="823">
        <f t="shared" si="29"/>
        <v>145.1503673094582</v>
      </c>
      <c r="AD241" s="811">
        <f t="shared" si="30"/>
        <v>315.1503673094582</v>
      </c>
      <c r="AE241" s="811">
        <f t="shared" si="31"/>
        <v>-84.849632690541796</v>
      </c>
      <c r="AF241" s="811"/>
      <c r="AG241" s="778"/>
      <c r="AH241" s="778">
        <v>1</v>
      </c>
    </row>
    <row r="242" spans="1:34" s="187" customFormat="1" x14ac:dyDescent="0.25">
      <c r="A242" s="890">
        <v>234</v>
      </c>
      <c r="B242" s="187">
        <v>234</v>
      </c>
      <c r="C242" s="779" t="s">
        <v>1326</v>
      </c>
      <c r="D242" s="815" t="s">
        <v>1327</v>
      </c>
      <c r="E242" s="784" t="s">
        <v>1328</v>
      </c>
      <c r="F242" s="784">
        <v>25403</v>
      </c>
      <c r="G242" s="784">
        <v>1</v>
      </c>
      <c r="H242" s="784">
        <v>0</v>
      </c>
      <c r="I242" s="817">
        <v>0</v>
      </c>
      <c r="J242" s="861">
        <v>0.58317263544536269</v>
      </c>
      <c r="K242" s="816">
        <v>250</v>
      </c>
      <c r="L242" s="820">
        <v>174.95179063360879</v>
      </c>
      <c r="M242" s="821">
        <v>0</v>
      </c>
      <c r="N242" s="824">
        <v>0</v>
      </c>
      <c r="O242" s="824"/>
      <c r="P242" s="824"/>
      <c r="Q242" s="816"/>
      <c r="R242" s="779"/>
      <c r="S242" s="779"/>
      <c r="W242" s="823">
        <f t="shared" si="24"/>
        <v>0</v>
      </c>
      <c r="X242" s="823">
        <f t="shared" si="25"/>
        <v>0</v>
      </c>
      <c r="Y242" s="811">
        <f t="shared" si="26"/>
        <v>0</v>
      </c>
      <c r="Z242" s="811">
        <f t="shared" si="27"/>
        <v>0</v>
      </c>
      <c r="AA242" s="811"/>
      <c r="AB242" s="823">
        <f t="shared" si="28"/>
        <v>0</v>
      </c>
      <c r="AC242" s="823">
        <f t="shared" si="29"/>
        <v>0</v>
      </c>
      <c r="AD242" s="811">
        <f t="shared" si="30"/>
        <v>0</v>
      </c>
      <c r="AE242" s="811">
        <f t="shared" si="31"/>
        <v>0</v>
      </c>
      <c r="AF242" s="811"/>
      <c r="AG242" s="778"/>
      <c r="AH242" s="778"/>
    </row>
    <row r="243" spans="1:34" s="187" customFormat="1" x14ac:dyDescent="0.25">
      <c r="A243" s="890">
        <v>235</v>
      </c>
      <c r="B243" s="187">
        <v>235</v>
      </c>
      <c r="C243" s="779" t="s">
        <v>1329</v>
      </c>
      <c r="D243" s="815" t="s">
        <v>1330</v>
      </c>
      <c r="E243" s="784"/>
      <c r="F243" s="784">
        <v>27385</v>
      </c>
      <c r="G243" s="784">
        <v>1</v>
      </c>
      <c r="H243" s="784">
        <v>0</v>
      </c>
      <c r="I243" s="817">
        <v>0</v>
      </c>
      <c r="J243" s="861">
        <v>0.62867309458218545</v>
      </c>
      <c r="K243" s="816">
        <v>250</v>
      </c>
      <c r="L243" s="820">
        <v>188.60192837465564</v>
      </c>
      <c r="M243" s="821">
        <v>0</v>
      </c>
      <c r="N243" s="824">
        <v>0</v>
      </c>
      <c r="O243" s="824"/>
      <c r="P243" s="824"/>
      <c r="Q243" s="816"/>
      <c r="R243" s="779"/>
      <c r="S243" s="779"/>
      <c r="W243" s="823">
        <f t="shared" si="24"/>
        <v>0</v>
      </c>
      <c r="X243" s="823">
        <f t="shared" si="25"/>
        <v>0</v>
      </c>
      <c r="Y243" s="811">
        <f t="shared" si="26"/>
        <v>0</v>
      </c>
      <c r="Z243" s="811">
        <f t="shared" si="27"/>
        <v>0</v>
      </c>
      <c r="AA243" s="811"/>
      <c r="AB243" s="823">
        <f t="shared" si="28"/>
        <v>0</v>
      </c>
      <c r="AC243" s="823">
        <f t="shared" si="29"/>
        <v>0</v>
      </c>
      <c r="AD243" s="811">
        <f t="shared" si="30"/>
        <v>0</v>
      </c>
      <c r="AE243" s="811">
        <f t="shared" si="31"/>
        <v>0</v>
      </c>
      <c r="AF243" s="811"/>
      <c r="AG243" s="778"/>
      <c r="AH243" s="778"/>
    </row>
    <row r="244" spans="1:34" s="187" customFormat="1" x14ac:dyDescent="0.25">
      <c r="A244" s="890">
        <v>236</v>
      </c>
      <c r="B244" s="187">
        <v>236</v>
      </c>
      <c r="C244" s="779" t="s">
        <v>1331</v>
      </c>
      <c r="D244" s="815" t="s">
        <v>1332</v>
      </c>
      <c r="E244" s="784"/>
      <c r="F244" s="784">
        <v>26643</v>
      </c>
      <c r="G244" s="784">
        <v>1</v>
      </c>
      <c r="H244" s="784">
        <v>0</v>
      </c>
      <c r="I244" s="817">
        <v>0</v>
      </c>
      <c r="J244" s="861">
        <v>0.61163911845730023</v>
      </c>
      <c r="K244" s="816">
        <v>250</v>
      </c>
      <c r="L244" s="820">
        <v>183.49173553719007</v>
      </c>
      <c r="M244" s="821">
        <v>0</v>
      </c>
      <c r="N244" s="824">
        <v>0</v>
      </c>
      <c r="O244" s="824"/>
      <c r="P244" s="824"/>
      <c r="Q244" s="816"/>
      <c r="R244" s="779"/>
      <c r="S244" s="779"/>
      <c r="W244" s="823">
        <f t="shared" si="24"/>
        <v>0</v>
      </c>
      <c r="X244" s="823">
        <f t="shared" si="25"/>
        <v>0</v>
      </c>
      <c r="Y244" s="811">
        <f t="shared" si="26"/>
        <v>0</v>
      </c>
      <c r="Z244" s="811">
        <f t="shared" si="27"/>
        <v>0</v>
      </c>
      <c r="AA244" s="811"/>
      <c r="AB244" s="823">
        <f t="shared" si="28"/>
        <v>0</v>
      </c>
      <c r="AC244" s="823">
        <f t="shared" si="29"/>
        <v>0</v>
      </c>
      <c r="AD244" s="811">
        <f t="shared" si="30"/>
        <v>0</v>
      </c>
      <c r="AE244" s="811">
        <f t="shared" si="31"/>
        <v>0</v>
      </c>
      <c r="AF244" s="811"/>
      <c r="AG244" s="778"/>
      <c r="AH244" s="778"/>
    </row>
    <row r="245" spans="1:34" s="187" customFormat="1" x14ac:dyDescent="0.25">
      <c r="A245" s="890">
        <v>237</v>
      </c>
      <c r="B245" s="187">
        <v>237</v>
      </c>
      <c r="C245" s="779" t="s">
        <v>1197</v>
      </c>
      <c r="D245" s="815" t="s">
        <v>1333</v>
      </c>
      <c r="E245" s="784"/>
      <c r="F245" s="784">
        <v>22969</v>
      </c>
      <c r="G245" s="784">
        <v>1</v>
      </c>
      <c r="H245" s="784">
        <v>0</v>
      </c>
      <c r="I245" s="817">
        <v>0</v>
      </c>
      <c r="J245" s="861">
        <v>0.52729568411386596</v>
      </c>
      <c r="K245" s="816">
        <v>250</v>
      </c>
      <c r="L245" s="820">
        <v>158.18870523415978</v>
      </c>
      <c r="M245" s="821">
        <v>0</v>
      </c>
      <c r="N245" s="824">
        <v>0</v>
      </c>
      <c r="O245" s="824"/>
      <c r="P245" s="824"/>
      <c r="Q245" s="816"/>
      <c r="R245" s="779"/>
      <c r="S245" s="779"/>
      <c r="W245" s="823">
        <f t="shared" si="24"/>
        <v>0</v>
      </c>
      <c r="X245" s="823">
        <f t="shared" si="25"/>
        <v>0</v>
      </c>
      <c r="Y245" s="811">
        <f t="shared" si="26"/>
        <v>0</v>
      </c>
      <c r="Z245" s="811">
        <f t="shared" si="27"/>
        <v>0</v>
      </c>
      <c r="AA245" s="811"/>
      <c r="AB245" s="823">
        <f t="shared" si="28"/>
        <v>0</v>
      </c>
      <c r="AC245" s="823">
        <f t="shared" si="29"/>
        <v>0</v>
      </c>
      <c r="AD245" s="811">
        <f t="shared" si="30"/>
        <v>0</v>
      </c>
      <c r="AE245" s="811">
        <f t="shared" si="31"/>
        <v>0</v>
      </c>
      <c r="AF245" s="811"/>
      <c r="AG245" s="778"/>
      <c r="AH245" s="778"/>
    </row>
    <row r="246" spans="1:34" s="187" customFormat="1" x14ac:dyDescent="0.25">
      <c r="A246" s="890">
        <v>238</v>
      </c>
      <c r="B246" s="187">
        <v>238</v>
      </c>
      <c r="C246" s="779" t="s">
        <v>1199</v>
      </c>
      <c r="D246" s="815" t="s">
        <v>1334</v>
      </c>
      <c r="E246" s="784"/>
      <c r="F246" s="784">
        <v>22500</v>
      </c>
      <c r="G246" s="784">
        <v>1</v>
      </c>
      <c r="H246" s="784">
        <v>0</v>
      </c>
      <c r="I246" s="817">
        <v>0</v>
      </c>
      <c r="J246" s="861">
        <v>0.51652892561983466</v>
      </c>
      <c r="K246" s="816">
        <v>250</v>
      </c>
      <c r="L246" s="820">
        <v>154.95867768595039</v>
      </c>
      <c r="M246" s="821">
        <v>0</v>
      </c>
      <c r="N246" s="824">
        <v>0</v>
      </c>
      <c r="O246" s="824"/>
      <c r="P246" s="824"/>
      <c r="Q246" s="816"/>
      <c r="R246" s="779"/>
      <c r="S246" s="779"/>
      <c r="W246" s="823">
        <f t="shared" si="24"/>
        <v>0</v>
      </c>
      <c r="X246" s="823">
        <f t="shared" si="25"/>
        <v>0</v>
      </c>
      <c r="Y246" s="811">
        <f t="shared" si="26"/>
        <v>0</v>
      </c>
      <c r="Z246" s="811">
        <f t="shared" si="27"/>
        <v>0</v>
      </c>
      <c r="AA246" s="811"/>
      <c r="AB246" s="823">
        <f t="shared" si="28"/>
        <v>0</v>
      </c>
      <c r="AC246" s="823">
        <f t="shared" si="29"/>
        <v>0</v>
      </c>
      <c r="AD246" s="811">
        <f t="shared" si="30"/>
        <v>0</v>
      </c>
      <c r="AE246" s="811">
        <f t="shared" si="31"/>
        <v>0</v>
      </c>
      <c r="AF246" s="811"/>
      <c r="AG246" s="778"/>
      <c r="AH246" s="778"/>
    </row>
    <row r="247" spans="1:34" s="187" customFormat="1" x14ac:dyDescent="0.25">
      <c r="A247" s="890">
        <v>239</v>
      </c>
      <c r="B247" s="187">
        <v>239</v>
      </c>
      <c r="C247" s="779" t="s">
        <v>1335</v>
      </c>
      <c r="D247" s="815" t="s">
        <v>1336</v>
      </c>
      <c r="E247" s="784" t="s">
        <v>1337</v>
      </c>
      <c r="F247" s="784">
        <v>23750</v>
      </c>
      <c r="G247" s="784">
        <v>1</v>
      </c>
      <c r="H247" s="784">
        <v>1</v>
      </c>
      <c r="I247" s="817">
        <v>0.54522497704315886</v>
      </c>
      <c r="J247" s="861">
        <v>0.54522497704315886</v>
      </c>
      <c r="K247" s="816">
        <v>250</v>
      </c>
      <c r="L247" s="820">
        <v>163.56749311294766</v>
      </c>
      <c r="M247" s="821">
        <v>413.56749311294766</v>
      </c>
      <c r="N247" s="822">
        <v>400</v>
      </c>
      <c r="O247" s="822"/>
      <c r="P247" s="822"/>
      <c r="Q247" s="816">
        <v>200</v>
      </c>
      <c r="R247" s="779"/>
      <c r="S247" s="779"/>
      <c r="W247" s="823">
        <f t="shared" si="24"/>
        <v>215</v>
      </c>
      <c r="X247" s="823">
        <f t="shared" si="25"/>
        <v>152.66299357208447</v>
      </c>
      <c r="Y247" s="811">
        <f t="shared" si="26"/>
        <v>367.66299357208447</v>
      </c>
      <c r="Z247" s="811">
        <f t="shared" si="27"/>
        <v>-32.337006427915526</v>
      </c>
      <c r="AA247" s="811"/>
      <c r="AB247" s="823">
        <f t="shared" si="28"/>
        <v>170</v>
      </c>
      <c r="AC247" s="823">
        <f t="shared" si="29"/>
        <v>136.30624426078973</v>
      </c>
      <c r="AD247" s="811">
        <f t="shared" si="30"/>
        <v>306.30624426078975</v>
      </c>
      <c r="AE247" s="811">
        <f t="shared" si="31"/>
        <v>-93.693755739210246</v>
      </c>
      <c r="AF247" s="811"/>
      <c r="AG247" s="778"/>
      <c r="AH247" s="778">
        <v>1</v>
      </c>
    </row>
    <row r="248" spans="1:34" s="187" customFormat="1" x14ac:dyDescent="0.25">
      <c r="A248" s="890">
        <v>240</v>
      </c>
      <c r="B248" s="187">
        <v>240</v>
      </c>
      <c r="C248" s="779" t="s">
        <v>1203</v>
      </c>
      <c r="D248" s="815" t="s">
        <v>1338</v>
      </c>
      <c r="E248" s="784" t="s">
        <v>1339</v>
      </c>
      <c r="F248" s="784">
        <v>23371</v>
      </c>
      <c r="G248" s="784">
        <v>1</v>
      </c>
      <c r="H248" s="784">
        <v>1</v>
      </c>
      <c r="I248" s="817">
        <v>0.53652433425160695</v>
      </c>
      <c r="J248" s="861">
        <v>0.53652433425160695</v>
      </c>
      <c r="K248" s="816">
        <v>250</v>
      </c>
      <c r="L248" s="820">
        <v>160.95730027548208</v>
      </c>
      <c r="M248" s="821">
        <v>410.95730027548211</v>
      </c>
      <c r="N248" s="822">
        <v>400</v>
      </c>
      <c r="O248" s="822"/>
      <c r="P248" s="822"/>
      <c r="Q248" s="816">
        <v>200</v>
      </c>
      <c r="R248" s="779"/>
      <c r="S248" s="779"/>
      <c r="W248" s="823">
        <f t="shared" si="24"/>
        <v>215</v>
      </c>
      <c r="X248" s="823">
        <f t="shared" si="25"/>
        <v>150.22681359044995</v>
      </c>
      <c r="Y248" s="811">
        <f t="shared" si="26"/>
        <v>365.22681359044998</v>
      </c>
      <c r="Z248" s="811">
        <f t="shared" si="27"/>
        <v>-34.773186409550021</v>
      </c>
      <c r="AA248" s="811"/>
      <c r="AB248" s="823">
        <f t="shared" si="28"/>
        <v>170</v>
      </c>
      <c r="AC248" s="823">
        <f t="shared" si="29"/>
        <v>134.13108356290175</v>
      </c>
      <c r="AD248" s="811">
        <f t="shared" si="30"/>
        <v>304.13108356290172</v>
      </c>
      <c r="AE248" s="811">
        <f t="shared" si="31"/>
        <v>-95.868916437098278</v>
      </c>
      <c r="AF248" s="811"/>
      <c r="AG248" s="778"/>
      <c r="AH248" s="778">
        <v>1</v>
      </c>
    </row>
    <row r="249" spans="1:34" s="187" customFormat="1" x14ac:dyDescent="0.25">
      <c r="A249" s="890">
        <v>241</v>
      </c>
      <c r="B249" s="187">
        <v>241</v>
      </c>
      <c r="C249" s="779" t="s">
        <v>1205</v>
      </c>
      <c r="D249" s="815" t="s">
        <v>1340</v>
      </c>
      <c r="E249" s="784"/>
      <c r="F249" s="784">
        <v>23682</v>
      </c>
      <c r="G249" s="784">
        <v>1</v>
      </c>
      <c r="H249" s="784">
        <v>0</v>
      </c>
      <c r="I249" s="817">
        <v>0</v>
      </c>
      <c r="J249" s="861">
        <v>0.54366391184573004</v>
      </c>
      <c r="K249" s="816">
        <v>250</v>
      </c>
      <c r="L249" s="820">
        <v>163.09917355371903</v>
      </c>
      <c r="M249" s="821">
        <v>0</v>
      </c>
      <c r="N249" s="824">
        <v>0</v>
      </c>
      <c r="O249" s="824"/>
      <c r="P249" s="824"/>
      <c r="Q249" s="816"/>
      <c r="R249" s="779"/>
      <c r="S249" s="779"/>
      <c r="W249" s="823">
        <f t="shared" si="24"/>
        <v>0</v>
      </c>
      <c r="X249" s="823">
        <f t="shared" si="25"/>
        <v>0</v>
      </c>
      <c r="Y249" s="811">
        <f t="shared" si="26"/>
        <v>0</v>
      </c>
      <c r="Z249" s="811">
        <f t="shared" si="27"/>
        <v>0</v>
      </c>
      <c r="AA249" s="811"/>
      <c r="AB249" s="823">
        <f t="shared" si="28"/>
        <v>0</v>
      </c>
      <c r="AC249" s="823">
        <f t="shared" si="29"/>
        <v>0</v>
      </c>
      <c r="AD249" s="811">
        <f t="shared" si="30"/>
        <v>0</v>
      </c>
      <c r="AE249" s="811">
        <f t="shared" si="31"/>
        <v>0</v>
      </c>
      <c r="AF249" s="811"/>
      <c r="AG249" s="778"/>
      <c r="AH249" s="778"/>
    </row>
    <row r="250" spans="1:34" s="187" customFormat="1" x14ac:dyDescent="0.25">
      <c r="A250" s="890">
        <v>242</v>
      </c>
      <c r="B250" s="187">
        <v>242</v>
      </c>
      <c r="C250" s="779" t="s">
        <v>1207</v>
      </c>
      <c r="D250" s="815" t="s">
        <v>1341</v>
      </c>
      <c r="E250" s="784"/>
      <c r="F250" s="784">
        <v>24246</v>
      </c>
      <c r="G250" s="784">
        <v>1</v>
      </c>
      <c r="H250" s="784">
        <v>0</v>
      </c>
      <c r="I250" s="817">
        <v>0</v>
      </c>
      <c r="J250" s="861">
        <v>0.55661157024793384</v>
      </c>
      <c r="K250" s="816">
        <v>250</v>
      </c>
      <c r="L250" s="820">
        <v>166.98347107438016</v>
      </c>
      <c r="M250" s="821">
        <v>0</v>
      </c>
      <c r="N250" s="824">
        <v>0</v>
      </c>
      <c r="O250" s="824"/>
      <c r="P250" s="824"/>
      <c r="Q250" s="816"/>
      <c r="R250" s="779"/>
      <c r="S250" s="779"/>
      <c r="W250" s="823">
        <f t="shared" si="24"/>
        <v>0</v>
      </c>
      <c r="X250" s="823">
        <f t="shared" si="25"/>
        <v>0</v>
      </c>
      <c r="Y250" s="811">
        <f t="shared" si="26"/>
        <v>0</v>
      </c>
      <c r="Z250" s="811">
        <f t="shared" si="27"/>
        <v>0</v>
      </c>
      <c r="AA250" s="811"/>
      <c r="AB250" s="823">
        <f t="shared" si="28"/>
        <v>0</v>
      </c>
      <c r="AC250" s="823">
        <f t="shared" si="29"/>
        <v>0</v>
      </c>
      <c r="AD250" s="811">
        <f t="shared" si="30"/>
        <v>0</v>
      </c>
      <c r="AE250" s="811">
        <f t="shared" si="31"/>
        <v>0</v>
      </c>
      <c r="AF250" s="811"/>
      <c r="AG250" s="778"/>
      <c r="AH250" s="778"/>
    </row>
    <row r="251" spans="1:34" s="187" customFormat="1" x14ac:dyDescent="0.25">
      <c r="A251" s="890">
        <v>243</v>
      </c>
      <c r="B251" s="187">
        <v>243</v>
      </c>
      <c r="C251" s="779" t="s">
        <v>1209</v>
      </c>
      <c r="D251" s="815" t="s">
        <v>1342</v>
      </c>
      <c r="E251" s="784"/>
      <c r="F251" s="784">
        <v>25996</v>
      </c>
      <c r="G251" s="784">
        <v>1</v>
      </c>
      <c r="H251" s="784">
        <v>0</v>
      </c>
      <c r="I251" s="817">
        <v>0</v>
      </c>
      <c r="J251" s="861">
        <v>0.59678604224058773</v>
      </c>
      <c r="K251" s="816">
        <v>250</v>
      </c>
      <c r="L251" s="820">
        <v>179.03581267217632</v>
      </c>
      <c r="M251" s="821">
        <v>0</v>
      </c>
      <c r="N251" s="824">
        <v>0</v>
      </c>
      <c r="O251" s="824"/>
      <c r="P251" s="824"/>
      <c r="Q251" s="816"/>
      <c r="R251" s="779"/>
      <c r="S251" s="779"/>
      <c r="W251" s="823">
        <f t="shared" si="24"/>
        <v>0</v>
      </c>
      <c r="X251" s="823">
        <f t="shared" si="25"/>
        <v>0</v>
      </c>
      <c r="Y251" s="811">
        <f t="shared" si="26"/>
        <v>0</v>
      </c>
      <c r="Z251" s="811">
        <f t="shared" si="27"/>
        <v>0</v>
      </c>
      <c r="AA251" s="811"/>
      <c r="AB251" s="823">
        <f t="shared" si="28"/>
        <v>0</v>
      </c>
      <c r="AC251" s="823">
        <f t="shared" si="29"/>
        <v>0</v>
      </c>
      <c r="AD251" s="811">
        <f t="shared" si="30"/>
        <v>0</v>
      </c>
      <c r="AE251" s="811">
        <f t="shared" si="31"/>
        <v>0</v>
      </c>
      <c r="AF251" s="811"/>
      <c r="AG251" s="778"/>
      <c r="AH251" s="778"/>
    </row>
    <row r="252" spans="1:34" s="187" customFormat="1" x14ac:dyDescent="0.25">
      <c r="A252" s="890">
        <v>244</v>
      </c>
      <c r="B252" s="187">
        <v>244</v>
      </c>
      <c r="C252" s="779" t="s">
        <v>1343</v>
      </c>
      <c r="D252" s="815" t="s">
        <v>1344</v>
      </c>
      <c r="E252" s="784" t="s">
        <v>1345</v>
      </c>
      <c r="F252" s="784">
        <v>30258</v>
      </c>
      <c r="G252" s="784">
        <v>1</v>
      </c>
      <c r="H252" s="784">
        <v>1</v>
      </c>
      <c r="I252" s="817">
        <v>0.69462809917355373</v>
      </c>
      <c r="J252" s="861">
        <v>0.69462809917355373</v>
      </c>
      <c r="K252" s="816">
        <v>250</v>
      </c>
      <c r="L252" s="820">
        <v>208.38842975206612</v>
      </c>
      <c r="M252" s="821">
        <v>458.38842975206614</v>
      </c>
      <c r="N252" s="822">
        <v>400</v>
      </c>
      <c r="O252" s="822"/>
      <c r="P252" s="822"/>
      <c r="Q252" s="816">
        <v>400</v>
      </c>
      <c r="R252" s="779"/>
      <c r="S252" s="779"/>
      <c r="W252" s="823">
        <f t="shared" si="24"/>
        <v>215</v>
      </c>
      <c r="X252" s="823">
        <f t="shared" si="25"/>
        <v>194.49586776859505</v>
      </c>
      <c r="Y252" s="811">
        <f t="shared" si="26"/>
        <v>409.49586776859508</v>
      </c>
      <c r="Z252" s="811">
        <f t="shared" si="27"/>
        <v>9.4958677685950761</v>
      </c>
      <c r="AA252" s="811"/>
      <c r="AB252" s="823">
        <f t="shared" si="28"/>
        <v>170</v>
      </c>
      <c r="AC252" s="823">
        <f t="shared" si="29"/>
        <v>173.65702479338844</v>
      </c>
      <c r="AD252" s="811">
        <f t="shared" si="30"/>
        <v>343.65702479338847</v>
      </c>
      <c r="AE252" s="811">
        <f t="shared" si="31"/>
        <v>-56.342975206611527</v>
      </c>
      <c r="AF252" s="811"/>
      <c r="AG252" s="778"/>
      <c r="AH252" s="778">
        <v>1</v>
      </c>
    </row>
    <row r="253" spans="1:34" s="187" customFormat="1" x14ac:dyDescent="0.25">
      <c r="A253" s="890">
        <v>245</v>
      </c>
      <c r="B253" s="187">
        <v>245</v>
      </c>
      <c r="C253" s="779" t="s">
        <v>1346</v>
      </c>
      <c r="D253" s="815" t="s">
        <v>1347</v>
      </c>
      <c r="E253" s="784" t="s">
        <v>1348</v>
      </c>
      <c r="F253" s="784">
        <v>28810</v>
      </c>
      <c r="G253" s="784">
        <v>1</v>
      </c>
      <c r="H253" s="784">
        <v>1</v>
      </c>
      <c r="I253" s="817">
        <v>0.661386593204775</v>
      </c>
      <c r="J253" s="861">
        <v>0.661386593204775</v>
      </c>
      <c r="K253" s="816">
        <v>250</v>
      </c>
      <c r="L253" s="820">
        <v>198.4159779614325</v>
      </c>
      <c r="M253" s="821">
        <v>448.41597796143253</v>
      </c>
      <c r="N253" s="822">
        <v>400</v>
      </c>
      <c r="O253" s="822"/>
      <c r="P253" s="822"/>
      <c r="Q253" s="816">
        <v>400</v>
      </c>
      <c r="R253" s="779"/>
      <c r="S253" s="779"/>
      <c r="W253" s="823">
        <f t="shared" si="24"/>
        <v>215</v>
      </c>
      <c r="X253" s="823">
        <f t="shared" si="25"/>
        <v>185.18824609733699</v>
      </c>
      <c r="Y253" s="811">
        <f t="shared" si="26"/>
        <v>400.18824609733701</v>
      </c>
      <c r="Z253" s="811">
        <f t="shared" si="27"/>
        <v>0.18824609733701436</v>
      </c>
      <c r="AA253" s="811"/>
      <c r="AB253" s="823">
        <f t="shared" si="28"/>
        <v>170</v>
      </c>
      <c r="AC253" s="823">
        <f t="shared" si="29"/>
        <v>165.34664830119374</v>
      </c>
      <c r="AD253" s="811">
        <f t="shared" si="30"/>
        <v>335.34664830119374</v>
      </c>
      <c r="AE253" s="811">
        <f t="shared" si="31"/>
        <v>-64.653351698806262</v>
      </c>
      <c r="AF253" s="811"/>
      <c r="AG253" s="778"/>
      <c r="AH253" s="778">
        <v>1</v>
      </c>
    </row>
    <row r="254" spans="1:34" s="187" customFormat="1" x14ac:dyDescent="0.25">
      <c r="A254" s="890">
        <v>246</v>
      </c>
      <c r="B254" s="187">
        <v>246</v>
      </c>
      <c r="C254" s="779" t="s">
        <v>1349</v>
      </c>
      <c r="D254" s="815" t="s">
        <v>1350</v>
      </c>
      <c r="E254" s="784" t="s">
        <v>1351</v>
      </c>
      <c r="F254" s="784">
        <v>26175</v>
      </c>
      <c r="G254" s="784">
        <v>1</v>
      </c>
      <c r="H254" s="784">
        <v>1</v>
      </c>
      <c r="I254" s="817">
        <v>0.60089531680440766</v>
      </c>
      <c r="J254" s="861">
        <v>0.60089531680440766</v>
      </c>
      <c r="K254" s="816">
        <v>250</v>
      </c>
      <c r="L254" s="820">
        <v>180.2685950413223</v>
      </c>
      <c r="M254" s="821">
        <v>430.26859504132233</v>
      </c>
      <c r="N254" s="822">
        <v>400</v>
      </c>
      <c r="O254" s="822"/>
      <c r="P254" s="822"/>
      <c r="Q254" s="816">
        <v>400</v>
      </c>
      <c r="R254" s="779"/>
      <c r="S254" s="825">
        <v>39205</v>
      </c>
      <c r="W254" s="823">
        <f t="shared" si="24"/>
        <v>215</v>
      </c>
      <c r="X254" s="823">
        <f t="shared" si="25"/>
        <v>168.25068870523415</v>
      </c>
      <c r="Y254" s="811">
        <f t="shared" si="26"/>
        <v>383.25068870523415</v>
      </c>
      <c r="Z254" s="811">
        <f t="shared" si="27"/>
        <v>-16.749311294765846</v>
      </c>
      <c r="AA254" s="811"/>
      <c r="AB254" s="823">
        <f t="shared" si="28"/>
        <v>170</v>
      </c>
      <c r="AC254" s="823">
        <f t="shared" si="29"/>
        <v>150.22382920110192</v>
      </c>
      <c r="AD254" s="811">
        <f t="shared" si="30"/>
        <v>320.22382920110192</v>
      </c>
      <c r="AE254" s="811">
        <f t="shared" si="31"/>
        <v>-79.776170798898079</v>
      </c>
      <c r="AF254" s="811"/>
      <c r="AG254" s="778"/>
      <c r="AH254" s="778">
        <v>1</v>
      </c>
    </row>
    <row r="255" spans="1:34" s="187" customFormat="1" x14ac:dyDescent="0.25">
      <c r="A255" s="890">
        <v>247</v>
      </c>
      <c r="B255" s="187">
        <v>247</v>
      </c>
      <c r="C255" s="779" t="s">
        <v>1352</v>
      </c>
      <c r="D255" s="815" t="s">
        <v>1353</v>
      </c>
      <c r="E255" s="784" t="s">
        <v>1354</v>
      </c>
      <c r="F255" s="784">
        <v>22500</v>
      </c>
      <c r="G255" s="784">
        <v>1</v>
      </c>
      <c r="H255" s="784">
        <v>0</v>
      </c>
      <c r="I255" s="817">
        <v>0</v>
      </c>
      <c r="J255" s="861">
        <v>0.51652892561983466</v>
      </c>
      <c r="K255" s="816">
        <v>250</v>
      </c>
      <c r="L255" s="820">
        <v>154.95867768595039</v>
      </c>
      <c r="M255" s="821">
        <v>0</v>
      </c>
      <c r="N255" s="824">
        <v>0</v>
      </c>
      <c r="O255" s="824"/>
      <c r="P255" s="824"/>
      <c r="Q255" s="816"/>
      <c r="R255" s="779"/>
      <c r="S255" s="779"/>
      <c r="W255" s="823">
        <f t="shared" si="24"/>
        <v>0</v>
      </c>
      <c r="X255" s="823">
        <f t="shared" si="25"/>
        <v>0</v>
      </c>
      <c r="Y255" s="811">
        <f t="shared" si="26"/>
        <v>0</v>
      </c>
      <c r="Z255" s="811">
        <f t="shared" si="27"/>
        <v>0</v>
      </c>
      <c r="AA255" s="811"/>
      <c r="AB255" s="823">
        <f t="shared" si="28"/>
        <v>0</v>
      </c>
      <c r="AC255" s="823">
        <f t="shared" si="29"/>
        <v>0</v>
      </c>
      <c r="AD255" s="811">
        <f t="shared" si="30"/>
        <v>0</v>
      </c>
      <c r="AE255" s="811">
        <f t="shared" si="31"/>
        <v>0</v>
      </c>
      <c r="AF255" s="811"/>
      <c r="AG255" s="778"/>
      <c r="AH255" s="778"/>
    </row>
    <row r="256" spans="1:34" s="187" customFormat="1" x14ac:dyDescent="0.25">
      <c r="A256" s="890">
        <v>248</v>
      </c>
      <c r="B256" s="187">
        <v>248</v>
      </c>
      <c r="C256" s="779" t="s">
        <v>1355</v>
      </c>
      <c r="D256" s="815" t="s">
        <v>1356</v>
      </c>
      <c r="E256" s="784" t="s">
        <v>1357</v>
      </c>
      <c r="F256" s="784">
        <v>21825</v>
      </c>
      <c r="G256" s="784">
        <v>1</v>
      </c>
      <c r="H256" s="784">
        <v>1</v>
      </c>
      <c r="I256" s="817">
        <v>0.50103305785123964</v>
      </c>
      <c r="J256" s="861">
        <v>0.50103305785123964</v>
      </c>
      <c r="K256" s="816">
        <v>250</v>
      </c>
      <c r="L256" s="820">
        <v>150.30991735537188</v>
      </c>
      <c r="M256" s="821">
        <v>400.30991735537191</v>
      </c>
      <c r="N256" s="822">
        <v>400</v>
      </c>
      <c r="O256" s="822"/>
      <c r="P256" s="822"/>
      <c r="Q256" s="816">
        <v>200</v>
      </c>
      <c r="R256" s="779"/>
      <c r="S256" s="779"/>
      <c r="W256" s="823">
        <f t="shared" si="24"/>
        <v>215</v>
      </c>
      <c r="X256" s="823">
        <f t="shared" si="25"/>
        <v>140.28925619834709</v>
      </c>
      <c r="Y256" s="811">
        <f t="shared" si="26"/>
        <v>355.28925619834706</v>
      </c>
      <c r="Z256" s="811">
        <f t="shared" si="27"/>
        <v>-44.710743801652939</v>
      </c>
      <c r="AA256" s="811"/>
      <c r="AB256" s="823">
        <f t="shared" si="28"/>
        <v>170</v>
      </c>
      <c r="AC256" s="823">
        <f t="shared" si="29"/>
        <v>125.2582644628099</v>
      </c>
      <c r="AD256" s="811">
        <f t="shared" si="30"/>
        <v>295.2582644628099</v>
      </c>
      <c r="AE256" s="811">
        <f t="shared" si="31"/>
        <v>-104.7417355371901</v>
      </c>
      <c r="AF256" s="811"/>
      <c r="AG256" s="778"/>
      <c r="AH256" s="778">
        <v>1</v>
      </c>
    </row>
    <row r="257" spans="1:46" s="187" customFormat="1" x14ac:dyDescent="0.25">
      <c r="A257" s="890">
        <v>249</v>
      </c>
      <c r="B257" s="187">
        <v>249</v>
      </c>
      <c r="C257" s="779" t="s">
        <v>1358</v>
      </c>
      <c r="D257" s="815" t="s">
        <v>1359</v>
      </c>
      <c r="E257" s="784" t="s">
        <v>1360</v>
      </c>
      <c r="F257" s="784">
        <v>22848</v>
      </c>
      <c r="G257" s="784">
        <v>1</v>
      </c>
      <c r="H257" s="784">
        <v>1</v>
      </c>
      <c r="I257" s="817">
        <v>0.52451790633608819</v>
      </c>
      <c r="J257" s="861">
        <v>0.52451790633608819</v>
      </c>
      <c r="K257" s="816">
        <v>250</v>
      </c>
      <c r="L257" s="820">
        <v>157.35537190082647</v>
      </c>
      <c r="M257" s="821">
        <v>407.35537190082647</v>
      </c>
      <c r="N257" s="822">
        <v>400</v>
      </c>
      <c r="O257" s="822"/>
      <c r="P257" s="822"/>
      <c r="Q257" s="816">
        <v>200</v>
      </c>
      <c r="R257" s="779"/>
      <c r="S257" s="779"/>
      <c r="W257" s="823">
        <f t="shared" si="24"/>
        <v>215</v>
      </c>
      <c r="X257" s="823">
        <f t="shared" si="25"/>
        <v>146.86501377410468</v>
      </c>
      <c r="Y257" s="811">
        <f t="shared" si="26"/>
        <v>361.86501377410468</v>
      </c>
      <c r="Z257" s="811">
        <f t="shared" si="27"/>
        <v>-38.134986225895318</v>
      </c>
      <c r="AA257" s="811"/>
      <c r="AB257" s="823">
        <f t="shared" si="28"/>
        <v>170</v>
      </c>
      <c r="AC257" s="823">
        <f t="shared" si="29"/>
        <v>131.12947658402206</v>
      </c>
      <c r="AD257" s="811">
        <f t="shared" si="30"/>
        <v>301.12947658402209</v>
      </c>
      <c r="AE257" s="811">
        <f t="shared" si="31"/>
        <v>-98.870523415977914</v>
      </c>
      <c r="AF257" s="811"/>
      <c r="AG257" s="778"/>
      <c r="AH257" s="778">
        <v>1</v>
      </c>
      <c r="AI257" s="778"/>
      <c r="AJ257" s="778"/>
      <c r="AK257" s="778"/>
      <c r="AL257" s="778"/>
      <c r="AM257" s="778"/>
      <c r="AN257" s="778"/>
      <c r="AO257" s="778"/>
      <c r="AP257" s="778"/>
      <c r="AQ257" s="778"/>
      <c r="AR257" s="778"/>
      <c r="AS257" s="778"/>
      <c r="AT257" s="778"/>
    </row>
    <row r="258" spans="1:46" s="187" customFormat="1" x14ac:dyDescent="0.25">
      <c r="A258" s="890">
        <v>250</v>
      </c>
      <c r="B258" s="187">
        <v>250</v>
      </c>
      <c r="C258" s="779" t="s">
        <v>1227</v>
      </c>
      <c r="D258" s="815" t="s">
        <v>1361</v>
      </c>
      <c r="E258" s="784" t="s">
        <v>1362</v>
      </c>
      <c r="F258" s="784">
        <v>23133</v>
      </c>
      <c r="G258" s="784">
        <v>1</v>
      </c>
      <c r="H258" s="784">
        <v>1</v>
      </c>
      <c r="I258" s="817">
        <v>0.53106060606060601</v>
      </c>
      <c r="J258" s="861">
        <v>0.53106060606060601</v>
      </c>
      <c r="K258" s="816">
        <v>250</v>
      </c>
      <c r="L258" s="820">
        <v>159.31818181818181</v>
      </c>
      <c r="M258" s="821">
        <v>409.31818181818181</v>
      </c>
      <c r="N258" s="822">
        <v>400</v>
      </c>
      <c r="O258" s="822"/>
      <c r="P258" s="822"/>
      <c r="Q258" s="816">
        <v>400</v>
      </c>
      <c r="R258" s="779"/>
      <c r="S258" s="779"/>
      <c r="W258" s="823">
        <f t="shared" si="24"/>
        <v>215</v>
      </c>
      <c r="X258" s="823">
        <f t="shared" si="25"/>
        <v>148.69696969696969</v>
      </c>
      <c r="Y258" s="811">
        <f t="shared" si="26"/>
        <v>363.69696969696969</v>
      </c>
      <c r="Z258" s="811">
        <f t="shared" si="27"/>
        <v>-36.303030303030312</v>
      </c>
      <c r="AA258" s="811"/>
      <c r="AB258" s="823">
        <f t="shared" si="28"/>
        <v>170</v>
      </c>
      <c r="AC258" s="823">
        <f t="shared" si="29"/>
        <v>132.7651515151515</v>
      </c>
      <c r="AD258" s="811">
        <f t="shared" si="30"/>
        <v>302.7651515151515</v>
      </c>
      <c r="AE258" s="811">
        <f t="shared" si="31"/>
        <v>-97.234848484848499</v>
      </c>
      <c r="AF258" s="811"/>
      <c r="AG258" s="778"/>
      <c r="AH258" s="778">
        <v>1</v>
      </c>
      <c r="AI258" s="778"/>
      <c r="AJ258" s="778"/>
      <c r="AK258" s="778"/>
      <c r="AL258" s="778"/>
      <c r="AM258" s="778"/>
      <c r="AN258" s="778"/>
      <c r="AO258" s="778"/>
      <c r="AP258" s="778"/>
      <c r="AQ258" s="778"/>
      <c r="AR258" s="778"/>
      <c r="AS258" s="778"/>
      <c r="AT258" s="778"/>
    </row>
    <row r="259" spans="1:46" s="187" customFormat="1" x14ac:dyDescent="0.25">
      <c r="A259" s="890">
        <v>251</v>
      </c>
      <c r="B259" s="187">
        <v>251</v>
      </c>
      <c r="C259" s="779" t="s">
        <v>1230</v>
      </c>
      <c r="D259" s="815" t="s">
        <v>1363</v>
      </c>
      <c r="E259" s="784"/>
      <c r="F259" s="784">
        <v>23205</v>
      </c>
      <c r="G259" s="784">
        <v>1</v>
      </c>
      <c r="H259" s="784">
        <v>0</v>
      </c>
      <c r="I259" s="817">
        <v>0</v>
      </c>
      <c r="J259" s="861">
        <v>0.53271349862258954</v>
      </c>
      <c r="K259" s="816">
        <v>250</v>
      </c>
      <c r="L259" s="820">
        <v>159.81404958677686</v>
      </c>
      <c r="M259" s="821">
        <v>0</v>
      </c>
      <c r="N259" s="824">
        <v>0</v>
      </c>
      <c r="O259" s="824"/>
      <c r="P259" s="824"/>
      <c r="Q259" s="816"/>
      <c r="R259" s="779"/>
      <c r="S259" s="779"/>
      <c r="W259" s="823">
        <f t="shared" si="24"/>
        <v>0</v>
      </c>
      <c r="X259" s="823">
        <f t="shared" si="25"/>
        <v>0</v>
      </c>
      <c r="Y259" s="811">
        <f t="shared" si="26"/>
        <v>0</v>
      </c>
      <c r="Z259" s="811">
        <f t="shared" si="27"/>
        <v>0</v>
      </c>
      <c r="AA259" s="811"/>
      <c r="AB259" s="823">
        <f t="shared" si="28"/>
        <v>0</v>
      </c>
      <c r="AC259" s="823">
        <f t="shared" si="29"/>
        <v>0</v>
      </c>
      <c r="AD259" s="811">
        <f t="shared" si="30"/>
        <v>0</v>
      </c>
      <c r="AE259" s="811">
        <f t="shared" si="31"/>
        <v>0</v>
      </c>
      <c r="AF259" s="811"/>
      <c r="AG259" s="778"/>
      <c r="AH259" s="778"/>
      <c r="AI259" s="778"/>
      <c r="AJ259" s="778"/>
      <c r="AK259" s="778"/>
      <c r="AL259" s="778"/>
      <c r="AM259" s="778"/>
      <c r="AN259" s="778"/>
      <c r="AO259" s="778"/>
      <c r="AP259" s="778"/>
      <c r="AQ259" s="778"/>
      <c r="AR259" s="778"/>
      <c r="AS259" s="778"/>
      <c r="AT259" s="778"/>
    </row>
    <row r="260" spans="1:46" s="187" customFormat="1" ht="15.75" thickBot="1" x14ac:dyDescent="0.3">
      <c r="A260" s="890">
        <v>252</v>
      </c>
      <c r="B260" s="187">
        <v>252</v>
      </c>
      <c r="C260" s="867"/>
      <c r="D260" s="868"/>
      <c r="E260" s="869"/>
      <c r="F260" s="869"/>
      <c r="G260" s="869"/>
      <c r="H260" s="870"/>
      <c r="I260" s="871">
        <v>8.5612029384756649</v>
      </c>
      <c r="J260" s="866">
        <v>24.078764921946732</v>
      </c>
      <c r="K260" s="866"/>
      <c r="L260" s="833"/>
      <c r="M260" s="833">
        <v>6318.3608815427015</v>
      </c>
      <c r="N260" s="833">
        <v>6000</v>
      </c>
      <c r="O260" s="834"/>
      <c r="P260" s="834"/>
      <c r="Q260" s="816"/>
      <c r="R260" s="779"/>
      <c r="S260" s="779"/>
      <c r="W260" s="823">
        <f t="shared" si="24"/>
        <v>0</v>
      </c>
      <c r="X260" s="823">
        <f t="shared" si="25"/>
        <v>0</v>
      </c>
      <c r="Y260" s="811">
        <f t="shared" si="26"/>
        <v>0</v>
      </c>
      <c r="Z260" s="811">
        <f t="shared" si="27"/>
        <v>0</v>
      </c>
      <c r="AA260" s="811"/>
      <c r="AB260" s="823">
        <f t="shared" si="28"/>
        <v>0</v>
      </c>
      <c r="AC260" s="823">
        <f t="shared" si="29"/>
        <v>0</v>
      </c>
      <c r="AD260" s="811">
        <f t="shared" si="30"/>
        <v>0</v>
      </c>
      <c r="AE260" s="811">
        <f t="shared" si="31"/>
        <v>0</v>
      </c>
      <c r="AF260" s="811"/>
      <c r="AG260" s="778"/>
      <c r="AH260" s="778"/>
      <c r="AI260" s="778"/>
      <c r="AJ260" s="778"/>
      <c r="AK260" s="778"/>
      <c r="AL260" s="778"/>
      <c r="AM260" s="778"/>
      <c r="AN260" s="778"/>
      <c r="AO260" s="778"/>
      <c r="AP260" s="778"/>
      <c r="AQ260" s="778"/>
      <c r="AR260" s="778"/>
      <c r="AS260" s="778"/>
      <c r="AT260" s="778"/>
    </row>
    <row r="261" spans="1:46" s="187" customFormat="1" ht="15.75" thickTop="1" x14ac:dyDescent="0.25">
      <c r="A261" s="890">
        <v>253</v>
      </c>
      <c r="B261" s="187">
        <v>253</v>
      </c>
      <c r="C261" s="793"/>
      <c r="D261" s="809"/>
      <c r="E261" s="839"/>
      <c r="F261" s="784"/>
      <c r="G261" s="784"/>
      <c r="H261" s="779"/>
      <c r="I261" s="779"/>
      <c r="J261" s="872"/>
      <c r="K261" s="779"/>
      <c r="L261" s="814"/>
      <c r="M261" s="814"/>
      <c r="N261" s="838"/>
      <c r="O261" s="838"/>
      <c r="P261" s="838"/>
      <c r="Q261" s="816"/>
      <c r="W261" s="823">
        <f t="shared" si="24"/>
        <v>0</v>
      </c>
      <c r="X261" s="823">
        <f t="shared" si="25"/>
        <v>0</v>
      </c>
      <c r="Y261" s="811">
        <f t="shared" si="26"/>
        <v>0</v>
      </c>
      <c r="Z261" s="811">
        <f t="shared" si="27"/>
        <v>0</v>
      </c>
      <c r="AA261" s="811"/>
      <c r="AB261" s="823">
        <f t="shared" si="28"/>
        <v>0</v>
      </c>
      <c r="AC261" s="823">
        <f t="shared" si="29"/>
        <v>0</v>
      </c>
      <c r="AD261" s="811">
        <f t="shared" si="30"/>
        <v>0</v>
      </c>
      <c r="AE261" s="811">
        <f t="shared" si="31"/>
        <v>0</v>
      </c>
      <c r="AF261" s="811"/>
      <c r="AG261" s="778"/>
      <c r="AH261" s="778"/>
      <c r="AI261" s="778"/>
      <c r="AJ261" s="778"/>
      <c r="AK261" s="778"/>
      <c r="AL261" s="778"/>
      <c r="AM261" s="778"/>
      <c r="AN261" s="778"/>
      <c r="AO261" s="778"/>
      <c r="AP261" s="778"/>
      <c r="AQ261" s="778"/>
      <c r="AR261" s="778"/>
      <c r="AS261" s="778"/>
      <c r="AT261" s="778"/>
    </row>
    <row r="262" spans="1:46" s="187" customFormat="1" x14ac:dyDescent="0.25">
      <c r="A262" s="890">
        <v>254</v>
      </c>
      <c r="B262" s="187">
        <v>254</v>
      </c>
      <c r="C262" s="812" t="s">
        <v>1364</v>
      </c>
      <c r="D262" s="809"/>
      <c r="E262" s="839"/>
      <c r="F262" s="839" t="s">
        <v>854</v>
      </c>
      <c r="G262" s="839"/>
      <c r="H262" s="793"/>
      <c r="I262" s="793"/>
      <c r="J262" s="840" t="s">
        <v>858</v>
      </c>
      <c r="K262" s="839" t="s">
        <v>859</v>
      </c>
      <c r="L262" s="841" t="s">
        <v>900</v>
      </c>
      <c r="M262" s="841" t="s">
        <v>317</v>
      </c>
      <c r="N262" s="838"/>
      <c r="O262" s="838"/>
      <c r="P262" s="838"/>
      <c r="Q262" s="816"/>
      <c r="W262" s="823">
        <f t="shared" si="24"/>
        <v>0</v>
      </c>
      <c r="X262" s="823">
        <f t="shared" si="25"/>
        <v>0</v>
      </c>
      <c r="Y262" s="811">
        <f t="shared" si="26"/>
        <v>0</v>
      </c>
      <c r="Z262" s="811">
        <f t="shared" si="27"/>
        <v>0</v>
      </c>
      <c r="AA262" s="811"/>
      <c r="AB262" s="823">
        <f t="shared" si="28"/>
        <v>0</v>
      </c>
      <c r="AC262" s="823">
        <f t="shared" si="29"/>
        <v>0</v>
      </c>
      <c r="AD262" s="811">
        <f t="shared" si="30"/>
        <v>0</v>
      </c>
      <c r="AE262" s="811">
        <f t="shared" si="31"/>
        <v>0</v>
      </c>
      <c r="AF262" s="811"/>
      <c r="AG262" s="778"/>
      <c r="AH262" s="778"/>
      <c r="AI262" s="778"/>
      <c r="AJ262" s="778"/>
      <c r="AK262" s="778"/>
      <c r="AL262" s="778"/>
      <c r="AM262" s="778"/>
      <c r="AN262" s="778"/>
      <c r="AO262" s="778"/>
      <c r="AP262" s="778"/>
      <c r="AQ262" s="778"/>
      <c r="AR262" s="778"/>
      <c r="AS262" s="778"/>
      <c r="AT262" s="778"/>
    </row>
    <row r="263" spans="1:46" s="187" customFormat="1" ht="15.75" x14ac:dyDescent="0.25">
      <c r="A263" s="890">
        <v>255</v>
      </c>
      <c r="B263" s="187">
        <v>255</v>
      </c>
      <c r="C263" s="873"/>
      <c r="D263" s="868"/>
      <c r="E263" s="869"/>
      <c r="F263" s="869"/>
      <c r="G263" s="869"/>
      <c r="H263" s="874"/>
      <c r="I263" s="874"/>
      <c r="J263" s="874"/>
      <c r="K263" s="874"/>
      <c r="L263" s="875"/>
      <c r="M263" s="876"/>
      <c r="N263" s="838"/>
      <c r="O263" s="838"/>
      <c r="P263" s="838"/>
      <c r="Q263" s="816"/>
      <c r="W263" s="823">
        <f t="shared" si="24"/>
        <v>0</v>
      </c>
      <c r="X263" s="823">
        <f t="shared" si="25"/>
        <v>0</v>
      </c>
      <c r="Y263" s="811">
        <f t="shared" si="26"/>
        <v>0</v>
      </c>
      <c r="Z263" s="811">
        <f t="shared" si="27"/>
        <v>0</v>
      </c>
      <c r="AA263" s="811"/>
      <c r="AB263" s="823">
        <f t="shared" si="28"/>
        <v>0</v>
      </c>
      <c r="AC263" s="823">
        <f t="shared" si="29"/>
        <v>0</v>
      </c>
      <c r="AD263" s="811">
        <f t="shared" si="30"/>
        <v>0</v>
      </c>
      <c r="AE263" s="811">
        <f t="shared" si="31"/>
        <v>0</v>
      </c>
      <c r="AF263" s="811"/>
      <c r="AG263" s="778"/>
      <c r="AH263" s="778"/>
      <c r="AI263" s="778"/>
      <c r="AJ263" s="778"/>
      <c r="AK263" s="778"/>
      <c r="AL263" s="778"/>
      <c r="AM263" s="778"/>
      <c r="AN263" s="778"/>
      <c r="AO263" s="778"/>
      <c r="AP263" s="778"/>
      <c r="AQ263" s="778"/>
      <c r="AR263" s="778"/>
      <c r="AS263" s="778"/>
      <c r="AT263" s="778"/>
    </row>
    <row r="264" spans="1:46" s="187" customFormat="1" x14ac:dyDescent="0.25">
      <c r="A264" s="890">
        <v>256</v>
      </c>
      <c r="B264" s="187">
        <v>256</v>
      </c>
      <c r="C264" s="779" t="s">
        <v>1132</v>
      </c>
      <c r="D264" s="815" t="s">
        <v>1365</v>
      </c>
      <c r="E264" s="784"/>
      <c r="F264" s="779">
        <v>22471</v>
      </c>
      <c r="G264" s="784">
        <v>1</v>
      </c>
      <c r="H264" s="784">
        <v>0</v>
      </c>
      <c r="I264" s="817">
        <v>0</v>
      </c>
      <c r="J264" s="861">
        <v>0.51586317722681363</v>
      </c>
      <c r="K264" s="816">
        <v>250</v>
      </c>
      <c r="L264" s="820">
        <v>154.75895316804409</v>
      </c>
      <c r="M264" s="821">
        <v>0</v>
      </c>
      <c r="N264" s="824">
        <v>0</v>
      </c>
      <c r="O264" s="824"/>
      <c r="P264" s="824"/>
      <c r="Q264" s="816"/>
      <c r="W264" s="823">
        <f t="shared" si="24"/>
        <v>0</v>
      </c>
      <c r="X264" s="823">
        <f t="shared" si="25"/>
        <v>0</v>
      </c>
      <c r="Y264" s="811">
        <f t="shared" si="26"/>
        <v>0</v>
      </c>
      <c r="Z264" s="811">
        <f t="shared" si="27"/>
        <v>0</v>
      </c>
      <c r="AA264" s="811"/>
      <c r="AB264" s="823">
        <f t="shared" si="28"/>
        <v>0</v>
      </c>
      <c r="AC264" s="823">
        <f t="shared" si="29"/>
        <v>0</v>
      </c>
      <c r="AD264" s="811">
        <f t="shared" si="30"/>
        <v>0</v>
      </c>
      <c r="AE264" s="811">
        <f t="shared" si="31"/>
        <v>0</v>
      </c>
      <c r="AF264" s="811"/>
      <c r="AG264" s="778"/>
      <c r="AH264" s="778"/>
      <c r="AI264" s="778"/>
      <c r="AJ264" s="778"/>
      <c r="AK264" s="778"/>
      <c r="AL264" s="778"/>
      <c r="AM264" s="778"/>
      <c r="AN264" s="778"/>
      <c r="AO264" s="778"/>
      <c r="AP264" s="778"/>
      <c r="AQ264" s="778"/>
      <c r="AR264" s="778"/>
      <c r="AS264" s="778"/>
      <c r="AT264" s="778"/>
    </row>
    <row r="265" spans="1:46" s="187" customFormat="1" x14ac:dyDescent="0.25">
      <c r="A265" s="890">
        <v>257</v>
      </c>
      <c r="B265" s="187">
        <v>257</v>
      </c>
      <c r="C265" s="779" t="s">
        <v>1134</v>
      </c>
      <c r="D265" s="815" t="s">
        <v>1366</v>
      </c>
      <c r="E265" s="784"/>
      <c r="F265" s="779">
        <v>22393</v>
      </c>
      <c r="G265" s="784">
        <v>1</v>
      </c>
      <c r="H265" s="784">
        <v>0</v>
      </c>
      <c r="I265" s="817">
        <v>0</v>
      </c>
      <c r="J265" s="861">
        <v>0.51407254361799815</v>
      </c>
      <c r="K265" s="816">
        <v>250</v>
      </c>
      <c r="L265" s="820">
        <v>154.22176308539943</v>
      </c>
      <c r="M265" s="821">
        <v>0</v>
      </c>
      <c r="N265" s="824">
        <v>0</v>
      </c>
      <c r="O265" s="824"/>
      <c r="P265" s="824"/>
      <c r="Q265" s="816"/>
      <c r="W265" s="823">
        <f t="shared" si="24"/>
        <v>0</v>
      </c>
      <c r="X265" s="823">
        <f t="shared" si="25"/>
        <v>0</v>
      </c>
      <c r="Y265" s="811">
        <f t="shared" si="26"/>
        <v>0</v>
      </c>
      <c r="Z265" s="811">
        <f t="shared" si="27"/>
        <v>0</v>
      </c>
      <c r="AA265" s="811"/>
      <c r="AB265" s="823">
        <f t="shared" si="28"/>
        <v>0</v>
      </c>
      <c r="AC265" s="823">
        <f t="shared" si="29"/>
        <v>0</v>
      </c>
      <c r="AD265" s="811">
        <f t="shared" si="30"/>
        <v>0</v>
      </c>
      <c r="AE265" s="811">
        <f t="shared" si="31"/>
        <v>0</v>
      </c>
      <c r="AF265" s="811"/>
      <c r="AG265" s="778"/>
      <c r="AH265" s="778"/>
      <c r="AI265" s="778"/>
      <c r="AJ265" s="778"/>
      <c r="AK265" s="778"/>
      <c r="AL265" s="778"/>
      <c r="AM265" s="778"/>
      <c r="AN265" s="778"/>
      <c r="AO265" s="778"/>
      <c r="AP265" s="778"/>
      <c r="AQ265" s="778"/>
      <c r="AR265" s="778"/>
      <c r="AS265" s="778" t="s">
        <v>1367</v>
      </c>
      <c r="AT265" s="778" t="s">
        <v>85</v>
      </c>
    </row>
    <row r="266" spans="1:46" s="187" customFormat="1" x14ac:dyDescent="0.25">
      <c r="A266" s="890">
        <v>258</v>
      </c>
      <c r="B266" s="187">
        <v>258</v>
      </c>
      <c r="C266" s="779" t="s">
        <v>1137</v>
      </c>
      <c r="D266" s="815" t="s">
        <v>1368</v>
      </c>
      <c r="E266" s="784"/>
      <c r="F266" s="779">
        <v>22734</v>
      </c>
      <c r="G266" s="784">
        <v>1</v>
      </c>
      <c r="H266" s="784">
        <v>0</v>
      </c>
      <c r="I266" s="817">
        <v>0</v>
      </c>
      <c r="J266" s="861">
        <v>0.521900826446281</v>
      </c>
      <c r="K266" s="816">
        <v>250</v>
      </c>
      <c r="L266" s="820">
        <v>156.5702479338843</v>
      </c>
      <c r="M266" s="821">
        <v>0</v>
      </c>
      <c r="N266" s="824">
        <v>0</v>
      </c>
      <c r="O266" s="824"/>
      <c r="P266" s="824"/>
      <c r="Q266" s="816"/>
      <c r="W266" s="823">
        <f t="shared" si="24"/>
        <v>0</v>
      </c>
      <c r="X266" s="823">
        <f t="shared" si="25"/>
        <v>0</v>
      </c>
      <c r="Y266" s="811">
        <f t="shared" si="26"/>
        <v>0</v>
      </c>
      <c r="Z266" s="811">
        <f t="shared" si="27"/>
        <v>0</v>
      </c>
      <c r="AA266" s="811"/>
      <c r="AB266" s="823">
        <f t="shared" si="28"/>
        <v>0</v>
      </c>
      <c r="AC266" s="823">
        <f t="shared" si="29"/>
        <v>0</v>
      </c>
      <c r="AD266" s="811">
        <f t="shared" si="30"/>
        <v>0</v>
      </c>
      <c r="AE266" s="811">
        <f t="shared" si="31"/>
        <v>0</v>
      </c>
      <c r="AF266" s="811"/>
      <c r="AG266" s="778"/>
      <c r="AH266" s="778"/>
      <c r="AI266" s="778"/>
      <c r="AJ266" s="778"/>
      <c r="AK266" s="778"/>
      <c r="AL266" s="778"/>
      <c r="AM266" s="778"/>
      <c r="AN266" s="778"/>
      <c r="AO266" s="778"/>
      <c r="AP266" s="778"/>
      <c r="AQ266" s="778"/>
      <c r="AR266" s="778"/>
      <c r="AS266" s="807" t="s">
        <v>864</v>
      </c>
      <c r="AT266" s="778">
        <v>3</v>
      </c>
    </row>
    <row r="267" spans="1:46" s="187" customFormat="1" x14ac:dyDescent="0.25">
      <c r="A267" s="890">
        <v>259</v>
      </c>
      <c r="B267" s="187">
        <v>259</v>
      </c>
      <c r="C267" s="779" t="s">
        <v>1139</v>
      </c>
      <c r="D267" s="815" t="s">
        <v>1369</v>
      </c>
      <c r="E267" s="784"/>
      <c r="F267" s="779">
        <v>23376</v>
      </c>
      <c r="G267" s="784">
        <v>1</v>
      </c>
      <c r="H267" s="784">
        <v>0</v>
      </c>
      <c r="I267" s="817">
        <v>0</v>
      </c>
      <c r="J267" s="861">
        <v>0.53663911845730028</v>
      </c>
      <c r="K267" s="816">
        <v>250</v>
      </c>
      <c r="L267" s="820">
        <v>160.9917355371901</v>
      </c>
      <c r="M267" s="821">
        <v>0</v>
      </c>
      <c r="N267" s="824">
        <v>0</v>
      </c>
      <c r="O267" s="824"/>
      <c r="P267" s="824"/>
      <c r="Q267" s="816"/>
      <c r="W267" s="823">
        <f t="shared" si="24"/>
        <v>0</v>
      </c>
      <c r="X267" s="823">
        <f t="shared" si="25"/>
        <v>0</v>
      </c>
      <c r="Y267" s="811">
        <f t="shared" si="26"/>
        <v>0</v>
      </c>
      <c r="Z267" s="811">
        <f t="shared" si="27"/>
        <v>0</v>
      </c>
      <c r="AA267" s="811"/>
      <c r="AB267" s="823">
        <f t="shared" si="28"/>
        <v>0</v>
      </c>
      <c r="AC267" s="823">
        <f t="shared" si="29"/>
        <v>0</v>
      </c>
      <c r="AD267" s="811">
        <f t="shared" si="30"/>
        <v>0</v>
      </c>
      <c r="AE267" s="811">
        <f t="shared" si="31"/>
        <v>0</v>
      </c>
      <c r="AF267" s="811"/>
      <c r="AG267" s="778"/>
      <c r="AH267" s="778"/>
      <c r="AI267" s="778"/>
      <c r="AJ267" s="778"/>
      <c r="AK267" s="778"/>
      <c r="AL267" s="778"/>
      <c r="AM267" s="778"/>
      <c r="AN267" s="778"/>
      <c r="AO267" s="778"/>
      <c r="AP267" s="778"/>
      <c r="AQ267" s="778"/>
      <c r="AR267" s="778"/>
      <c r="AS267" s="807" t="s">
        <v>865</v>
      </c>
      <c r="AT267" s="778">
        <v>84</v>
      </c>
    </row>
    <row r="268" spans="1:46" s="187" customFormat="1" x14ac:dyDescent="0.25">
      <c r="A268" s="890">
        <v>260</v>
      </c>
      <c r="B268" s="187">
        <v>260</v>
      </c>
      <c r="C268" s="779" t="s">
        <v>1141</v>
      </c>
      <c r="D268" s="815" t="s">
        <v>1370</v>
      </c>
      <c r="E268" s="784"/>
      <c r="F268" s="779">
        <v>22791</v>
      </c>
      <c r="G268" s="784">
        <v>1</v>
      </c>
      <c r="H268" s="784">
        <v>0</v>
      </c>
      <c r="I268" s="817">
        <v>0</v>
      </c>
      <c r="J268" s="861">
        <v>0.52320936639118454</v>
      </c>
      <c r="K268" s="816">
        <v>250</v>
      </c>
      <c r="L268" s="820">
        <v>156.96280991735537</v>
      </c>
      <c r="M268" s="821">
        <v>0</v>
      </c>
      <c r="N268" s="824">
        <v>0</v>
      </c>
      <c r="O268" s="824"/>
      <c r="P268" s="824"/>
      <c r="Q268" s="816"/>
      <c r="W268" s="823">
        <f t="shared" si="24"/>
        <v>0</v>
      </c>
      <c r="X268" s="823">
        <f t="shared" si="25"/>
        <v>0</v>
      </c>
      <c r="Y268" s="811">
        <f t="shared" si="26"/>
        <v>0</v>
      </c>
      <c r="Z268" s="811">
        <f t="shared" si="27"/>
        <v>0</v>
      </c>
      <c r="AA268" s="811"/>
      <c r="AB268" s="823">
        <f t="shared" si="28"/>
        <v>0</v>
      </c>
      <c r="AC268" s="823">
        <f t="shared" si="29"/>
        <v>0</v>
      </c>
      <c r="AD268" s="811">
        <f t="shared" si="30"/>
        <v>0</v>
      </c>
      <c r="AE268" s="811">
        <f t="shared" si="31"/>
        <v>0</v>
      </c>
      <c r="AF268" s="811"/>
      <c r="AG268" s="778"/>
      <c r="AH268" s="778"/>
      <c r="AI268" s="778"/>
      <c r="AJ268" s="778"/>
      <c r="AK268" s="778"/>
      <c r="AL268" s="778"/>
      <c r="AM268" s="778"/>
      <c r="AN268" s="778"/>
      <c r="AO268" s="778"/>
      <c r="AP268" s="778"/>
      <c r="AQ268" s="778"/>
      <c r="AR268" s="778"/>
      <c r="AS268" s="807" t="s">
        <v>866</v>
      </c>
      <c r="AT268" s="778">
        <v>1</v>
      </c>
    </row>
    <row r="269" spans="1:46" s="187" customFormat="1" x14ac:dyDescent="0.25">
      <c r="A269" s="890">
        <v>261</v>
      </c>
      <c r="B269" s="187">
        <v>261</v>
      </c>
      <c r="C269" s="779" t="s">
        <v>1143</v>
      </c>
      <c r="D269" s="815" t="s">
        <v>1371</v>
      </c>
      <c r="E269" s="784"/>
      <c r="F269" s="779">
        <v>22415</v>
      </c>
      <c r="G269" s="784">
        <v>1</v>
      </c>
      <c r="H269" s="784">
        <v>0</v>
      </c>
      <c r="I269" s="817">
        <v>0</v>
      </c>
      <c r="J269" s="861">
        <v>0.51457759412304871</v>
      </c>
      <c r="K269" s="816">
        <v>250</v>
      </c>
      <c r="L269" s="820">
        <v>154.37327823691462</v>
      </c>
      <c r="M269" s="821">
        <v>0</v>
      </c>
      <c r="N269" s="824">
        <v>0</v>
      </c>
      <c r="O269" s="824"/>
      <c r="P269" s="824"/>
      <c r="Q269" s="816"/>
      <c r="W269" s="823">
        <f t="shared" ref="W269:W298" si="32">IF(H269=1,$W$9,0)</f>
        <v>0</v>
      </c>
      <c r="X269" s="823">
        <f t="shared" ref="X269:X298" si="33">IF(H269=1,$X$9*I269,0)</f>
        <v>0</v>
      </c>
      <c r="Y269" s="811">
        <f t="shared" ref="Y269:Y298" si="34">+X269+W269</f>
        <v>0</v>
      </c>
      <c r="Z269" s="811">
        <f t="shared" ref="Z269:Z298" si="35">IF(H269=1,Y269-400,0)</f>
        <v>0</v>
      </c>
      <c r="AA269" s="811"/>
      <c r="AB269" s="823">
        <f t="shared" ref="AB269:AB298" si="36">IF($H269=1,$AB$9,0)</f>
        <v>0</v>
      </c>
      <c r="AC269" s="823">
        <f t="shared" ref="AC269:AC298" si="37">IF($H269=1,$AC$9*I269,0)</f>
        <v>0</v>
      </c>
      <c r="AD269" s="811">
        <f t="shared" ref="AD269:AD299" si="38">+AC269+AB269</f>
        <v>0</v>
      </c>
      <c r="AE269" s="811">
        <f t="shared" ref="AE269:AE298" si="39">IF($H269=1,AD269-400,0)</f>
        <v>0</v>
      </c>
      <c r="AF269" s="811"/>
      <c r="AG269" s="778"/>
      <c r="AH269" s="778"/>
      <c r="AI269" s="778"/>
      <c r="AJ269" s="778"/>
      <c r="AK269" s="778"/>
      <c r="AL269" s="778"/>
      <c r="AM269" s="778"/>
      <c r="AN269" s="778"/>
      <c r="AO269" s="778"/>
      <c r="AP269" s="778"/>
      <c r="AQ269" s="778"/>
      <c r="AR269" s="778"/>
      <c r="AS269" s="807" t="s">
        <v>867</v>
      </c>
      <c r="AT269" s="778">
        <v>6</v>
      </c>
    </row>
    <row r="270" spans="1:46" s="187" customFormat="1" x14ac:dyDescent="0.25">
      <c r="A270" s="890">
        <v>262</v>
      </c>
      <c r="B270" s="187">
        <v>262</v>
      </c>
      <c r="C270" s="779" t="s">
        <v>1145</v>
      </c>
      <c r="D270" s="815" t="s">
        <v>1372</v>
      </c>
      <c r="E270" s="784"/>
      <c r="F270" s="779">
        <v>22631</v>
      </c>
      <c r="G270" s="784">
        <v>1</v>
      </c>
      <c r="H270" s="784">
        <v>0</v>
      </c>
      <c r="I270" s="817">
        <v>0</v>
      </c>
      <c r="J270" s="861">
        <v>0.51953627180899908</v>
      </c>
      <c r="K270" s="816">
        <v>250</v>
      </c>
      <c r="L270" s="820">
        <v>155.86088154269973</v>
      </c>
      <c r="M270" s="821">
        <v>0</v>
      </c>
      <c r="N270" s="824">
        <v>0</v>
      </c>
      <c r="O270" s="824"/>
      <c r="P270" s="824"/>
      <c r="Q270" s="816"/>
      <c r="W270" s="823">
        <f t="shared" si="32"/>
        <v>0</v>
      </c>
      <c r="X270" s="823">
        <f t="shared" si="33"/>
        <v>0</v>
      </c>
      <c r="Y270" s="811">
        <f t="shared" si="34"/>
        <v>0</v>
      </c>
      <c r="Z270" s="811">
        <f t="shared" si="35"/>
        <v>0</v>
      </c>
      <c r="AA270" s="811"/>
      <c r="AB270" s="823">
        <f t="shared" si="36"/>
        <v>0</v>
      </c>
      <c r="AC270" s="823">
        <f t="shared" si="37"/>
        <v>0</v>
      </c>
      <c r="AD270" s="811">
        <f t="shared" si="38"/>
        <v>0</v>
      </c>
      <c r="AE270" s="811">
        <f t="shared" si="39"/>
        <v>0</v>
      </c>
      <c r="AF270" s="811"/>
      <c r="AG270" s="778"/>
      <c r="AH270" s="778"/>
      <c r="AI270" s="778"/>
      <c r="AJ270" s="778"/>
      <c r="AK270" s="778"/>
      <c r="AL270" s="778"/>
      <c r="AM270" s="778"/>
      <c r="AN270" s="778"/>
      <c r="AO270" s="778"/>
      <c r="AP270" s="778"/>
      <c r="AQ270" s="778"/>
      <c r="AR270" s="778"/>
      <c r="AS270" s="807" t="s">
        <v>868</v>
      </c>
      <c r="AT270" s="778">
        <v>9</v>
      </c>
    </row>
    <row r="271" spans="1:46" s="187" customFormat="1" x14ac:dyDescent="0.25">
      <c r="A271" s="890">
        <v>263</v>
      </c>
      <c r="B271" s="187">
        <v>263</v>
      </c>
      <c r="C271" s="779" t="s">
        <v>1148</v>
      </c>
      <c r="D271" s="815" t="s">
        <v>1373</v>
      </c>
      <c r="E271" s="784"/>
      <c r="F271" s="779">
        <v>23448</v>
      </c>
      <c r="G271" s="784">
        <v>1</v>
      </c>
      <c r="H271" s="784">
        <v>0</v>
      </c>
      <c r="I271" s="817">
        <v>0</v>
      </c>
      <c r="J271" s="861">
        <v>0.5382920110192837</v>
      </c>
      <c r="K271" s="816">
        <v>250</v>
      </c>
      <c r="L271" s="820">
        <v>161.48760330578511</v>
      </c>
      <c r="M271" s="821">
        <v>0</v>
      </c>
      <c r="N271" s="824">
        <v>0</v>
      </c>
      <c r="O271" s="824"/>
      <c r="P271" s="824"/>
      <c r="Q271" s="816"/>
      <c r="W271" s="823">
        <f t="shared" si="32"/>
        <v>0</v>
      </c>
      <c r="X271" s="823">
        <f t="shared" si="33"/>
        <v>0</v>
      </c>
      <c r="Y271" s="811">
        <f t="shared" si="34"/>
        <v>0</v>
      </c>
      <c r="Z271" s="811">
        <f t="shared" si="35"/>
        <v>0</v>
      </c>
      <c r="AA271" s="811"/>
      <c r="AB271" s="823">
        <f t="shared" si="36"/>
        <v>0</v>
      </c>
      <c r="AC271" s="823">
        <f t="shared" si="37"/>
        <v>0</v>
      </c>
      <c r="AD271" s="811">
        <f t="shared" si="38"/>
        <v>0</v>
      </c>
      <c r="AE271" s="811">
        <f t="shared" si="39"/>
        <v>0</v>
      </c>
      <c r="AF271" s="811"/>
      <c r="AG271" s="778"/>
      <c r="AH271" s="778"/>
      <c r="AI271" s="778"/>
      <c r="AJ271" s="778"/>
      <c r="AK271" s="778"/>
      <c r="AL271" s="778"/>
      <c r="AM271" s="778"/>
      <c r="AN271" s="778"/>
      <c r="AO271" s="778"/>
      <c r="AP271" s="778"/>
      <c r="AQ271" s="778"/>
      <c r="AR271" s="778"/>
      <c r="AS271" s="807" t="s">
        <v>869</v>
      </c>
      <c r="AT271" s="778">
        <v>3</v>
      </c>
    </row>
    <row r="272" spans="1:46" s="187" customFormat="1" x14ac:dyDescent="0.25">
      <c r="A272" s="890">
        <v>264</v>
      </c>
      <c r="B272" s="187">
        <v>264</v>
      </c>
      <c r="C272" s="779" t="s">
        <v>1150</v>
      </c>
      <c r="D272" s="815" t="s">
        <v>1374</v>
      </c>
      <c r="E272" s="784"/>
      <c r="F272" s="779">
        <v>22766</v>
      </c>
      <c r="G272" s="784">
        <v>1</v>
      </c>
      <c r="H272" s="784">
        <v>0</v>
      </c>
      <c r="I272" s="817">
        <v>0</v>
      </c>
      <c r="J272" s="861">
        <v>0.52263544536271811</v>
      </c>
      <c r="K272" s="816">
        <v>250</v>
      </c>
      <c r="L272" s="820">
        <v>156.79063360881543</v>
      </c>
      <c r="M272" s="821">
        <v>0</v>
      </c>
      <c r="N272" s="824">
        <v>0</v>
      </c>
      <c r="O272" s="824"/>
      <c r="P272" s="824"/>
      <c r="Q272" s="816"/>
      <c r="W272" s="823">
        <f t="shared" si="32"/>
        <v>0</v>
      </c>
      <c r="X272" s="823">
        <f t="shared" si="33"/>
        <v>0</v>
      </c>
      <c r="Y272" s="811">
        <f t="shared" si="34"/>
        <v>0</v>
      </c>
      <c r="Z272" s="811">
        <f t="shared" si="35"/>
        <v>0</v>
      </c>
      <c r="AA272" s="811"/>
      <c r="AB272" s="823">
        <f t="shared" si="36"/>
        <v>0</v>
      </c>
      <c r="AC272" s="823">
        <f t="shared" si="37"/>
        <v>0</v>
      </c>
      <c r="AD272" s="811">
        <f t="shared" si="38"/>
        <v>0</v>
      </c>
      <c r="AE272" s="811">
        <f t="shared" si="39"/>
        <v>0</v>
      </c>
      <c r="AF272" s="811"/>
      <c r="AG272" s="778"/>
      <c r="AH272" s="778"/>
      <c r="AI272" s="778"/>
      <c r="AJ272" s="778"/>
      <c r="AK272" s="778"/>
      <c r="AL272" s="778"/>
      <c r="AM272" s="778"/>
      <c r="AN272" s="778"/>
      <c r="AO272" s="778"/>
      <c r="AP272" s="778"/>
      <c r="AQ272" s="778"/>
      <c r="AR272" s="778"/>
      <c r="AS272" s="807" t="s">
        <v>870</v>
      </c>
      <c r="AT272" s="778">
        <v>1</v>
      </c>
    </row>
    <row r="273" spans="1:46" s="187" customFormat="1" x14ac:dyDescent="0.25">
      <c r="A273" s="890">
        <v>265</v>
      </c>
      <c r="B273" s="187">
        <v>265</v>
      </c>
      <c r="C273" s="779" t="s">
        <v>1152</v>
      </c>
      <c r="D273" s="815" t="s">
        <v>1375</v>
      </c>
      <c r="E273" s="784"/>
      <c r="F273" s="779">
        <v>23170</v>
      </c>
      <c r="G273" s="784">
        <v>1</v>
      </c>
      <c r="H273" s="784">
        <v>0</v>
      </c>
      <c r="I273" s="817">
        <v>0</v>
      </c>
      <c r="J273" s="861">
        <v>0.53191000918273645</v>
      </c>
      <c r="K273" s="816">
        <v>250</v>
      </c>
      <c r="L273" s="820">
        <v>159.57300275482095</v>
      </c>
      <c r="M273" s="821">
        <v>0</v>
      </c>
      <c r="N273" s="824">
        <v>0</v>
      </c>
      <c r="O273" s="824"/>
      <c r="P273" s="824"/>
      <c r="Q273" s="816"/>
      <c r="W273" s="823">
        <f t="shared" si="32"/>
        <v>0</v>
      </c>
      <c r="X273" s="823">
        <f t="shared" si="33"/>
        <v>0</v>
      </c>
      <c r="Y273" s="811">
        <f t="shared" si="34"/>
        <v>0</v>
      </c>
      <c r="Z273" s="811">
        <f t="shared" si="35"/>
        <v>0</v>
      </c>
      <c r="AA273" s="811"/>
      <c r="AB273" s="823">
        <f t="shared" si="36"/>
        <v>0</v>
      </c>
      <c r="AC273" s="823">
        <f t="shared" si="37"/>
        <v>0</v>
      </c>
      <c r="AD273" s="811">
        <f t="shared" si="38"/>
        <v>0</v>
      </c>
      <c r="AE273" s="811">
        <f t="shared" si="39"/>
        <v>0</v>
      </c>
      <c r="AF273" s="811"/>
      <c r="AG273" s="778"/>
      <c r="AH273" s="778"/>
      <c r="AI273" s="778"/>
      <c r="AJ273" s="778"/>
      <c r="AK273" s="778"/>
      <c r="AL273" s="778"/>
      <c r="AM273" s="778"/>
      <c r="AN273" s="778"/>
      <c r="AO273" s="778"/>
      <c r="AP273" s="778"/>
      <c r="AQ273" s="778"/>
      <c r="AR273" s="778"/>
      <c r="AS273" s="807" t="s">
        <v>871</v>
      </c>
      <c r="AT273" s="778">
        <v>0</v>
      </c>
    </row>
    <row r="274" spans="1:46" s="187" customFormat="1" x14ac:dyDescent="0.25">
      <c r="A274" s="890">
        <v>266</v>
      </c>
      <c r="B274" s="187">
        <v>266</v>
      </c>
      <c r="C274" s="779" t="s">
        <v>1154</v>
      </c>
      <c r="D274" s="815" t="s">
        <v>1376</v>
      </c>
      <c r="E274" s="784"/>
      <c r="F274" s="779">
        <v>23247</v>
      </c>
      <c r="G274" s="784">
        <v>1</v>
      </c>
      <c r="H274" s="784">
        <v>0</v>
      </c>
      <c r="I274" s="817">
        <v>0</v>
      </c>
      <c r="J274" s="861">
        <v>0.53367768595041321</v>
      </c>
      <c r="K274" s="816">
        <v>250</v>
      </c>
      <c r="L274" s="820">
        <v>160.10330578512395</v>
      </c>
      <c r="M274" s="821">
        <v>0</v>
      </c>
      <c r="N274" s="824">
        <v>0</v>
      </c>
      <c r="O274" s="824"/>
      <c r="P274" s="824"/>
      <c r="Q274" s="816"/>
      <c r="W274" s="823">
        <f t="shared" si="32"/>
        <v>0</v>
      </c>
      <c r="X274" s="823">
        <f t="shared" si="33"/>
        <v>0</v>
      </c>
      <c r="Y274" s="811">
        <f t="shared" si="34"/>
        <v>0</v>
      </c>
      <c r="Z274" s="811">
        <f t="shared" si="35"/>
        <v>0</v>
      </c>
      <c r="AA274" s="811"/>
      <c r="AB274" s="823">
        <f t="shared" si="36"/>
        <v>0</v>
      </c>
      <c r="AC274" s="823">
        <f t="shared" si="37"/>
        <v>0</v>
      </c>
      <c r="AD274" s="811">
        <f t="shared" si="38"/>
        <v>0</v>
      </c>
      <c r="AE274" s="811">
        <f t="shared" si="39"/>
        <v>0</v>
      </c>
      <c r="AF274" s="811"/>
      <c r="AG274" s="778"/>
      <c r="AH274" s="778"/>
      <c r="AI274" s="778"/>
      <c r="AJ274" s="778"/>
      <c r="AK274" s="778"/>
      <c r="AL274" s="778"/>
      <c r="AM274" s="778"/>
      <c r="AN274" s="778"/>
      <c r="AO274" s="778"/>
      <c r="AP274" s="778"/>
      <c r="AQ274" s="778"/>
      <c r="AR274" s="778"/>
      <c r="AS274" s="807" t="s">
        <v>872</v>
      </c>
      <c r="AT274" s="778">
        <v>0</v>
      </c>
    </row>
    <row r="275" spans="1:46" s="187" customFormat="1" x14ac:dyDescent="0.25">
      <c r="A275" s="890">
        <v>267</v>
      </c>
      <c r="B275" s="187">
        <v>267</v>
      </c>
      <c r="C275" s="779" t="s">
        <v>1156</v>
      </c>
      <c r="D275" s="815" t="s">
        <v>1377</v>
      </c>
      <c r="E275" s="779"/>
      <c r="F275" s="779">
        <v>22793</v>
      </c>
      <c r="G275" s="784">
        <v>1</v>
      </c>
      <c r="H275" s="784">
        <v>0</v>
      </c>
      <c r="I275" s="817">
        <v>0</v>
      </c>
      <c r="J275" s="861">
        <v>0.52325528007346189</v>
      </c>
      <c r="K275" s="816">
        <v>250</v>
      </c>
      <c r="L275" s="820">
        <v>156.97658402203857</v>
      </c>
      <c r="M275" s="821">
        <v>0</v>
      </c>
      <c r="N275" s="824">
        <v>0</v>
      </c>
      <c r="O275" s="824"/>
      <c r="P275" s="824"/>
      <c r="Q275" s="816"/>
      <c r="W275" s="823">
        <f t="shared" si="32"/>
        <v>0</v>
      </c>
      <c r="X275" s="823">
        <f t="shared" si="33"/>
        <v>0</v>
      </c>
      <c r="Y275" s="811">
        <f t="shared" si="34"/>
        <v>0</v>
      </c>
      <c r="Z275" s="811">
        <f t="shared" si="35"/>
        <v>0</v>
      </c>
      <c r="AA275" s="811"/>
      <c r="AB275" s="823">
        <f t="shared" si="36"/>
        <v>0</v>
      </c>
      <c r="AC275" s="823">
        <f t="shared" si="37"/>
        <v>0</v>
      </c>
      <c r="AD275" s="811">
        <f t="shared" si="38"/>
        <v>0</v>
      </c>
      <c r="AE275" s="811">
        <f t="shared" si="39"/>
        <v>0</v>
      </c>
      <c r="AF275" s="811"/>
      <c r="AG275" s="778"/>
      <c r="AH275" s="778"/>
      <c r="AI275" s="778"/>
      <c r="AJ275" s="778"/>
      <c r="AK275" s="778"/>
      <c r="AL275" s="778"/>
      <c r="AM275" s="778"/>
      <c r="AN275" s="778"/>
      <c r="AO275" s="778"/>
      <c r="AP275" s="778"/>
      <c r="AQ275" s="778"/>
      <c r="AR275" s="778"/>
      <c r="AS275" s="807" t="s">
        <v>873</v>
      </c>
      <c r="AT275" s="778">
        <v>2</v>
      </c>
    </row>
    <row r="276" spans="1:46" s="187" customFormat="1" ht="26.25" x14ac:dyDescent="0.25">
      <c r="A276" s="890">
        <v>268</v>
      </c>
      <c r="B276" s="187">
        <v>268</v>
      </c>
      <c r="C276" s="779" t="s">
        <v>1158</v>
      </c>
      <c r="D276" s="815" t="s">
        <v>1378</v>
      </c>
      <c r="E276" s="779"/>
      <c r="F276" s="779">
        <v>22777</v>
      </c>
      <c r="G276" s="784">
        <v>1</v>
      </c>
      <c r="H276" s="784">
        <v>0</v>
      </c>
      <c r="I276" s="817">
        <v>0</v>
      </c>
      <c r="J276" s="861">
        <v>0.52288797061524339</v>
      </c>
      <c r="K276" s="816">
        <v>250</v>
      </c>
      <c r="L276" s="820">
        <v>156.86639118457302</v>
      </c>
      <c r="M276" s="821">
        <v>0</v>
      </c>
      <c r="N276" s="824">
        <v>0</v>
      </c>
      <c r="O276" s="824"/>
      <c r="P276" s="824"/>
      <c r="Q276" s="816"/>
      <c r="W276" s="823">
        <f t="shared" si="32"/>
        <v>0</v>
      </c>
      <c r="X276" s="823">
        <f t="shared" si="33"/>
        <v>0</v>
      </c>
      <c r="Y276" s="811">
        <f t="shared" si="34"/>
        <v>0</v>
      </c>
      <c r="Z276" s="811">
        <f t="shared" si="35"/>
        <v>0</v>
      </c>
      <c r="AA276" s="811"/>
      <c r="AB276" s="823">
        <f t="shared" si="36"/>
        <v>0</v>
      </c>
      <c r="AC276" s="823">
        <f t="shared" si="37"/>
        <v>0</v>
      </c>
      <c r="AD276" s="811">
        <f t="shared" si="38"/>
        <v>0</v>
      </c>
      <c r="AE276" s="811">
        <f t="shared" si="39"/>
        <v>0</v>
      </c>
      <c r="AF276" s="811"/>
      <c r="AG276" s="778"/>
      <c r="AH276" s="778"/>
      <c r="AI276" s="778"/>
      <c r="AJ276" s="778"/>
      <c r="AK276" s="778"/>
      <c r="AL276" s="778"/>
      <c r="AM276" s="778"/>
      <c r="AN276" s="778"/>
      <c r="AO276" s="778"/>
      <c r="AP276" s="778"/>
      <c r="AQ276" s="778"/>
      <c r="AR276" s="778"/>
      <c r="AS276" s="807" t="s">
        <v>874</v>
      </c>
      <c r="AT276" s="778">
        <v>6</v>
      </c>
    </row>
    <row r="277" spans="1:46" s="187" customFormat="1" x14ac:dyDescent="0.25">
      <c r="A277" s="890">
        <v>269</v>
      </c>
      <c r="B277" s="187">
        <v>269</v>
      </c>
      <c r="C277" s="779" t="s">
        <v>1160</v>
      </c>
      <c r="D277" s="815" t="s">
        <v>1379</v>
      </c>
      <c r="E277" s="779"/>
      <c r="F277" s="779">
        <v>22911</v>
      </c>
      <c r="G277" s="784">
        <v>1</v>
      </c>
      <c r="H277" s="784">
        <v>0</v>
      </c>
      <c r="I277" s="817">
        <v>0</v>
      </c>
      <c r="J277" s="861">
        <v>0.52596418732782368</v>
      </c>
      <c r="K277" s="816">
        <v>250</v>
      </c>
      <c r="L277" s="820">
        <v>157.78925619834712</v>
      </c>
      <c r="M277" s="821">
        <v>0</v>
      </c>
      <c r="N277" s="824">
        <v>0</v>
      </c>
      <c r="O277" s="824"/>
      <c r="P277" s="824"/>
      <c r="Q277" s="816"/>
      <c r="W277" s="823">
        <f t="shared" si="32"/>
        <v>0</v>
      </c>
      <c r="X277" s="823">
        <f t="shared" si="33"/>
        <v>0</v>
      </c>
      <c r="Y277" s="811">
        <f t="shared" si="34"/>
        <v>0</v>
      </c>
      <c r="Z277" s="811">
        <f t="shared" si="35"/>
        <v>0</v>
      </c>
      <c r="AA277" s="811"/>
      <c r="AB277" s="823">
        <f t="shared" si="36"/>
        <v>0</v>
      </c>
      <c r="AC277" s="823">
        <f t="shared" si="37"/>
        <v>0</v>
      </c>
      <c r="AD277" s="811">
        <f t="shared" si="38"/>
        <v>0</v>
      </c>
      <c r="AE277" s="811">
        <f t="shared" si="39"/>
        <v>0</v>
      </c>
      <c r="AF277" s="811"/>
      <c r="AG277" s="778"/>
      <c r="AH277" s="778"/>
      <c r="AI277" s="778"/>
      <c r="AJ277" s="778"/>
      <c r="AK277" s="778"/>
      <c r="AL277" s="778"/>
      <c r="AM277" s="778"/>
      <c r="AN277" s="778"/>
      <c r="AO277" s="778"/>
      <c r="AP277" s="778"/>
      <c r="AQ277" s="778"/>
      <c r="AR277" s="778"/>
      <c r="AS277" s="778"/>
      <c r="AT277" s="778">
        <f>SUM(AT266:AT276)</f>
        <v>115</v>
      </c>
    </row>
    <row r="278" spans="1:46" s="187" customFormat="1" x14ac:dyDescent="0.25">
      <c r="A278" s="890">
        <v>270</v>
      </c>
      <c r="B278" s="187">
        <v>270</v>
      </c>
      <c r="C278" s="779" t="s">
        <v>1162</v>
      </c>
      <c r="D278" s="815" t="s">
        <v>1380</v>
      </c>
      <c r="E278" s="779"/>
      <c r="F278" s="779">
        <v>23021</v>
      </c>
      <c r="G278" s="784">
        <v>1</v>
      </c>
      <c r="H278" s="784">
        <v>0</v>
      </c>
      <c r="I278" s="817">
        <v>0</v>
      </c>
      <c r="J278" s="861">
        <v>0.52848943985307617</v>
      </c>
      <c r="K278" s="816">
        <v>250</v>
      </c>
      <c r="L278" s="820">
        <v>158.54683195592284</v>
      </c>
      <c r="M278" s="821">
        <v>0</v>
      </c>
      <c r="N278" s="824">
        <v>0</v>
      </c>
      <c r="O278" s="824"/>
      <c r="P278" s="824"/>
      <c r="Q278" s="816"/>
      <c r="W278" s="823">
        <f t="shared" si="32"/>
        <v>0</v>
      </c>
      <c r="X278" s="823">
        <f t="shared" si="33"/>
        <v>0</v>
      </c>
      <c r="Y278" s="811">
        <f t="shared" si="34"/>
        <v>0</v>
      </c>
      <c r="Z278" s="811">
        <f t="shared" si="35"/>
        <v>0</v>
      </c>
      <c r="AA278" s="811"/>
      <c r="AB278" s="823">
        <f t="shared" si="36"/>
        <v>0</v>
      </c>
      <c r="AC278" s="823">
        <f t="shared" si="37"/>
        <v>0</v>
      </c>
      <c r="AD278" s="811">
        <f t="shared" si="38"/>
        <v>0</v>
      </c>
      <c r="AE278" s="811">
        <f t="shared" si="39"/>
        <v>0</v>
      </c>
      <c r="AF278" s="811"/>
      <c r="AG278" s="778"/>
      <c r="AH278" s="778"/>
      <c r="AI278" s="778"/>
      <c r="AJ278" s="778"/>
      <c r="AK278" s="778"/>
      <c r="AL278" s="778"/>
      <c r="AM278" s="778"/>
      <c r="AN278" s="778"/>
      <c r="AO278" s="778"/>
      <c r="AP278" s="778"/>
      <c r="AQ278" s="778"/>
      <c r="AR278" s="778"/>
      <c r="AS278" s="778"/>
      <c r="AT278" s="778"/>
    </row>
    <row r="279" spans="1:46" s="187" customFormat="1" x14ac:dyDescent="0.25">
      <c r="A279" s="890">
        <v>271</v>
      </c>
      <c r="B279" s="187">
        <v>271</v>
      </c>
      <c r="C279" s="779" t="s">
        <v>1165</v>
      </c>
      <c r="D279" s="815" t="s">
        <v>1381</v>
      </c>
      <c r="E279" s="779"/>
      <c r="F279" s="779">
        <v>26304</v>
      </c>
      <c r="G279" s="784">
        <v>1</v>
      </c>
      <c r="H279" s="784">
        <v>0</v>
      </c>
      <c r="I279" s="817">
        <v>0</v>
      </c>
      <c r="J279" s="861">
        <v>0.60385674931129474</v>
      </c>
      <c r="K279" s="816">
        <v>250</v>
      </c>
      <c r="L279" s="820">
        <v>181.15702479338842</v>
      </c>
      <c r="M279" s="821">
        <v>0</v>
      </c>
      <c r="N279" s="824">
        <v>0</v>
      </c>
      <c r="O279" s="824"/>
      <c r="P279" s="824"/>
      <c r="Q279" s="816"/>
      <c r="W279" s="823">
        <f t="shared" si="32"/>
        <v>0</v>
      </c>
      <c r="X279" s="823">
        <f t="shared" si="33"/>
        <v>0</v>
      </c>
      <c r="Y279" s="811">
        <f t="shared" si="34"/>
        <v>0</v>
      </c>
      <c r="Z279" s="811">
        <f t="shared" si="35"/>
        <v>0</v>
      </c>
      <c r="AA279" s="811"/>
      <c r="AB279" s="823">
        <f t="shared" si="36"/>
        <v>0</v>
      </c>
      <c r="AC279" s="823">
        <f t="shared" si="37"/>
        <v>0</v>
      </c>
      <c r="AD279" s="811">
        <f t="shared" si="38"/>
        <v>0</v>
      </c>
      <c r="AE279" s="811">
        <f t="shared" si="39"/>
        <v>0</v>
      </c>
      <c r="AF279" s="811"/>
      <c r="AG279" s="778"/>
      <c r="AH279" s="778"/>
      <c r="AI279" s="778"/>
      <c r="AJ279" s="778"/>
      <c r="AK279" s="778"/>
      <c r="AL279" s="778"/>
      <c r="AM279" s="778"/>
      <c r="AN279" s="778"/>
      <c r="AO279" s="778"/>
      <c r="AP279" s="778"/>
      <c r="AQ279" s="778"/>
      <c r="AR279" s="778"/>
      <c r="AS279" s="778"/>
      <c r="AT279" s="778"/>
    </row>
    <row r="280" spans="1:46" s="187" customFormat="1" x14ac:dyDescent="0.25">
      <c r="A280" s="890">
        <v>272</v>
      </c>
      <c r="B280" s="187">
        <v>272</v>
      </c>
      <c r="C280" s="779" t="s">
        <v>1168</v>
      </c>
      <c r="D280" s="779" t="s">
        <v>1382</v>
      </c>
      <c r="E280" s="779"/>
      <c r="F280" s="779">
        <v>28472</v>
      </c>
      <c r="G280" s="784">
        <v>1</v>
      </c>
      <c r="H280" s="784">
        <v>0</v>
      </c>
      <c r="I280" s="817">
        <v>0</v>
      </c>
      <c r="J280" s="861">
        <v>0.65362718089990812</v>
      </c>
      <c r="K280" s="816">
        <v>250</v>
      </c>
      <c r="L280" s="820">
        <v>196.08815426997245</v>
      </c>
      <c r="M280" s="821">
        <v>0</v>
      </c>
      <c r="N280" s="824">
        <v>0</v>
      </c>
      <c r="O280" s="824"/>
      <c r="P280" s="824"/>
      <c r="Q280" s="816"/>
      <c r="W280" s="823">
        <f t="shared" si="32"/>
        <v>0</v>
      </c>
      <c r="X280" s="823">
        <f t="shared" si="33"/>
        <v>0</v>
      </c>
      <c r="Y280" s="811">
        <f t="shared" si="34"/>
        <v>0</v>
      </c>
      <c r="Z280" s="811">
        <f t="shared" si="35"/>
        <v>0</v>
      </c>
      <c r="AA280" s="811"/>
      <c r="AB280" s="823">
        <f t="shared" si="36"/>
        <v>0</v>
      </c>
      <c r="AC280" s="823">
        <f t="shared" si="37"/>
        <v>0</v>
      </c>
      <c r="AD280" s="811">
        <f t="shared" si="38"/>
        <v>0</v>
      </c>
      <c r="AE280" s="811">
        <f t="shared" si="39"/>
        <v>0</v>
      </c>
      <c r="AF280" s="811"/>
      <c r="AG280" s="778"/>
      <c r="AH280" s="778"/>
      <c r="AI280" s="778"/>
      <c r="AJ280" s="778"/>
      <c r="AK280" s="778"/>
      <c r="AL280" s="778"/>
      <c r="AM280" s="778"/>
      <c r="AN280" s="778"/>
      <c r="AO280" s="778"/>
      <c r="AP280" s="778"/>
      <c r="AQ280" s="778"/>
      <c r="AR280" s="778"/>
      <c r="AS280" s="778"/>
      <c r="AT280" s="778"/>
    </row>
    <row r="281" spans="1:46" s="187" customFormat="1" x14ac:dyDescent="0.25">
      <c r="A281" s="890">
        <v>273</v>
      </c>
      <c r="B281" s="187">
        <v>273</v>
      </c>
      <c r="C281" s="779" t="s">
        <v>1170</v>
      </c>
      <c r="D281" s="815" t="s">
        <v>1383</v>
      </c>
      <c r="E281" s="779"/>
      <c r="F281" s="779">
        <v>26588</v>
      </c>
      <c r="G281" s="784">
        <v>1</v>
      </c>
      <c r="H281" s="784">
        <v>0</v>
      </c>
      <c r="I281" s="817">
        <v>0</v>
      </c>
      <c r="J281" s="861">
        <v>0.61037649219467405</v>
      </c>
      <c r="K281" s="816">
        <v>250</v>
      </c>
      <c r="L281" s="820">
        <v>183.11294765840222</v>
      </c>
      <c r="M281" s="821">
        <v>0</v>
      </c>
      <c r="N281" s="824">
        <v>0</v>
      </c>
      <c r="O281" s="824"/>
      <c r="P281" s="824"/>
      <c r="Q281" s="816"/>
      <c r="W281" s="823">
        <f t="shared" si="32"/>
        <v>0</v>
      </c>
      <c r="X281" s="823">
        <f t="shared" si="33"/>
        <v>0</v>
      </c>
      <c r="Y281" s="811">
        <f t="shared" si="34"/>
        <v>0</v>
      </c>
      <c r="Z281" s="811">
        <f t="shared" si="35"/>
        <v>0</v>
      </c>
      <c r="AA281" s="811"/>
      <c r="AB281" s="823">
        <f t="shared" si="36"/>
        <v>0</v>
      </c>
      <c r="AC281" s="823">
        <f t="shared" si="37"/>
        <v>0</v>
      </c>
      <c r="AD281" s="811">
        <f t="shared" si="38"/>
        <v>0</v>
      </c>
      <c r="AE281" s="811">
        <f t="shared" si="39"/>
        <v>0</v>
      </c>
      <c r="AF281" s="811"/>
      <c r="AG281" s="778"/>
      <c r="AH281" s="778"/>
      <c r="AI281" s="778"/>
      <c r="AJ281" s="778"/>
      <c r="AK281" s="778"/>
      <c r="AL281" s="778"/>
      <c r="AM281" s="778"/>
      <c r="AN281" s="778"/>
      <c r="AO281" s="778"/>
      <c r="AP281" s="778"/>
      <c r="AQ281" s="778"/>
      <c r="AR281" s="778"/>
      <c r="AS281" s="778"/>
      <c r="AT281" s="778"/>
    </row>
    <row r="282" spans="1:46" s="187" customFormat="1" x14ac:dyDescent="0.25">
      <c r="A282" s="890">
        <v>274</v>
      </c>
      <c r="B282" s="187">
        <v>274</v>
      </c>
      <c r="C282" s="779" t="s">
        <v>1172</v>
      </c>
      <c r="D282" s="779" t="s">
        <v>1384</v>
      </c>
      <c r="E282" s="784" t="s">
        <v>1385</v>
      </c>
      <c r="F282" s="779">
        <v>28703</v>
      </c>
      <c r="G282" s="784">
        <v>1</v>
      </c>
      <c r="H282" s="784">
        <v>1</v>
      </c>
      <c r="I282" s="817">
        <v>0.65893021120293849</v>
      </c>
      <c r="J282" s="861">
        <v>0.65893021120293849</v>
      </c>
      <c r="K282" s="816">
        <v>250</v>
      </c>
      <c r="L282" s="820">
        <v>197.67906336088154</v>
      </c>
      <c r="M282" s="821">
        <v>447.67906336088151</v>
      </c>
      <c r="N282" s="822">
        <v>400</v>
      </c>
      <c r="O282" s="822"/>
      <c r="P282" s="822"/>
      <c r="Q282" s="816">
        <v>400</v>
      </c>
      <c r="W282" s="823">
        <f t="shared" si="32"/>
        <v>215</v>
      </c>
      <c r="X282" s="823">
        <f t="shared" si="33"/>
        <v>184.50045913682277</v>
      </c>
      <c r="Y282" s="811">
        <f t="shared" si="34"/>
        <v>399.50045913682277</v>
      </c>
      <c r="Z282" s="811">
        <f t="shared" si="35"/>
        <v>-0.49954086317723068</v>
      </c>
      <c r="AA282" s="811"/>
      <c r="AB282" s="823">
        <f t="shared" si="36"/>
        <v>170</v>
      </c>
      <c r="AC282" s="823">
        <f t="shared" si="37"/>
        <v>164.73255280073462</v>
      </c>
      <c r="AD282" s="811">
        <f t="shared" si="38"/>
        <v>334.73255280073465</v>
      </c>
      <c r="AE282" s="811">
        <f t="shared" si="39"/>
        <v>-65.267447199265348</v>
      </c>
      <c r="AF282" s="811"/>
      <c r="AG282" s="778"/>
      <c r="AH282" s="778">
        <v>1</v>
      </c>
      <c r="AI282" s="778"/>
      <c r="AJ282" s="778"/>
      <c r="AK282" s="778"/>
      <c r="AL282" s="778"/>
      <c r="AM282" s="778"/>
      <c r="AN282" s="778"/>
      <c r="AO282" s="778"/>
      <c r="AP282" s="778"/>
      <c r="AQ282" s="778"/>
      <c r="AR282" s="778"/>
      <c r="AS282" s="778"/>
      <c r="AT282" s="778"/>
    </row>
    <row r="283" spans="1:46" s="187" customFormat="1" x14ac:dyDescent="0.25">
      <c r="A283" s="890">
        <v>275</v>
      </c>
      <c r="B283" s="187">
        <v>275</v>
      </c>
      <c r="C283" s="779" t="s">
        <v>1175</v>
      </c>
      <c r="D283" s="815" t="s">
        <v>1386</v>
      </c>
      <c r="E283" s="779"/>
      <c r="F283" s="779">
        <v>25796</v>
      </c>
      <c r="G283" s="784">
        <v>1</v>
      </c>
      <c r="H283" s="784">
        <v>0</v>
      </c>
      <c r="I283" s="817">
        <v>0</v>
      </c>
      <c r="J283" s="861">
        <v>0.59219467401285586</v>
      </c>
      <c r="K283" s="816">
        <v>250</v>
      </c>
      <c r="L283" s="820">
        <v>177.65840220385675</v>
      </c>
      <c r="M283" s="821">
        <v>0</v>
      </c>
      <c r="N283" s="824">
        <v>0</v>
      </c>
      <c r="O283" s="824"/>
      <c r="P283" s="824"/>
      <c r="Q283" s="816"/>
      <c r="W283" s="823">
        <f t="shared" si="32"/>
        <v>0</v>
      </c>
      <c r="X283" s="823">
        <f t="shared" si="33"/>
        <v>0</v>
      </c>
      <c r="Y283" s="811">
        <f t="shared" si="34"/>
        <v>0</v>
      </c>
      <c r="Z283" s="811">
        <f t="shared" si="35"/>
        <v>0</v>
      </c>
      <c r="AA283" s="811"/>
      <c r="AB283" s="823">
        <f t="shared" si="36"/>
        <v>0</v>
      </c>
      <c r="AC283" s="823">
        <f t="shared" si="37"/>
        <v>0</v>
      </c>
      <c r="AD283" s="811">
        <f t="shared" si="38"/>
        <v>0</v>
      </c>
      <c r="AE283" s="811">
        <f t="shared" si="39"/>
        <v>0</v>
      </c>
      <c r="AF283" s="811"/>
      <c r="AG283" s="778"/>
      <c r="AH283" s="778"/>
      <c r="AI283" s="778"/>
      <c r="AJ283" s="778"/>
      <c r="AK283" s="778"/>
      <c r="AL283" s="778"/>
      <c r="AM283" s="778"/>
      <c r="AN283" s="778"/>
      <c r="AO283" s="778"/>
      <c r="AP283" s="778"/>
      <c r="AQ283" s="778"/>
      <c r="AR283" s="778"/>
      <c r="AS283" s="778"/>
      <c r="AT283" s="778"/>
    </row>
    <row r="284" spans="1:46" s="187" customFormat="1" x14ac:dyDescent="0.25">
      <c r="A284" s="890">
        <v>276</v>
      </c>
      <c r="B284" s="187">
        <v>276</v>
      </c>
      <c r="C284" s="779" t="s">
        <v>1178</v>
      </c>
      <c r="D284" s="779" t="s">
        <v>1387</v>
      </c>
      <c r="E284" s="779"/>
      <c r="F284" s="779">
        <v>24889</v>
      </c>
      <c r="G284" s="784">
        <v>1</v>
      </c>
      <c r="H284" s="784">
        <v>0</v>
      </c>
      <c r="I284" s="817">
        <v>0</v>
      </c>
      <c r="J284" s="861">
        <v>0.57137281910009186</v>
      </c>
      <c r="K284" s="816">
        <v>250</v>
      </c>
      <c r="L284" s="820">
        <v>171.41184573002755</v>
      </c>
      <c r="M284" s="821">
        <v>0</v>
      </c>
      <c r="N284" s="824">
        <v>0</v>
      </c>
      <c r="O284" s="824"/>
      <c r="P284" s="824"/>
      <c r="Q284" s="816"/>
      <c r="W284" s="823">
        <f t="shared" si="32"/>
        <v>0</v>
      </c>
      <c r="X284" s="823">
        <f t="shared" si="33"/>
        <v>0</v>
      </c>
      <c r="Y284" s="811">
        <f t="shared" si="34"/>
        <v>0</v>
      </c>
      <c r="Z284" s="811">
        <f t="shared" si="35"/>
        <v>0</v>
      </c>
      <c r="AA284" s="811"/>
      <c r="AB284" s="823">
        <f t="shared" si="36"/>
        <v>0</v>
      </c>
      <c r="AC284" s="823">
        <f t="shared" si="37"/>
        <v>0</v>
      </c>
      <c r="AD284" s="811">
        <f t="shared" si="38"/>
        <v>0</v>
      </c>
      <c r="AE284" s="811">
        <f t="shared" si="39"/>
        <v>0</v>
      </c>
      <c r="AF284" s="811"/>
      <c r="AG284" s="778"/>
      <c r="AH284" s="778"/>
      <c r="AI284" s="778"/>
      <c r="AJ284" s="778"/>
      <c r="AK284" s="778"/>
      <c r="AL284" s="778"/>
      <c r="AM284" s="778"/>
      <c r="AN284" s="778"/>
      <c r="AO284" s="778"/>
      <c r="AP284" s="778"/>
      <c r="AQ284" s="778"/>
      <c r="AR284" s="778"/>
      <c r="AS284" s="778"/>
      <c r="AT284" s="778"/>
    </row>
    <row r="285" spans="1:46" s="187" customFormat="1" x14ac:dyDescent="0.25">
      <c r="A285" s="890">
        <v>277</v>
      </c>
      <c r="B285" s="187">
        <v>277</v>
      </c>
      <c r="C285" s="779" t="s">
        <v>1180</v>
      </c>
      <c r="D285" s="815" t="s">
        <v>1388</v>
      </c>
      <c r="E285" s="779"/>
      <c r="F285" s="779">
        <v>23670</v>
      </c>
      <c r="G285" s="784">
        <v>1</v>
      </c>
      <c r="H285" s="784">
        <v>0</v>
      </c>
      <c r="I285" s="817">
        <v>0</v>
      </c>
      <c r="J285" s="861">
        <v>0.54338842975206614</v>
      </c>
      <c r="K285" s="816">
        <v>250</v>
      </c>
      <c r="L285" s="820">
        <v>163.01652892561984</v>
      </c>
      <c r="M285" s="821">
        <v>0</v>
      </c>
      <c r="N285" s="824">
        <v>0</v>
      </c>
      <c r="O285" s="824"/>
      <c r="P285" s="824"/>
      <c r="Q285" s="816"/>
      <c r="W285" s="823">
        <f t="shared" si="32"/>
        <v>0</v>
      </c>
      <c r="X285" s="823">
        <f t="shared" si="33"/>
        <v>0</v>
      </c>
      <c r="Y285" s="811">
        <f t="shared" si="34"/>
        <v>0</v>
      </c>
      <c r="Z285" s="811">
        <f t="shared" si="35"/>
        <v>0</v>
      </c>
      <c r="AA285" s="811"/>
      <c r="AB285" s="823">
        <f t="shared" si="36"/>
        <v>0</v>
      </c>
      <c r="AC285" s="823">
        <f t="shared" si="37"/>
        <v>0</v>
      </c>
      <c r="AD285" s="811">
        <f t="shared" si="38"/>
        <v>0</v>
      </c>
      <c r="AE285" s="811">
        <f t="shared" si="39"/>
        <v>0</v>
      </c>
      <c r="AF285" s="811"/>
      <c r="AG285" s="778"/>
      <c r="AH285" s="778"/>
      <c r="AI285" s="778"/>
      <c r="AJ285" s="778"/>
      <c r="AK285" s="778"/>
      <c r="AL285" s="778"/>
      <c r="AM285" s="778"/>
      <c r="AN285" s="778"/>
      <c r="AO285" s="778"/>
      <c r="AP285" s="778"/>
      <c r="AQ285" s="778"/>
      <c r="AR285" s="778"/>
      <c r="AS285" s="778"/>
      <c r="AT285" s="778"/>
    </row>
    <row r="286" spans="1:46" s="187" customFormat="1" x14ac:dyDescent="0.25">
      <c r="A286" s="890">
        <v>278</v>
      </c>
      <c r="B286" s="187">
        <v>278</v>
      </c>
      <c r="C286" s="779" t="s">
        <v>1317</v>
      </c>
      <c r="D286" s="779" t="s">
        <v>1389</v>
      </c>
      <c r="E286" s="779"/>
      <c r="F286" s="779">
        <v>23418</v>
      </c>
      <c r="G286" s="784">
        <v>1</v>
      </c>
      <c r="H286" s="784">
        <v>0</v>
      </c>
      <c r="I286" s="817">
        <v>0</v>
      </c>
      <c r="J286" s="861">
        <v>0.53760330578512394</v>
      </c>
      <c r="K286" s="816">
        <v>250</v>
      </c>
      <c r="L286" s="820">
        <v>161.28099173553719</v>
      </c>
      <c r="M286" s="821">
        <v>0</v>
      </c>
      <c r="N286" s="824">
        <v>0</v>
      </c>
      <c r="O286" s="824"/>
      <c r="P286" s="824"/>
      <c r="Q286" s="816"/>
      <c r="W286" s="823">
        <f t="shared" si="32"/>
        <v>0</v>
      </c>
      <c r="X286" s="823">
        <f t="shared" si="33"/>
        <v>0</v>
      </c>
      <c r="Y286" s="811">
        <f t="shared" si="34"/>
        <v>0</v>
      </c>
      <c r="Z286" s="811">
        <f t="shared" si="35"/>
        <v>0</v>
      </c>
      <c r="AA286" s="811"/>
      <c r="AB286" s="823">
        <f t="shared" si="36"/>
        <v>0</v>
      </c>
      <c r="AC286" s="823">
        <f t="shared" si="37"/>
        <v>0</v>
      </c>
      <c r="AD286" s="811">
        <f t="shared" si="38"/>
        <v>0</v>
      </c>
      <c r="AE286" s="811">
        <f t="shared" si="39"/>
        <v>0</v>
      </c>
      <c r="AF286" s="811"/>
      <c r="AG286" s="778"/>
      <c r="AH286" s="778"/>
      <c r="AI286" s="778"/>
      <c r="AJ286" s="778"/>
      <c r="AK286" s="778"/>
      <c r="AL286" s="778"/>
      <c r="AM286" s="778"/>
      <c r="AN286" s="778"/>
      <c r="AO286" s="778"/>
      <c r="AP286" s="778"/>
      <c r="AQ286" s="778"/>
      <c r="AR286" s="778"/>
      <c r="AS286" s="778"/>
      <c r="AT286" s="778"/>
    </row>
    <row r="287" spans="1:46" s="187" customFormat="1" x14ac:dyDescent="0.25">
      <c r="A287" s="890">
        <v>279</v>
      </c>
      <c r="B287" s="187">
        <v>279</v>
      </c>
      <c r="C287" s="779" t="s">
        <v>1320</v>
      </c>
      <c r="D287" s="815" t="s">
        <v>1390</v>
      </c>
      <c r="E287" s="779"/>
      <c r="F287" s="779">
        <v>25482</v>
      </c>
      <c r="G287" s="784">
        <v>1</v>
      </c>
      <c r="H287" s="784">
        <v>0</v>
      </c>
      <c r="I287" s="817">
        <v>0</v>
      </c>
      <c r="J287" s="861">
        <v>0.58498622589531679</v>
      </c>
      <c r="K287" s="816">
        <v>250</v>
      </c>
      <c r="L287" s="820">
        <v>175.49586776859505</v>
      </c>
      <c r="M287" s="821">
        <v>0</v>
      </c>
      <c r="N287" s="824">
        <v>0</v>
      </c>
      <c r="O287" s="824"/>
      <c r="P287" s="824"/>
      <c r="Q287" s="816"/>
      <c r="W287" s="823">
        <f t="shared" si="32"/>
        <v>0</v>
      </c>
      <c r="X287" s="823">
        <f t="shared" si="33"/>
        <v>0</v>
      </c>
      <c r="Y287" s="811">
        <f t="shared" si="34"/>
        <v>0</v>
      </c>
      <c r="Z287" s="811">
        <f t="shared" si="35"/>
        <v>0</v>
      </c>
      <c r="AA287" s="811"/>
      <c r="AB287" s="823">
        <f t="shared" si="36"/>
        <v>0</v>
      </c>
      <c r="AC287" s="823">
        <f t="shared" si="37"/>
        <v>0</v>
      </c>
      <c r="AD287" s="811">
        <f t="shared" si="38"/>
        <v>0</v>
      </c>
      <c r="AE287" s="811">
        <f t="shared" si="39"/>
        <v>0</v>
      </c>
      <c r="AF287" s="811"/>
      <c r="AG287" s="778"/>
      <c r="AH287" s="778"/>
      <c r="AI287" s="778"/>
      <c r="AJ287" s="778"/>
      <c r="AK287" s="778"/>
      <c r="AL287" s="778"/>
      <c r="AM287" s="778"/>
      <c r="AN287" s="778"/>
      <c r="AO287" s="778"/>
      <c r="AP287" s="778"/>
      <c r="AQ287" s="778"/>
      <c r="AR287" s="778"/>
      <c r="AS287" s="778"/>
      <c r="AT287" s="778"/>
    </row>
    <row r="288" spans="1:46" s="187" customFormat="1" x14ac:dyDescent="0.25">
      <c r="A288" s="890">
        <v>280</v>
      </c>
      <c r="B288" s="187">
        <v>280</v>
      </c>
      <c r="C288" s="779" t="s">
        <v>1323</v>
      </c>
      <c r="D288" s="779" t="s">
        <v>1391</v>
      </c>
      <c r="E288" s="779"/>
      <c r="F288" s="779">
        <v>24129</v>
      </c>
      <c r="G288" s="784">
        <v>1</v>
      </c>
      <c r="H288" s="784">
        <v>0</v>
      </c>
      <c r="I288" s="817">
        <v>0</v>
      </c>
      <c r="J288" s="861">
        <v>0.55392561983471078</v>
      </c>
      <c r="K288" s="816">
        <v>250</v>
      </c>
      <c r="L288" s="820">
        <v>166.17768595041323</v>
      </c>
      <c r="M288" s="821">
        <v>0</v>
      </c>
      <c r="N288" s="824">
        <v>0</v>
      </c>
      <c r="O288" s="824"/>
      <c r="P288" s="824"/>
      <c r="Q288" s="816"/>
      <c r="W288" s="823">
        <f t="shared" si="32"/>
        <v>0</v>
      </c>
      <c r="X288" s="823">
        <f t="shared" si="33"/>
        <v>0</v>
      </c>
      <c r="Y288" s="811">
        <f t="shared" si="34"/>
        <v>0</v>
      </c>
      <c r="Z288" s="811">
        <f t="shared" si="35"/>
        <v>0</v>
      </c>
      <c r="AA288" s="811"/>
      <c r="AB288" s="823">
        <f t="shared" si="36"/>
        <v>0</v>
      </c>
      <c r="AC288" s="823">
        <f t="shared" si="37"/>
        <v>0</v>
      </c>
      <c r="AD288" s="811">
        <f t="shared" si="38"/>
        <v>0</v>
      </c>
      <c r="AE288" s="811">
        <f t="shared" si="39"/>
        <v>0</v>
      </c>
      <c r="AF288" s="811"/>
      <c r="AG288" s="778"/>
      <c r="AH288" s="778"/>
      <c r="AI288" s="778"/>
      <c r="AJ288" s="778"/>
      <c r="AK288" s="778"/>
      <c r="AL288" s="778"/>
      <c r="AM288" s="778"/>
      <c r="AN288" s="778"/>
      <c r="AO288" s="778"/>
      <c r="AP288" s="778"/>
      <c r="AQ288" s="778"/>
      <c r="AR288" s="778"/>
      <c r="AS288" s="778"/>
      <c r="AT288" s="778"/>
    </row>
    <row r="289" spans="1:44" s="187" customFormat="1" x14ac:dyDescent="0.25">
      <c r="A289" s="890">
        <v>281</v>
      </c>
      <c r="B289" s="187">
        <v>281</v>
      </c>
      <c r="C289" s="779" t="s">
        <v>1326</v>
      </c>
      <c r="D289" s="815" t="s">
        <v>1392</v>
      </c>
      <c r="E289" s="779"/>
      <c r="F289" s="779">
        <v>22276</v>
      </c>
      <c r="G289" s="784">
        <v>1</v>
      </c>
      <c r="H289" s="784">
        <v>0</v>
      </c>
      <c r="I289" s="817">
        <v>0</v>
      </c>
      <c r="J289" s="861">
        <v>0.51138659320477498</v>
      </c>
      <c r="K289" s="816">
        <v>250</v>
      </c>
      <c r="L289" s="820">
        <v>153.4159779614325</v>
      </c>
      <c r="M289" s="821">
        <v>0</v>
      </c>
      <c r="N289" s="824">
        <v>0</v>
      </c>
      <c r="O289" s="824"/>
      <c r="P289" s="824"/>
      <c r="Q289" s="816"/>
      <c r="W289" s="823">
        <f t="shared" si="32"/>
        <v>0</v>
      </c>
      <c r="X289" s="823">
        <f t="shared" si="33"/>
        <v>0</v>
      </c>
      <c r="Y289" s="811">
        <f t="shared" si="34"/>
        <v>0</v>
      </c>
      <c r="Z289" s="811">
        <f t="shared" si="35"/>
        <v>0</v>
      </c>
      <c r="AA289" s="811"/>
      <c r="AB289" s="823">
        <f t="shared" si="36"/>
        <v>0</v>
      </c>
      <c r="AC289" s="823">
        <f t="shared" si="37"/>
        <v>0</v>
      </c>
      <c r="AD289" s="811">
        <f t="shared" si="38"/>
        <v>0</v>
      </c>
      <c r="AE289" s="811">
        <f t="shared" si="39"/>
        <v>0</v>
      </c>
      <c r="AF289" s="811"/>
      <c r="AG289" s="778"/>
      <c r="AH289" s="778"/>
      <c r="AI289" s="778"/>
      <c r="AJ289" s="778"/>
      <c r="AK289" s="778"/>
      <c r="AL289" s="778"/>
      <c r="AM289" s="778"/>
      <c r="AN289" s="778"/>
      <c r="AO289" s="778"/>
      <c r="AP289" s="778"/>
      <c r="AQ289" s="778"/>
      <c r="AR289" s="778"/>
    </row>
    <row r="290" spans="1:44" s="187" customFormat="1" x14ac:dyDescent="0.25">
      <c r="A290" s="890">
        <v>282</v>
      </c>
      <c r="B290" s="187">
        <v>282</v>
      </c>
      <c r="C290" s="779" t="s">
        <v>1329</v>
      </c>
      <c r="D290" s="779" t="s">
        <v>1393</v>
      </c>
      <c r="E290" s="779"/>
      <c r="F290" s="779">
        <v>23149</v>
      </c>
      <c r="G290" s="784">
        <v>1</v>
      </c>
      <c r="H290" s="784">
        <v>0</v>
      </c>
      <c r="I290" s="817">
        <v>0</v>
      </c>
      <c r="J290" s="861">
        <v>0.53142791551882462</v>
      </c>
      <c r="K290" s="816">
        <v>250</v>
      </c>
      <c r="L290" s="820">
        <v>159.42837465564739</v>
      </c>
      <c r="M290" s="821">
        <v>0</v>
      </c>
      <c r="N290" s="824">
        <v>0</v>
      </c>
      <c r="O290" s="824"/>
      <c r="P290" s="824"/>
      <c r="Q290" s="816"/>
      <c r="W290" s="823">
        <f t="shared" si="32"/>
        <v>0</v>
      </c>
      <c r="X290" s="823">
        <f t="shared" si="33"/>
        <v>0</v>
      </c>
      <c r="Y290" s="811">
        <f t="shared" si="34"/>
        <v>0</v>
      </c>
      <c r="Z290" s="811">
        <f t="shared" si="35"/>
        <v>0</v>
      </c>
      <c r="AA290" s="811"/>
      <c r="AB290" s="823">
        <f t="shared" si="36"/>
        <v>0</v>
      </c>
      <c r="AC290" s="823">
        <f t="shared" si="37"/>
        <v>0</v>
      </c>
      <c r="AD290" s="811">
        <f t="shared" si="38"/>
        <v>0</v>
      </c>
      <c r="AE290" s="811">
        <f t="shared" si="39"/>
        <v>0</v>
      </c>
      <c r="AF290" s="811"/>
      <c r="AG290" s="778"/>
      <c r="AH290" s="778"/>
      <c r="AI290" s="778"/>
      <c r="AJ290" s="778"/>
      <c r="AK290" s="778"/>
      <c r="AL290" s="778"/>
      <c r="AM290" s="778"/>
      <c r="AN290" s="778"/>
      <c r="AO290" s="778"/>
      <c r="AP290" s="778"/>
      <c r="AQ290" s="778"/>
      <c r="AR290" s="778"/>
    </row>
    <row r="291" spans="1:44" s="187" customFormat="1" x14ac:dyDescent="0.25">
      <c r="A291" s="890">
        <v>283</v>
      </c>
      <c r="B291" s="187">
        <v>283</v>
      </c>
      <c r="C291" s="779" t="s">
        <v>1331</v>
      </c>
      <c r="D291" s="815" t="s">
        <v>1394</v>
      </c>
      <c r="E291" s="779"/>
      <c r="F291" s="779">
        <v>23038</v>
      </c>
      <c r="G291" s="784">
        <v>1</v>
      </c>
      <c r="H291" s="784">
        <v>0</v>
      </c>
      <c r="I291" s="817">
        <v>0</v>
      </c>
      <c r="J291" s="861">
        <v>0.5288797061524334</v>
      </c>
      <c r="K291" s="816">
        <v>250</v>
      </c>
      <c r="L291" s="820">
        <v>158.66391184573001</v>
      </c>
      <c r="M291" s="821">
        <v>0</v>
      </c>
      <c r="N291" s="824">
        <v>0</v>
      </c>
      <c r="O291" s="824"/>
      <c r="P291" s="824"/>
      <c r="Q291" s="816"/>
      <c r="W291" s="823">
        <f t="shared" si="32"/>
        <v>0</v>
      </c>
      <c r="X291" s="823">
        <f t="shared" si="33"/>
        <v>0</v>
      </c>
      <c r="Y291" s="811">
        <f t="shared" si="34"/>
        <v>0</v>
      </c>
      <c r="Z291" s="811">
        <f t="shared" si="35"/>
        <v>0</v>
      </c>
      <c r="AA291" s="811"/>
      <c r="AB291" s="823">
        <f t="shared" si="36"/>
        <v>0</v>
      </c>
      <c r="AC291" s="823">
        <f t="shared" si="37"/>
        <v>0</v>
      </c>
      <c r="AD291" s="811">
        <f t="shared" si="38"/>
        <v>0</v>
      </c>
      <c r="AE291" s="811">
        <f t="shared" si="39"/>
        <v>0</v>
      </c>
      <c r="AF291" s="811"/>
      <c r="AG291" s="778"/>
      <c r="AH291" s="778"/>
      <c r="AI291" s="778"/>
      <c r="AJ291" s="778"/>
      <c r="AK291" s="778"/>
      <c r="AL291" s="778"/>
      <c r="AM291" s="778"/>
      <c r="AN291" s="778"/>
      <c r="AO291" s="778"/>
      <c r="AP291" s="778"/>
      <c r="AQ291" s="778"/>
      <c r="AR291" s="778"/>
    </row>
    <row r="292" spans="1:44" s="187" customFormat="1" x14ac:dyDescent="0.25">
      <c r="A292" s="890">
        <v>284</v>
      </c>
      <c r="B292" s="187">
        <v>284</v>
      </c>
      <c r="C292" s="779" t="s">
        <v>1197</v>
      </c>
      <c r="D292" s="779" t="s">
        <v>1395</v>
      </c>
      <c r="E292" s="779"/>
      <c r="F292" s="779">
        <v>22836</v>
      </c>
      <c r="G292" s="784">
        <v>1</v>
      </c>
      <c r="H292" s="784">
        <v>0</v>
      </c>
      <c r="I292" s="817">
        <v>0</v>
      </c>
      <c r="J292" s="861">
        <v>0.52424242424242429</v>
      </c>
      <c r="K292" s="816">
        <v>250</v>
      </c>
      <c r="L292" s="820">
        <v>157.27272727272728</v>
      </c>
      <c r="M292" s="821">
        <v>0</v>
      </c>
      <c r="N292" s="824">
        <v>0</v>
      </c>
      <c r="O292" s="824"/>
      <c r="P292" s="824"/>
      <c r="Q292" s="816"/>
      <c r="W292" s="823">
        <f t="shared" si="32"/>
        <v>0</v>
      </c>
      <c r="X292" s="823">
        <f t="shared" si="33"/>
        <v>0</v>
      </c>
      <c r="Y292" s="811">
        <f t="shared" si="34"/>
        <v>0</v>
      </c>
      <c r="Z292" s="811">
        <f t="shared" si="35"/>
        <v>0</v>
      </c>
      <c r="AA292" s="811"/>
      <c r="AB292" s="823">
        <f t="shared" si="36"/>
        <v>0</v>
      </c>
      <c r="AC292" s="823">
        <f t="shared" si="37"/>
        <v>0</v>
      </c>
      <c r="AD292" s="811">
        <f t="shared" si="38"/>
        <v>0</v>
      </c>
      <c r="AE292" s="811">
        <f t="shared" si="39"/>
        <v>0</v>
      </c>
      <c r="AF292" s="811"/>
      <c r="AG292" s="778"/>
      <c r="AH292" s="778"/>
      <c r="AI292" s="778"/>
      <c r="AJ292" s="778"/>
      <c r="AK292" s="778"/>
      <c r="AL292" s="778"/>
      <c r="AM292" s="778"/>
      <c r="AN292" s="778"/>
      <c r="AO292" s="778"/>
      <c r="AP292" s="778"/>
      <c r="AQ292" s="778"/>
      <c r="AR292" s="778"/>
    </row>
    <row r="293" spans="1:44" s="187" customFormat="1" x14ac:dyDescent="0.25">
      <c r="A293" s="890">
        <v>285</v>
      </c>
      <c r="B293" s="187">
        <v>285</v>
      </c>
      <c r="C293" s="779" t="s">
        <v>1199</v>
      </c>
      <c r="D293" s="815" t="s">
        <v>1396</v>
      </c>
      <c r="E293" s="779"/>
      <c r="F293" s="779">
        <v>22569</v>
      </c>
      <c r="G293" s="784">
        <v>1</v>
      </c>
      <c r="H293" s="784">
        <v>0</v>
      </c>
      <c r="I293" s="817">
        <v>0</v>
      </c>
      <c r="J293" s="861">
        <v>0.51811294765840221</v>
      </c>
      <c r="K293" s="816">
        <v>250</v>
      </c>
      <c r="L293" s="820">
        <v>155.43388429752068</v>
      </c>
      <c r="M293" s="821">
        <v>0</v>
      </c>
      <c r="N293" s="824">
        <v>0</v>
      </c>
      <c r="O293" s="824"/>
      <c r="P293" s="824"/>
      <c r="Q293" s="816"/>
      <c r="W293" s="823">
        <f t="shared" si="32"/>
        <v>0</v>
      </c>
      <c r="X293" s="823">
        <f t="shared" si="33"/>
        <v>0</v>
      </c>
      <c r="Y293" s="811">
        <f t="shared" si="34"/>
        <v>0</v>
      </c>
      <c r="Z293" s="811">
        <f t="shared" si="35"/>
        <v>0</v>
      </c>
      <c r="AA293" s="811"/>
      <c r="AB293" s="823">
        <f t="shared" si="36"/>
        <v>0</v>
      </c>
      <c r="AC293" s="823">
        <f t="shared" si="37"/>
        <v>0</v>
      </c>
      <c r="AD293" s="811">
        <f t="shared" si="38"/>
        <v>0</v>
      </c>
      <c r="AE293" s="811">
        <f t="shared" si="39"/>
        <v>0</v>
      </c>
      <c r="AF293" s="811"/>
      <c r="AG293" s="778"/>
      <c r="AH293" s="778"/>
      <c r="AI293" s="778"/>
      <c r="AJ293" s="778"/>
      <c r="AK293" s="778"/>
      <c r="AL293" s="778"/>
      <c r="AM293" s="778"/>
      <c r="AN293" s="778"/>
      <c r="AO293" s="778"/>
      <c r="AP293" s="778"/>
      <c r="AQ293" s="778"/>
      <c r="AR293" s="778"/>
    </row>
    <row r="294" spans="1:44" s="187" customFormat="1" x14ac:dyDescent="0.25">
      <c r="A294" s="890">
        <v>286</v>
      </c>
      <c r="B294" s="187">
        <v>286</v>
      </c>
      <c r="C294" s="779" t="s">
        <v>1335</v>
      </c>
      <c r="D294" s="779" t="s">
        <v>1397</v>
      </c>
      <c r="E294" s="779"/>
      <c r="F294" s="779">
        <v>22173</v>
      </c>
      <c r="G294" s="784">
        <v>1</v>
      </c>
      <c r="H294" s="784">
        <v>0</v>
      </c>
      <c r="I294" s="817">
        <v>0</v>
      </c>
      <c r="J294" s="861">
        <v>0.50902203856749306</v>
      </c>
      <c r="K294" s="816">
        <v>250</v>
      </c>
      <c r="L294" s="820">
        <v>152.70661157024793</v>
      </c>
      <c r="M294" s="821">
        <v>0</v>
      </c>
      <c r="N294" s="824">
        <v>0</v>
      </c>
      <c r="O294" s="824"/>
      <c r="P294" s="824"/>
      <c r="Q294" s="816"/>
      <c r="W294" s="823">
        <f t="shared" si="32"/>
        <v>0</v>
      </c>
      <c r="X294" s="823">
        <f t="shared" si="33"/>
        <v>0</v>
      </c>
      <c r="Y294" s="811">
        <f t="shared" si="34"/>
        <v>0</v>
      </c>
      <c r="Z294" s="811">
        <f t="shared" si="35"/>
        <v>0</v>
      </c>
      <c r="AA294" s="811"/>
      <c r="AB294" s="823">
        <f t="shared" si="36"/>
        <v>0</v>
      </c>
      <c r="AC294" s="823">
        <f t="shared" si="37"/>
        <v>0</v>
      </c>
      <c r="AD294" s="811">
        <f t="shared" si="38"/>
        <v>0</v>
      </c>
      <c r="AE294" s="811">
        <f t="shared" si="39"/>
        <v>0</v>
      </c>
      <c r="AF294" s="811"/>
      <c r="AG294" s="778"/>
      <c r="AH294" s="778"/>
      <c r="AI294" s="778"/>
      <c r="AJ294" s="778"/>
      <c r="AK294" s="778"/>
      <c r="AL294" s="778"/>
      <c r="AM294" s="778"/>
      <c r="AN294" s="778"/>
      <c r="AO294" s="778"/>
      <c r="AP294" s="778"/>
      <c r="AQ294" s="778"/>
      <c r="AR294" s="778"/>
    </row>
    <row r="295" spans="1:44" s="187" customFormat="1" x14ac:dyDescent="0.25">
      <c r="A295" s="890">
        <v>287</v>
      </c>
      <c r="B295" s="187">
        <v>287</v>
      </c>
      <c r="C295" s="779" t="s">
        <v>1203</v>
      </c>
      <c r="D295" s="815" t="s">
        <v>1398</v>
      </c>
      <c r="E295" s="779"/>
      <c r="F295" s="779">
        <v>23587</v>
      </c>
      <c r="G295" s="784">
        <v>1</v>
      </c>
      <c r="H295" s="784">
        <v>0</v>
      </c>
      <c r="I295" s="817">
        <v>0</v>
      </c>
      <c r="J295" s="861">
        <v>0.54148301193755743</v>
      </c>
      <c r="K295" s="816">
        <v>250</v>
      </c>
      <c r="L295" s="820">
        <v>162.44490358126723</v>
      </c>
      <c r="M295" s="821">
        <v>0</v>
      </c>
      <c r="N295" s="824">
        <v>0</v>
      </c>
      <c r="O295" s="824"/>
      <c r="P295" s="824"/>
      <c r="Q295" s="816"/>
      <c r="W295" s="823">
        <f t="shared" si="32"/>
        <v>0</v>
      </c>
      <c r="X295" s="823">
        <f t="shared" si="33"/>
        <v>0</v>
      </c>
      <c r="Y295" s="811">
        <f t="shared" si="34"/>
        <v>0</v>
      </c>
      <c r="Z295" s="811">
        <f t="shared" si="35"/>
        <v>0</v>
      </c>
      <c r="AA295" s="811"/>
      <c r="AB295" s="823">
        <f t="shared" si="36"/>
        <v>0</v>
      </c>
      <c r="AC295" s="823">
        <f t="shared" si="37"/>
        <v>0</v>
      </c>
      <c r="AD295" s="811">
        <f t="shared" si="38"/>
        <v>0</v>
      </c>
      <c r="AE295" s="811">
        <f t="shared" si="39"/>
        <v>0</v>
      </c>
      <c r="AF295" s="811"/>
      <c r="AG295" s="778"/>
      <c r="AH295" s="778"/>
      <c r="AI295" s="778"/>
      <c r="AJ295" s="778"/>
      <c r="AK295" s="778"/>
      <c r="AL295" s="778"/>
      <c r="AM295" s="778"/>
      <c r="AN295" s="778"/>
      <c r="AO295" s="778"/>
      <c r="AP295" s="778"/>
      <c r="AQ295" s="778"/>
      <c r="AR295" s="778"/>
    </row>
    <row r="296" spans="1:44" s="187" customFormat="1" x14ac:dyDescent="0.25">
      <c r="A296" s="890">
        <v>288</v>
      </c>
      <c r="B296" s="187">
        <v>288</v>
      </c>
      <c r="C296" s="779" t="s">
        <v>1205</v>
      </c>
      <c r="D296" s="779" t="s">
        <v>1399</v>
      </c>
      <c r="E296" s="779"/>
      <c r="F296" s="779">
        <v>47827</v>
      </c>
      <c r="G296" s="784">
        <v>1</v>
      </c>
      <c r="H296" s="784">
        <v>0</v>
      </c>
      <c r="I296" s="817">
        <v>0</v>
      </c>
      <c r="J296" s="861">
        <v>1.0979568411386593</v>
      </c>
      <c r="K296" s="816">
        <v>250</v>
      </c>
      <c r="L296" s="820">
        <v>329.38705234159778</v>
      </c>
      <c r="M296" s="821">
        <v>0</v>
      </c>
      <c r="N296" s="824">
        <v>0</v>
      </c>
      <c r="O296" s="824"/>
      <c r="P296" s="824"/>
      <c r="Q296" s="816"/>
      <c r="W296" s="823">
        <f t="shared" si="32"/>
        <v>0</v>
      </c>
      <c r="X296" s="823">
        <f t="shared" si="33"/>
        <v>0</v>
      </c>
      <c r="Y296" s="811">
        <f t="shared" si="34"/>
        <v>0</v>
      </c>
      <c r="Z296" s="811">
        <f t="shared" si="35"/>
        <v>0</v>
      </c>
      <c r="AA296" s="811"/>
      <c r="AB296" s="823">
        <f t="shared" si="36"/>
        <v>0</v>
      </c>
      <c r="AC296" s="823">
        <f t="shared" si="37"/>
        <v>0</v>
      </c>
      <c r="AD296" s="811">
        <f t="shared" si="38"/>
        <v>0</v>
      </c>
      <c r="AE296" s="811">
        <f t="shared" si="39"/>
        <v>0</v>
      </c>
      <c r="AF296" s="811"/>
      <c r="AG296" s="778"/>
      <c r="AH296" s="778"/>
      <c r="AI296" s="778"/>
      <c r="AJ296" s="778"/>
      <c r="AK296" s="778"/>
      <c r="AL296" s="778"/>
      <c r="AM296" s="778"/>
      <c r="AN296" s="778"/>
      <c r="AO296" s="778"/>
      <c r="AP296" s="778"/>
      <c r="AQ296" s="778"/>
      <c r="AR296" s="778"/>
    </row>
    <row r="297" spans="1:44" s="187" customFormat="1" x14ac:dyDescent="0.25">
      <c r="A297" s="890">
        <v>289</v>
      </c>
      <c r="B297" s="187">
        <v>289</v>
      </c>
      <c r="C297" s="779" t="s">
        <v>1207</v>
      </c>
      <c r="D297" s="815" t="s">
        <v>1400</v>
      </c>
      <c r="E297" s="779"/>
      <c r="F297" s="779">
        <v>47460</v>
      </c>
      <c r="G297" s="784">
        <v>1</v>
      </c>
      <c r="H297" s="784">
        <v>0</v>
      </c>
      <c r="I297" s="817">
        <v>0</v>
      </c>
      <c r="J297" s="861">
        <v>1.0895316804407713</v>
      </c>
      <c r="K297" s="816">
        <v>250</v>
      </c>
      <c r="L297" s="820">
        <v>326.85950413223139</v>
      </c>
      <c r="M297" s="821">
        <v>0</v>
      </c>
      <c r="N297" s="824">
        <v>0</v>
      </c>
      <c r="O297" s="824"/>
      <c r="P297" s="824"/>
      <c r="Q297" s="816"/>
      <c r="W297" s="823">
        <f t="shared" si="32"/>
        <v>0</v>
      </c>
      <c r="X297" s="823">
        <f t="shared" si="33"/>
        <v>0</v>
      </c>
      <c r="Y297" s="811">
        <f t="shared" si="34"/>
        <v>0</v>
      </c>
      <c r="Z297" s="811">
        <f t="shared" si="35"/>
        <v>0</v>
      </c>
      <c r="AA297" s="811"/>
      <c r="AB297" s="823">
        <f t="shared" si="36"/>
        <v>0</v>
      </c>
      <c r="AC297" s="823">
        <f t="shared" si="37"/>
        <v>0</v>
      </c>
      <c r="AD297" s="811">
        <f t="shared" si="38"/>
        <v>0</v>
      </c>
      <c r="AE297" s="811">
        <f t="shared" si="39"/>
        <v>0</v>
      </c>
      <c r="AF297" s="811"/>
      <c r="AG297" s="778"/>
      <c r="AH297" s="778"/>
      <c r="AI297" s="778"/>
      <c r="AJ297" s="778"/>
      <c r="AK297" s="778"/>
      <c r="AL297" s="778"/>
      <c r="AM297" s="778"/>
      <c r="AN297" s="778"/>
      <c r="AO297" s="778"/>
      <c r="AP297" s="778"/>
      <c r="AQ297" s="778"/>
      <c r="AR297" s="778"/>
    </row>
    <row r="298" spans="1:44" s="187" customFormat="1" x14ac:dyDescent="0.25">
      <c r="A298" s="890">
        <v>290</v>
      </c>
      <c r="B298" s="187">
        <v>290</v>
      </c>
      <c r="C298" s="779"/>
      <c r="D298" s="779"/>
      <c r="E298" s="779"/>
      <c r="F298" s="779"/>
      <c r="G298" s="779"/>
      <c r="H298" s="842"/>
      <c r="I298" s="829">
        <v>0.65893021120293849</v>
      </c>
      <c r="J298" s="793">
        <v>19.635215794306706</v>
      </c>
      <c r="K298" s="779"/>
      <c r="L298" s="821">
        <v>5890.5647382920115</v>
      </c>
      <c r="M298" s="837">
        <v>447.67906336088151</v>
      </c>
      <c r="N298" s="837">
        <v>400</v>
      </c>
      <c r="O298" s="837"/>
      <c r="P298" s="837"/>
      <c r="Q298" s="816"/>
      <c r="W298" s="823">
        <f t="shared" si="32"/>
        <v>0</v>
      </c>
      <c r="X298" s="823">
        <f t="shared" si="33"/>
        <v>0</v>
      </c>
      <c r="Y298" s="811">
        <f t="shared" si="34"/>
        <v>0</v>
      </c>
      <c r="Z298" s="811">
        <f t="shared" si="35"/>
        <v>0</v>
      </c>
      <c r="AA298" s="811"/>
      <c r="AB298" s="823">
        <f t="shared" si="36"/>
        <v>0</v>
      </c>
      <c r="AC298" s="823">
        <f t="shared" si="37"/>
        <v>0</v>
      </c>
      <c r="AD298" s="811">
        <f t="shared" si="38"/>
        <v>0</v>
      </c>
      <c r="AE298" s="811">
        <f t="shared" si="39"/>
        <v>0</v>
      </c>
      <c r="AF298" s="811"/>
      <c r="AG298" s="778"/>
      <c r="AH298" s="778"/>
      <c r="AI298" s="778"/>
      <c r="AJ298" s="778"/>
      <c r="AK298" s="778"/>
      <c r="AL298" s="778"/>
      <c r="AM298" s="778"/>
      <c r="AN298" s="778"/>
      <c r="AO298" s="778"/>
      <c r="AP298" s="778"/>
      <c r="AQ298" s="778"/>
      <c r="AR298" s="778"/>
    </row>
    <row r="299" spans="1:44" s="187" customFormat="1" x14ac:dyDescent="0.25">
      <c r="A299" s="890">
        <v>291</v>
      </c>
      <c r="C299" s="877" t="s">
        <v>1401</v>
      </c>
      <c r="D299" s="814"/>
      <c r="E299" s="878"/>
      <c r="F299" s="814"/>
      <c r="G299" s="814">
        <f>SUM(G12:G297)</f>
        <v>252</v>
      </c>
      <c r="H299" s="814">
        <f>SUM(H12:H297)</f>
        <v>115</v>
      </c>
      <c r="I299" s="879">
        <v>131.72646464646462</v>
      </c>
      <c r="J299" s="880">
        <v>235.94490817263539</v>
      </c>
      <c r="K299" s="881"/>
      <c r="L299" s="881"/>
      <c r="M299" s="836">
        <v>68267.939393939392</v>
      </c>
      <c r="N299" s="820">
        <v>46400</v>
      </c>
      <c r="O299" s="820"/>
      <c r="P299" s="820"/>
      <c r="Q299" s="816"/>
      <c r="W299" s="823"/>
      <c r="X299" s="823"/>
      <c r="Y299" s="811"/>
      <c r="Z299" s="811"/>
      <c r="AA299" s="811"/>
      <c r="AB299" s="823"/>
      <c r="AC299" s="823"/>
      <c r="AD299" s="811">
        <f t="shared" si="38"/>
        <v>0</v>
      </c>
      <c r="AE299" s="811"/>
      <c r="AF299" s="811"/>
      <c r="AG299" s="882"/>
      <c r="AH299" s="882"/>
      <c r="AI299" s="882"/>
      <c r="AJ299" s="882"/>
      <c r="AK299" s="882"/>
      <c r="AL299" s="882"/>
      <c r="AM299" s="882"/>
      <c r="AN299" s="882"/>
      <c r="AO299" s="882"/>
      <c r="AP299" s="882"/>
      <c r="AQ299" s="882"/>
      <c r="AR299" s="778"/>
    </row>
    <row r="300" spans="1:44" s="187" customFormat="1" ht="20.25" x14ac:dyDescent="0.3">
      <c r="A300" s="890">
        <v>292</v>
      </c>
      <c r="C300" s="779"/>
      <c r="D300" s="779"/>
      <c r="E300" s="779"/>
      <c r="F300" s="779"/>
      <c r="G300" s="779"/>
      <c r="H300" s="779"/>
      <c r="I300" s="779"/>
      <c r="J300" s="779"/>
      <c r="K300" s="779"/>
      <c r="L300" s="779"/>
      <c r="M300" s="779"/>
      <c r="N300" s="838"/>
      <c r="O300" s="838"/>
      <c r="P300" s="838"/>
      <c r="Q300" s="779"/>
      <c r="W300" s="883" t="s">
        <v>1402</v>
      </c>
      <c r="X300" s="778"/>
      <c r="Y300" s="778"/>
      <c r="Z300" s="778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  <c r="AL300" s="778"/>
      <c r="AM300" s="778"/>
      <c r="AN300" s="778"/>
      <c r="AO300" s="778"/>
      <c r="AP300" s="778"/>
      <c r="AQ300" s="778"/>
      <c r="AR300" s="778"/>
    </row>
    <row r="301" spans="1:44" s="187" customFormat="1" ht="18.75" x14ac:dyDescent="0.3">
      <c r="A301" s="890">
        <v>293</v>
      </c>
      <c r="C301" s="779"/>
      <c r="D301" s="779"/>
      <c r="E301" s="779"/>
      <c r="F301" s="779"/>
      <c r="G301" s="779"/>
      <c r="H301" s="884"/>
      <c r="I301" s="884">
        <f>+I298+I260+I213++I144+I128+I99+I51+I35+I20</f>
        <v>131.72646464646462</v>
      </c>
      <c r="J301" s="884">
        <f>+J298+J260+J213++J144+J128+J99+J51+J35+J20</f>
        <v>235.94490817263539</v>
      </c>
      <c r="K301" s="822">
        <f>+K298+K260+K213++K144+K128+K99+K51+K35+K20</f>
        <v>0</v>
      </c>
      <c r="L301" s="822"/>
      <c r="M301" s="822">
        <f>+M298+M260+M213++M144+M128+M99+M51+M35+M20</f>
        <v>68267.939393939392</v>
      </c>
      <c r="N301" s="822">
        <f>+N298+N260+N213++N144+N128+N99+N51+N35+N20</f>
        <v>46400</v>
      </c>
      <c r="O301" s="838"/>
      <c r="P301" s="838"/>
      <c r="Q301" s="779"/>
      <c r="W301" s="811">
        <f>SUM(W12:W300)</f>
        <v>24725</v>
      </c>
      <c r="X301" s="811">
        <f t="shared" ref="X301:AD301" si="40">SUM(X12:X300)</f>
        <v>36883.410101010079</v>
      </c>
      <c r="Y301" s="885">
        <f t="shared" si="40"/>
        <v>61608.410101010064</v>
      </c>
      <c r="Z301" s="811">
        <f t="shared" si="40"/>
        <v>15608.410101010117</v>
      </c>
      <c r="AA301" s="811"/>
      <c r="AB301" s="811">
        <f t="shared" si="40"/>
        <v>19550</v>
      </c>
      <c r="AC301" s="811">
        <f t="shared" si="40"/>
        <v>32931.616161616155</v>
      </c>
      <c r="AD301" s="811">
        <f t="shared" si="40"/>
        <v>52481.616161616235</v>
      </c>
      <c r="AE301" s="811"/>
      <c r="AF301" s="811"/>
      <c r="AG301" s="778">
        <f>SUM(AG12:AG299)</f>
        <v>3</v>
      </c>
      <c r="AH301" s="778">
        <f>SUM(AH12:AH299)</f>
        <v>84</v>
      </c>
      <c r="AI301" s="778">
        <f t="shared" ref="AI301:AQ301" si="41">SUM(AI12:AI299)</f>
        <v>1</v>
      </c>
      <c r="AJ301" s="778">
        <f t="shared" si="41"/>
        <v>6</v>
      </c>
      <c r="AK301" s="778">
        <f t="shared" si="41"/>
        <v>9</v>
      </c>
      <c r="AL301" s="778">
        <f t="shared" si="41"/>
        <v>3</v>
      </c>
      <c r="AM301" s="778">
        <f t="shared" si="41"/>
        <v>1</v>
      </c>
      <c r="AN301" s="778">
        <f t="shared" si="41"/>
        <v>0</v>
      </c>
      <c r="AO301" s="778">
        <f t="shared" si="41"/>
        <v>0</v>
      </c>
      <c r="AP301" s="778">
        <f t="shared" si="41"/>
        <v>2</v>
      </c>
      <c r="AQ301" s="778">
        <f t="shared" si="41"/>
        <v>6</v>
      </c>
      <c r="AR301" s="886">
        <f>+AQ301+AP301+AO301+AN301+AM301+AL301+AK301+AJ301+AI301+AH301+AG301</f>
        <v>115</v>
      </c>
    </row>
    <row r="302" spans="1:44" s="187" customFormat="1" x14ac:dyDescent="0.25">
      <c r="A302" s="890">
        <v>294</v>
      </c>
      <c r="W302" s="778"/>
      <c r="X302" s="778"/>
      <c r="Y302" s="778"/>
      <c r="Z302" s="778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  <c r="AL302" s="778"/>
      <c r="AM302" s="778"/>
      <c r="AN302" s="778"/>
      <c r="AO302" s="778"/>
      <c r="AP302" s="778"/>
      <c r="AQ302" s="778"/>
      <c r="AR302" s="778"/>
    </row>
    <row r="303" spans="1:44" s="187" customFormat="1" ht="20.25" x14ac:dyDescent="0.3">
      <c r="A303" s="890">
        <v>295</v>
      </c>
      <c r="W303" s="883" t="s">
        <v>1403</v>
      </c>
      <c r="X303" s="883"/>
      <c r="Y303" s="887">
        <f>[1]PFIS!$L$15</f>
        <v>61517.84385013525</v>
      </c>
      <c r="Z303" s="823"/>
      <c r="AA303" s="823"/>
      <c r="AB303" s="823"/>
      <c r="AC303" s="823"/>
      <c r="AD303" s="823">
        <f>[1]PFIS!$L$15</f>
        <v>61517.84385013525</v>
      </c>
      <c r="AE303" s="823"/>
      <c r="AF303" s="823"/>
      <c r="AG303" s="778"/>
      <c r="AH303" s="778"/>
      <c r="AI303" s="778"/>
      <c r="AJ303" s="778"/>
      <c r="AK303" s="778"/>
      <c r="AL303" s="778"/>
      <c r="AM303" s="778"/>
      <c r="AN303" s="778"/>
      <c r="AO303" s="778"/>
      <c r="AP303" s="778"/>
      <c r="AQ303" s="778"/>
      <c r="AR303" s="778"/>
    </row>
    <row r="304" spans="1:44" s="187" customFormat="1" ht="20.25" x14ac:dyDescent="0.3">
      <c r="A304" s="890">
        <v>296</v>
      </c>
      <c r="W304" s="883"/>
      <c r="X304" s="883"/>
      <c r="Y304" s="883"/>
      <c r="Z304" s="778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  <c r="AL304" s="778"/>
      <c r="AM304" s="778"/>
      <c r="AN304" s="778"/>
      <c r="AO304" s="778"/>
      <c r="AP304" s="778"/>
      <c r="AQ304" s="778"/>
      <c r="AR304" s="778"/>
    </row>
    <row r="305" spans="1:32" s="187" customFormat="1" ht="20.25" x14ac:dyDescent="0.3">
      <c r="A305" s="890">
        <v>297</v>
      </c>
      <c r="W305" s="883" t="s">
        <v>1404</v>
      </c>
      <c r="X305" s="883"/>
      <c r="Y305" s="888">
        <f>+Y301-Y303</f>
        <v>90.566250874813704</v>
      </c>
      <c r="Z305" s="811"/>
      <c r="AA305" s="811"/>
      <c r="AB305" s="811"/>
      <c r="AC305" s="811"/>
      <c r="AD305" s="811">
        <f>+AD301-AD303</f>
        <v>-9036.2276885190149</v>
      </c>
      <c r="AE305" s="811"/>
      <c r="AF305" s="811"/>
    </row>
  </sheetData>
  <mergeCells count="3">
    <mergeCell ref="G1:Q1"/>
    <mergeCell ref="L6:M7"/>
    <mergeCell ref="L263:M263"/>
  </mergeCells>
  <pageMargins left="0.32" right="0.26" top="0.36" bottom="0.43" header="0.17" footer="0.17"/>
  <pageSetup paperSize="0" scale="81" fitToHeight="0" pageOrder="overThenDown" orientation="landscape" r:id="rId1"/>
  <headerFooter>
    <oddFooter>&amp;L&amp;F ! &amp;A&amp;RPage &amp;P of &amp;N  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0491D8F-7F0B-4D8C-AF52-7446C13F7D0E}"/>
</file>

<file path=customXml/itemProps2.xml><?xml version="1.0" encoding="utf-8"?>
<ds:datastoreItem xmlns:ds="http://schemas.openxmlformats.org/officeDocument/2006/customXml" ds:itemID="{15FC0DB0-C726-4909-B1D8-3C109A795790}"/>
</file>

<file path=customXml/itemProps3.xml><?xml version="1.0" encoding="utf-8"?>
<ds:datastoreItem xmlns:ds="http://schemas.openxmlformats.org/officeDocument/2006/customXml" ds:itemID="{01EC85CF-29D6-44A2-8828-F0411DE277C1}"/>
</file>

<file path=customXml/itemProps4.xml><?xml version="1.0" encoding="utf-8"?>
<ds:datastoreItem xmlns:ds="http://schemas.openxmlformats.org/officeDocument/2006/customXml" ds:itemID="{3D36F159-5D69-414F-9BD8-97CA0E5BA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PFIS</vt:lpstr>
      <vt:lpstr>Sch 1 ADJs</vt:lpstr>
      <vt:lpstr>Sch 3.1 Staff Restating</vt:lpstr>
      <vt:lpstr>Sch 3.2 Staff ProForma</vt:lpstr>
      <vt:lpstr>Sch  6 Rev Req</vt:lpstr>
      <vt:lpstr>Sch 7 Interest Sync</vt:lpstr>
      <vt:lpstr>Sch 8 BEOY</vt:lpstr>
      <vt:lpstr>Sch 13 Worksheet Cal Adjs</vt:lpstr>
      <vt:lpstr>Sch 27 DR 17 IncomeMod</vt:lpstr>
      <vt:lpstr>PFIS!Print_Area</vt:lpstr>
      <vt:lpstr>'Sch 1 ADJs'!Print_Area</vt:lpstr>
      <vt:lpstr>'Sch 13 Worksheet Cal Adjs'!Print_Area</vt:lpstr>
      <vt:lpstr>'Sch 27 DR 17 IncomeMod'!Print_Area</vt:lpstr>
      <vt:lpstr>'Sch 7 Interest Sync'!Print_Area</vt:lpstr>
      <vt:lpstr>'Sch 8 BEOY'!Print_Area</vt:lpstr>
      <vt:lpstr>'Sch 13 Worksheet Cal Adjs'!Print_Titles</vt:lpstr>
      <vt:lpstr>'Sch 27 DR 17 IncomeMod'!Print_Titles</vt:lpstr>
      <vt:lpstr>'Sch 3.1 Staff Restating'!Print_Titles</vt:lpstr>
      <vt:lpstr>'Sch 3.2 Staff ProForma'!Print_Titles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Amy White</cp:lastModifiedBy>
  <cp:lastPrinted>2011-07-22T22:26:59Z</cp:lastPrinted>
  <dcterms:created xsi:type="dcterms:W3CDTF">2011-07-22T21:52:30Z</dcterms:created>
  <dcterms:modified xsi:type="dcterms:W3CDTF">2011-07-22T22:28:36Z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