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1616" windowHeight="8448" tabRatio="966" firstSheet="1" activeTab="1"/>
  </bookViews>
  <sheets>
    <sheet name="Summary" sheetId="126" r:id="rId1"/>
    <sheet name="ROR" sheetId="110" r:id="rId2"/>
    <sheet name="Attrition 09.2014 to 2016" sheetId="120" r:id="rId3"/>
    <sheet name="Cost Trends" sheetId="122" r:id="rId4"/>
    <sheet name="Weighted Revenue Growth" sheetId="87" r:id="rId5"/>
    <sheet name="09.2014 Rev Model" sheetId="132" r:id="rId6"/>
    <sheet name="2016 Customers and Demand" sheetId="88" r:id="rId7"/>
    <sheet name="2016 Forecast Energy" sheetId="136" r:id="rId8"/>
    <sheet name="12.2014 CB Power Supply" sheetId="135" r:id="rId9"/>
    <sheet name="456 Revenue" sheetId="140" r:id="rId10"/>
    <sheet name="incremental load expense" sheetId="103" r:id="rId11"/>
    <sheet name="CS2-Colstrip 2016 Incrmntl Exp" sheetId="141" r:id="rId12"/>
    <sheet name="PF Power Supply 09.2014 load" sheetId="78" r:id="rId13"/>
    <sheet name="PF Power Supply 2016 load" sheetId="139" r:id="rId14"/>
    <sheet name="Reg Amorts" sheetId="129" r:id="rId15"/>
    <sheet name="DSM" sheetId="91" r:id="rId16"/>
    <sheet name="ResX" sheetId="94" r:id="rId17"/>
    <sheet name="CBR Hist" sheetId="133" r:id="rId18"/>
    <sheet name="PS Consolidated" sheetId="134" r:id="rId19"/>
    <sheet name="Other Rev" sheetId="130" r:id="rId20"/>
    <sheet name="Sheet1" sheetId="13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6" hidden="1">'2016 Customers and Demand'!$A$2:$H$59</definedName>
    <definedName name="Actuals_Mo">[1]Tables!$B$19</definedName>
    <definedName name="Base1_Billing2" localSheetId="5">'09.2014 Rev Model'!$N$8</definedName>
    <definedName name="Base1_Billing2" localSheetId="8">#REF!</definedName>
    <definedName name="Base1_Billing2" localSheetId="17">#REF!</definedName>
    <definedName name="Base1_Billing2" localSheetId="13">#REF!</definedName>
    <definedName name="Base1_Billing2" localSheetId="18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5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3">#REF!</definedName>
    <definedName name="ID">#REF!</definedName>
    <definedName name="ID_001b" localSheetId="8">#REF!</definedName>
    <definedName name="ID_001b" localSheetId="17">#REF!</definedName>
    <definedName name="ID_001b" localSheetId="13">#REF!</definedName>
    <definedName name="ID_001b" localSheetId="18">#REF!</definedName>
    <definedName name="ID_001b">#REF!</definedName>
    <definedName name="ID_011b" localSheetId="8">#REF!</definedName>
    <definedName name="ID_011b" localSheetId="17">#REF!</definedName>
    <definedName name="ID_011b" localSheetId="13">#REF!</definedName>
    <definedName name="ID_011b" localSheetId="18">#REF!</definedName>
    <definedName name="ID_011b">#REF!</definedName>
    <definedName name="ID_012b" localSheetId="8">#REF!</definedName>
    <definedName name="ID_012b" localSheetId="17">#REF!</definedName>
    <definedName name="ID_012b" localSheetId="13">#REF!</definedName>
    <definedName name="ID_012b" localSheetId="18">#REF!</definedName>
    <definedName name="ID_012b">#REF!</definedName>
    <definedName name="ID_021b" localSheetId="8">#REF!</definedName>
    <definedName name="ID_021b" localSheetId="17">#REF!</definedName>
    <definedName name="ID_021b" localSheetId="13">#REF!</definedName>
    <definedName name="ID_021b" localSheetId="18">#REF!</definedName>
    <definedName name="ID_021b">#REF!</definedName>
    <definedName name="ID_Gas" localSheetId="8">'[5]DEBT CALC'!#REF!</definedName>
    <definedName name="ID_Gas" localSheetId="2">'[5]DEBT CALC'!#REF!</definedName>
    <definedName name="ID_Gas" localSheetId="17">'[5]DEBT CALC'!#REF!</definedName>
    <definedName name="ID_Gas" localSheetId="3">'[5]DEBT CALC'!#REF!</definedName>
    <definedName name="ID_Gas" localSheetId="13">'[5]DEBT CALC'!#REF!</definedName>
    <definedName name="ID_Gas" localSheetId="18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5">'09.2014 Rev Model'!$A$1:$I$295</definedName>
    <definedName name="_xlnm.Print_Area" localSheetId="8">'12.2014 CB Power Supply'!$A$1:$H$48</definedName>
    <definedName name="_xlnm.Print_Area" localSheetId="6">'2016 Customers and Demand'!$A$1:$H$59</definedName>
    <definedName name="_xlnm.Print_Area" localSheetId="7">'2016 Forecast Energy'!$A$1:$H$40</definedName>
    <definedName name="_xlnm.Print_Area" localSheetId="2">'Attrition 09.2014 to 2016'!$A$1:$S$92</definedName>
    <definedName name="_xlnm.Print_Area" localSheetId="17">'CBR Hist'!$A$1:$U$79</definedName>
    <definedName name="_xlnm.Print_Area" localSheetId="3">'Cost Trends'!$A$1:$U$245</definedName>
    <definedName name="_xlnm.Print_Area" localSheetId="10">'incremental load expense'!$A$1:$J$53</definedName>
    <definedName name="_xlnm.Print_Area" localSheetId="13">'PF Power Supply 2016 load'!$A$1:$H$46</definedName>
    <definedName name="_xlnm.Print_Area" localSheetId="1">ROR!$A$1:$L$26</definedName>
    <definedName name="_xlnm.Print_Area" localSheetId="0">Summary!$A$1:$J$34</definedName>
    <definedName name="Print_for_Checking" localSheetId="8">'[5]ADJ SUMMARY'!#REF!:'[5]ADJ SUMMARY'!#REF!</definedName>
    <definedName name="Print_for_Checking" localSheetId="2">'[5]ADJ SUMMARY'!#REF!:'[5]ADJ SUMMARY'!#REF!</definedName>
    <definedName name="Print_for_Checking" localSheetId="17">'[5]ADJ SUMMARY'!#REF!:'[5]ADJ SUMMARY'!#REF!</definedName>
    <definedName name="Print_for_Checking" localSheetId="3">'[5]ADJ SUMMARY'!#REF!:'[5]ADJ SUMMARY'!#REF!</definedName>
    <definedName name="Print_for_Checking" localSheetId="13">'[5]ADJ SUMMARY'!#REF!:'[5]ADJ SUMMARY'!#REF!</definedName>
    <definedName name="Print_for_Checking" localSheetId="18">'[5]ADJ SUMMARY'!#REF!:'[5]ADJ SUMMARY'!#REF!</definedName>
    <definedName name="Print_for_Checking">'[5]ADJ SUMMARY'!#REF!:'[5]ADJ SUMMARY'!#REF!</definedName>
    <definedName name="_xlnm.Print_Titles" localSheetId="17">'CBR Hist'!$A:$D,'CBR Hist'!$1:$9</definedName>
    <definedName name="_xlnm.Print_Titles" localSheetId="3">'Cost Trends'!$2:$2</definedName>
    <definedName name="PrintHeader" localSheetId="5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5">'[3]St Lts'!$AD$1</definedName>
    <definedName name="SL_RateIncr">'[4]St Lts'!$AD$1</definedName>
    <definedName name="StartMo">[1]Tables!$B$13</definedName>
    <definedName name="Summary" localSheetId="8">#REF!</definedName>
    <definedName name="Summary" localSheetId="2">#REF!</definedName>
    <definedName name="Summary" localSheetId="17">#REF!</definedName>
    <definedName name="Summary" localSheetId="3">#REF!</definedName>
    <definedName name="Summary" localSheetId="13">#REF!</definedName>
    <definedName name="Summary" localSheetId="18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8">#REF!</definedName>
    <definedName name="WA_001b" localSheetId="17">#REF!</definedName>
    <definedName name="WA_001b" localSheetId="13">#REF!</definedName>
    <definedName name="WA_001b" localSheetId="18">#REF!</definedName>
    <definedName name="WA_001b">#REF!</definedName>
    <definedName name="WA_011b" localSheetId="8">#REF!</definedName>
    <definedName name="WA_011b" localSheetId="17">#REF!</definedName>
    <definedName name="WA_011b" localSheetId="13">#REF!</definedName>
    <definedName name="WA_011b" localSheetId="18">#REF!</definedName>
    <definedName name="WA_011b">#REF!</definedName>
    <definedName name="WA_012b" localSheetId="8">#REF!</definedName>
    <definedName name="WA_012b" localSheetId="17">#REF!</definedName>
    <definedName name="WA_012b" localSheetId="13">#REF!</definedName>
    <definedName name="WA_012b" localSheetId="18">#REF!</definedName>
    <definedName name="WA_012b">#REF!</definedName>
    <definedName name="WA_021b" localSheetId="8">#REF!</definedName>
    <definedName name="WA_021b" localSheetId="17">#REF!</definedName>
    <definedName name="WA_021b" localSheetId="13">#REF!</definedName>
    <definedName name="WA_021b" localSheetId="18">#REF!</definedName>
    <definedName name="WA_021b">#REF!</definedName>
    <definedName name="WA_Gas" localSheetId="8">'[5]DEBT CALC'!#REF!</definedName>
    <definedName name="WA_Gas" localSheetId="2">'[5]DEBT CALC'!#REF!</definedName>
    <definedName name="WA_Gas" localSheetId="17">'[5]DEBT CALC'!#REF!</definedName>
    <definedName name="WA_Gas" localSheetId="3">'[5]DEBT CALC'!#REF!</definedName>
    <definedName name="WA_Gas" localSheetId="11">'[5]DEBT CALC'!#REF!</definedName>
    <definedName name="WA_Gas" localSheetId="13">'[5]DEBT CALC'!#REF!</definedName>
    <definedName name="WA_Gas" localSheetId="18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17" hidden="1">'CBR Hist'!#REF!,'CBR Hist'!$E:$E</definedName>
    <definedName name="Z_6E1B8C45_B07F_11D2_B0DC_0000832CDFF0_.wvu.PrintArea" localSheetId="17" hidden="1">'CBR Hist'!$E:$E</definedName>
    <definedName name="Z_6E1B8C45_B07F_11D2_B0DC_0000832CDFF0_.wvu.PrintTitles" localSheetId="17" hidden="1">'CBR Hist'!$A:$D,'CBR Hist'!$1:$9</definedName>
    <definedName name="Z_A15D1962_B049_11D2_8670_0000832CEEE8_.wvu.Cols" localSheetId="17" hidden="1">'CBR Hist'!$E:$E</definedName>
  </definedNames>
  <calcPr calcId="145621"/>
</workbook>
</file>

<file path=xl/calcChain.xml><?xml version="1.0" encoding="utf-8"?>
<calcChain xmlns="http://schemas.openxmlformats.org/spreadsheetml/2006/main">
  <c r="L20" i="122" l="1"/>
  <c r="G219" i="122"/>
  <c r="G212" i="122"/>
  <c r="J216" i="122" l="1"/>
  <c r="O23" i="133" l="1"/>
  <c r="G210" i="122" l="1"/>
  <c r="R38" i="120"/>
  <c r="R28" i="120"/>
  <c r="F47" i="135"/>
  <c r="D5" i="141" s="1"/>
  <c r="F46" i="135"/>
  <c r="D4" i="141" s="1"/>
  <c r="F46" i="78"/>
  <c r="F5" i="141" s="1"/>
  <c r="F45" i="78"/>
  <c r="F4" i="141" s="1"/>
  <c r="G4" i="141" s="1"/>
  <c r="F45" i="139"/>
  <c r="F44" i="139"/>
  <c r="E219" i="122"/>
  <c r="G5" i="141" l="1"/>
  <c r="F6" i="141"/>
  <c r="D6" i="141"/>
  <c r="F10" i="141" l="1"/>
  <c r="G6" i="141"/>
  <c r="G220" i="122" l="1"/>
  <c r="N176" i="122" s="1"/>
  <c r="N196" i="122" s="1"/>
  <c r="K58" i="120" s="1"/>
  <c r="G221" i="122"/>
  <c r="J215" i="122"/>
  <c r="K216" i="122" s="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D26" i="139"/>
  <c r="D11" i="139"/>
  <c r="J27" i="140"/>
  <c r="J28" i="140"/>
  <c r="J29" i="140"/>
  <c r="J26" i="140"/>
  <c r="J24" i="140"/>
  <c r="J34" i="140" s="1"/>
  <c r="I31" i="140"/>
  <c r="I32" i="140"/>
  <c r="I30" i="140"/>
  <c r="I18" i="140"/>
  <c r="I19" i="140"/>
  <c r="I20" i="140"/>
  <c r="I21" i="140"/>
  <c r="I22" i="140"/>
  <c r="I23" i="140"/>
  <c r="I17" i="140"/>
  <c r="I34" i="140" s="1"/>
  <c r="H7" i="120" l="1"/>
  <c r="N186" i="122" l="1"/>
  <c r="D8" i="141" l="1"/>
  <c r="D10" i="141" s="1"/>
  <c r="H10" i="141" s="1"/>
  <c r="R16" i="120" s="1"/>
  <c r="R21" i="120" s="1"/>
  <c r="R39" i="120" s="1"/>
  <c r="R41" i="120" s="1"/>
  <c r="K16" i="120"/>
  <c r="D14" i="139"/>
  <c r="R49" i="120" l="1"/>
  <c r="R54" i="120"/>
  <c r="T10" i="122" l="1"/>
  <c r="T11" i="122"/>
  <c r="T12" i="122"/>
  <c r="T14" i="122"/>
  <c r="T136" i="122" s="1"/>
  <c r="T19" i="122"/>
  <c r="T92" i="122" s="1"/>
  <c r="T20" i="122"/>
  <c r="T23" i="122"/>
  <c r="T27" i="122"/>
  <c r="T28" i="122"/>
  <c r="T108" i="122" s="1"/>
  <c r="T29" i="122"/>
  <c r="T32" i="122"/>
  <c r="T95" i="122" s="1"/>
  <c r="T33" i="122"/>
  <c r="T34" i="122"/>
  <c r="T97" i="122" s="1"/>
  <c r="T37" i="122"/>
  <c r="T98" i="122" s="1"/>
  <c r="T38" i="122"/>
  <c r="T109" i="122" s="1"/>
  <c r="T39" i="122"/>
  <c r="T46" i="122"/>
  <c r="T47" i="122"/>
  <c r="T48" i="122"/>
  <c r="T49" i="122"/>
  <c r="T50" i="122"/>
  <c r="T59" i="122"/>
  <c r="T90" i="122"/>
  <c r="T93" i="122"/>
  <c r="T94" i="122"/>
  <c r="T96" i="122"/>
  <c r="T101" i="122"/>
  <c r="T102" i="122"/>
  <c r="T115" i="122"/>
  <c r="T121" i="122"/>
  <c r="T122" i="122"/>
  <c r="T124" i="122"/>
  <c r="T125" i="122"/>
  <c r="T138" i="122"/>
  <c r="T13" i="122" l="1"/>
  <c r="T15" i="122" s="1"/>
  <c r="T120" i="122"/>
  <c r="T123" i="122" s="1"/>
  <c r="T126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K215" i="122"/>
  <c r="K214" i="122"/>
  <c r="K213" i="122"/>
  <c r="K212" i="122"/>
  <c r="K211" i="122"/>
  <c r="K210" i="122"/>
  <c r="K209" i="122"/>
  <c r="D165" i="132"/>
  <c r="C165" i="132" s="1"/>
  <c r="C174" i="132"/>
  <c r="C175" i="132"/>
  <c r="D187" i="132"/>
  <c r="D188" i="132"/>
  <c r="D191" i="132"/>
  <c r="D198" i="132"/>
  <c r="L215" i="122" l="1"/>
  <c r="T71" i="133"/>
  <c r="T74" i="133" s="1"/>
  <c r="T78" i="133" s="1"/>
  <c r="T82" i="122" s="1"/>
  <c r="T132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G213" i="122"/>
  <c r="S65" i="129" l="1"/>
  <c r="S68" i="129" s="1"/>
  <c r="S72" i="129" s="1"/>
  <c r="T75" i="122"/>
  <c r="T78" i="122" s="1"/>
  <c r="T114" i="122"/>
  <c r="T116" i="122" s="1"/>
  <c r="T21" i="122"/>
  <c r="T129" i="122" l="1"/>
  <c r="T83" i="122"/>
  <c r="T107" i="122"/>
  <c r="T110" i="122" s="1"/>
  <c r="T24" i="122"/>
  <c r="T41" i="122" s="1"/>
  <c r="T43" i="122" s="1"/>
  <c r="T51" i="122" s="1"/>
  <c r="F13" i="110"/>
  <c r="F26" i="135"/>
  <c r="F17" i="120" l="1"/>
  <c r="S21" i="134"/>
  <c r="F34" i="78"/>
  <c r="F33" i="78"/>
  <c r="D35" i="135"/>
  <c r="F34" i="135"/>
  <c r="F33" i="135"/>
  <c r="F34" i="139"/>
  <c r="F33" i="139"/>
  <c r="D35" i="139"/>
  <c r="D35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F244" i="132"/>
  <c r="B263" i="132" s="1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35" i="120"/>
  <c r="H27" i="120"/>
  <c r="H30" i="120"/>
  <c r="F15" i="135"/>
  <c r="H43" i="103" l="1"/>
  <c r="H46" i="103" s="1"/>
  <c r="H51" i="103" s="1"/>
  <c r="F39" i="110"/>
  <c r="E28" i="120" l="1"/>
  <c r="R16" i="130"/>
  <c r="R13" i="130"/>
  <c r="G138" i="122" l="1"/>
  <c r="R17" i="130" l="1"/>
  <c r="R19" i="130" s="1"/>
  <c r="S137" i="122" s="1"/>
  <c r="S138" i="122"/>
  <c r="Q16" i="130"/>
  <c r="R138" i="122" s="1"/>
  <c r="R14" i="130"/>
  <c r="R21" i="130" l="1"/>
  <c r="R10" i="130"/>
  <c r="R29" i="134"/>
  <c r="R23" i="130" l="1"/>
  <c r="S90" i="122" l="1"/>
  <c r="S100" i="122"/>
  <c r="S101" i="122"/>
  <c r="S102" i="122"/>
  <c r="S115" i="122"/>
  <c r="S124" i="122"/>
  <c r="S125" i="122"/>
  <c r="R93" i="129"/>
  <c r="R92" i="129"/>
  <c r="R91" i="129"/>
  <c r="R102" i="129" s="1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6" i="122" s="1"/>
  <c r="S19" i="122"/>
  <c r="S92" i="122" s="1"/>
  <c r="S20" i="122"/>
  <c r="S93" i="122" s="1"/>
  <c r="S23" i="122"/>
  <c r="S120" i="122" s="1"/>
  <c r="S27" i="122"/>
  <c r="S94" i="122" s="1"/>
  <c r="S28" i="122"/>
  <c r="S108" i="122" s="1"/>
  <c r="S29" i="122"/>
  <c r="S121" i="122" s="1"/>
  <c r="S32" i="122"/>
  <c r="S95" i="122" s="1"/>
  <c r="S33" i="122"/>
  <c r="S96" i="122" s="1"/>
  <c r="S34" i="122"/>
  <c r="S97" i="122" s="1"/>
  <c r="S37" i="122"/>
  <c r="S38" i="122"/>
  <c r="S109" i="122" s="1"/>
  <c r="S39" i="122"/>
  <c r="S122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S22" i="122"/>
  <c r="S21" i="122" s="1"/>
  <c r="S24" i="122" s="1"/>
  <c r="R44" i="129"/>
  <c r="R47" i="129"/>
  <c r="S71" i="133"/>
  <c r="S40" i="122"/>
  <c r="S123" i="122"/>
  <c r="S126" i="122" s="1"/>
  <c r="R64" i="129"/>
  <c r="R57" i="129"/>
  <c r="S98" i="122"/>
  <c r="S99" i="122" s="1"/>
  <c r="S103" i="122" s="1"/>
  <c r="S30" i="122"/>
  <c r="S72" i="122"/>
  <c r="S74" i="122" s="1"/>
  <c r="S139" i="122"/>
  <c r="S67" i="122"/>
  <c r="S13" i="122"/>
  <c r="S15" i="122" s="1"/>
  <c r="S74" i="133"/>
  <c r="S78" i="133" s="1"/>
  <c r="S82" i="122" s="1"/>
  <c r="S132" i="122" s="1"/>
  <c r="S44" i="133"/>
  <c r="S46" i="133" s="1"/>
  <c r="S54" i="133" s="1"/>
  <c r="T172" i="122" l="1"/>
  <c r="T192" i="122" s="1"/>
  <c r="T154" i="122"/>
  <c r="T127" i="122"/>
  <c r="T178" i="122"/>
  <c r="T198" i="122" s="1"/>
  <c r="T133" i="122"/>
  <c r="T158" i="122"/>
  <c r="S114" i="122"/>
  <c r="S116" i="122" s="1"/>
  <c r="S107" i="122"/>
  <c r="S110" i="122" s="1"/>
  <c r="R65" i="129"/>
  <c r="R68" i="129" s="1"/>
  <c r="R72" i="129" s="1"/>
  <c r="S75" i="122"/>
  <c r="S78" i="122" s="1"/>
  <c r="S129" i="122" s="1"/>
  <c r="S41" i="122"/>
  <c r="S43" i="122" s="1"/>
  <c r="S51" i="122" s="1"/>
  <c r="S79" i="122"/>
  <c r="S79" i="133"/>
  <c r="B44" i="120"/>
  <c r="T174" i="122" l="1"/>
  <c r="T194" i="122" s="1"/>
  <c r="T130" i="122"/>
  <c r="T156" i="122"/>
  <c r="T152" i="122"/>
  <c r="T111" i="122"/>
  <c r="T168" i="122"/>
  <c r="T188" i="122" s="1"/>
  <c r="S83" i="122"/>
  <c r="F18" i="87" l="1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6" i="122"/>
  <c r="A55" i="122"/>
  <c r="E55" i="122"/>
  <c r="F137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5" i="122"/>
  <c r="H115" i="122"/>
  <c r="I115" i="122"/>
  <c r="K115" i="122"/>
  <c r="M115" i="122"/>
  <c r="N115" i="122"/>
  <c r="O115" i="122"/>
  <c r="P115" i="122"/>
  <c r="R115" i="122"/>
  <c r="F115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S87" i="120" l="1"/>
  <c r="H22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8" i="122" s="1"/>
  <c r="S17" i="130" l="1"/>
  <c r="S10" i="130"/>
  <c r="R35" i="134"/>
  <c r="R54" i="134"/>
  <c r="P16" i="130"/>
  <c r="Q138" i="122" s="1"/>
  <c r="J16" i="130"/>
  <c r="K138" i="122" s="1"/>
  <c r="K16" i="130"/>
  <c r="L138" i="122" s="1"/>
  <c r="L16" i="130"/>
  <c r="M138" i="122" s="1"/>
  <c r="M16" i="130"/>
  <c r="N138" i="122" s="1"/>
  <c r="N16" i="130"/>
  <c r="O138" i="122" s="1"/>
  <c r="O16" i="130"/>
  <c r="P138" i="122" s="1"/>
  <c r="S19" i="130" l="1"/>
  <c r="T137" i="122" s="1"/>
  <c r="T139" i="122" s="1"/>
  <c r="S21" i="130"/>
  <c r="S23" i="130" s="1"/>
  <c r="E17" i="130"/>
  <c r="E19" i="130" s="1"/>
  <c r="F138" i="122" s="1"/>
  <c r="Q9" i="130"/>
  <c r="T140" i="122" l="1"/>
  <c r="T160" i="122"/>
  <c r="T180" i="122"/>
  <c r="T200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3" i="122" s="1"/>
  <c r="T150" i="122" s="1"/>
  <c r="S31" i="134"/>
  <c r="S33" i="134" s="1"/>
  <c r="S54" i="134" s="1"/>
  <c r="T164" i="122"/>
  <c r="T184" i="122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E212" i="122" s="1"/>
  <c r="I18" i="120"/>
  <c r="E210" i="122" s="1"/>
  <c r="I24" i="120"/>
  <c r="I35" i="120"/>
  <c r="I52" i="120"/>
  <c r="I67" i="120"/>
  <c r="G21" i="120"/>
  <c r="I30" i="120"/>
  <c r="I51" i="120"/>
  <c r="I62" i="120"/>
  <c r="I8" i="120"/>
  <c r="N8" i="120" s="1"/>
  <c r="I59" i="120"/>
  <c r="I9" i="120"/>
  <c r="I25" i="120"/>
  <c r="E211" i="122" s="1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E213" i="122" l="1"/>
  <c r="T104" i="122"/>
  <c r="S35" i="134"/>
  <c r="D15" i="110"/>
  <c r="F15" i="110"/>
  <c r="F16" i="120"/>
  <c r="N10" i="120"/>
  <c r="N12" i="120" s="1"/>
  <c r="H26" i="126"/>
  <c r="G72" i="120"/>
  <c r="I10" i="120"/>
  <c r="G39" i="120"/>
  <c r="G41" i="120" s="1"/>
  <c r="G49" i="120" s="1"/>
  <c r="H72" i="120"/>
  <c r="H75" i="120" s="1"/>
  <c r="H79" i="120" s="1"/>
  <c r="F37" i="135"/>
  <c r="G215" i="122" l="1"/>
  <c r="G214" i="122"/>
  <c r="N170" i="122" s="1"/>
  <c r="N190" i="122" s="1"/>
  <c r="K18" i="120" s="1"/>
  <c r="K36" i="120" s="1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S47" i="120"/>
  <c r="F47" i="120"/>
  <c r="G47" i="120"/>
  <c r="H47" i="120"/>
  <c r="E47" i="120"/>
  <c r="F46" i="120"/>
  <c r="G46" i="120"/>
  <c r="H46" i="120"/>
  <c r="I46" i="120"/>
  <c r="J46" i="120"/>
  <c r="K46" i="120"/>
  <c r="L46" i="120"/>
  <c r="M46" i="120"/>
  <c r="N46" i="120"/>
  <c r="O46" i="120"/>
  <c r="P46" i="120"/>
  <c r="Q46" i="120"/>
  <c r="R46" i="120"/>
  <c r="E46" i="120"/>
  <c r="E84" i="120" l="1"/>
  <c r="S84" i="120" s="1"/>
  <c r="H14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2" i="122" s="1"/>
  <c r="H82" i="122"/>
  <c r="H132" i="122" s="1"/>
  <c r="I82" i="122"/>
  <c r="I132" i="122" s="1"/>
  <c r="J82" i="122"/>
  <c r="J132" i="122" s="1"/>
  <c r="K82" i="122"/>
  <c r="K132" i="122" s="1"/>
  <c r="L82" i="122"/>
  <c r="L132" i="122" s="1"/>
  <c r="M82" i="122"/>
  <c r="M132" i="122" s="1"/>
  <c r="N82" i="122"/>
  <c r="N132" i="122" s="1"/>
  <c r="O82" i="122"/>
  <c r="O132" i="122" s="1"/>
  <c r="P82" i="122"/>
  <c r="P132" i="122" s="1"/>
  <c r="Q82" i="122"/>
  <c r="Q132" i="122" s="1"/>
  <c r="R82" i="122"/>
  <c r="R132" i="122" s="1"/>
  <c r="S178" i="122" s="1"/>
  <c r="S198" i="122" s="1"/>
  <c r="F82" i="122"/>
  <c r="F132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6" i="122" s="1"/>
  <c r="H14" i="122"/>
  <c r="H136" i="122" s="1"/>
  <c r="I14" i="122"/>
  <c r="I136" i="122" s="1"/>
  <c r="J14" i="122"/>
  <c r="J136" i="122" s="1"/>
  <c r="K14" i="122"/>
  <c r="K136" i="122" s="1"/>
  <c r="L14" i="122"/>
  <c r="L136" i="122" s="1"/>
  <c r="M14" i="122"/>
  <c r="M136" i="122" s="1"/>
  <c r="N14" i="122"/>
  <c r="N136" i="122" s="1"/>
  <c r="O14" i="122"/>
  <c r="O136" i="122" s="1"/>
  <c r="P14" i="122"/>
  <c r="P136" i="122" s="1"/>
  <c r="Q14" i="122"/>
  <c r="Q136" i="122" s="1"/>
  <c r="R14" i="122"/>
  <c r="R136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93" i="122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0" i="122" s="1"/>
  <c r="H23" i="122"/>
  <c r="H120" i="122" s="1"/>
  <c r="I23" i="122"/>
  <c r="I120" i="122" s="1"/>
  <c r="J23" i="122"/>
  <c r="J120" i="122" s="1"/>
  <c r="K23" i="122"/>
  <c r="K120" i="122" s="1"/>
  <c r="L23" i="122"/>
  <c r="L120" i="122" s="1"/>
  <c r="M23" i="122"/>
  <c r="M120" i="122" s="1"/>
  <c r="N23" i="122"/>
  <c r="N120" i="122" s="1"/>
  <c r="O23" i="122"/>
  <c r="O120" i="122" s="1"/>
  <c r="P23" i="122"/>
  <c r="P120" i="122" s="1"/>
  <c r="Q23" i="122"/>
  <c r="Q120" i="122" s="1"/>
  <c r="R23" i="122"/>
  <c r="R120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8" i="122" s="1"/>
  <c r="H28" i="122"/>
  <c r="H108" i="122" s="1"/>
  <c r="I28" i="122"/>
  <c r="I108" i="122" s="1"/>
  <c r="J28" i="122"/>
  <c r="J108" i="122" s="1"/>
  <c r="K28" i="122"/>
  <c r="K108" i="122" s="1"/>
  <c r="L28" i="122"/>
  <c r="L108" i="122" s="1"/>
  <c r="M28" i="122"/>
  <c r="M108" i="122" s="1"/>
  <c r="N28" i="122"/>
  <c r="N108" i="122" s="1"/>
  <c r="O28" i="122"/>
  <c r="O108" i="122" s="1"/>
  <c r="P28" i="122"/>
  <c r="P108" i="122" s="1"/>
  <c r="Q28" i="122"/>
  <c r="Q108" i="122" s="1"/>
  <c r="R28" i="122"/>
  <c r="R108" i="122" s="1"/>
  <c r="G29" i="122"/>
  <c r="G121" i="122" s="1"/>
  <c r="H29" i="122"/>
  <c r="H121" i="122" s="1"/>
  <c r="I29" i="122"/>
  <c r="I121" i="122" s="1"/>
  <c r="J29" i="122"/>
  <c r="J121" i="122" s="1"/>
  <c r="K29" i="122"/>
  <c r="K121" i="122" s="1"/>
  <c r="L29" i="122"/>
  <c r="L121" i="122" s="1"/>
  <c r="M29" i="122"/>
  <c r="M121" i="122" s="1"/>
  <c r="N29" i="122"/>
  <c r="N121" i="122" s="1"/>
  <c r="O29" i="122"/>
  <c r="O121" i="122" s="1"/>
  <c r="P29" i="122"/>
  <c r="P121" i="122" s="1"/>
  <c r="Q29" i="122"/>
  <c r="Q121" i="122" s="1"/>
  <c r="R29" i="122"/>
  <c r="R121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09" i="122" s="1"/>
  <c r="H38" i="122"/>
  <c r="H109" i="122" s="1"/>
  <c r="I38" i="122"/>
  <c r="I109" i="122" s="1"/>
  <c r="J38" i="122"/>
  <c r="J109" i="122" s="1"/>
  <c r="K38" i="122"/>
  <c r="K109" i="122" s="1"/>
  <c r="L38" i="122"/>
  <c r="L109" i="122" s="1"/>
  <c r="M38" i="122"/>
  <c r="M109" i="122" s="1"/>
  <c r="N38" i="122"/>
  <c r="N109" i="122" s="1"/>
  <c r="O38" i="122"/>
  <c r="O109" i="122" s="1"/>
  <c r="P38" i="122"/>
  <c r="P109" i="122" s="1"/>
  <c r="Q38" i="122"/>
  <c r="Q109" i="122" s="1"/>
  <c r="R38" i="122"/>
  <c r="R109" i="122" s="1"/>
  <c r="G39" i="122"/>
  <c r="G122" i="122" s="1"/>
  <c r="H39" i="122"/>
  <c r="H122" i="122" s="1"/>
  <c r="I39" i="122"/>
  <c r="I122" i="122" s="1"/>
  <c r="J39" i="122"/>
  <c r="J122" i="122" s="1"/>
  <c r="K39" i="122"/>
  <c r="K122" i="122" s="1"/>
  <c r="L39" i="122"/>
  <c r="L122" i="122" s="1"/>
  <c r="M39" i="122"/>
  <c r="M122" i="122" s="1"/>
  <c r="N39" i="122"/>
  <c r="N122" i="122" s="1"/>
  <c r="O39" i="122"/>
  <c r="O122" i="122" s="1"/>
  <c r="P39" i="122"/>
  <c r="P122" i="122" s="1"/>
  <c r="Q39" i="122"/>
  <c r="Q122" i="122" s="1"/>
  <c r="R39" i="122"/>
  <c r="R122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09" i="122" s="1"/>
  <c r="F39" i="122"/>
  <c r="F122" i="122" s="1"/>
  <c r="F37" i="122"/>
  <c r="F98" i="122" s="1"/>
  <c r="F34" i="122"/>
  <c r="F97" i="122" s="1"/>
  <c r="F33" i="122"/>
  <c r="F96" i="122" s="1"/>
  <c r="F32" i="122"/>
  <c r="F95" i="122" s="1"/>
  <c r="F28" i="122"/>
  <c r="F108" i="122" s="1"/>
  <c r="F29" i="122"/>
  <c r="F121" i="122" s="1"/>
  <c r="F27" i="122"/>
  <c r="F94" i="122" s="1"/>
  <c r="F23" i="122"/>
  <c r="F120" i="122" s="1"/>
  <c r="F20" i="122"/>
  <c r="F93" i="122" s="1"/>
  <c r="F19" i="122"/>
  <c r="F92" i="122" s="1"/>
  <c r="F12" i="122"/>
  <c r="F14" i="122"/>
  <c r="F136" i="122" s="1"/>
  <c r="F139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8" i="122" l="1"/>
  <c r="R198" i="122" s="1"/>
  <c r="N178" i="122"/>
  <c r="N198" i="122" s="1"/>
  <c r="J178" i="122"/>
  <c r="J198" i="122" s="1"/>
  <c r="O178" i="122"/>
  <c r="O198" i="122" s="1"/>
  <c r="K178" i="122"/>
  <c r="K198" i="122" s="1"/>
  <c r="P178" i="122"/>
  <c r="P198" i="122" s="1"/>
  <c r="L178" i="122"/>
  <c r="L198" i="122" s="1"/>
  <c r="H178" i="122"/>
  <c r="H198" i="122" s="1"/>
  <c r="Q178" i="122"/>
  <c r="Q198" i="122" s="1"/>
  <c r="M178" i="122"/>
  <c r="M198" i="122" s="1"/>
  <c r="I178" i="122"/>
  <c r="I198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3" i="122"/>
  <c r="S158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R74" i="122"/>
  <c r="I30" i="122"/>
  <c r="N30" i="122"/>
  <c r="G30" i="122"/>
  <c r="R40" i="122"/>
  <c r="J30" i="122"/>
  <c r="P158" i="122"/>
  <c r="H158" i="122"/>
  <c r="Q158" i="122"/>
  <c r="M158" i="122"/>
  <c r="I158" i="122"/>
  <c r="O158" i="122"/>
  <c r="K158" i="122"/>
  <c r="R30" i="122"/>
  <c r="M30" i="122"/>
  <c r="L158" i="122"/>
  <c r="N158" i="122"/>
  <c r="J158" i="122"/>
  <c r="P123" i="122"/>
  <c r="P30" i="122"/>
  <c r="Q30" i="122"/>
  <c r="L30" i="122"/>
  <c r="R158" i="122"/>
  <c r="O30" i="122"/>
  <c r="K30" i="122"/>
  <c r="H30" i="122"/>
  <c r="G13" i="122"/>
  <c r="G15" i="122" s="1"/>
  <c r="O13" i="122"/>
  <c r="O15" i="122" s="1"/>
  <c r="F123" i="122"/>
  <c r="R133" i="122"/>
  <c r="N133" i="122"/>
  <c r="J133" i="122"/>
  <c r="Q133" i="122"/>
  <c r="M133" i="122"/>
  <c r="I133" i="122"/>
  <c r="K133" i="122"/>
  <c r="G133" i="122"/>
  <c r="P133" i="122"/>
  <c r="L133" i="122"/>
  <c r="H133" i="122"/>
  <c r="O133" i="122"/>
  <c r="M123" i="122"/>
  <c r="R123" i="122"/>
  <c r="J123" i="122"/>
  <c r="J126" i="122" s="1"/>
  <c r="K172" i="122" s="1"/>
  <c r="K192" i="122" s="1"/>
  <c r="O123" i="122"/>
  <c r="K123" i="122"/>
  <c r="G123" i="122"/>
  <c r="Q123" i="122"/>
  <c r="I123" i="122"/>
  <c r="N123" i="122"/>
  <c r="L123" i="122"/>
  <c r="L126" i="122" s="1"/>
  <c r="M172" i="122" s="1"/>
  <c r="M192" i="122" s="1"/>
  <c r="H123" i="122"/>
  <c r="N99" i="122"/>
  <c r="K99" i="122"/>
  <c r="Q99" i="122"/>
  <c r="M99" i="122"/>
  <c r="I99" i="122"/>
  <c r="R99" i="122"/>
  <c r="J99" i="122"/>
  <c r="F99" i="122"/>
  <c r="O99" i="122"/>
  <c r="G99" i="122"/>
  <c r="P99" i="122"/>
  <c r="L99" i="122"/>
  <c r="L103" i="122" s="1"/>
  <c r="M164" i="122" s="1"/>
  <c r="M184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N72" i="129"/>
  <c r="B264" i="132"/>
  <c r="C210" i="132"/>
  <c r="B209" i="132"/>
  <c r="F198" i="132"/>
  <c r="E198" i="132"/>
  <c r="C198" i="132" s="1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C187" i="132" s="1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C191" i="132" l="1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I205" i="132" l="1"/>
  <c r="H18" i="87"/>
  <c r="C195" i="132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167" i="132" s="1"/>
  <c r="C231" i="132"/>
  <c r="G166" i="132"/>
  <c r="C282" i="132"/>
  <c r="C249" i="132"/>
  <c r="E249" i="132" s="1"/>
  <c r="E166" i="132"/>
  <c r="C166" i="132" s="1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E124" i="132" l="1"/>
  <c r="H8" i="87"/>
  <c r="D183" i="132"/>
  <c r="C171" i="132"/>
  <c r="C177" i="132" s="1"/>
  <c r="C113" i="132"/>
  <c r="C114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D203" i="132" l="1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C181" i="132" s="1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H183" i="132"/>
  <c r="H203" i="132" s="1"/>
  <c r="H204" i="132" s="1"/>
  <c r="G299" i="132"/>
  <c r="I277" i="132"/>
  <c r="I278" i="132" s="1"/>
  <c r="F146" i="132" s="1"/>
  <c r="F147" i="132" s="1"/>
  <c r="E183" i="132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203" i="132" l="1"/>
  <c r="C203" i="132" s="1"/>
  <c r="C183" i="132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F205" i="132" l="1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2" i="132" l="1"/>
  <c r="D193" i="132" s="1"/>
  <c r="D196" i="132" s="1"/>
  <c r="D199" i="132"/>
  <c r="D200" i="132" s="1"/>
  <c r="C200" i="132" s="1"/>
  <c r="C193" i="132"/>
  <c r="C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D202" i="132" l="1"/>
  <c r="D204" i="132" s="1"/>
  <c r="E208" i="132"/>
  <c r="F299" i="132"/>
  <c r="C140" i="132"/>
  <c r="D143" i="132"/>
  <c r="D149" i="132" s="1"/>
  <c r="D152" i="132" s="1"/>
  <c r="C147" i="132"/>
  <c r="C202" i="132" l="1"/>
  <c r="C204" i="132" s="1"/>
  <c r="C143" i="132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7" i="122" s="1"/>
  <c r="G17" i="130"/>
  <c r="G19" i="130" s="1"/>
  <c r="H137" i="122" s="1"/>
  <c r="F17" i="130"/>
  <c r="H16" i="130"/>
  <c r="I138" i="122" s="1"/>
  <c r="G16" i="130"/>
  <c r="H138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5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N63" i="122" s="1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O102" i="129" s="1"/>
  <c r="P79" i="122" s="1"/>
  <c r="Q93" i="129"/>
  <c r="Q92" i="129"/>
  <c r="P99" i="129"/>
  <c r="P93" i="129"/>
  <c r="P91" i="129"/>
  <c r="T24" i="94"/>
  <c r="Q115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16" i="129"/>
  <c r="L23" i="129"/>
  <c r="L42" i="129" s="1"/>
  <c r="M22" i="122" s="1"/>
  <c r="L16" i="129"/>
  <c r="K23" i="129"/>
  <c r="K16" i="129"/>
  <c r="J23" i="129"/>
  <c r="J42" i="129" s="1"/>
  <c r="K22" i="122" s="1"/>
  <c r="I23" i="129"/>
  <c r="H23" i="129"/>
  <c r="G23" i="129"/>
  <c r="F23" i="129"/>
  <c r="E23" i="129"/>
  <c r="M42" i="129"/>
  <c r="N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O42" i="129" s="1"/>
  <c r="P22" i="122" s="1"/>
  <c r="N18" i="129"/>
  <c r="N20" i="129" s="1"/>
  <c r="N31" i="129"/>
  <c r="M18" i="129"/>
  <c r="M20" i="129" s="1"/>
  <c r="L17" i="129"/>
  <c r="L18" i="129"/>
  <c r="K28" i="129"/>
  <c r="K42" i="129" s="1"/>
  <c r="K18" i="129"/>
  <c r="K17" i="129"/>
  <c r="K20" i="129" s="1"/>
  <c r="K44" i="129" s="1"/>
  <c r="J18" i="129"/>
  <c r="J20" i="129" s="1"/>
  <c r="I28" i="129"/>
  <c r="I18" i="129"/>
  <c r="I22" i="129"/>
  <c r="I42" i="129" s="1"/>
  <c r="J22" i="122" s="1"/>
  <c r="I17" i="129"/>
  <c r="I20" i="129" s="1"/>
  <c r="H22" i="129"/>
  <c r="H42" i="129" s="1"/>
  <c r="I22" i="122" s="1"/>
  <c r="H18" i="129"/>
  <c r="H17" i="129"/>
  <c r="H20" i="129" s="1"/>
  <c r="G26" i="129"/>
  <c r="G22" i="129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E20" i="129" s="1"/>
  <c r="U35" i="91"/>
  <c r="M21" i="122" l="1"/>
  <c r="M114" i="122"/>
  <c r="M116" i="122" s="1"/>
  <c r="K21" i="122"/>
  <c r="K114" i="122"/>
  <c r="K116" i="122" s="1"/>
  <c r="F42" i="129"/>
  <c r="G22" i="122" s="1"/>
  <c r="G42" i="129"/>
  <c r="H22" i="122" s="1"/>
  <c r="I114" i="122"/>
  <c r="I116" i="122" s="1"/>
  <c r="I21" i="122"/>
  <c r="K47" i="129"/>
  <c r="L22" i="122"/>
  <c r="N42" i="129"/>
  <c r="O22" i="122" s="1"/>
  <c r="N102" i="129"/>
  <c r="O79" i="122" s="1"/>
  <c r="J44" i="129"/>
  <c r="J21" i="122"/>
  <c r="J114" i="122"/>
  <c r="J116" i="122" s="1"/>
  <c r="L20" i="129"/>
  <c r="L44" i="129" s="1"/>
  <c r="N114" i="122"/>
  <c r="N116" i="122" s="1"/>
  <c r="N21" i="122"/>
  <c r="E42" i="129"/>
  <c r="P114" i="122"/>
  <c r="P116" i="122" s="1"/>
  <c r="P21" i="122"/>
  <c r="P47" i="129"/>
  <c r="Q22" i="122"/>
  <c r="M44" i="129"/>
  <c r="R137" i="122"/>
  <c r="R139" i="122" s="1"/>
  <c r="S180" i="122" s="1"/>
  <c r="S200" i="122" s="1"/>
  <c r="L19" i="130"/>
  <c r="L21" i="130"/>
  <c r="L23" i="130" s="1"/>
  <c r="I139" i="122"/>
  <c r="J180" i="122" s="1"/>
  <c r="J200" i="122" s="1"/>
  <c r="H21" i="130"/>
  <c r="H23" i="130" s="1"/>
  <c r="I19" i="130"/>
  <c r="I21" i="130"/>
  <c r="I23" i="130" s="1"/>
  <c r="M19" i="130"/>
  <c r="M21" i="130"/>
  <c r="M23" i="130" s="1"/>
  <c r="H139" i="122"/>
  <c r="I180" i="122" s="1"/>
  <c r="I200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M67" i="122"/>
  <c r="H67" i="122"/>
  <c r="R67" i="122"/>
  <c r="R75" i="122" s="1"/>
  <c r="R78" i="122" s="1"/>
  <c r="L67" i="122"/>
  <c r="F73" i="129"/>
  <c r="E44" i="129"/>
  <c r="P102" i="129"/>
  <c r="Q102" i="129"/>
  <c r="O103" i="129"/>
  <c r="P63" i="122" s="1"/>
  <c r="P67" i="122" s="1"/>
  <c r="F20" i="129"/>
  <c r="Q42" i="129"/>
  <c r="Q44" i="129" s="1"/>
  <c r="Q45" i="129" s="1"/>
  <c r="J45" i="129"/>
  <c r="F22" i="122"/>
  <c r="F114" i="122" s="1"/>
  <c r="F116" i="122" s="1"/>
  <c r="E47" i="129"/>
  <c r="G47" i="129"/>
  <c r="H47" i="129"/>
  <c r="F44" i="129"/>
  <c r="F45" i="129" s="1"/>
  <c r="I44" i="129"/>
  <c r="I45" i="129" s="1"/>
  <c r="N44" i="129"/>
  <c r="N45" i="129" s="1"/>
  <c r="O44" i="129"/>
  <c r="O45" i="129" s="1"/>
  <c r="P44" i="129"/>
  <c r="F47" i="129"/>
  <c r="I47" i="129"/>
  <c r="N47" i="129"/>
  <c r="O47" i="129"/>
  <c r="G44" i="129"/>
  <c r="G45" i="129" s="1"/>
  <c r="H44" i="129"/>
  <c r="H45" i="129" s="1"/>
  <c r="E45" i="129"/>
  <c r="L45" i="129"/>
  <c r="K45" i="129"/>
  <c r="P45" i="129"/>
  <c r="M47" i="129"/>
  <c r="M45" i="129"/>
  <c r="L47" i="129"/>
  <c r="J47" i="129"/>
  <c r="Q114" i="122" l="1"/>
  <c r="Q116" i="122" s="1"/>
  <c r="Q21" i="122"/>
  <c r="I107" i="122"/>
  <c r="I110" i="122" s="1"/>
  <c r="I24" i="122"/>
  <c r="I41" i="122" s="1"/>
  <c r="I43" i="122" s="1"/>
  <c r="I51" i="122" s="1"/>
  <c r="O137" i="122"/>
  <c r="O139" i="122" s="1"/>
  <c r="G139" i="122"/>
  <c r="H180" i="122" s="1"/>
  <c r="H200" i="122" s="1"/>
  <c r="G137" i="122"/>
  <c r="L137" i="122"/>
  <c r="L139" i="122" s="1"/>
  <c r="J139" i="122"/>
  <c r="K180" i="122" s="1"/>
  <c r="K200" i="122" s="1"/>
  <c r="J137" i="122"/>
  <c r="M137" i="122"/>
  <c r="M139" i="122" s="1"/>
  <c r="N107" i="122"/>
  <c r="N110" i="122" s="1"/>
  <c r="N24" i="122"/>
  <c r="N41" i="122" s="1"/>
  <c r="N43" i="122" s="1"/>
  <c r="N51" i="122" s="1"/>
  <c r="J107" i="122"/>
  <c r="J110" i="122" s="1"/>
  <c r="J24" i="122"/>
  <c r="J41" i="122" s="1"/>
  <c r="J43" i="122" s="1"/>
  <c r="J51" i="122" s="1"/>
  <c r="O21" i="122"/>
  <c r="O114" i="122"/>
  <c r="O116" i="122" s="1"/>
  <c r="K107" i="122"/>
  <c r="K110" i="122" s="1"/>
  <c r="K24" i="122"/>
  <c r="K41" i="122" s="1"/>
  <c r="K43" i="122" s="1"/>
  <c r="K51" i="122" s="1"/>
  <c r="Q47" i="129"/>
  <c r="R22" i="122"/>
  <c r="P107" i="122"/>
  <c r="P110" i="122" s="1"/>
  <c r="P24" i="122"/>
  <c r="P41" i="122" s="1"/>
  <c r="P43" i="122" s="1"/>
  <c r="P51" i="122" s="1"/>
  <c r="L21" i="122"/>
  <c r="L114" i="122"/>
  <c r="L116" i="122" s="1"/>
  <c r="H21" i="122"/>
  <c r="H114" i="122"/>
  <c r="H116" i="122" s="1"/>
  <c r="P109" i="129"/>
  <c r="P110" i="129" s="1"/>
  <c r="Q80" i="122" s="1"/>
  <c r="Q79" i="122"/>
  <c r="Q83" i="122" s="1"/>
  <c r="K137" i="122"/>
  <c r="K139" i="122" s="1"/>
  <c r="P139" i="122"/>
  <c r="Q180" i="122" s="1"/>
  <c r="Q200" i="122" s="1"/>
  <c r="P137" i="122"/>
  <c r="Q137" i="122"/>
  <c r="Q139" i="122" s="1"/>
  <c r="N139" i="122"/>
  <c r="O180" i="122" s="1"/>
  <c r="O200" i="122" s="1"/>
  <c r="N137" i="122"/>
  <c r="G21" i="122"/>
  <c r="G114" i="122"/>
  <c r="G116" i="122" s="1"/>
  <c r="M107" i="122"/>
  <c r="M110" i="122" s="1"/>
  <c r="M24" i="122"/>
  <c r="M41" i="122" s="1"/>
  <c r="M43" i="122" s="1"/>
  <c r="M51" i="122" s="1"/>
  <c r="S160" i="122"/>
  <c r="S140" i="122"/>
  <c r="G140" i="122"/>
  <c r="H160" i="122"/>
  <c r="H140" i="122"/>
  <c r="I160" i="122"/>
  <c r="I140" i="122"/>
  <c r="R79" i="122"/>
  <c r="R83" i="122" s="1"/>
  <c r="R129" i="122"/>
  <c r="S174" i="122" s="1"/>
  <c r="S194" i="122" s="1"/>
  <c r="F21" i="122"/>
  <c r="M180" i="122" l="1"/>
  <c r="M200" i="122" s="1"/>
  <c r="L140" i="122"/>
  <c r="L160" i="122"/>
  <c r="M160" i="122"/>
  <c r="M140" i="122"/>
  <c r="N180" i="122"/>
  <c r="N200" i="122" s="1"/>
  <c r="K11" i="120" s="1"/>
  <c r="J14" i="103" s="1"/>
  <c r="L180" i="122"/>
  <c r="L200" i="122" s="1"/>
  <c r="K160" i="122"/>
  <c r="K140" i="122"/>
  <c r="R180" i="122"/>
  <c r="R200" i="122" s="1"/>
  <c r="R160" i="122"/>
  <c r="Q160" i="122"/>
  <c r="R140" i="122"/>
  <c r="Q140" i="122"/>
  <c r="P180" i="122"/>
  <c r="P200" i="122" s="1"/>
  <c r="O160" i="122"/>
  <c r="O140" i="122"/>
  <c r="O107" i="122"/>
  <c r="O110" i="122" s="1"/>
  <c r="O24" i="122"/>
  <c r="O41" i="122" s="1"/>
  <c r="O43" i="122" s="1"/>
  <c r="O51" i="122" s="1"/>
  <c r="O168" i="122"/>
  <c r="O188" i="122" s="1"/>
  <c r="N152" i="122"/>
  <c r="N111" i="122"/>
  <c r="J168" i="122"/>
  <c r="J188" i="122" s="1"/>
  <c r="N168" i="122"/>
  <c r="N188" i="122" s="1"/>
  <c r="N160" i="122"/>
  <c r="P140" i="122"/>
  <c r="J160" i="122"/>
  <c r="G107" i="122"/>
  <c r="G110" i="122" s="1"/>
  <c r="H168" i="122" s="1"/>
  <c r="H188" i="122" s="1"/>
  <c r="G24" i="122"/>
  <c r="G41" i="122" s="1"/>
  <c r="G43" i="122" s="1"/>
  <c r="G51" i="122" s="1"/>
  <c r="H107" i="122"/>
  <c r="H110" i="122" s="1"/>
  <c r="I152" i="122" s="1"/>
  <c r="H24" i="122"/>
  <c r="H41" i="122" s="1"/>
  <c r="H43" i="122" s="1"/>
  <c r="H51" i="122" s="1"/>
  <c r="P111" i="122"/>
  <c r="Q168" i="122"/>
  <c r="Q188" i="122" s="1"/>
  <c r="L168" i="122"/>
  <c r="L188" i="122" s="1"/>
  <c r="K111" i="122"/>
  <c r="K152" i="122"/>
  <c r="J111" i="122"/>
  <c r="J152" i="122"/>
  <c r="K168" i="122"/>
  <c r="K188" i="122" s="1"/>
  <c r="Q107" i="122"/>
  <c r="Q110" i="122" s="1"/>
  <c r="Q24" i="122"/>
  <c r="Q41" i="122" s="1"/>
  <c r="Q43" i="122" s="1"/>
  <c r="Q51" i="122" s="1"/>
  <c r="L107" i="122"/>
  <c r="L110" i="122" s="1"/>
  <c r="M111" i="122" s="1"/>
  <c r="L24" i="122"/>
  <c r="L41" i="122" s="1"/>
  <c r="L43" i="122" s="1"/>
  <c r="L51" i="122" s="1"/>
  <c r="N140" i="122"/>
  <c r="P160" i="122"/>
  <c r="J140" i="122"/>
  <c r="R21" i="122"/>
  <c r="R114" i="122"/>
  <c r="R116" i="122" s="1"/>
  <c r="S156" i="122"/>
  <c r="S130" i="122"/>
  <c r="F24" i="122"/>
  <c r="F41" i="122" s="1"/>
  <c r="F43" i="122" s="1"/>
  <c r="F51" i="122" s="1"/>
  <c r="F107" i="122"/>
  <c r="F110" i="122" s="1"/>
  <c r="U12" i="91"/>
  <c r="U15" i="91" s="1"/>
  <c r="U17" i="91" s="1"/>
  <c r="U12" i="94"/>
  <c r="U15" i="94" s="1"/>
  <c r="U17" i="94" s="1"/>
  <c r="U26" i="94"/>
  <c r="U26" i="91"/>
  <c r="M168" i="122" l="1"/>
  <c r="M188" i="122" s="1"/>
  <c r="L152" i="122"/>
  <c r="L111" i="122"/>
  <c r="H152" i="122"/>
  <c r="I168" i="122"/>
  <c r="I188" i="122" s="1"/>
  <c r="H111" i="122"/>
  <c r="M152" i="122"/>
  <c r="P168" i="122"/>
  <c r="P188" i="122" s="1"/>
  <c r="O152" i="122"/>
  <c r="O111" i="122"/>
  <c r="R107" i="122"/>
  <c r="R110" i="122" s="1"/>
  <c r="R24" i="122"/>
  <c r="R41" i="122" s="1"/>
  <c r="R43" i="122" s="1"/>
  <c r="R51" i="122" s="1"/>
  <c r="R168" i="122"/>
  <c r="R188" i="122" s="1"/>
  <c r="Q152" i="122"/>
  <c r="Q111" i="122"/>
  <c r="P152" i="122"/>
  <c r="I111" i="122"/>
  <c r="U39" i="94"/>
  <c r="G111" i="122"/>
  <c r="U42" i="94"/>
  <c r="U34" i="94"/>
  <c r="R102" i="122" s="1"/>
  <c r="U31" i="94"/>
  <c r="R125" i="122" s="1"/>
  <c r="U34" i="91"/>
  <c r="U39" i="91"/>
  <c r="U42" i="91" s="1"/>
  <c r="U31" i="91"/>
  <c r="R124" i="122" s="1"/>
  <c r="E87" i="120"/>
  <c r="E29" i="87"/>
  <c r="K22" i="87" s="1"/>
  <c r="P28" i="120"/>
  <c r="P38" i="120"/>
  <c r="M52" i="120"/>
  <c r="N52" i="120" s="1"/>
  <c r="S52" i="120" s="1"/>
  <c r="K75" i="122"/>
  <c r="N75" i="122"/>
  <c r="N78" i="122" s="1"/>
  <c r="M75" i="122"/>
  <c r="M78" i="122" s="1"/>
  <c r="H75" i="122"/>
  <c r="H78" i="122" s="1"/>
  <c r="G75" i="122"/>
  <c r="G78" i="122" s="1"/>
  <c r="F75" i="122"/>
  <c r="F78" i="122" s="1"/>
  <c r="S78" i="120"/>
  <c r="S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5" i="122" s="1"/>
  <c r="S12" i="94"/>
  <c r="R12" i="94"/>
  <c r="Q12" i="94"/>
  <c r="P12" i="94"/>
  <c r="O12" i="94"/>
  <c r="O15" i="94" s="1"/>
  <c r="O17" i="94" s="1"/>
  <c r="N12" i="94"/>
  <c r="N31" i="94" s="1"/>
  <c r="K125" i="122" s="1"/>
  <c r="M12" i="94"/>
  <c r="M34" i="94" s="1"/>
  <c r="L12" i="94"/>
  <c r="L31" i="94" s="1"/>
  <c r="K12" i="94"/>
  <c r="K39" i="94" s="1"/>
  <c r="J12" i="94"/>
  <c r="J31" i="94" s="1"/>
  <c r="I12" i="94"/>
  <c r="I34" i="94" s="1"/>
  <c r="R39" i="94"/>
  <c r="N15" i="94"/>
  <c r="N17" i="94" s="1"/>
  <c r="P15" i="94"/>
  <c r="P17" i="94"/>
  <c r="R15" i="94"/>
  <c r="R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/>
  <c r="O39" i="91"/>
  <c r="O42" i="91" s="1"/>
  <c r="P39" i="91"/>
  <c r="P42" i="91"/>
  <c r="Q39" i="91"/>
  <c r="Q42" i="91" s="1"/>
  <c r="R39" i="91"/>
  <c r="R42" i="91"/>
  <c r="S39" i="91"/>
  <c r="S42" i="91" s="1"/>
  <c r="T39" i="91"/>
  <c r="N15" i="91"/>
  <c r="N17" i="91" s="1"/>
  <c r="O15" i="91"/>
  <c r="O17" i="91" s="1"/>
  <c r="P15" i="91"/>
  <c r="P17" i="91" s="1"/>
  <c r="Q15" i="91"/>
  <c r="Q17" i="91" s="1"/>
  <c r="R15" i="91"/>
  <c r="R17" i="91" s="1"/>
  <c r="S15" i="91"/>
  <c r="S17" i="91" s="1"/>
  <c r="T15" i="91"/>
  <c r="T17" i="91" s="1"/>
  <c r="N31" i="91"/>
  <c r="K124" i="122" s="1"/>
  <c r="K126" i="122" s="1"/>
  <c r="N32" i="91"/>
  <c r="N43" i="91" s="1"/>
  <c r="P31" i="91"/>
  <c r="M124" i="122" s="1"/>
  <c r="Q31" i="91"/>
  <c r="N124" i="122" s="1"/>
  <c r="R31" i="91"/>
  <c r="O124" i="122" s="1"/>
  <c r="O126" i="122" s="1"/>
  <c r="S31" i="91"/>
  <c r="P124" i="122" s="1"/>
  <c r="T31" i="91"/>
  <c r="Q124" i="122" s="1"/>
  <c r="Q126" i="122" s="1"/>
  <c r="T32" i="91"/>
  <c r="R42" i="94"/>
  <c r="N34" i="94"/>
  <c r="P34" i="94"/>
  <c r="P31" i="94"/>
  <c r="M125" i="122" s="1"/>
  <c r="R34" i="94"/>
  <c r="O102" i="122" s="1"/>
  <c r="R31" i="94"/>
  <c r="O125" i="122" s="1"/>
  <c r="O34" i="94"/>
  <c r="O31" i="94"/>
  <c r="O32" i="94" s="1"/>
  <c r="S34" i="94"/>
  <c r="T34" i="91"/>
  <c r="Q101" i="122" s="1"/>
  <c r="P39" i="94"/>
  <c r="P42" i="94" s="1"/>
  <c r="P43" i="94" s="1"/>
  <c r="P45" i="94" s="1"/>
  <c r="P48" i="94" s="1"/>
  <c r="T34" i="94"/>
  <c r="Q32" i="91"/>
  <c r="Q43" i="91" s="1"/>
  <c r="P32" i="91"/>
  <c r="P43" i="91" s="1"/>
  <c r="P45" i="91" s="1"/>
  <c r="P48" i="91" s="1"/>
  <c r="P53" i="91" s="1"/>
  <c r="T42" i="91"/>
  <c r="T43" i="91" s="1"/>
  <c r="Q15" i="94"/>
  <c r="Q17" i="94" s="1"/>
  <c r="Q39" i="94"/>
  <c r="Q42" i="94" s="1"/>
  <c r="M51" i="120"/>
  <c r="N51" i="120" s="1"/>
  <c r="S51" i="120" s="1"/>
  <c r="M17" i="120"/>
  <c r="N17" i="120" s="1"/>
  <c r="P32" i="94"/>
  <c r="R32" i="91"/>
  <c r="R43" i="91" s="1"/>
  <c r="R45" i="91" s="1"/>
  <c r="T39" i="94"/>
  <c r="T42" i="94" s="1"/>
  <c r="F10" i="120"/>
  <c r="F29" i="87"/>
  <c r="H28" i="120"/>
  <c r="I75" i="122"/>
  <c r="I78" i="122" s="1"/>
  <c r="N32" i="94"/>
  <c r="R32" i="94"/>
  <c r="R43" i="94"/>
  <c r="N45" i="91"/>
  <c r="T45" i="91"/>
  <c r="T48" i="91" s="1"/>
  <c r="T53" i="91" s="1"/>
  <c r="N48" i="91"/>
  <c r="N53" i="91"/>
  <c r="H21" i="120"/>
  <c r="O39" i="94"/>
  <c r="O42" i="94" s="1"/>
  <c r="O43" i="94" s="1"/>
  <c r="O45" i="94" s="1"/>
  <c r="R45" i="94" l="1"/>
  <c r="P172" i="122"/>
  <c r="P192" i="122" s="1"/>
  <c r="N101" i="122"/>
  <c r="S15" i="94"/>
  <c r="S17" i="94" s="1"/>
  <c r="S31" i="94"/>
  <c r="M102" i="122"/>
  <c r="L172" i="122"/>
  <c r="L192" i="122" s="1"/>
  <c r="L127" i="122"/>
  <c r="L154" i="122"/>
  <c r="K154" i="122"/>
  <c r="K127" i="122"/>
  <c r="K101" i="122"/>
  <c r="O101" i="122"/>
  <c r="O103" i="122" s="1"/>
  <c r="R101" i="122"/>
  <c r="R103" i="122" s="1"/>
  <c r="S168" i="122"/>
  <c r="S188" i="122" s="1"/>
  <c r="S111" i="122"/>
  <c r="S152" i="122"/>
  <c r="R152" i="122"/>
  <c r="R111" i="122"/>
  <c r="R172" i="122"/>
  <c r="R192" i="122" s="1"/>
  <c r="M126" i="122"/>
  <c r="O34" i="91"/>
  <c r="O31" i="91"/>
  <c r="O32" i="91" s="1"/>
  <c r="P101" i="122"/>
  <c r="N39" i="94"/>
  <c r="N42" i="94" s="1"/>
  <c r="N43" i="94" s="1"/>
  <c r="N45" i="94" s="1"/>
  <c r="N48" i="94" s="1"/>
  <c r="N53" i="94" s="1"/>
  <c r="Q34" i="94"/>
  <c r="N102" i="122" s="1"/>
  <c r="Q31" i="94"/>
  <c r="N125" i="122" s="1"/>
  <c r="N126" i="122" s="1"/>
  <c r="R126" i="122"/>
  <c r="Q102" i="122"/>
  <c r="Q103" i="122" s="1"/>
  <c r="M101" i="122"/>
  <c r="M103" i="122" s="1"/>
  <c r="S172" i="122"/>
  <c r="S192" i="122" s="1"/>
  <c r="S154" i="122"/>
  <c r="R154" i="122"/>
  <c r="S127" i="122"/>
  <c r="R127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29" i="122"/>
  <c r="H83" i="122"/>
  <c r="G129" i="122"/>
  <c r="G83" i="122"/>
  <c r="F129" i="122"/>
  <c r="F83" i="122"/>
  <c r="N129" i="122"/>
  <c r="N83" i="122"/>
  <c r="I129" i="122"/>
  <c r="J174" i="122" s="1"/>
  <c r="J194" i="122" s="1"/>
  <c r="I83" i="122"/>
  <c r="M129" i="122"/>
  <c r="M83" i="122"/>
  <c r="J39" i="91"/>
  <c r="J42" i="91" s="1"/>
  <c r="I125" i="122"/>
  <c r="G125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4" i="122" s="1"/>
  <c r="M15" i="91"/>
  <c r="M17" i="91" s="1"/>
  <c r="I39" i="91"/>
  <c r="I42" i="91" s="1"/>
  <c r="J32" i="94"/>
  <c r="L31" i="91"/>
  <c r="I124" i="122" s="1"/>
  <c r="L39" i="91"/>
  <c r="L42" i="91" s="1"/>
  <c r="K42" i="94"/>
  <c r="K15" i="94"/>
  <c r="K17" i="94" s="1"/>
  <c r="I31" i="94"/>
  <c r="F125" i="122" s="1"/>
  <c r="K31" i="94"/>
  <c r="H125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4" i="122" s="1"/>
  <c r="J15" i="91"/>
  <c r="J17" i="91" s="1"/>
  <c r="K39" i="91"/>
  <c r="K42" i="91" s="1"/>
  <c r="F39" i="120"/>
  <c r="F12" i="120"/>
  <c r="K20" i="87"/>
  <c r="Q129" i="122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T43" i="94"/>
  <c r="T45" i="94" s="1"/>
  <c r="Q45" i="91"/>
  <c r="H10" i="120"/>
  <c r="H12" i="120" s="1"/>
  <c r="H38" i="120"/>
  <c r="H39" i="120" s="1"/>
  <c r="I38" i="120"/>
  <c r="S32" i="91"/>
  <c r="S43" i="91" s="1"/>
  <c r="S45" i="91" s="1"/>
  <c r="S39" i="94"/>
  <c r="P102" i="122" s="1"/>
  <c r="O172" i="122" l="1"/>
  <c r="O192" i="122" s="1"/>
  <c r="N127" i="122"/>
  <c r="N154" i="122"/>
  <c r="O154" i="122"/>
  <c r="O127" i="122"/>
  <c r="R150" i="122"/>
  <c r="S104" i="122"/>
  <c r="S164" i="122"/>
  <c r="S184" i="122" s="1"/>
  <c r="R104" i="122"/>
  <c r="S150" i="122"/>
  <c r="R164" i="122"/>
  <c r="R184" i="122" s="1"/>
  <c r="N164" i="122"/>
  <c r="N184" i="122" s="1"/>
  <c r="M104" i="122"/>
  <c r="M150" i="122"/>
  <c r="O43" i="91"/>
  <c r="O45" i="91" s="1"/>
  <c r="P125" i="122"/>
  <c r="P126" i="122" s="1"/>
  <c r="S32" i="94"/>
  <c r="S17" i="120"/>
  <c r="N172" i="122"/>
  <c r="N192" i="122" s="1"/>
  <c r="K20" i="120" s="1"/>
  <c r="M154" i="122"/>
  <c r="M127" i="122"/>
  <c r="K102" i="122"/>
  <c r="K103" i="122" s="1"/>
  <c r="P103" i="122"/>
  <c r="Q104" i="122" s="1"/>
  <c r="P164" i="122"/>
  <c r="P184" i="122" s="1"/>
  <c r="N103" i="122"/>
  <c r="O104" i="122" s="1"/>
  <c r="N174" i="122"/>
  <c r="N194" i="122" s="1"/>
  <c r="O174" i="122"/>
  <c r="O194" i="122" s="1"/>
  <c r="H174" i="122"/>
  <c r="H194" i="122" s="1"/>
  <c r="I174" i="122"/>
  <c r="I194" i="122" s="1"/>
  <c r="R174" i="122"/>
  <c r="R194" i="122" s="1"/>
  <c r="P16" i="120"/>
  <c r="P21" i="120" s="1"/>
  <c r="P39" i="120" s="1"/>
  <c r="G13" i="103"/>
  <c r="G14" i="103" s="1"/>
  <c r="I12" i="103"/>
  <c r="G130" i="122"/>
  <c r="G19" i="103"/>
  <c r="I19" i="103" s="1"/>
  <c r="P11" i="120"/>
  <c r="M43" i="91"/>
  <c r="M45" i="91" s="1"/>
  <c r="M48" i="91" s="1"/>
  <c r="N156" i="122"/>
  <c r="H130" i="122"/>
  <c r="H156" i="122"/>
  <c r="I156" i="122"/>
  <c r="N130" i="122"/>
  <c r="K129" i="122"/>
  <c r="L174" i="122" s="1"/>
  <c r="L194" i="122" s="1"/>
  <c r="K83" i="122"/>
  <c r="I130" i="122"/>
  <c r="G101" i="122"/>
  <c r="F101" i="122"/>
  <c r="F103" i="122" s="1"/>
  <c r="M43" i="94"/>
  <c r="M45" i="94" s="1"/>
  <c r="M48" i="94" s="1"/>
  <c r="M53" i="94" s="1"/>
  <c r="J103" i="122"/>
  <c r="K164" i="122" s="1"/>
  <c r="K184" i="122" s="1"/>
  <c r="I126" i="122"/>
  <c r="J172" i="122" s="1"/>
  <c r="J192" i="122" s="1"/>
  <c r="R156" i="122"/>
  <c r="G126" i="122"/>
  <c r="H172" i="122" s="1"/>
  <c r="H192" i="122" s="1"/>
  <c r="H124" i="122"/>
  <c r="H126" i="122" s="1"/>
  <c r="I172" i="122" s="1"/>
  <c r="I192" i="122" s="1"/>
  <c r="G102" i="122"/>
  <c r="H102" i="122"/>
  <c r="I101" i="122"/>
  <c r="I102" i="122"/>
  <c r="F126" i="122"/>
  <c r="H101" i="122"/>
  <c r="R130" i="122"/>
  <c r="L42" i="94"/>
  <c r="L43" i="94" s="1"/>
  <c r="L45" i="94" s="1"/>
  <c r="L48" i="94" s="1"/>
  <c r="L53" i="94" s="1"/>
  <c r="G28" i="87"/>
  <c r="E85" i="120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L20" i="87" s="1"/>
  <c r="I21" i="87"/>
  <c r="I16" i="87"/>
  <c r="I15" i="87"/>
  <c r="I13" i="87"/>
  <c r="I17" i="87"/>
  <c r="I12" i="120"/>
  <c r="T48" i="94"/>
  <c r="T53" i="94" s="1"/>
  <c r="O75" i="122"/>
  <c r="O78" i="122" s="1"/>
  <c r="H41" i="120"/>
  <c r="H49" i="120" s="1"/>
  <c r="Q48" i="91"/>
  <c r="Q53" i="91" s="1"/>
  <c r="L164" i="122" l="1"/>
  <c r="L184" i="122" s="1"/>
  <c r="L150" i="122"/>
  <c r="L104" i="122"/>
  <c r="Q172" i="122"/>
  <c r="Q192" i="122" s="1"/>
  <c r="P127" i="122"/>
  <c r="P154" i="122"/>
  <c r="Q154" i="122"/>
  <c r="Q127" i="122"/>
  <c r="O164" i="122"/>
  <c r="O184" i="122" s="1"/>
  <c r="N150" i="122"/>
  <c r="N104" i="122"/>
  <c r="Q164" i="122"/>
  <c r="Q184" i="122" s="1"/>
  <c r="P150" i="122"/>
  <c r="P104" i="122"/>
  <c r="O150" i="122"/>
  <c r="O53" i="91"/>
  <c r="O48" i="91"/>
  <c r="Q150" i="122"/>
  <c r="E12" i="103"/>
  <c r="Q9" i="120" s="1"/>
  <c r="S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4" i="122"/>
  <c r="K104" i="122"/>
  <c r="O129" i="122"/>
  <c r="P174" i="122" s="1"/>
  <c r="P194" i="122" s="1"/>
  <c r="O83" i="122"/>
  <c r="L129" i="122"/>
  <c r="L83" i="122"/>
  <c r="G103" i="122"/>
  <c r="H103" i="122"/>
  <c r="I164" i="122" s="1"/>
  <c r="I184" i="122" s="1"/>
  <c r="J127" i="122"/>
  <c r="I154" i="122"/>
  <c r="K150" i="122"/>
  <c r="G127" i="122"/>
  <c r="H127" i="122"/>
  <c r="H154" i="122"/>
  <c r="I103" i="122"/>
  <c r="J164" i="122" s="1"/>
  <c r="J184" i="122" s="1"/>
  <c r="I127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M20" i="87"/>
  <c r="O22" i="87"/>
  <c r="J11" i="87"/>
  <c r="L11" i="87"/>
  <c r="M11" i="87" s="1"/>
  <c r="J18" i="87"/>
  <c r="L18" i="87"/>
  <c r="M18" i="87" s="1"/>
  <c r="L22" i="87"/>
  <c r="M22" i="87" s="1"/>
  <c r="J22" i="87"/>
  <c r="H164" i="122" l="1"/>
  <c r="H184" i="122" s="1"/>
  <c r="L156" i="122"/>
  <c r="M174" i="122"/>
  <c r="M194" i="122" s="1"/>
  <c r="M130" i="122"/>
  <c r="L130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6" i="122"/>
  <c r="P129" i="122"/>
  <c r="P83" i="122"/>
  <c r="O130" i="122"/>
  <c r="O156" i="122"/>
  <c r="J129" i="122"/>
  <c r="K174" i="122" s="1"/>
  <c r="K194" i="122" s="1"/>
  <c r="J83" i="122"/>
  <c r="H150" i="122"/>
  <c r="G104" i="122"/>
  <c r="H104" i="122"/>
  <c r="I150" i="122"/>
  <c r="J150" i="122"/>
  <c r="I104" i="122"/>
  <c r="J104" i="122"/>
  <c r="J48" i="91"/>
  <c r="J53" i="91" s="1"/>
  <c r="J25" i="87"/>
  <c r="S89" i="120" s="1"/>
  <c r="N22" i="87"/>
  <c r="P22" i="87" s="1"/>
  <c r="N18" i="87"/>
  <c r="P18" i="87" s="1"/>
  <c r="N11" i="87"/>
  <c r="P11" i="87" s="1"/>
  <c r="O24" i="87"/>
  <c r="Q21" i="120" l="1"/>
  <c r="P156" i="122"/>
  <c r="Q174" i="122"/>
  <c r="Q194" i="122" s="1"/>
  <c r="K59" i="120"/>
  <c r="M58" i="120"/>
  <c r="I43" i="103"/>
  <c r="I46" i="103" s="1"/>
  <c r="I51" i="103" s="1"/>
  <c r="E24" i="103"/>
  <c r="J130" i="122"/>
  <c r="J156" i="122"/>
  <c r="K130" i="122"/>
  <c r="Q156" i="122"/>
  <c r="K156" i="122"/>
  <c r="P130" i="122"/>
  <c r="Q130" i="122"/>
  <c r="G18" i="126"/>
  <c r="K7" i="120"/>
  <c r="J10" i="103" s="1"/>
  <c r="S11" i="120"/>
  <c r="P24" i="87"/>
  <c r="P25" i="87" s="1"/>
  <c r="E10" i="103" l="1"/>
  <c r="Q7" i="120" s="1"/>
  <c r="S7" i="120" s="1"/>
  <c r="J29" i="103"/>
  <c r="J32" i="103"/>
  <c r="E32" i="103" s="1"/>
  <c r="Q30" i="120" s="1"/>
  <c r="J37" i="103"/>
  <c r="K8" i="120"/>
  <c r="K37" i="120"/>
  <c r="M37" i="120" s="1"/>
  <c r="N37" i="120" s="1"/>
  <c r="S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S20" i="120" s="1"/>
  <c r="M19" i="120"/>
  <c r="N19" i="120" s="1"/>
  <c r="S19" i="120" s="1"/>
  <c r="S27" i="120" l="1"/>
  <c r="J41" i="103"/>
  <c r="E11" i="103"/>
  <c r="Q8" i="120" s="1"/>
  <c r="S8" i="120" s="1"/>
  <c r="J13" i="103"/>
  <c r="J15" i="103" s="1"/>
  <c r="K30" i="120"/>
  <c r="M18" i="120"/>
  <c r="N18" i="120" s="1"/>
  <c r="S18" i="120" s="1"/>
  <c r="M25" i="120"/>
  <c r="N25" i="120" s="1"/>
  <c r="S25" i="120" s="1"/>
  <c r="M36" i="120"/>
  <c r="N36" i="120" s="1"/>
  <c r="S36" i="120" s="1"/>
  <c r="J43" i="103" l="1"/>
  <c r="J46" i="103" s="1"/>
  <c r="J51" i="103" s="1"/>
  <c r="E13" i="103"/>
  <c r="E15" i="103" s="1"/>
  <c r="U8" i="120"/>
  <c r="Q10" i="120"/>
  <c r="Q12" i="120" s="1"/>
  <c r="E30" i="103"/>
  <c r="E40" i="103"/>
  <c r="Q38" i="120"/>
  <c r="K35" i="120"/>
  <c r="K32" i="120"/>
  <c r="K31" i="120"/>
  <c r="K24" i="120"/>
  <c r="M24" i="120" s="1"/>
  <c r="S10" i="120" l="1"/>
  <c r="S12" i="120" s="1"/>
  <c r="Q28" i="120"/>
  <c r="Q39" i="120" s="1"/>
  <c r="Q41" i="120" s="1"/>
  <c r="Q49" i="120" s="1"/>
  <c r="Q54" i="120" s="1"/>
  <c r="E41" i="103"/>
  <c r="E43" i="103" s="1"/>
  <c r="E46" i="103" s="1"/>
  <c r="E51" i="103" s="1"/>
  <c r="M32" i="120"/>
  <c r="N32" i="120" s="1"/>
  <c r="S32" i="120" s="1"/>
  <c r="M31" i="120"/>
  <c r="N31" i="120" s="1"/>
  <c r="S31" i="120" s="1"/>
  <c r="M35" i="120"/>
  <c r="N35" i="120" s="1"/>
  <c r="M16" i="120"/>
  <c r="N16" i="120" s="1"/>
  <c r="S16" i="120" s="1"/>
  <c r="M30" i="120"/>
  <c r="N30" i="120" s="1"/>
  <c r="S30" i="120" s="1"/>
  <c r="M74" i="120"/>
  <c r="N74" i="120" s="1"/>
  <c r="M28" i="120"/>
  <c r="N24" i="120"/>
  <c r="S24" i="120" s="1"/>
  <c r="S28" i="120" s="1"/>
  <c r="M21" i="120" l="1"/>
  <c r="M38" i="120"/>
  <c r="N28" i="120"/>
  <c r="S35" i="120"/>
  <c r="S38" i="120" s="1"/>
  <c r="N38" i="120"/>
  <c r="M76" i="120"/>
  <c r="N76" i="120" s="1"/>
  <c r="S76" i="120" s="1"/>
  <c r="M77" i="120"/>
  <c r="N77" i="120" s="1"/>
  <c r="S77" i="120" s="1"/>
  <c r="S74" i="120"/>
  <c r="S21" i="120"/>
  <c r="N21" i="120"/>
  <c r="M62" i="120"/>
  <c r="N62" i="120" s="1"/>
  <c r="S62" i="120" s="1"/>
  <c r="S39" i="120" l="1"/>
  <c r="M39" i="120"/>
  <c r="M41" i="120" s="1"/>
  <c r="N39" i="120"/>
  <c r="N41" i="120" s="1"/>
  <c r="M61" i="120"/>
  <c r="N61" i="120" s="1"/>
  <c r="S61" i="120" s="1"/>
  <c r="M69" i="120"/>
  <c r="N69" i="120" s="1"/>
  <c r="S69" i="120" s="1"/>
  <c r="S41" i="120" l="1"/>
  <c r="M49" i="120"/>
  <c r="N68" i="120"/>
  <c r="S68" i="120" s="1"/>
  <c r="M60" i="120"/>
  <c r="N60" i="120" s="1"/>
  <c r="S60" i="120" s="1"/>
  <c r="M59" i="120" l="1"/>
  <c r="N59" i="120" s="1"/>
  <c r="S59" i="120" s="1"/>
  <c r="M67" i="120"/>
  <c r="N67" i="120" s="1"/>
  <c r="S67" i="120" s="1"/>
  <c r="M66" i="120" l="1"/>
  <c r="N66" i="120" s="1"/>
  <c r="S66" i="120" s="1"/>
  <c r="M65" i="120"/>
  <c r="N58" i="120"/>
  <c r="M63" i="120"/>
  <c r="N65" i="120" l="1"/>
  <c r="M70" i="120"/>
  <c r="M72" i="120" s="1"/>
  <c r="M75" i="120" s="1"/>
  <c r="S58" i="120"/>
  <c r="S63" i="120" s="1"/>
  <c r="N63" i="120"/>
  <c r="M79" i="120" l="1"/>
  <c r="M50" i="120" s="1"/>
  <c r="S65" i="120"/>
  <c r="S70" i="120" s="1"/>
  <c r="N70" i="120"/>
  <c r="N72" i="120" s="1"/>
  <c r="N75" i="120" s="1"/>
  <c r="S75" i="120" s="1"/>
  <c r="M54" i="120" l="1"/>
  <c r="S72" i="120"/>
  <c r="S79" i="120" s="1"/>
  <c r="N79" i="120"/>
  <c r="T79" i="120" l="1"/>
  <c r="T80" i="120" s="1"/>
  <c r="S85" i="120"/>
  <c r="F12" i="126"/>
  <c r="H12" i="126" s="1"/>
  <c r="H16" i="126" s="1"/>
  <c r="H54" i="120" l="1"/>
  <c r="G54" i="120" l="1"/>
  <c r="I49" i="120" l="1"/>
  <c r="N49" i="120" l="1"/>
  <c r="S49" i="120" s="1"/>
  <c r="E54" i="120" l="1"/>
  <c r="E81" i="120" s="1"/>
  <c r="I50" i="120"/>
  <c r="I54" i="120" l="1"/>
  <c r="N50" i="120"/>
  <c r="E86" i="120"/>
  <c r="E88" i="120" s="1"/>
  <c r="S50" i="120" l="1"/>
  <c r="S54" i="120" s="1"/>
  <c r="T54" i="120" s="1"/>
  <c r="N54" i="120"/>
  <c r="F18" i="126" l="1"/>
  <c r="H18" i="126" s="1"/>
  <c r="S81" i="120"/>
  <c r="S86" i="120"/>
  <c r="S88" i="120" s="1"/>
  <c r="S90" i="120" s="1"/>
  <c r="H20" i="126" l="1"/>
  <c r="H24" i="126" l="1"/>
  <c r="H28" i="126" s="1"/>
</calcChain>
</file>

<file path=xl/comments1.xml><?xml version="1.0" encoding="utf-8"?>
<comments xmlns="http://schemas.openxmlformats.org/spreadsheetml/2006/main">
  <authors>
    <author>gzhkw6</author>
  </authors>
  <commentList>
    <comment ref="R11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Commission Basis report erroneously picked up unbilled revenue on this line instead of interdepartmental.  Total is OK but both line 1 and 2 are misstated.
Restated correctly here to facilitate analysis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<sst xmlns="http://schemas.openxmlformats.org/spreadsheetml/2006/main" count="1939" uniqueCount="744">
  <si>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</si>
  <si>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</si>
  <si>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</si>
  <si>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</si>
  <si>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</si>
  <si>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</si>
  <si>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</si>
  <si>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</si>
  <si>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</si>
  <si>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</si>
  <si>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</si>
  <si>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</si>
  <si>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</si>
  <si>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</si>
  <si>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</si>
  <si>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</si>
  <si>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</si>
  <si>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</si>
  <si>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</si>
  <si>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</si>
  <si>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</si>
  <si>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</si>
  <si>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</si>
  <si>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</si>
  <si>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</si>
  <si>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</si>
  <si>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</si>
  <si>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</si>
  <si>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</si>
  <si>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</si>
  <si>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</si>
  <si>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</si>
  <si>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</si>
  <si>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</si>
  <si>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</si>
  <si>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</si>
  <si>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</si>
  <si>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</si>
  <si>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</si>
  <si>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</si>
  <si>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</si>
  <si>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</si>
  <si>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</si>
  <si>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</si>
  <si>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</si>
  <si>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</si>
  <si>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</si>
  <si>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</si>
  <si>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</si>
  <si>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</si>
  <si>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</si>
  <si>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</si>
  <si>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</si>
  <si>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</si>
  <si>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</si>
  <si>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</si>
  <si>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</si>
  <si>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</si>
  <si>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</si>
  <si>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</si>
  <si>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</si>
  <si>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</si>
  <si>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</si>
  <si>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</si>
  <si>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</si>
  <si>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</si>
  <si>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</si>
  <si>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</si>
  <si>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</si>
  <si>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</si>
  <si>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</si>
  <si>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</si>
  <si>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</si>
  <si>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</si>
  <si>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</si>
  <si>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</si>
  <si>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</si>
  <si>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</si>
  <si>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</si>
  <si>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</si>
  <si>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</si>
  <si>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</si>
  <si>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</si>
  <si>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</si>
  <si>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</si>
  <si>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</si>
  <si>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</si>
  <si>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</si>
  <si>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</si>
  <si>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</si>
  <si>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</si>
  <si>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</si>
  <si>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</si>
  <si>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</si>
  <si>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</si>
  <si>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</si>
  <si>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</si>
  <si>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</si>
  <si>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</si>
  <si>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</si>
  <si>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</si>
  <si>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</si>
  <si>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</si>
  <si>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</si>
  <si>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</si>
  <si>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</si>
  <si>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</si>
  <si>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</si>
  <si>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</si>
  <si>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</si>
  <si>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</si>
  <si>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</si>
  <si>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</si>
  <si>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</si>
  <si>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</si>
  <si>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</si>
  <si>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</si>
  <si>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</si>
  <si>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</si>
  <si>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</si>
  <si>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</si>
  <si>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</si>
  <si>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</si>
  <si>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</si>
  <si>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</si>
  <si>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</si>
  <si>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</si>
  <si>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</si>
  <si>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</si>
  <si>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</si>
  <si>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</si>
  <si>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</si>
  <si>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</si>
  <si>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</si>
  <si>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</si>
  <si>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</si>
  <si>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</si>
  <si>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</si>
  <si>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</si>
  <si>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</si>
  <si>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</si>
  <si>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</si>
  <si>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</si>
  <si>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</si>
  <si>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</si>
  <si>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</si>
  <si>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</si>
  <si>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</si>
  <si>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</si>
  <si>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</si>
  <si>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</si>
  <si>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</si>
  <si>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</si>
  <si>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</si>
  <si>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</si>
  <si>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</si>
  <si>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</si>
  <si>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</si>
  <si>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</si>
  <si>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</si>
  <si>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</si>
  <si>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</si>
  <si>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</si>
  <si>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</si>
  <si>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</si>
  <si>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</si>
  <si>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</si>
  <si>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</si>
  <si>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</si>
  <si>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</si>
  <si>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</si>
  <si>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</si>
  <si>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</si>
  <si>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</si>
  <si>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</si>
  <si>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</si>
  <si>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</si>
  <si>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</si>
  <si>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</si>
  <si>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</si>
  <si>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</si>
  <si>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</si>
  <si>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</si>
  <si>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</si>
  <si>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</si>
  <si>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</si>
  <si>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</si>
  <si>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</si>
  <si>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</si>
  <si>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</si>
  <si>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</si>
  <si>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</si>
  <si>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</si>
  <si>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</si>
  <si>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</si>
  <si>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</si>
  <si>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</si>
  <si>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</si>
  <si>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</si>
  <si>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</si>
  <si>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</si>
  <si>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</si>
  <si>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</si>
  <si>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</si>
  <si>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</si>
  <si>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</si>
  <si>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</si>
  <si>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</si>
  <si>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</si>
  <si>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</si>
  <si>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</si>
  <si>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</si>
  <si>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</si>
  <si>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</si>
  <si>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</si>
  <si>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</si>
  <si>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</si>
  <si>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</si>
  <si>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</si>
  <si>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</si>
  <si>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</si>
  <si>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</si>
  <si>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</si>
  <si>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</si>
  <si>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</si>
  <si>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</si>
  <si>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</si>
  <si>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</si>
  <si>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</si>
  <si>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</si>
  <si>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</si>
  <si>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</si>
  <si>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</si>
  <si>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</si>
  <si>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</si>
  <si>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</si>
  <si>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</si>
  <si>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</si>
  <si>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</si>
  <si>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</si>
  <si>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</si>
  <si>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</si>
  <si>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</si>
  <si>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Subtotal: Administrative and General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</si>
  <si>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</si>
  <si>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</si>
  <si>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</si>
  <si>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</si>
  <si>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</si>
  <si>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</si>
  <si>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</si>
  <si>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</si>
  <si>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</si>
  <si>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</si>
  <si>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</si>
  <si>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</si>
  <si>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</si>
  <si>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</si>
  <si>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</si>
  <si>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</si>
  <si>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</si>
  <si>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</si>
  <si>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</si>
  <si>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</si>
  <si>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</si>
  <si>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</si>
  <si>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</si>
  <si>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</si>
  <si>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</si>
  <si>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</si>
  <si>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</si>
  <si>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</si>
  <si>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</si>
  <si>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</si>
  <si>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</si>
  <si>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</si>
  <si>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</si>
  <si>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</si>
  <si>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</si>
  <si>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</si>
  <si>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</si>
  <si>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</si>
  <si>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</si>
  <si>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</si>
  <si>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</si>
  <si>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</si>
  <si>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</si>
  <si>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</si>
  <si>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</si>
  <si>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</si>
  <si>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</si>
  <si>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</si>
  <si>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</si>
  <si>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</si>
  <si>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</si>
  <si>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</si>
  <si>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</si>
  <si>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</si>
  <si>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</si>
  <si>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</si>
  <si>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</si>
  <si>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</si>
  <si>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</si>
  <si>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</si>
  <si>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</si>
  <si>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</si>
  <si>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</si>
  <si>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</si>
  <si>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</si>
  <si>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</si>
  <si>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</si>
  <si>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</si>
  <si>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</si>
  <si>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</si>
  <si>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</si>
  <si>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</si>
  <si>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</si>
  <si>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</si>
  <si>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</si>
  <si>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</si>
  <si>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</si>
  <si>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</si>
  <si>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</si>
  <si>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</si>
  <si>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</si>
  <si>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</si>
  <si>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</si>
  <si>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</si>
  <si>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</si>
  <si>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</si>
  <si>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</si>
  <si>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</si>
  <si>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</si>
  <si>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</si>
  <si>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</si>
  <si>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</si>
  <si>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</si>
  <si>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</si>
  <si>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</si>
  <si>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</si>
  <si>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</si>
  <si>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</si>
  <si>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</si>
  <si>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</si>
  <si>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</si>
  <si>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</si>
  <si>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</si>
  <si>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</si>
  <si>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</si>
  <si>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</si>
  <si>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</si>
  <si>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</si>
  <si>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</si>
  <si>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</si>
  <si>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</si>
  <si>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</si>
  <si>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</si>
  <si>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</si>
  <si>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</si>
  <si>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</si>
  <si>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</si>
  <si>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</si>
  <si>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</si>
  <si>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</si>
  <si>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</si>
  <si>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</si>
  <si>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</si>
  <si>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</si>
  <si>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</si>
  <si>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</si>
  <si>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</si>
  <si>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</si>
  <si>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</si>
  <si>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</si>
  <si>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</si>
  <si>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</si>
  <si>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</si>
  <si>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</si>
  <si>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</si>
  <si>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</si>
  <si>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</si>
  <si>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</si>
  <si>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</si>
  <si>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</si>
  <si>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</si>
  <si>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</si>
  <si>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</si>
  <si>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</si>
  <si>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</si>
  <si>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</si>
  <si>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</si>
  <si>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</si>
  <si>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</si>
  <si>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</si>
  <si>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</si>
  <si>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</si>
  <si>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</si>
  <si>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</si>
  <si>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</si>
  <si>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</si>
  <si>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</si>
  <si>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</si>
  <si>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</si>
  <si>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</si>
  <si>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</si>
  <si>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</si>
  <si>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</si>
  <si>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</si>
  <si>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</si>
  <si>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</si>
  <si>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</si>
  <si>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</si>
  <si>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</si>
  <si>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</si>
  <si>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</si>
  <si>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</si>
  <si>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</si>
  <si>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</si>
  <si>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</si>
  <si>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</si>
  <si>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</si>
  <si>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</si>
  <si>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</si>
  <si>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</si>
  <si>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</si>
  <si>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</si>
  <si>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</si>
  <si>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</si>
  <si>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</si>
  <si>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</si>
  <si>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</si>
  <si>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</si>
  <si>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</si>
  <si>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</si>
  <si>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</si>
  <si>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</si>
  <si>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</si>
  <si>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</si>
  <si>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</si>
  <si>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</si>
  <si>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</si>
  <si>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</si>
  <si>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</si>
  <si>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</si>
  <si>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</si>
  <si>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</si>
  <si>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</si>
  <si>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</si>
  <si>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</si>
  <si>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</si>
  <si>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</si>
  <si>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</si>
  <si>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</si>
  <si>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</si>
  <si>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</si>
  <si>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</si>
  <si>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</si>
  <si>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</si>
  <si>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</si>
  <si>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</si>
  <si>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</si>
  <si>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</si>
  <si>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</si>
  <si>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</si>
  <si>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</si>
  <si>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</si>
  <si>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</si>
  <si>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</si>
  <si>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</si>
  <si>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</si>
  <si>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</si>
  <si>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</si>
  <si>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</si>
  <si>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</si>
  <si>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</si>
  <si>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</si>
  <si>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Net Operating Income Deficiency</t>
  </si>
  <si>
    <t>Conversion Factor</t>
  </si>
  <si>
    <t>Total General Business Revenues</t>
  </si>
  <si>
    <t>Percentage Revenue Increase</t>
  </si>
  <si>
    <t>Growth Factor</t>
  </si>
  <si>
    <t>Attrition Rate Base</t>
  </si>
  <si>
    <t>(000's of Dollars)</t>
  </si>
  <si>
    <t>Balances</t>
  </si>
  <si>
    <t xml:space="preserve">Revenue </t>
  </si>
  <si>
    <t>Attrition Net Operating Income</t>
  </si>
  <si>
    <t>Attrition Revenue Requirement</t>
  </si>
  <si>
    <t>(a)</t>
  </si>
  <si>
    <t>Attrition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</si>
  <si>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</si>
  <si>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</si>
  <si>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</si>
  <si>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</si>
  <si>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</si>
  <si>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</si>
  <si>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</si>
  <si>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</si>
  <si>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</si>
  <si>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</si>
  <si>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</si>
  <si>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</si>
  <si>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</si>
  <si>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</si>
  <si>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</si>
  <si>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</si>
  <si>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Compound Growth Rates to 2013</t>
  </si>
  <si>
    <t>(Check P/T ratio)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</si>
  <si>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</si>
  <si>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</si>
  <si>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</si>
  <si>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</si>
  <si>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</si>
  <si>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</si>
  <si>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</si>
  <si>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</si>
  <si>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</si>
  <si>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</si>
  <si>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</si>
  <si>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</si>
  <si>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2016 ELECTRIC ATTRITION STUDY</t>
  </si>
  <si>
    <t>AVISTA'S 2016  ELECTRIC ATTRITION REVENUE REQUIREMENT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</si>
  <si>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</si>
  <si>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</si>
  <si>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</si>
  <si>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</si>
  <si>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</si>
  <si>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</si>
  <si>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</si>
  <si>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</si>
  <si>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</si>
  <si>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</si>
  <si>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</si>
  <si>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</si>
  <si>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</si>
  <si>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</si>
  <si>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</si>
  <si>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</si>
  <si>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</si>
  <si>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</si>
  <si>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</si>
  <si>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</si>
  <si>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</si>
  <si>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</si>
  <si>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</si>
  <si>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</si>
  <si>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</si>
  <si>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</si>
  <si>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</si>
  <si>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</si>
  <si>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</si>
  <si>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</si>
  <si>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</si>
  <si>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</si>
  <si>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</si>
  <si>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</si>
  <si>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</si>
  <si>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</si>
  <si>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</si>
  <si>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</si>
  <si>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</si>
  <si>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</si>
  <si>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</si>
  <si>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</si>
  <si>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</si>
  <si>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</si>
  <si>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</si>
  <si>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</si>
  <si>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</si>
  <si>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</si>
  <si>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</si>
  <si>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</si>
  <si>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</si>
  <si>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</si>
  <si>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</si>
  <si>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</si>
  <si>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</si>
  <si>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</si>
  <si>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</si>
  <si>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</si>
  <si>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</si>
  <si>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</si>
  <si>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</si>
  <si>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</si>
  <si>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</si>
  <si>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</si>
  <si>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</si>
  <si>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</si>
  <si>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</si>
  <si>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</si>
  <si>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</si>
  <si>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Pro Forma</t>
  </si>
  <si>
    <t>546-562 CS2 O&amp;M</t>
  </si>
  <si>
    <t>500-514 Colstrip O&amp;M</t>
  </si>
  <si>
    <r>
      <t>2016 Revenue and Cost</t>
    </r>
    <r>
      <rPr>
        <sz val="10"/>
        <rFont val="Times New Roman"/>
        <family val="1"/>
      </rPr>
      <t xml:space="preserve"> [H]+[I]+[J]=[K]</t>
    </r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</si>
  <si>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</si>
  <si>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</si>
  <si>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8A</t>
  </si>
  <si>
    <t>10A</t>
  </si>
  <si>
    <t>14A</t>
  </si>
  <si>
    <t>16A</t>
  </si>
  <si>
    <t>Depreciation Expense*</t>
  </si>
  <si>
    <t>Net Plant After DFIT*</t>
  </si>
  <si>
    <t>Net Plant before DFIT</t>
  </si>
  <si>
    <t>2007-09.2014 AVG</t>
  </si>
  <si>
    <t>Net Change</t>
  </si>
  <si>
    <t>* Excludes growth plant between 12/31/2014 and12/31/2016.</t>
  </si>
  <si>
    <t>Attrition Adjusted Balances &amp; 2016 Revenue Requirement</t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</si>
  <si>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</si>
  <si>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</si>
  <si>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</si>
  <si>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</si>
  <si>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</si>
  <si>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Adopted Operating Expenses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</si>
  <si>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</si>
  <si>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</si>
  <si>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</si>
  <si>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</si>
  <si>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</si>
  <si>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</si>
  <si>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</si>
  <si>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</si>
  <si>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</si>
  <si>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</si>
  <si>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</si>
  <si>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</si>
  <si>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</si>
  <si>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</si>
  <si>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</si>
  <si>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</si>
  <si>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</si>
  <si>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</si>
  <si>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</si>
  <si>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</si>
  <si>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(See page 10)</t>
  </si>
  <si>
    <t>Adopted Depreciation/Amortization</t>
  </si>
  <si>
    <t>Adopted Compound Growth Rate</t>
  </si>
  <si>
    <t>Adopted Escalation Factor</t>
  </si>
  <si>
    <t>Twelve Months Ended December 31, 2014</t>
  </si>
  <si>
    <t>12.2014 Commission Basis Report Restated Totals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</si>
  <si>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</si>
  <si>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</si>
  <si>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</si>
  <si>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</si>
  <si>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</si>
  <si>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</si>
  <si>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</si>
  <si>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</si>
  <si>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</si>
  <si>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</si>
  <si>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</si>
  <si>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</si>
  <si>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</si>
  <si>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</si>
  <si>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</si>
  <si>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</si>
  <si>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</si>
  <si>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</si>
  <si>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</si>
  <si>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</si>
  <si>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</si>
  <si>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</si>
  <si>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*Per 12.2014 Commission Basis Report data, See page 5, line 46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</si>
  <si>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</si>
  <si>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</si>
  <si>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</si>
  <si>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</si>
  <si>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</si>
  <si>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</si>
  <si>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</si>
  <si>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</si>
  <si>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</si>
  <si>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</si>
  <si>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</si>
  <si>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</si>
  <si>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</si>
  <si>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</si>
  <si>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</si>
  <si>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</si>
  <si>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</si>
  <si>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</si>
  <si>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</si>
  <si>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</si>
  <si>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</si>
  <si>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</si>
  <si>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</si>
  <si>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</si>
  <si>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</si>
  <si>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</si>
  <si>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</si>
  <si>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</si>
  <si>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</si>
  <si>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</si>
  <si>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</si>
  <si>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</si>
  <si>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</si>
  <si>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</si>
  <si>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</si>
  <si>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</si>
  <si>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</si>
  <si>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</si>
  <si>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</si>
  <si>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</si>
  <si>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</si>
  <si>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</si>
  <si>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</si>
  <si>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</si>
  <si>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</si>
  <si>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</si>
  <si>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Updated</t>
  </si>
  <si>
    <t>(updated for 12.2014 EOP DFIT balances)</t>
  </si>
  <si>
    <t>ADDED</t>
  </si>
  <si>
    <t>Remove from base Power Supply per settlement agreement.</t>
  </si>
  <si>
    <t>Agreed to Reduction $1528 per Settlement agreement</t>
  </si>
  <si>
    <t>(Due to DFIT adjustment in 2014)</t>
  </si>
  <si>
    <t>After Attrition Adj - CS2/Colstrip Incremental O&amp;M Exp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</si>
  <si>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</si>
  <si>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</si>
  <si>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</si>
  <si>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</si>
  <si>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</si>
  <si>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</si>
  <si>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</si>
  <si>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</si>
  <si>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</si>
  <si>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[AA]</t>
  </si>
  <si>
    <r>
      <t>2016 Revenue and Cost</t>
    </r>
    <r>
      <rPr>
        <sz val="10"/>
        <rFont val="Times New Roman"/>
        <family val="1"/>
      </rPr>
      <t xml:space="preserve"> [H]+[I]+[J]+[AA]=[K]</t>
    </r>
  </si>
  <si>
    <t>Deferred Debit/Credit &amp; Reg. Amorts Adjs*</t>
  </si>
  <si>
    <t xml:space="preserve">*Note: Combined Regulatory Deferred Debits and Credits and Regulatory Amortization adjustments in Column [C] as these amounts adjust 09.2014 Commission Basis to the 2016 rate year. These amounts are not escalated as shown in column [F]. See Andrews Workpapers for details. 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</si>
  <si>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</si>
  <si>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</si>
  <si>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</si>
  <si>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</si>
  <si>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</si>
  <si>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 xml:space="preserve">Washington Electric- AMA ROO 2007 to AMA 2016 </t>
  </si>
  <si>
    <t>After Attrition - CS2-Colstrip 2016 Incramental Expense above trended historical expense.</t>
  </si>
  <si>
    <t>A</t>
  </si>
  <si>
    <t>(B) Correction</t>
  </si>
  <si>
    <t>(C) Correction</t>
  </si>
  <si>
    <t>(A) Correction</t>
  </si>
  <si>
    <t>(No Impact)</t>
  </si>
  <si>
    <t>No Impact</t>
  </si>
  <si>
    <t>(A) DFIT Correction</t>
  </si>
  <si>
    <t>REVISED</t>
  </si>
  <si>
    <t>(A)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</si>
</sst>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</numFmts>
  <fonts count="2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u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9"/>
      <name val="Cambria"/>
      <family val="1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</fonts>
  <fills count="7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70" fillId="0" borderId="0"/>
    <xf numFmtId="0" fontId="70" fillId="0" borderId="0"/>
    <xf numFmtId="0" fontId="19" fillId="0" borderId="0">
      <alignment readingOrder="1"/>
    </xf>
    <xf numFmtId="0" fontId="70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4" fillId="0" borderId="0" applyNumberFormat="0" applyFont="0" applyFill="0" applyBorder="0">
      <alignment horizontal="left" indent="4"/>
      <protection locked="0"/>
    </xf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6" fillId="0" borderId="13">
      <alignment horizontal="center"/>
    </xf>
    <xf numFmtId="3" fontId="85" fillId="0" borderId="0" applyFont="0" applyFill="0" applyBorder="0" applyAlignment="0" applyProtection="0"/>
    <xf numFmtId="0" fontId="85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3" fillId="0" borderId="0"/>
    <xf numFmtId="3" fontId="73" fillId="0" borderId="0"/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2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103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6" fillId="13" borderId="31" applyNumberFormat="0" applyAlignment="0" applyProtection="0"/>
    <xf numFmtId="0" fontId="107" fillId="14" borderId="32" applyNumberFormat="0" applyAlignment="0" applyProtection="0"/>
    <xf numFmtId="0" fontId="108" fillId="14" borderId="31" applyNumberFormat="0" applyAlignment="0" applyProtection="0"/>
    <xf numFmtId="0" fontId="109" fillId="0" borderId="33" applyNumberFormat="0" applyFill="0" applyAlignment="0" applyProtection="0"/>
    <xf numFmtId="0" fontId="110" fillId="15" borderId="34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6" applyNumberFormat="0" applyFill="0" applyAlignment="0" applyProtection="0"/>
    <xf numFmtId="0" fontId="11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4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5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6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7" fillId="3" borderId="38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3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73" fillId="0" borderId="0"/>
    <xf numFmtId="0" fontId="73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3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1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3" fillId="0" borderId="0"/>
    <xf numFmtId="3" fontId="73" fillId="0" borderId="0"/>
    <xf numFmtId="0" fontId="122" fillId="0" borderId="30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43" borderId="0">
      <alignment horizontal="right"/>
    </xf>
    <xf numFmtId="0" fontId="124" fillId="43" borderId="37"/>
    <xf numFmtId="44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6" fillId="44" borderId="0">
      <alignment horizontal="left"/>
    </xf>
    <xf numFmtId="0" fontId="127" fillId="44" borderId="0">
      <alignment horizontal="right"/>
    </xf>
    <xf numFmtId="0" fontId="127" fillId="44" borderId="0">
      <alignment horizontal="center"/>
    </xf>
    <xf numFmtId="0" fontId="127" fillId="44" borderId="0">
      <alignment horizontal="right"/>
    </xf>
    <xf numFmtId="0" fontId="128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6" fillId="44" borderId="0">
      <alignment horizontal="left"/>
    </xf>
    <xf numFmtId="0" fontId="126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6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6" fillId="44" borderId="0">
      <alignment horizontal="center"/>
    </xf>
    <xf numFmtId="49" fontId="130" fillId="44" borderId="0">
      <alignment horizontal="center"/>
    </xf>
    <xf numFmtId="0" fontId="127" fillId="44" borderId="0">
      <alignment horizontal="center"/>
    </xf>
    <xf numFmtId="0" fontId="127" fillId="44" borderId="0">
      <alignment horizontal="centerContinuous"/>
    </xf>
    <xf numFmtId="0" fontId="131" fillId="44" borderId="0">
      <alignment horizontal="left"/>
    </xf>
    <xf numFmtId="49" fontId="131" fillId="44" borderId="0">
      <alignment horizontal="center"/>
    </xf>
    <xf numFmtId="0" fontId="126" fillId="44" borderId="0">
      <alignment horizontal="left"/>
    </xf>
    <xf numFmtId="49" fontId="131" fillId="44" borderId="0">
      <alignment horizontal="left"/>
    </xf>
    <xf numFmtId="0" fontId="126" fillId="44" borderId="0">
      <alignment horizontal="centerContinuous"/>
    </xf>
    <xf numFmtId="0" fontId="126" fillId="44" borderId="0">
      <alignment horizontal="right"/>
    </xf>
    <xf numFmtId="49" fontId="126" fillId="44" borderId="0">
      <alignment horizontal="left"/>
    </xf>
    <xf numFmtId="0" fontId="127" fillId="44" borderId="0">
      <alignment horizontal="right"/>
    </xf>
    <xf numFmtId="0" fontId="131" fillId="45" borderId="0">
      <alignment horizontal="center"/>
    </xf>
    <xf numFmtId="0" fontId="132" fillId="45" borderId="0">
      <alignment horizontal="center"/>
    </xf>
    <xf numFmtId="0" fontId="133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2" fillId="0" borderId="30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3" fillId="0" borderId="0"/>
    <xf numFmtId="0" fontId="122" fillId="0" borderId="30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3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56" borderId="0" applyNumberFormat="0" applyBorder="0" applyAlignment="0" applyProtection="0"/>
    <xf numFmtId="0" fontId="134" fillId="56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34" fillId="5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54" borderId="0" applyNumberFormat="0" applyBorder="0" applyAlignment="0" applyProtection="0"/>
    <xf numFmtId="0" fontId="134" fillId="54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34" fillId="58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59" borderId="0" applyNumberFormat="0" applyBorder="0" applyAlignment="0" applyProtection="0"/>
    <xf numFmtId="0" fontId="134" fillId="59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60" borderId="0" applyNumberFormat="0" applyBorder="0" applyAlignment="0" applyProtection="0"/>
    <xf numFmtId="0" fontId="134" fillId="60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61" borderId="0" applyNumberFormat="0" applyBorder="0" applyAlignment="0" applyProtection="0"/>
    <xf numFmtId="0" fontId="134" fillId="6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62" borderId="0" applyNumberFormat="0" applyBorder="0" applyAlignment="0" applyProtection="0"/>
    <xf numFmtId="0" fontId="134" fillId="62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34" fillId="58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34" fillId="63" borderId="0" applyNumberFormat="0" applyBorder="0" applyAlignment="0" applyProtection="0"/>
    <xf numFmtId="189" fontId="135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36" fillId="11" borderId="0" applyNumberFormat="0" applyBorder="0" applyAlignment="0" applyProtection="0"/>
    <xf numFmtId="0" fontId="137" fillId="47" borderId="0" applyNumberFormat="0" applyBorder="0" applyAlignment="0" applyProtection="0"/>
    <xf numFmtId="0" fontId="38" fillId="0" borderId="0" applyFill="0" applyBorder="0" applyAlignment="0" applyProtection="0"/>
    <xf numFmtId="0" fontId="108" fillId="14" borderId="31" applyNumberFormat="0" applyAlignment="0" applyProtection="0"/>
    <xf numFmtId="0" fontId="108" fillId="14" borderId="31" applyNumberFormat="0" applyAlignment="0" applyProtection="0"/>
    <xf numFmtId="0" fontId="108" fillId="14" borderId="31" applyNumberFormat="0" applyAlignment="0" applyProtection="0"/>
    <xf numFmtId="0" fontId="108" fillId="65" borderId="31" applyNumberFormat="0" applyAlignment="0" applyProtection="0"/>
    <xf numFmtId="0" fontId="138" fillId="65" borderId="39" applyNumberFormat="0" applyAlignment="0" applyProtection="0"/>
    <xf numFmtId="0" fontId="139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9" fillId="0" borderId="0" applyFill="0" applyBorder="0" applyProtection="0">
      <alignment horizontal="center" vertical="center"/>
    </xf>
    <xf numFmtId="0" fontId="110" fillId="15" borderId="34" applyNumberFormat="0" applyAlignment="0" applyProtection="0"/>
    <xf numFmtId="0" fontId="110" fillId="15" borderId="34" applyNumberFormat="0" applyAlignment="0" applyProtection="0"/>
    <xf numFmtId="0" fontId="110" fillId="15" borderId="34" applyNumberFormat="0" applyAlignment="0" applyProtection="0"/>
    <xf numFmtId="0" fontId="140" fillId="66" borderId="40" applyNumberFormat="0" applyAlignment="0" applyProtection="0"/>
    <xf numFmtId="0" fontId="141" fillId="0" borderId="13">
      <alignment horizontal="center"/>
    </xf>
    <xf numFmtId="190" fontId="142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3" fillId="0" borderId="0" applyFont="0" applyFill="0" applyBorder="0" applyAlignment="0" applyProtection="0"/>
    <xf numFmtId="19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6" fillId="0" borderId="0" applyFill="0" applyBorder="0" applyAlignment="0" applyProtection="0"/>
    <xf numFmtId="0" fontId="118" fillId="0" borderId="0" applyFill="0" applyBorder="0" applyAlignment="0" applyProtection="0">
      <protection locked="0"/>
    </xf>
    <xf numFmtId="0" fontId="146" fillId="0" borderId="0" applyFill="0" applyBorder="0" applyAlignment="0" applyProtection="0"/>
    <xf numFmtId="196" fontId="143" fillId="0" borderId="0" applyFont="0" applyFill="0" applyBorder="0" applyAlignment="0" applyProtection="0"/>
    <xf numFmtId="197" fontId="143" fillId="0" borderId="0" applyFont="0" applyFill="0" applyBorder="0" applyAlignment="0" applyProtection="0"/>
    <xf numFmtId="198" fontId="1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7" fillId="0" borderId="0" applyFont="0" applyFill="0" applyBorder="0" applyAlignment="0" applyProtection="0"/>
    <xf numFmtId="189" fontId="148" fillId="0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00" fontId="150" fillId="0" borderId="0"/>
    <xf numFmtId="201" fontId="150" fillId="0" borderId="0"/>
    <xf numFmtId="166" fontId="150" fillId="0" borderId="0"/>
    <xf numFmtId="201" fontId="150" fillId="0" borderId="0"/>
    <xf numFmtId="202" fontId="150" fillId="0" borderId="0"/>
    <xf numFmtId="202" fontId="150" fillId="0" borderId="0"/>
    <xf numFmtId="200" fontId="150" fillId="0" borderId="0"/>
    <xf numFmtId="203" fontId="150" fillId="0" borderId="0"/>
    <xf numFmtId="204" fontId="150" fillId="0" borderId="0"/>
    <xf numFmtId="205" fontId="150" fillId="0" borderId="0"/>
    <xf numFmtId="206" fontId="150" fillId="0" borderId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51" fillId="48" borderId="0" applyNumberFormat="0" applyBorder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2" fillId="0" borderId="41" applyNumberFormat="0" applyFill="0" applyAlignment="0" applyProtection="0"/>
    <xf numFmtId="0" fontId="153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4" fillId="0" borderId="29" applyNumberFormat="0" applyFill="0" applyAlignment="0" applyProtection="0"/>
    <xf numFmtId="0" fontId="155" fillId="0" borderId="42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56" fillId="0" borderId="43" applyNumberFormat="0" applyFill="0" applyAlignment="0" applyProtection="0"/>
    <xf numFmtId="0" fontId="157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8" fillId="43" borderId="0" applyNumberFormat="0" applyBorder="0" applyAlignment="0" applyProtection="0"/>
    <xf numFmtId="0" fontId="106" fillId="13" borderId="31" applyNumberFormat="0" applyAlignment="0" applyProtection="0"/>
    <xf numFmtId="0" fontId="106" fillId="13" borderId="31" applyNumberFormat="0" applyAlignment="0" applyProtection="0"/>
    <xf numFmtId="0" fontId="106" fillId="13" borderId="31" applyNumberFormat="0" applyAlignment="0" applyProtection="0"/>
    <xf numFmtId="0" fontId="159" fillId="51" borderId="39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60" fillId="0" borderId="44" applyNumberFormat="0" applyFill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61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19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19" fillId="0" borderId="0"/>
    <xf numFmtId="0" fontId="3" fillId="0" borderId="0"/>
    <xf numFmtId="0" fontId="73" fillId="0" borderId="0"/>
    <xf numFmtId="0" fontId="63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14" fillId="16" borderId="35" applyNumberFormat="0" applyFont="0" applyAlignment="0" applyProtection="0"/>
    <xf numFmtId="0" fontId="19" fillId="68" borderId="45" applyNumberFormat="0" applyFont="0" applyAlignment="0" applyProtection="0"/>
    <xf numFmtId="0" fontId="3" fillId="16" borderId="35" applyNumberFormat="0" applyFont="0" applyAlignment="0" applyProtection="0"/>
    <xf numFmtId="0" fontId="107" fillId="14" borderId="32" applyNumberFormat="0" applyAlignment="0" applyProtection="0"/>
    <xf numFmtId="0" fontId="107" fillId="14" borderId="32" applyNumberFormat="0" applyAlignment="0" applyProtection="0"/>
    <xf numFmtId="0" fontId="107" fillId="14" borderId="32" applyNumberFormat="0" applyAlignment="0" applyProtection="0"/>
    <xf numFmtId="0" fontId="107" fillId="65" borderId="32" applyNumberFormat="0" applyAlignment="0" applyProtection="0"/>
    <xf numFmtId="0" fontId="163" fillId="65" borderId="46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3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3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3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3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5" fillId="64" borderId="0" applyNumberFormat="0" applyBorder="0" applyAlignment="0" applyProtection="0"/>
    <xf numFmtId="0" fontId="164" fillId="0" borderId="0">
      <alignment horizontal="right"/>
    </xf>
    <xf numFmtId="0" fontId="165" fillId="0" borderId="0">
      <alignment horizontal="right"/>
    </xf>
    <xf numFmtId="0" fontId="150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50" fillId="0" borderId="0"/>
    <xf numFmtId="189" fontId="63" fillId="0" borderId="0" applyNumberFormat="0" applyBorder="0" applyAlignment="0"/>
    <xf numFmtId="0" fontId="167" fillId="0" borderId="0"/>
    <xf numFmtId="0" fontId="168" fillId="0" borderId="0" applyNumberFormat="0" applyBorder="0" applyAlignment="0"/>
    <xf numFmtId="0" fontId="168" fillId="0" borderId="0" applyNumberFormat="0" applyBorder="0" applyAlignment="0"/>
    <xf numFmtId="0" fontId="167" fillId="0" borderId="0"/>
    <xf numFmtId="0" fontId="169" fillId="0" borderId="0"/>
    <xf numFmtId="189" fontId="170" fillId="0" borderId="0"/>
    <xf numFmtId="0" fontId="171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71" fillId="0" borderId="0"/>
    <xf numFmtId="0" fontId="173" fillId="0" borderId="0" applyNumberFormat="0" applyBorder="0" applyAlignment="0"/>
    <xf numFmtId="0" fontId="174" fillId="0" borderId="0"/>
    <xf numFmtId="189" fontId="175" fillId="0" borderId="0"/>
    <xf numFmtId="0" fontId="176" fillId="0" borderId="0"/>
    <xf numFmtId="0" fontId="172" fillId="69" borderId="0" applyNumberFormat="0" applyBorder="0" applyAlignment="0"/>
    <xf numFmtId="0" fontId="177" fillId="0" borderId="0"/>
    <xf numFmtId="0" fontId="178" fillId="0" borderId="0"/>
    <xf numFmtId="0" fontId="179" fillId="0" borderId="0"/>
    <xf numFmtId="0" fontId="178" fillId="70" borderId="0"/>
    <xf numFmtId="0" fontId="99" fillId="0" borderId="0" applyNumberFormat="0" applyFill="0" applyBorder="0" applyAlignment="0" applyProtection="0"/>
    <xf numFmtId="0" fontId="180" fillId="71" borderId="47" applyNumberFormat="0">
      <alignment horizontal="left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71" borderId="48">
      <alignment horizontal="left"/>
    </xf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49" applyNumberFormat="0" applyFill="0" applyAlignment="0" applyProtection="0"/>
    <xf numFmtId="0" fontId="183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3" fillId="0" borderId="0"/>
    <xf numFmtId="0" fontId="122" fillId="0" borderId="30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30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2" fillId="0" borderId="30" applyNumberFormat="0" applyFill="0" applyAlignment="0" applyProtection="0"/>
    <xf numFmtId="0" fontId="7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3" fillId="65" borderId="46" applyNumberFormat="0" applyAlignment="0" applyProtection="0"/>
    <xf numFmtId="0" fontId="138" fillId="65" borderId="39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8" fillId="65" borderId="39" applyNumberFormat="0" applyAlignment="0" applyProtection="0"/>
    <xf numFmtId="43" fontId="73" fillId="0" borderId="0" applyFont="0" applyFill="0" applyBorder="0" applyAlignment="0" applyProtection="0"/>
    <xf numFmtId="0" fontId="19" fillId="68" borderId="45" applyNumberFormat="0" applyFont="0" applyAlignment="0" applyProtection="0"/>
    <xf numFmtId="9" fontId="73" fillId="0" borderId="0" applyFont="0" applyFill="0" applyBorder="0" applyAlignment="0" applyProtection="0"/>
    <xf numFmtId="0" fontId="183" fillId="0" borderId="49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8" fillId="65" borderId="39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9" applyNumberFormat="0" applyAlignment="0" applyProtection="0"/>
    <xf numFmtId="0" fontId="159" fillId="51" borderId="39" applyNumberFormat="0" applyAlignment="0" applyProtection="0"/>
    <xf numFmtId="0" fontId="159" fillId="51" borderId="39" applyNumberFormat="0" applyAlignment="0" applyProtection="0"/>
    <xf numFmtId="0" fontId="19" fillId="68" borderId="45" applyNumberFormat="0" applyFont="0" applyAlignment="0" applyProtection="0"/>
    <xf numFmtId="0" fontId="113" fillId="0" borderId="49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5" applyNumberFormat="0" applyFont="0" applyAlignment="0" applyProtection="0"/>
    <xf numFmtId="0" fontId="163" fillId="65" borderId="46" applyNumberFormat="0" applyAlignment="0" applyProtection="0"/>
    <xf numFmtId="44" fontId="73" fillId="0" borderId="0" applyFont="0" applyFill="0" applyBorder="0" applyAlignment="0" applyProtection="0"/>
    <xf numFmtId="0" fontId="113" fillId="0" borderId="49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9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5" applyNumberFormat="0" applyFont="0" applyAlignment="0" applyProtection="0"/>
    <xf numFmtId="0" fontId="163" fillId="65" borderId="46" applyNumberFormat="0" applyAlignment="0" applyProtection="0"/>
    <xf numFmtId="0" fontId="138" fillId="65" borderId="39" applyNumberFormat="0" applyAlignment="0" applyProtection="0"/>
    <xf numFmtId="9" fontId="73" fillId="0" borderId="0" applyFont="0" applyFill="0" applyBorder="0" applyAlignment="0" applyProtection="0"/>
    <xf numFmtId="0" fontId="163" fillId="65" borderId="46" applyNumberFormat="0" applyAlignment="0" applyProtection="0"/>
    <xf numFmtId="0" fontId="113" fillId="0" borderId="49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3" fillId="0" borderId="49" applyNumberFormat="0" applyFill="0" applyAlignment="0" applyProtection="0"/>
    <xf numFmtId="0" fontId="183" fillId="0" borderId="49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9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9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5" applyNumberFormat="0" applyFont="0" applyAlignment="0" applyProtection="0"/>
    <xf numFmtId="0" fontId="163" fillId="65" borderId="46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3" fillId="0" borderId="4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8" fillId="65" borderId="39" applyNumberFormat="0" applyAlignment="0" applyProtection="0"/>
    <xf numFmtId="0" fontId="183" fillId="0" borderId="49" applyNumberFormat="0" applyFill="0" applyAlignment="0" applyProtection="0"/>
    <xf numFmtId="0" fontId="183" fillId="0" borderId="49" applyNumberFormat="0" applyFill="0" applyAlignment="0" applyProtection="0"/>
    <xf numFmtId="0" fontId="138" fillId="65" borderId="3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5" applyNumberFormat="0" applyFont="0" applyAlignment="0" applyProtection="0"/>
    <xf numFmtId="0" fontId="138" fillId="65" borderId="3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3" fillId="0" borderId="4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9" applyNumberFormat="0" applyFill="0" applyAlignment="0" applyProtection="0"/>
    <xf numFmtId="0" fontId="163" fillId="65" borderId="46" applyNumberFormat="0" applyAlignment="0" applyProtection="0"/>
    <xf numFmtId="0" fontId="163" fillId="65" borderId="46" applyNumberFormat="0" applyAlignment="0" applyProtection="0"/>
    <xf numFmtId="0" fontId="183" fillId="0" borderId="49" applyNumberFormat="0" applyFill="0" applyAlignment="0" applyProtection="0"/>
    <xf numFmtId="0" fontId="113" fillId="0" borderId="49" applyNumberFormat="0" applyFill="0" applyAlignment="0" applyProtection="0"/>
    <xf numFmtId="0" fontId="163" fillId="65" borderId="46" applyNumberFormat="0" applyAlignment="0" applyProtection="0"/>
    <xf numFmtId="0" fontId="159" fillId="51" borderId="39" applyNumberFormat="0" applyAlignment="0" applyProtection="0"/>
    <xf numFmtId="0" fontId="159" fillId="51" borderId="39" applyNumberFormat="0" applyAlignment="0" applyProtection="0"/>
    <xf numFmtId="0" fontId="138" fillId="65" borderId="39" applyNumberFormat="0" applyAlignment="0" applyProtection="0"/>
    <xf numFmtId="0" fontId="163" fillId="65" borderId="46" applyNumberFormat="0" applyAlignment="0" applyProtection="0"/>
    <xf numFmtId="0" fontId="159" fillId="51" borderId="39" applyNumberFormat="0" applyAlignment="0" applyProtection="0"/>
    <xf numFmtId="0" fontId="138" fillId="65" borderId="39" applyNumberFormat="0" applyAlignment="0" applyProtection="0"/>
    <xf numFmtId="0" fontId="3" fillId="0" borderId="0"/>
    <xf numFmtId="0" fontId="73" fillId="0" borderId="0"/>
    <xf numFmtId="0" fontId="122" fillId="0" borderId="30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5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6" fillId="0" borderId="0"/>
    <xf numFmtId="44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3" fillId="0" borderId="0"/>
    <xf numFmtId="0" fontId="3" fillId="0" borderId="0"/>
    <xf numFmtId="10" fontId="5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3" fillId="0" borderId="0"/>
    <xf numFmtId="0" fontId="122" fillId="0" borderId="30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0" fontId="3" fillId="16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5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5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0" fontId="3" fillId="16" borderId="35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5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5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5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9" fillId="0" borderId="0"/>
    <xf numFmtId="0" fontId="19" fillId="0" borderId="0"/>
    <xf numFmtId="43" fontId="1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9" fillId="0" borderId="0"/>
    <xf numFmtId="0" fontId="2" fillId="0" borderId="0"/>
    <xf numFmtId="0" fontId="2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16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7" fillId="0" borderId="0" applyFont="0" applyFill="0" applyBorder="0" applyAlignment="0" applyProtection="0"/>
    <xf numFmtId="0" fontId="19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/>
    <xf numFmtId="0" fontId="116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227" fontId="65" fillId="44" borderId="0" applyBorder="0">
      <alignment horizontal="right"/>
    </xf>
    <xf numFmtId="0" fontId="191" fillId="75" borderId="0" applyBorder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9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70" fillId="0" borderId="0" xfId="34"/>
    <xf numFmtId="0" fontId="43" fillId="0" borderId="0" xfId="34" applyFont="1"/>
    <xf numFmtId="0" fontId="43" fillId="0" borderId="0" xfId="34" applyFont="1" applyFill="1"/>
    <xf numFmtId="0" fontId="70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70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70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70" fillId="0" borderId="0" xfId="19"/>
    <xf numFmtId="0" fontId="15" fillId="0" borderId="0" xfId="34" applyFont="1"/>
    <xf numFmtId="166" fontId="58" fillId="0" borderId="0" xfId="1" applyNumberFormat="1" applyFont="1"/>
    <xf numFmtId="0" fontId="70" fillId="0" borderId="0" xfId="34" applyAlignment="1">
      <alignment horizontal="center"/>
    </xf>
    <xf numFmtId="10" fontId="58" fillId="0" borderId="0" xfId="42" applyNumberFormat="1" applyFont="1"/>
    <xf numFmtId="10" fontId="70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3" fillId="0" borderId="0" xfId="36" applyFill="1"/>
    <xf numFmtId="166" fontId="63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172" fontId="34" fillId="0" borderId="0" xfId="23" applyNumberFormat="1" applyFont="1" applyFill="1" applyBorder="1"/>
    <xf numFmtId="3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center"/>
    </xf>
    <xf numFmtId="165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/>
    <xf numFmtId="173" fontId="34" fillId="0" borderId="0" xfId="42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/>
    <xf numFmtId="3" fontId="62" fillId="0" borderId="13" xfId="0" applyNumberFormat="1" applyFont="1" applyFill="1" applyBorder="1" applyAlignment="1"/>
    <xf numFmtId="0" fontId="34" fillId="0" borderId="13" xfId="23" applyFont="1" applyFill="1" applyBorder="1"/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172" fontId="34" fillId="0" borderId="13" xfId="23" applyNumberFormat="1" applyFont="1" applyFill="1" applyBorder="1"/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66" fontId="68" fillId="0" borderId="0" xfId="6" applyNumberFormat="1" applyFont="1" applyFill="1"/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vertical="center" wrapText="1"/>
    </xf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0" fontId="77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3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1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70" fillId="0" borderId="0" xfId="42" applyNumberFormat="1" applyFont="1"/>
    <xf numFmtId="0" fontId="19" fillId="0" borderId="0" xfId="23"/>
    <xf numFmtId="0" fontId="78" fillId="0" borderId="0" xfId="41" applyNumberFormat="1" applyFont="1" applyFill="1" applyAlignment="1">
      <alignment horizontal="center"/>
    </xf>
    <xf numFmtId="3" fontId="79" fillId="0" borderId="0" xfId="41" applyNumberFormat="1" applyFont="1"/>
    <xf numFmtId="0" fontId="82" fillId="0" borderId="0" xfId="41" applyNumberFormat="1" applyFont="1" applyAlignment="1">
      <alignment horizontal="center"/>
    </xf>
    <xf numFmtId="0" fontId="39" fillId="0" borderId="1" xfId="0" applyFont="1" applyBorder="1"/>
    <xf numFmtId="0" fontId="78" fillId="0" borderId="1" xfId="41" applyFont="1" applyBorder="1"/>
    <xf numFmtId="3" fontId="79" fillId="0" borderId="1" xfId="41" applyNumberFormat="1" applyFont="1" applyBorder="1"/>
    <xf numFmtId="0" fontId="78" fillId="0" borderId="0" xfId="41" applyNumberFormat="1" applyFont="1" applyAlignment="1">
      <alignment horizontal="center"/>
    </xf>
    <xf numFmtId="0" fontId="79" fillId="0" borderId="0" xfId="41" applyFont="1" applyFill="1"/>
    <xf numFmtId="0" fontId="21" fillId="0" borderId="0" xfId="0" applyFont="1"/>
    <xf numFmtId="10" fontId="78" fillId="0" borderId="0" xfId="41" applyNumberFormat="1" applyFont="1"/>
    <xf numFmtId="0" fontId="78" fillId="0" borderId="0" xfId="41" applyFont="1"/>
    <xf numFmtId="3" fontId="79" fillId="0" borderId="0" xfId="41" applyNumberFormat="1" applyFont="1" applyBorder="1"/>
    <xf numFmtId="10" fontId="20" fillId="0" borderId="0" xfId="42" applyNumberFormat="1" applyFont="1" applyFill="1" applyAlignment="1">
      <alignment horizontal="right"/>
    </xf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3" fillId="0" borderId="0" xfId="23" applyNumberFormat="1" applyFont="1" applyFill="1"/>
    <xf numFmtId="37" fontId="83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5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66" fontId="38" fillId="0" borderId="0" xfId="6" applyNumberFormat="1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3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38" fillId="0" borderId="0" xfId="0" applyFont="1"/>
    <xf numFmtId="0" fontId="90" fillId="0" borderId="0" xfId="0" applyFont="1"/>
    <xf numFmtId="0" fontId="3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90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90" fillId="0" borderId="2" xfId="0" applyNumberFormat="1" applyFont="1" applyBorder="1"/>
    <xf numFmtId="183" fontId="90" fillId="0" borderId="0" xfId="0" applyNumberFormat="1" applyFont="1" applyBorder="1"/>
    <xf numFmtId="10" fontId="91" fillId="0" borderId="0" xfId="0" applyNumberFormat="1" applyFont="1"/>
    <xf numFmtId="183" fontId="90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5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9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72" fontId="38" fillId="0" borderId="0" xfId="23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2" fillId="0" borderId="0" xfId="0" applyFont="1"/>
    <xf numFmtId="10" fontId="92" fillId="0" borderId="0" xfId="0" applyNumberFormat="1" applyFont="1" applyBorder="1"/>
    <xf numFmtId="10" fontId="92" fillId="0" borderId="0" xfId="0" applyNumberFormat="1" applyFont="1"/>
    <xf numFmtId="3" fontId="78" fillId="0" borderId="0" xfId="41" applyNumberFormat="1" applyFont="1"/>
    <xf numFmtId="10" fontId="78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0" fontId="38" fillId="0" borderId="0" xfId="0" applyFont="1" applyFill="1" applyBorder="1"/>
    <xf numFmtId="5" fontId="38" fillId="0" borderId="0" xfId="0" applyNumberFormat="1" applyFont="1" applyFill="1" applyBorder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0" fontId="0" fillId="0" borderId="0" xfId="0" quotePrefix="1" applyAlignment="1">
      <alignment vertical="top"/>
    </xf>
    <xf numFmtId="168" fontId="60" fillId="0" borderId="0" xfId="10" quotePrefix="1" applyNumberFormat="1" applyFont="1" applyFill="1" applyBorder="1" applyAlignment="1">
      <alignment horizontal="center"/>
    </xf>
    <xf numFmtId="0" fontId="20" fillId="0" borderId="0" xfId="23" applyFont="1" applyFill="1" applyAlignment="1">
      <alignment vertical="top"/>
    </xf>
    <xf numFmtId="0" fontId="96" fillId="0" borderId="0" xfId="0" applyFont="1"/>
    <xf numFmtId="3" fontId="93" fillId="0" borderId="0" xfId="23" applyNumberFormat="1" applyFont="1" applyFill="1" applyBorder="1" applyAlignment="1">
      <alignment horizontal="center" wrapText="1"/>
    </xf>
    <xf numFmtId="0" fontId="79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70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3" fontId="34" fillId="0" borderId="0" xfId="23" applyNumberFormat="1" applyFont="1" applyFill="1" applyAlignment="1">
      <alignment vertical="top" wrapText="1"/>
    </xf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4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19" fillId="9" borderId="0" xfId="36" applyFont="1" applyFill="1"/>
    <xf numFmtId="169" fontId="38" fillId="0" borderId="0" xfId="42" applyNumberFormat="1" applyFont="1" applyFill="1" applyBorder="1"/>
    <xf numFmtId="10" fontId="92" fillId="0" borderId="24" xfId="0" applyNumberFormat="1" applyFont="1" applyBorder="1"/>
    <xf numFmtId="10" fontId="78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0" fontId="3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0" fontId="39" fillId="0" borderId="0" xfId="42" applyNumberFormat="1" applyFont="1" applyFill="1" applyBorder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10" fontId="98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3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80" fillId="0" borderId="0" xfId="1166" applyFont="1" applyAlignment="1">
      <alignment horizontal="left" indent="1" readingOrder="1"/>
    </xf>
    <xf numFmtId="0" fontId="80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1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80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7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1" fillId="0" borderId="0" xfId="3528" applyNumberFormat="1" applyFont="1" applyFill="1"/>
    <xf numFmtId="167" fontId="19" fillId="0" borderId="0" xfId="1166" applyNumberFormat="1">
      <alignment readingOrder="1"/>
    </xf>
    <xf numFmtId="0" fontId="80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9" fillId="0" borderId="0" xfId="0" applyNumberFormat="1" applyFont="1" applyFill="1"/>
    <xf numFmtId="37" fontId="50" fillId="0" borderId="0" xfId="0" applyNumberFormat="1" applyFont="1" applyFill="1"/>
    <xf numFmtId="37" fontId="119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165" fontId="0" fillId="0" borderId="0" xfId="42" applyNumberFormat="1" applyFon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left"/>
    </xf>
    <xf numFmtId="3" fontId="60" fillId="0" borderId="51" xfId="23" applyNumberFormat="1" applyFont="1" applyFill="1" applyBorder="1" applyAlignment="1">
      <alignment horizontal="center"/>
    </xf>
    <xf numFmtId="3" fontId="60" fillId="0" borderId="52" xfId="23" applyNumberFormat="1" applyFont="1" applyFill="1" applyBorder="1" applyAlignment="1">
      <alignment horizontal="center"/>
    </xf>
    <xf numFmtId="10" fontId="38" fillId="0" borderId="0" xfId="42" applyNumberFormat="1" applyFont="1" applyFill="1" applyBorder="1"/>
    <xf numFmtId="184" fontId="38" fillId="0" borderId="0" xfId="0" applyNumberFormat="1" applyFont="1" applyFill="1" applyBorder="1"/>
    <xf numFmtId="166" fontId="20" fillId="0" borderId="1" xfId="1" applyNumberFormat="1" applyFont="1" applyFill="1" applyBorder="1"/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1" xfId="23" applyNumberFormat="1" applyFont="1" applyFill="1" applyBorder="1"/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2" fillId="0" borderId="0" xfId="0" applyNumberFormat="1" applyFont="1" applyFill="1" applyBorder="1"/>
    <xf numFmtId="168" fontId="21" fillId="0" borderId="53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166" fontId="0" fillId="0" borderId="0" xfId="1" applyNumberFormat="1" applyFont="1" applyFill="1" applyBorder="1"/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8" fillId="0" borderId="50" xfId="23" applyNumberFormat="1" applyFont="1" applyFill="1" applyBorder="1" applyAlignment="1">
      <alignment horizontal="center"/>
    </xf>
    <xf numFmtId="3" fontId="33" fillId="0" borderId="52" xfId="23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0" fontId="41" fillId="73" borderId="24" xfId="0" applyNumberFormat="1" applyFont="1" applyFill="1" applyBorder="1"/>
    <xf numFmtId="10" fontId="41" fillId="74" borderId="24" xfId="0" applyNumberFormat="1" applyFont="1" applyFill="1" applyBorder="1"/>
    <xf numFmtId="0" fontId="78" fillId="74" borderId="0" xfId="41" applyNumberFormat="1" applyFont="1" applyFill="1" applyAlignment="1">
      <alignment horizontal="center"/>
    </xf>
    <xf numFmtId="0" fontId="92" fillId="0" borderId="0" xfId="0" applyFont="1" applyFill="1" applyAlignment="1">
      <alignment horizontal="center" wrapText="1"/>
    </xf>
    <xf numFmtId="0" fontId="78" fillId="73" borderId="0" xfId="41" applyNumberFormat="1" applyFont="1" applyFill="1" applyAlignment="1">
      <alignment horizontal="center"/>
    </xf>
    <xf numFmtId="10" fontId="188" fillId="74" borderId="27" xfId="0" applyNumberFormat="1" applyFont="1" applyFill="1" applyBorder="1"/>
    <xf numFmtId="10" fontId="188" fillId="73" borderId="27" xfId="0" applyNumberFormat="1" applyFont="1" applyFill="1" applyBorder="1"/>
    <xf numFmtId="0" fontId="92" fillId="0" borderId="0" xfId="1227" applyFont="1" applyFill="1" applyBorder="1" applyAlignment="1">
      <alignment horizontal="left"/>
    </xf>
    <xf numFmtId="166" fontId="92" fillId="0" borderId="0" xfId="23129" applyNumberFormat="1" applyFont="1" applyBorder="1"/>
    <xf numFmtId="173" fontId="92" fillId="0" borderId="0" xfId="1227" applyNumberFormat="1" applyFont="1" applyFill="1" applyBorder="1" applyAlignment="1">
      <alignment horizontal="left"/>
    </xf>
    <xf numFmtId="0" fontId="92" fillId="0" borderId="0" xfId="1227" applyFont="1" applyBorder="1" applyAlignment="1">
      <alignment horizontal="left"/>
    </xf>
    <xf numFmtId="0" fontId="92" fillId="0" borderId="0" xfId="1227" applyFont="1" applyAlignment="1">
      <alignment horizontal="left"/>
    </xf>
    <xf numFmtId="166" fontId="92" fillId="0" borderId="0" xfId="23129" applyNumberFormat="1" applyFont="1"/>
    <xf numFmtId="0" fontId="92" fillId="0" borderId="0" xfId="1227" applyFont="1"/>
    <xf numFmtId="0" fontId="95" fillId="0" borderId="0" xfId="0" applyFont="1" applyAlignment="1"/>
    <xf numFmtId="0" fontId="20" fillId="0" borderId="0" xfId="1227" applyFont="1" applyFill="1" applyBorder="1" applyAlignment="1">
      <alignment horizontal="left"/>
    </xf>
    <xf numFmtId="166" fontId="20" fillId="0" borderId="0" xfId="23129" applyNumberFormat="1" applyFont="1" applyBorder="1"/>
    <xf numFmtId="0" fontId="20" fillId="0" borderId="0" xfId="1227" applyFont="1" applyBorder="1" applyAlignment="1">
      <alignment horizontal="left"/>
    </xf>
    <xf numFmtId="0" fontId="20" fillId="0" borderId="0" xfId="1227" applyFont="1" applyAlignment="1">
      <alignment horizontal="left"/>
    </xf>
    <xf numFmtId="166" fontId="20" fillId="0" borderId="0" xfId="23129" applyNumberFormat="1" applyFont="1"/>
    <xf numFmtId="0" fontId="20" fillId="0" borderId="0" xfId="1227" applyFont="1"/>
    <xf numFmtId="0" fontId="92" fillId="0" borderId="0" xfId="1227" applyFont="1" applyAlignment="1"/>
    <xf numFmtId="3" fontId="20" fillId="0" borderId="1" xfId="0" applyNumberFormat="1" applyFont="1" applyFill="1" applyBorder="1" applyAlignment="1">
      <alignment horizontal="center"/>
    </xf>
    <xf numFmtId="3" fontId="193" fillId="0" borderId="0" xfId="0" applyNumberFormat="1" applyFont="1" applyFill="1" applyBorder="1"/>
    <xf numFmtId="3" fontId="193" fillId="0" borderId="0" xfId="0" applyNumberFormat="1" applyFont="1" applyFill="1"/>
    <xf numFmtId="0" fontId="192" fillId="0" borderId="0" xfId="23" applyFont="1" applyFill="1"/>
    <xf numFmtId="3" fontId="20" fillId="0" borderId="1" xfId="0" applyNumberFormat="1" applyFont="1" applyFill="1" applyBorder="1"/>
    <xf numFmtId="0" fontId="21" fillId="0" borderId="1" xfId="23" applyFont="1" applyFill="1" applyBorder="1"/>
    <xf numFmtId="0" fontId="53" fillId="0" borderId="0" xfId="0" applyFont="1"/>
    <xf numFmtId="3" fontId="194" fillId="0" borderId="0" xfId="41" applyNumberFormat="1" applyFont="1"/>
    <xf numFmtId="0" fontId="194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8" fillId="0" borderId="0" xfId="41" applyFont="1" applyFill="1"/>
    <xf numFmtId="0" fontId="19" fillId="0" borderId="0" xfId="1227"/>
    <xf numFmtId="0" fontId="21" fillId="0" borderId="1" xfId="1227" applyFont="1" applyBorder="1" applyAlignment="1"/>
    <xf numFmtId="0" fontId="20" fillId="0" borderId="1" xfId="1227" applyFont="1" applyBorder="1" applyAlignment="1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1" fontId="20" fillId="0" borderId="0" xfId="1227" applyNumberFormat="1" applyFont="1" applyFill="1" applyBorder="1" applyAlignment="1">
      <alignment horizontal="left"/>
    </xf>
    <xf numFmtId="0" fontId="73" fillId="9" borderId="0" xfId="36" applyFill="1"/>
    <xf numFmtId="10" fontId="92" fillId="0" borderId="25" xfId="0" applyNumberFormat="1" applyFont="1" applyBorder="1"/>
    <xf numFmtId="10" fontId="41" fillId="74" borderId="25" xfId="0" applyNumberFormat="1" applyFont="1" applyFill="1" applyBorder="1"/>
    <xf numFmtId="166" fontId="20" fillId="76" borderId="0" xfId="1" applyNumberFormat="1" applyFont="1" applyFill="1"/>
    <xf numFmtId="3" fontId="20" fillId="76" borderId="0" xfId="0" applyNumberFormat="1" applyFont="1" applyFill="1" applyBorder="1"/>
    <xf numFmtId="0" fontId="19" fillId="0" borderId="0" xfId="23"/>
    <xf numFmtId="0" fontId="19" fillId="0" borderId="0" xfId="23"/>
    <xf numFmtId="0" fontId="65" fillId="0" borderId="54" xfId="0" applyFont="1" applyFill="1" applyBorder="1" applyAlignment="1">
      <alignment horizontal="left" vertical="top"/>
    </xf>
    <xf numFmtId="0" fontId="65" fillId="0" borderId="54" xfId="0" applyFont="1" applyFill="1" applyBorder="1" applyAlignment="1">
      <alignment horizontal="left" vertical="top" wrapText="1"/>
    </xf>
    <xf numFmtId="0" fontId="196" fillId="0" borderId="55" xfId="0" applyFont="1" applyFill="1" applyBorder="1" applyAlignment="1">
      <alignment horizontal="right" vertical="top"/>
    </xf>
    <xf numFmtId="0" fontId="196" fillId="0" borderId="62" xfId="0" applyFont="1" applyFill="1" applyBorder="1" applyAlignment="1">
      <alignment horizontal="right" vertical="top"/>
    </xf>
    <xf numFmtId="0" fontId="196" fillId="0" borderId="56" xfId="0" applyFont="1" applyFill="1" applyBorder="1" applyAlignment="1">
      <alignment horizontal="right" vertical="top"/>
    </xf>
    <xf numFmtId="0" fontId="65" fillId="0" borderId="54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65" fillId="0" borderId="59" xfId="0" applyFont="1" applyFill="1" applyBorder="1" applyAlignment="1">
      <alignment horizontal="left" vertical="center"/>
    </xf>
    <xf numFmtId="0" fontId="196" fillId="0" borderId="60" xfId="0" applyFont="1" applyFill="1" applyBorder="1" applyAlignment="1">
      <alignment horizontal="right" vertical="top"/>
    </xf>
    <xf numFmtId="0" fontId="196" fillId="0" borderId="63" xfId="0" applyFont="1" applyFill="1" applyBorder="1" applyAlignment="1">
      <alignment horizontal="right" vertical="top"/>
    </xf>
    <xf numFmtId="0" fontId="196" fillId="0" borderId="61" xfId="0" applyFont="1" applyFill="1" applyBorder="1" applyAlignment="1">
      <alignment horizontal="right" vertical="top"/>
    </xf>
    <xf numFmtId="0" fontId="195" fillId="0" borderId="54" xfId="0" applyFont="1" applyFill="1" applyBorder="1" applyAlignment="1">
      <alignment horizontal="left" vertical="top"/>
    </xf>
    <xf numFmtId="0" fontId="65" fillId="0" borderId="54" xfId="0" applyFont="1" applyFill="1" applyBorder="1" applyAlignment="1">
      <alignment horizontal="center" vertical="top"/>
    </xf>
    <xf numFmtId="0" fontId="196" fillId="0" borderId="54" xfId="0" applyFont="1" applyFill="1" applyBorder="1" applyAlignment="1">
      <alignment horizontal="right" vertical="top"/>
    </xf>
    <xf numFmtId="0" fontId="195" fillId="0" borderId="64" xfId="0" applyFont="1" applyFill="1" applyBorder="1" applyAlignment="1">
      <alignment horizontal="left" vertical="top"/>
    </xf>
    <xf numFmtId="228" fontId="65" fillId="0" borderId="54" xfId="0" applyNumberFormat="1" applyFont="1" applyFill="1" applyBorder="1" applyAlignment="1">
      <alignment horizontal="right" vertical="top"/>
    </xf>
    <xf numFmtId="0" fontId="195" fillId="0" borderId="65" xfId="0" applyFont="1" applyFill="1" applyBorder="1" applyAlignment="1">
      <alignment horizontal="left" vertical="top"/>
    </xf>
    <xf numFmtId="0" fontId="195" fillId="0" borderId="66" xfId="0" applyFont="1" applyFill="1" applyBorder="1" applyAlignment="1">
      <alignment horizontal="left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65" fillId="0" borderId="59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7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9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8" fillId="0" borderId="0" xfId="41" applyNumberFormat="1" applyFont="1" applyFill="1"/>
    <xf numFmtId="10" fontId="92" fillId="0" borderId="0" xfId="0" applyNumberFormat="1" applyFont="1" applyFill="1"/>
    <xf numFmtId="10" fontId="78" fillId="0" borderId="0" xfId="42" applyNumberFormat="1" applyFont="1" applyFill="1"/>
    <xf numFmtId="3" fontId="78" fillId="0" borderId="0" xfId="41" applyNumberFormat="1" applyFont="1" applyFill="1"/>
    <xf numFmtId="0" fontId="19" fillId="78" borderId="0" xfId="36" applyFont="1" applyFill="1" applyAlignment="1">
      <alignment horizontal="center"/>
    </xf>
    <xf numFmtId="166" fontId="20" fillId="78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7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7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8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50" xfId="23" applyNumberFormat="1" applyFont="1" applyFill="1" applyBorder="1" applyAlignment="1">
      <alignment horizontal="center"/>
    </xf>
    <xf numFmtId="0" fontId="19" fillId="0" borderId="0" xfId="23"/>
    <xf numFmtId="3" fontId="34" fillId="0" borderId="52" xfId="23" applyNumberFormat="1" applyFont="1" applyFill="1" applyBorder="1"/>
    <xf numFmtId="10" fontId="38" fillId="78" borderId="1" xfId="42" applyNumberFormat="1" applyFont="1" applyFill="1" applyBorder="1"/>
    <xf numFmtId="5" fontId="39" fillId="78" borderId="27" xfId="0" applyNumberFormat="1" applyFont="1" applyFill="1" applyBorder="1"/>
    <xf numFmtId="169" fontId="39" fillId="78" borderId="11" xfId="42" applyNumberFormat="1" applyFont="1" applyFill="1" applyBorder="1"/>
    <xf numFmtId="10" fontId="38" fillId="78" borderId="0" xfId="49" applyNumberFormat="1" applyFont="1" applyFill="1" applyBorder="1"/>
    <xf numFmtId="166" fontId="199" fillId="78" borderId="1" xfId="1" applyNumberFormat="1" applyFont="1" applyFill="1" applyBorder="1" applyAlignment="1">
      <alignment horizontal="center" vertical="center" wrapText="1"/>
    </xf>
    <xf numFmtId="3" fontId="34" fillId="78" borderId="1" xfId="1" applyNumberFormat="1" applyFont="1" applyFill="1" applyBorder="1" applyAlignment="1">
      <alignment horizontal="center" vertical="center" wrapText="1"/>
    </xf>
    <xf numFmtId="3" fontId="34" fillId="78" borderId="1" xfId="23" applyNumberFormat="1" applyFont="1" applyFill="1" applyBorder="1" applyAlignment="1">
      <alignment horizontal="center" vertical="center" wrapText="1"/>
    </xf>
    <xf numFmtId="183" fontId="90" fillId="78" borderId="3" xfId="0" applyNumberFormat="1" applyFont="1" applyFill="1" applyBorder="1"/>
    <xf numFmtId="166" fontId="34" fillId="78" borderId="1" xfId="1" applyNumberFormat="1" applyFont="1" applyFill="1" applyBorder="1" applyAlignment="1">
      <alignment horizontal="center" vertical="center" wrapText="1"/>
    </xf>
    <xf numFmtId="172" fontId="34" fillId="78" borderId="1" xfId="1" applyNumberFormat="1" applyFont="1" applyFill="1" applyBorder="1" applyAlignment="1">
      <alignment horizontal="center" vertical="center" wrapText="1"/>
    </xf>
    <xf numFmtId="168" fontId="34" fillId="78" borderId="0" xfId="10" applyNumberFormat="1" applyFont="1" applyFill="1" applyBorder="1"/>
    <xf numFmtId="168" fontId="60" fillId="78" borderId="20" xfId="10" applyNumberFormat="1" applyFont="1" applyFill="1" applyBorder="1"/>
    <xf numFmtId="10" fontId="34" fillId="78" borderId="18" xfId="42" applyNumberFormat="1" applyFont="1" applyFill="1" applyBorder="1" applyAlignment="1">
      <alignment horizontal="center"/>
    </xf>
    <xf numFmtId="3" fontId="79" fillId="78" borderId="0" xfId="41" applyNumberFormat="1" applyFont="1" applyFill="1" applyBorder="1"/>
    <xf numFmtId="3" fontId="79" fillId="0" borderId="0" xfId="41" applyNumberFormat="1" applyFont="1" applyFill="1" applyBorder="1"/>
    <xf numFmtId="166" fontId="20" fillId="78" borderId="0" xfId="1" applyNumberFormat="1" applyFont="1" applyFill="1"/>
    <xf numFmtId="10" fontId="0" fillId="78" borderId="0" xfId="42" applyNumberFormat="1" applyFont="1" applyFill="1" applyAlignment="1">
      <alignment horizontal="center"/>
    </xf>
    <xf numFmtId="0" fontId="19" fillId="78" borderId="0" xfId="23" applyFill="1"/>
    <xf numFmtId="3" fontId="19" fillId="78" borderId="0" xfId="23" applyNumberFormat="1" applyFill="1"/>
    <xf numFmtId="3" fontId="19" fillId="78" borderId="0" xfId="23" applyNumberFormat="1" applyFill="1" applyBorder="1"/>
    <xf numFmtId="164" fontId="197" fillId="78" borderId="0" xfId="23" applyNumberFormat="1" applyFont="1" applyFill="1"/>
    <xf numFmtId="228" fontId="19" fillId="78" borderId="0" xfId="1227" applyNumberFormat="1" applyFill="1"/>
    <xf numFmtId="0" fontId="197" fillId="78" borderId="0" xfId="23" applyFont="1" applyFill="1"/>
    <xf numFmtId="0" fontId="197" fillId="78" borderId="0" xfId="23" applyFont="1" applyFill="1" applyAlignment="1">
      <alignment horizontal="center"/>
    </xf>
    <xf numFmtId="164" fontId="19" fillId="78" borderId="0" xfId="23" applyNumberFormat="1" applyFill="1"/>
    <xf numFmtId="0" fontId="200" fillId="0" borderId="0" xfId="1227" applyFont="1"/>
    <xf numFmtId="0" fontId="19" fillId="78" borderId="22" xfId="23" applyFill="1" applyBorder="1"/>
    <xf numFmtId="0" fontId="19" fillId="78" borderId="12" xfId="23" applyFill="1" applyBorder="1"/>
    <xf numFmtId="3" fontId="19" fillId="78" borderId="12" xfId="23" applyNumberFormat="1" applyFill="1" applyBorder="1"/>
    <xf numFmtId="164" fontId="197" fillId="78" borderId="21" xfId="23" applyNumberFormat="1" applyFont="1" applyFill="1" applyBorder="1"/>
    <xf numFmtId="0" fontId="19" fillId="78" borderId="0" xfId="1227" applyFill="1"/>
    <xf numFmtId="0" fontId="19" fillId="78" borderId="19" xfId="23" applyFill="1" applyBorder="1"/>
    <xf numFmtId="0" fontId="19" fillId="78" borderId="13" xfId="23" applyFill="1" applyBorder="1"/>
    <xf numFmtId="3" fontId="19" fillId="78" borderId="13" xfId="23" applyNumberFormat="1" applyFill="1" applyBorder="1"/>
    <xf numFmtId="164" fontId="197" fillId="78" borderId="20" xfId="23" applyNumberFormat="1" applyFont="1" applyFill="1" applyBorder="1"/>
    <xf numFmtId="0" fontId="198" fillId="78" borderId="0" xfId="1227" applyFont="1" applyFill="1" applyAlignment="1">
      <alignment horizontal="left"/>
    </xf>
    <xf numFmtId="0" fontId="26" fillId="78" borderId="0" xfId="1227" applyFont="1" applyFill="1"/>
    <xf numFmtId="166" fontId="26" fillId="78" borderId="1" xfId="1227" applyNumberFormat="1" applyFont="1" applyFill="1" applyBorder="1" applyAlignment="1">
      <alignment horizontal="left"/>
    </xf>
    <xf numFmtId="9" fontId="26" fillId="78" borderId="0" xfId="42" applyFont="1" applyFill="1"/>
    <xf numFmtId="37" fontId="20" fillId="78" borderId="0" xfId="23" applyNumberFormat="1" applyFont="1" applyFill="1" applyBorder="1" applyProtection="1">
      <protection locked="0"/>
    </xf>
    <xf numFmtId="37" fontId="20" fillId="78" borderId="0" xfId="40" applyNumberFormat="1" applyFont="1" applyFill="1"/>
    <xf numFmtId="0" fontId="38" fillId="78" borderId="0" xfId="23" applyFont="1" applyFill="1" applyBorder="1"/>
    <xf numFmtId="37" fontId="20" fillId="78" borderId="0" xfId="0" applyNumberFormat="1" applyFont="1" applyFill="1" applyBorder="1" applyProtection="1">
      <protection locked="0"/>
    </xf>
    <xf numFmtId="10" fontId="20" fillId="78" borderId="0" xfId="0" applyNumberFormat="1" applyFont="1" applyFill="1"/>
    <xf numFmtId="10" fontId="92" fillId="78" borderId="23" xfId="0" applyNumberFormat="1" applyFont="1" applyFill="1" applyBorder="1"/>
    <xf numFmtId="10" fontId="92" fillId="78" borderId="0" xfId="0" applyNumberFormat="1" applyFont="1" applyFill="1" applyBorder="1"/>
    <xf numFmtId="168" fontId="34" fillId="78" borderId="0" xfId="10" applyNumberFormat="1" applyFont="1" applyFill="1"/>
    <xf numFmtId="37" fontId="21" fillId="78" borderId="11" xfId="0" applyNumberFormat="1" applyFont="1" applyFill="1" applyBorder="1" applyProtection="1">
      <protection locked="0"/>
    </xf>
    <xf numFmtId="10" fontId="20" fillId="78" borderId="0" xfId="42" applyNumberFormat="1" applyFont="1" applyFill="1" applyBorder="1" applyProtection="1">
      <protection locked="0"/>
    </xf>
    <xf numFmtId="0" fontId="20" fillId="78" borderId="0" xfId="23" applyFont="1" applyFill="1"/>
    <xf numFmtId="37" fontId="201" fillId="78" borderId="0" xfId="40" applyNumberFormat="1" applyFont="1" applyFill="1"/>
    <xf numFmtId="3" fontId="20" fillId="78" borderId="0" xfId="0" applyNumberFormat="1" applyFont="1" applyFill="1" applyAlignment="1">
      <alignment horizontal="left"/>
    </xf>
    <xf numFmtId="0" fontId="70" fillId="78" borderId="0" xfId="19" applyFill="1"/>
    <xf numFmtId="0" fontId="0" fillId="78" borderId="0" xfId="0" applyFill="1"/>
    <xf numFmtId="10" fontId="78" fillId="78" borderId="23" xfId="42" applyNumberFormat="1" applyFont="1" applyFill="1" applyBorder="1"/>
    <xf numFmtId="10" fontId="78" fillId="78" borderId="0" xfId="42" applyNumberFormat="1" applyFont="1" applyFill="1"/>
    <xf numFmtId="10" fontId="14" fillId="0" borderId="0" xfId="42" applyNumberFormat="1" applyFont="1" applyFill="1"/>
    <xf numFmtId="5" fontId="39" fillId="78" borderId="0" xfId="0" applyNumberFormat="1" applyFont="1" applyFill="1" applyBorder="1"/>
    <xf numFmtId="14" fontId="39" fillId="78" borderId="0" xfId="0" applyNumberFormat="1" applyFont="1" applyFill="1" applyAlignment="1">
      <alignment horizontal="left"/>
    </xf>
    <xf numFmtId="3" fontId="21" fillId="78" borderId="0" xfId="23" applyNumberFormat="1" applyFont="1" applyFill="1" applyAlignment="1">
      <alignment vertical="top" wrapText="1"/>
    </xf>
    <xf numFmtId="0" fontId="95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95" fillId="78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78" borderId="0" xfId="0" applyFont="1" applyFill="1" applyAlignment="1">
      <alignment horizontal="center"/>
    </xf>
    <xf numFmtId="0" fontId="34" fillId="78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8" borderId="0" xfId="19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3" fontId="34" fillId="0" borderId="0" xfId="23" applyNumberFormat="1" applyFont="1" applyFill="1" applyAlignment="1">
      <alignment horizontal="left" vertical="top" wrapText="1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52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34" fillId="0" borderId="51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4" fillId="0" borderId="13" xfId="23" applyNumberFormat="1" applyFont="1" applyFill="1" applyBorder="1" applyAlignment="1">
      <alignment horizontal="center"/>
    </xf>
    <xf numFmtId="3" fontId="94" fillId="0" borderId="0" xfId="23" applyNumberFormat="1" applyFont="1" applyFill="1" applyBorder="1" applyAlignment="1">
      <alignment horizontal="center"/>
    </xf>
    <xf numFmtId="10" fontId="20" fillId="0" borderId="0" xfId="42" applyNumberFormat="1" applyFont="1" applyFill="1" applyAlignment="1">
      <alignment horizontal="left" vertical="top" wrapText="1"/>
    </xf>
    <xf numFmtId="3" fontId="9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20" fillId="78" borderId="1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69" fillId="0" borderId="13" xfId="143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86844317651824"/>
          <c:y val="0.16051326152845821"/>
          <c:w val="0.74624186991190944"/>
          <c:h val="0.722044865811585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'Cost Trends'!$I$208:$I$216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 formatCode="0">
                  <c:v>2014</c:v>
                </c:pt>
                <c:pt idx="8">
                  <c:v>2016</c:v>
                </c:pt>
              </c:numCache>
            </c:numRef>
          </c:cat>
          <c:val>
            <c:numRef>
              <c:f>'Cost Trends'!$J$208:$J$216</c:f>
              <c:numCache>
                <c:formatCode>_(* #,##0_);_(* \(#,##0\);_(* "-"??_);_(@_)</c:formatCode>
                <c:ptCount val="9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  <c:pt idx="8">
                  <c:v>1365555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43744"/>
        <c:axId val="56945280"/>
      </c:barChart>
      <c:catAx>
        <c:axId val="56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anchor="ctr" anchorCtr="0"/>
          <a:lstStyle/>
          <a:p>
            <a:pPr>
              <a:defRPr sz="600"/>
            </a:pPr>
            <a:endParaRPr lang="en-US"/>
          </a:p>
        </c:txPr>
        <c:crossAx val="56945280"/>
        <c:crosses val="autoZero"/>
        <c:auto val="1"/>
        <c:lblAlgn val="ctr"/>
        <c:lblOffset val="100"/>
        <c:noMultiLvlLbl val="0"/>
      </c:catAx>
      <c:valAx>
        <c:axId val="56945280"/>
        <c:scaling>
          <c:orientation val="minMax"/>
          <c:max val="14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69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322891</xdr:colOff>
      <xdr:row>217</xdr:row>
      <xdr:rowOff>63666</xdr:rowOff>
    </xdr:from>
    <xdr:to>
      <xdr:col>17</xdr:col>
      <xdr:colOff>203638</xdr:colOff>
      <xdr:row>240</xdr:row>
      <xdr:rowOff>124810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302172</xdr:colOff>
      <xdr:row>217</xdr:row>
      <xdr:rowOff>118239</xdr:rowOff>
    </xdr:from>
    <xdr:to>
      <xdr:col>16</xdr:col>
      <xdr:colOff>6569</xdr:colOff>
      <xdr:row>220</xdr:row>
      <xdr:rowOff>91963</xdr:rowOff>
    </xdr:to>
    <xdr:sp macro="" textlink="">
      <xdr:nvSpPr>
        <xdr:cNvPr id="20" name="TextBox 19"/>
        <xdr:cNvSpPr txBox="1"/>
      </xdr:nvSpPr>
      <xdr:spPr>
        <a:xfrm>
          <a:off x="5590189" y="32503239"/>
          <a:ext cx="3639208" cy="42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50"/>
            <a:t>Washington</a:t>
          </a:r>
          <a:r>
            <a:rPr lang="en-US" sz="1050" baseline="0"/>
            <a:t> Electric </a:t>
          </a:r>
        </a:p>
        <a:p>
          <a:pPr algn="ctr"/>
          <a:r>
            <a:rPr lang="en-US" sz="1050" baseline="0"/>
            <a:t>Net Plant After DFIT (AMA) 2007-2016</a:t>
          </a:r>
          <a:endParaRPr lang="en-US" sz="1050"/>
        </a:p>
      </xdr:txBody>
    </xdr:sp>
    <xdr:clientData/>
  </xdr:twoCellAnchor>
  <xdr:twoCellAnchor>
    <xdr:from>
      <xdr:col>10</xdr:col>
      <xdr:colOff>23643</xdr:colOff>
      <xdr:row>223</xdr:row>
      <xdr:rowOff>86788</xdr:rowOff>
    </xdr:from>
    <xdr:to>
      <xdr:col>14</xdr:col>
      <xdr:colOff>66674</xdr:colOff>
      <xdr:row>224</xdr:row>
      <xdr:rowOff>123825</xdr:rowOff>
    </xdr:to>
    <xdr:sp macro="" textlink="">
      <xdr:nvSpPr>
        <xdr:cNvPr id="10" name="TextBox 9"/>
        <xdr:cNvSpPr txBox="1"/>
      </xdr:nvSpPr>
      <xdr:spPr>
        <a:xfrm rot="10800000" flipV="1">
          <a:off x="5357643" y="33338563"/>
          <a:ext cx="2386181" cy="189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n-US" sz="1000"/>
            <a:t>Average increase 2007-09.2014 = $49M</a:t>
          </a:r>
        </a:p>
      </xdr:txBody>
    </xdr:sp>
    <xdr:clientData/>
  </xdr:twoCellAnchor>
  <xdr:twoCellAnchor>
    <xdr:from>
      <xdr:col>10</xdr:col>
      <xdr:colOff>78828</xdr:colOff>
      <xdr:row>222</xdr:row>
      <xdr:rowOff>131379</xdr:rowOff>
    </xdr:from>
    <xdr:to>
      <xdr:col>16</xdr:col>
      <xdr:colOff>289034</xdr:colOff>
      <xdr:row>227</xdr:row>
      <xdr:rowOff>85398</xdr:rowOff>
    </xdr:to>
    <xdr:cxnSp macro="">
      <xdr:nvCxnSpPr>
        <xdr:cNvPr id="7" name="Straight Arrow Connector 6"/>
        <xdr:cNvCxnSpPr/>
      </xdr:nvCxnSpPr>
      <xdr:spPr>
        <a:xfrm flipV="1">
          <a:off x="5366845" y="33271810"/>
          <a:ext cx="4145017" cy="7094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466397</xdr:colOff>
      <xdr:row>221</xdr:row>
      <xdr:rowOff>76200</xdr:rowOff>
    </xdr:from>
    <xdr:to>
      <xdr:col>16</xdr:col>
      <xdr:colOff>285750</xdr:colOff>
      <xdr:row>223</xdr:row>
      <xdr:rowOff>65693</xdr:rowOff>
    </xdr:to>
    <xdr:cxnSp macro="">
      <xdr:nvCxnSpPr>
        <xdr:cNvPr id="9" name="Straight Arrow Connector 8"/>
        <xdr:cNvCxnSpPr/>
      </xdr:nvCxnSpPr>
      <xdr:spPr>
        <a:xfrm flipV="1">
          <a:off x="8819822" y="33023175"/>
          <a:ext cx="438478" cy="29429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0.81427</cdr:x>
      <cdr:y>0.12563</cdr:y>
    </cdr:from>
    <cdr:to>
      <cdr:x>0.92713</cdr:x>
      <cdr:y>0.20637</cdr:y>
    </cdr:to>
    <cdr:sp macro="" textlink="">
      <cdr:nvSpPr>
        <cdr:cNvPr id="2" name="TextBox 1"/>
        <cdr:cNvSpPr txBox="1"/>
      </cdr:nvSpPr>
      <cdr:spPr>
        <a:xfrm xmlns:a="http://schemas.openxmlformats.org/drawingml/2006/main" rot="19578605">
          <a:off x="5150167" y="444243"/>
          <a:ext cx="713815" cy="2854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1000"/>
            <a:t>$151M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ana%20Crapp\Local%20Settings\Temporary%20Internet%20Files\OLK47\From%20Avista\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zk7kq\Local%20Settings\Temp\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ana%20Crapp\Local%20Settings\Temporary%20Internet%20Files\OLK47\From%20Avista\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ana%20Crapp\Local%20Settings\Temporary%20Internet%20Files\OLK47\From%20Avista\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ttrition%20Adj%20Workpapers/Transmission%20Wheeling%20Revenue%2012ME%2009.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zoomScaleNormal="100" zoomScaleSheetLayoutView="115" workbookViewId="0">
      <selection activeCell="I47" sqref="I47"/>
    </sheetView>
  </sheetViews>
  <sheetFormatPr defaultRowHeight="13.2"/>
  <cols>
    <col min="1" max="1" width="7" customWidth="1"/>
    <col min="2" max="2" width="3" bestFit="1" customWidth="1"/>
    <col min="3" max="3" width="28.88671875" customWidth="1"/>
    <col min="4" max="4" width="1.88671875" customWidth="1"/>
    <col min="5" max="5" width="0.109375" hidden="1" customWidth="1"/>
    <col min="6" max="6" width="11.6640625" customWidth="1"/>
    <col min="7" max="7" width="13.33203125" customWidth="1"/>
    <col min="8" max="8" width="22.109375" customWidth="1"/>
    <col min="9" max="9" width="13.5546875" bestFit="1" customWidth="1"/>
    <col min="10" max="10" width="17.6640625" bestFit="1" customWidth="1"/>
    <col min="11" max="11" width="10.33203125" bestFit="1" customWidth="1"/>
    <col min="12" max="12" width="9.33203125" bestFit="1" customWidth="1"/>
  </cols>
  <sheetData>
    <row r="1" spans="1:10" s="539" customFormat="1" ht="13.8">
      <c r="A1" s="880" t="s">
        <v>117</v>
      </c>
      <c r="B1" s="880"/>
      <c r="C1" s="880"/>
      <c r="D1" s="880"/>
      <c r="E1" s="880"/>
      <c r="F1" s="880"/>
      <c r="G1" s="880"/>
      <c r="H1" s="880"/>
      <c r="I1" s="880"/>
      <c r="J1" s="711"/>
    </row>
    <row r="2" spans="1:10" s="539" customFormat="1" ht="13.8">
      <c r="A2" s="880" t="s">
        <v>519</v>
      </c>
      <c r="B2" s="880"/>
      <c r="C2" s="880"/>
      <c r="D2" s="880"/>
      <c r="E2" s="880"/>
      <c r="F2" s="880"/>
      <c r="G2" s="880"/>
      <c r="H2" s="880"/>
      <c r="I2" s="880"/>
      <c r="J2" s="695"/>
    </row>
    <row r="3" spans="1:10" s="539" customFormat="1" ht="13.8">
      <c r="A3" s="880" t="s">
        <v>474</v>
      </c>
      <c r="B3" s="880"/>
      <c r="C3" s="880"/>
      <c r="D3" s="880"/>
      <c r="E3" s="880"/>
      <c r="F3" s="880"/>
      <c r="G3" s="880"/>
      <c r="H3" s="880"/>
      <c r="I3" s="880"/>
      <c r="J3" s="695"/>
    </row>
    <row r="4" spans="1:10" s="539" customFormat="1" ht="13.8">
      <c r="A4" s="880" t="s">
        <v>273</v>
      </c>
      <c r="B4" s="880"/>
      <c r="C4" s="880"/>
      <c r="D4" s="880"/>
      <c r="E4" s="880"/>
      <c r="F4" s="880"/>
      <c r="G4" s="880"/>
      <c r="H4" s="880"/>
      <c r="I4" s="880"/>
      <c r="J4" s="695"/>
    </row>
    <row r="5" spans="1:10" s="539" customFormat="1" ht="13.8">
      <c r="A5" s="884" t="s">
        <v>637</v>
      </c>
      <c r="B5" s="884"/>
      <c r="C5" s="884"/>
      <c r="D5" s="884"/>
      <c r="E5" s="884"/>
      <c r="F5" s="884"/>
      <c r="G5" s="884"/>
      <c r="H5" s="884"/>
      <c r="I5" s="884"/>
      <c r="J5" s="695"/>
    </row>
    <row r="6" spans="1:10" s="539" customFormat="1" ht="13.8">
      <c r="A6" s="880" t="s">
        <v>482</v>
      </c>
      <c r="B6" s="880"/>
      <c r="C6" s="880"/>
      <c r="D6" s="880"/>
      <c r="E6" s="880"/>
      <c r="F6" s="880"/>
      <c r="G6" s="880"/>
      <c r="H6" s="880"/>
      <c r="I6" s="880"/>
      <c r="J6" s="695"/>
    </row>
    <row r="7" spans="1:10">
      <c r="A7" s="534"/>
      <c r="B7" s="534"/>
      <c r="C7" s="534"/>
      <c r="D7" s="534"/>
      <c r="E7" s="534"/>
      <c r="F7" s="534"/>
      <c r="G7" s="534"/>
      <c r="H7" s="534"/>
      <c r="I7" s="578"/>
    </row>
    <row r="8" spans="1:10">
      <c r="A8" s="515"/>
      <c r="B8" s="515"/>
      <c r="C8" s="515"/>
      <c r="D8" s="515"/>
      <c r="E8" s="515"/>
      <c r="F8" s="534" t="s">
        <v>487</v>
      </c>
      <c r="G8" s="534" t="s">
        <v>489</v>
      </c>
      <c r="H8" s="534" t="s">
        <v>490</v>
      </c>
      <c r="I8" s="579"/>
      <c r="J8" s="579"/>
    </row>
    <row r="9" spans="1:10">
      <c r="A9" s="471" t="s">
        <v>409</v>
      </c>
      <c r="B9" s="471"/>
      <c r="C9" s="471"/>
      <c r="D9" s="515"/>
      <c r="E9" s="471"/>
      <c r="F9" s="534" t="s">
        <v>488</v>
      </c>
      <c r="G9" s="515" t="s">
        <v>484</v>
      </c>
      <c r="H9" s="882" t="s">
        <v>606</v>
      </c>
      <c r="I9" s="579"/>
      <c r="J9" s="579"/>
    </row>
    <row r="10" spans="1:10" ht="26.25" customHeight="1">
      <c r="A10" s="473" t="s">
        <v>90</v>
      </c>
      <c r="B10" s="471"/>
      <c r="C10" s="473" t="s">
        <v>410</v>
      </c>
      <c r="D10" s="474"/>
      <c r="E10" s="474"/>
      <c r="F10" s="473" t="s">
        <v>483</v>
      </c>
      <c r="G10" s="473" t="s">
        <v>480</v>
      </c>
      <c r="H10" s="883"/>
      <c r="I10" s="579"/>
      <c r="J10" s="579"/>
    </row>
    <row r="11" spans="1:10">
      <c r="A11" s="469"/>
      <c r="B11" s="469"/>
      <c r="C11" s="469"/>
      <c r="D11" s="469"/>
      <c r="E11" s="469"/>
      <c r="F11" s="469"/>
      <c r="G11" s="469"/>
      <c r="H11" s="469"/>
      <c r="I11" s="523"/>
      <c r="J11" s="580"/>
    </row>
    <row r="12" spans="1:10">
      <c r="A12" s="476">
        <v>1</v>
      </c>
      <c r="B12" s="469"/>
      <c r="C12" s="469" t="s">
        <v>481</v>
      </c>
      <c r="D12" s="469"/>
      <c r="E12" s="469"/>
      <c r="F12" s="516">
        <f>'Attrition 09.2014 to 2016'!S79</f>
        <v>1437958.0000000796</v>
      </c>
      <c r="G12" s="528">
        <v>1.013115</v>
      </c>
      <c r="H12" s="518">
        <f>F12/G12</f>
        <v>1419343.3124572034</v>
      </c>
      <c r="I12" s="524"/>
      <c r="J12" s="580"/>
    </row>
    <row r="13" spans="1:10">
      <c r="A13" s="476"/>
      <c r="B13" s="469"/>
      <c r="C13" s="469"/>
      <c r="D13" s="469"/>
      <c r="E13" s="469"/>
      <c r="F13" s="516"/>
      <c r="G13" s="516"/>
      <c r="H13" s="516"/>
      <c r="I13" s="524"/>
      <c r="J13" s="580"/>
    </row>
    <row r="14" spans="1:10">
      <c r="A14" s="476">
        <v>2</v>
      </c>
      <c r="B14" s="469"/>
      <c r="C14" s="469" t="s">
        <v>279</v>
      </c>
      <c r="D14" s="469"/>
      <c r="E14" s="469"/>
      <c r="F14" s="525"/>
      <c r="G14" s="517"/>
      <c r="H14" s="820">
        <f>ROR!F15</f>
        <v>7.2900000000000006E-2</v>
      </c>
      <c r="I14" s="677"/>
      <c r="J14" s="580"/>
    </row>
    <row r="15" spans="1:10">
      <c r="A15" s="476"/>
      <c r="B15" s="469"/>
      <c r="C15" s="469"/>
      <c r="D15" s="469"/>
      <c r="E15" s="469"/>
      <c r="F15" s="517"/>
      <c r="G15" s="517"/>
      <c r="H15" s="517"/>
      <c r="I15" s="572"/>
      <c r="J15" s="580"/>
    </row>
    <row r="16" spans="1:10">
      <c r="A16" s="476">
        <v>3</v>
      </c>
      <c r="B16" s="469"/>
      <c r="C16" s="469" t="s">
        <v>475</v>
      </c>
      <c r="D16" s="469"/>
      <c r="E16" s="469"/>
      <c r="F16" s="518"/>
      <c r="G16" s="516"/>
      <c r="H16" s="518">
        <f>ROUND(H12*H14,0)</f>
        <v>103470</v>
      </c>
      <c r="I16" s="524"/>
      <c r="J16" s="580"/>
    </row>
    <row r="17" spans="1:21">
      <c r="A17" s="476"/>
      <c r="B17" s="469"/>
      <c r="C17" s="469"/>
      <c r="D17" s="469"/>
      <c r="E17" s="469"/>
      <c r="F17" s="516"/>
      <c r="G17" s="516"/>
      <c r="H17" s="516"/>
      <c r="I17" s="524"/>
      <c r="J17" s="580"/>
    </row>
    <row r="18" spans="1:21">
      <c r="A18" s="476">
        <v>4</v>
      </c>
      <c r="B18" s="469"/>
      <c r="C18" s="469" t="s">
        <v>485</v>
      </c>
      <c r="D18" s="469"/>
      <c r="E18" s="469"/>
      <c r="F18" s="519">
        <f>'Attrition 09.2014 to 2016'!S54</f>
        <v>98520.840385501273</v>
      </c>
      <c r="G18" s="529">
        <f>G12</f>
        <v>1.013115</v>
      </c>
      <c r="H18" s="519">
        <f>F18/G18</f>
        <v>97245.466097630851</v>
      </c>
      <c r="I18" s="524"/>
      <c r="J18" s="580"/>
    </row>
    <row r="19" spans="1:21">
      <c r="A19" s="476"/>
      <c r="B19" s="469"/>
      <c r="C19" s="469"/>
      <c r="D19" s="469"/>
      <c r="E19" s="469"/>
      <c r="F19" s="469"/>
      <c r="G19" s="469"/>
      <c r="H19" s="469"/>
      <c r="I19" s="523"/>
      <c r="J19" s="580"/>
    </row>
    <row r="20" spans="1:21">
      <c r="A20" s="476">
        <v>5</v>
      </c>
      <c r="B20" s="469"/>
      <c r="C20" s="469" t="s">
        <v>476</v>
      </c>
      <c r="D20" s="469"/>
      <c r="E20" s="469"/>
      <c r="F20" s="516"/>
      <c r="G20" s="516"/>
      <c r="H20" s="516">
        <f>H16-H18</f>
        <v>6224.5339023691486</v>
      </c>
      <c r="I20" s="524"/>
      <c r="J20" s="580"/>
    </row>
    <row r="21" spans="1:21">
      <c r="A21" s="476"/>
      <c r="B21" s="469"/>
      <c r="C21" s="469"/>
      <c r="D21" s="469"/>
      <c r="E21" s="469"/>
      <c r="F21" s="469"/>
      <c r="G21" s="469"/>
      <c r="H21" s="469"/>
      <c r="I21" s="523"/>
      <c r="J21" s="580"/>
      <c r="U21" s="236"/>
    </row>
    <row r="22" spans="1:21">
      <c r="A22" s="476">
        <v>6</v>
      </c>
      <c r="B22" s="469"/>
      <c r="C22" s="469" t="s">
        <v>477</v>
      </c>
      <c r="D22" s="469"/>
      <c r="E22" s="469"/>
      <c r="F22" s="521"/>
      <c r="G22" s="469"/>
      <c r="H22" s="521">
        <f>ROR!L24</f>
        <v>0.62017999999999995</v>
      </c>
      <c r="I22" s="678"/>
      <c r="J22" s="580"/>
    </row>
    <row r="23" spans="1:21">
      <c r="A23" s="476"/>
      <c r="B23" s="469"/>
      <c r="C23" s="469"/>
      <c r="D23" s="469"/>
      <c r="E23" s="469"/>
      <c r="F23" s="530"/>
      <c r="G23" s="469"/>
      <c r="H23" s="469"/>
      <c r="I23" s="523"/>
      <c r="J23" s="581"/>
      <c r="K23" s="533"/>
      <c r="L23" s="662"/>
      <c r="M23" s="663"/>
      <c r="N23" s="533"/>
    </row>
    <row r="24" spans="1:21">
      <c r="A24" s="476">
        <v>7</v>
      </c>
      <c r="B24" s="469"/>
      <c r="C24" s="469" t="s">
        <v>486</v>
      </c>
      <c r="D24" s="469"/>
      <c r="E24" s="469"/>
      <c r="F24" s="531"/>
      <c r="G24" s="520"/>
      <c r="H24" s="821">
        <f>ROUND(H20/H22,0)</f>
        <v>10037</v>
      </c>
      <c r="I24" s="877" t="s">
        <v>742</v>
      </c>
      <c r="J24" s="690"/>
      <c r="M24" s="664"/>
      <c r="N24" s="533"/>
    </row>
    <row r="25" spans="1:21">
      <c r="A25" s="476"/>
      <c r="B25" s="469"/>
      <c r="C25" s="469"/>
      <c r="D25" s="469"/>
      <c r="E25" s="469"/>
      <c r="F25" s="531"/>
      <c r="G25" s="520"/>
      <c r="H25" s="531"/>
      <c r="I25" s="878">
        <v>42173</v>
      </c>
      <c r="J25" s="582"/>
      <c r="K25" s="533"/>
      <c r="L25" s="533"/>
      <c r="M25" s="533"/>
      <c r="N25" s="533"/>
    </row>
    <row r="26" spans="1:21">
      <c r="A26" s="476">
        <v>8</v>
      </c>
      <c r="B26" s="522"/>
      <c r="C26" s="469" t="s">
        <v>478</v>
      </c>
      <c r="D26" s="469"/>
      <c r="E26" s="469"/>
      <c r="F26" s="520"/>
      <c r="G26" s="520"/>
      <c r="H26" s="520">
        <f>'Attrition 09.2014 to 2016'!N7+'Attrition 09.2014 to 2016'!N8</f>
        <v>499982</v>
      </c>
      <c r="J26" s="524"/>
      <c r="K26" s="533"/>
      <c r="L26" s="533"/>
      <c r="M26" s="533"/>
      <c r="N26" s="533"/>
    </row>
    <row r="27" spans="1:21">
      <c r="A27" s="476"/>
      <c r="B27" s="522"/>
      <c r="C27" s="469"/>
      <c r="D27" s="469"/>
      <c r="E27" s="469"/>
      <c r="F27" s="530"/>
      <c r="G27" s="469"/>
      <c r="H27" s="469"/>
      <c r="J27" s="523"/>
      <c r="K27" s="533"/>
      <c r="L27" s="533"/>
      <c r="M27" s="533"/>
      <c r="N27" s="533"/>
    </row>
    <row r="28" spans="1:21" ht="13.8" thickBot="1">
      <c r="A28" s="476">
        <v>9</v>
      </c>
      <c r="B28" s="522"/>
      <c r="C28" s="469" t="s">
        <v>479</v>
      </c>
      <c r="D28" s="469"/>
      <c r="E28" s="469"/>
      <c r="F28" s="532"/>
      <c r="G28" s="525"/>
      <c r="H28" s="822">
        <f>H24/H26</f>
        <v>2.0074722690016842E-2</v>
      </c>
      <c r="J28" s="583"/>
      <c r="K28" s="533"/>
      <c r="L28" s="533"/>
      <c r="M28" s="665"/>
      <c r="N28" s="533"/>
    </row>
    <row r="29" spans="1:21" ht="13.8" thickTop="1">
      <c r="A29" s="526"/>
      <c r="B29" s="526"/>
      <c r="C29" s="526"/>
      <c r="D29" s="526"/>
      <c r="E29" s="526"/>
      <c r="F29" s="527"/>
      <c r="G29" s="526"/>
      <c r="H29" s="526"/>
      <c r="I29" s="526"/>
      <c r="J29" s="580"/>
      <c r="K29" s="533"/>
      <c r="L29" s="533"/>
      <c r="M29" s="533"/>
      <c r="N29" s="533"/>
    </row>
    <row r="30" spans="1:21">
      <c r="F30" s="533"/>
      <c r="K30" s="533"/>
      <c r="L30" s="533"/>
      <c r="M30" s="533"/>
      <c r="N30" s="533"/>
    </row>
    <row r="31" spans="1:21">
      <c r="F31" s="533"/>
    </row>
    <row r="32" spans="1:21">
      <c r="F32" s="533"/>
    </row>
    <row r="33" spans="1:21">
      <c r="F33" s="533"/>
    </row>
    <row r="34" spans="1:21" ht="6" customHeight="1">
      <c r="B34" s="536"/>
      <c r="C34" s="881"/>
      <c r="D34" s="881"/>
      <c r="E34" s="881"/>
      <c r="F34" s="881"/>
      <c r="G34" s="881"/>
      <c r="H34" s="881"/>
      <c r="I34" s="881"/>
      <c r="J34" s="881"/>
    </row>
    <row r="43" spans="1:21">
      <c r="A43" s="467"/>
      <c r="B43" s="467"/>
      <c r="C43" s="467"/>
      <c r="D43" s="467"/>
      <c r="E43" s="467"/>
      <c r="F43" s="467"/>
      <c r="G43" s="467"/>
      <c r="H43" s="467"/>
      <c r="I43" s="467"/>
    </row>
    <row r="48" spans="1:21">
      <c r="U48" s="642" t="s">
        <v>738</v>
      </c>
    </row>
    <row r="94" spans="21:21">
      <c r="U94" s="873" t="s">
        <v>739</v>
      </c>
    </row>
    <row r="104" spans="21:21">
      <c r="U104" s="873" t="s">
        <v>739</v>
      </c>
    </row>
    <row r="150" spans="21:21">
      <c r="U150" s="873" t="s">
        <v>739</v>
      </c>
    </row>
    <row r="164" spans="21:21">
      <c r="U164" s="873" t="s">
        <v>739</v>
      </c>
    </row>
    <row r="184" spans="14:21">
      <c r="N184" s="873"/>
      <c r="O184" s="873"/>
      <c r="P184" s="873"/>
      <c r="Q184" s="873"/>
      <c r="R184" s="873"/>
      <c r="S184" s="873"/>
      <c r="T184" s="873"/>
      <c r="U184" s="873" t="s">
        <v>739</v>
      </c>
    </row>
  </sheetData>
  <mergeCells count="8">
    <mergeCell ref="A6:I6"/>
    <mergeCell ref="C34:J34"/>
    <mergeCell ref="H9:H10"/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  <pageSetup orientation="landscape" r:id="rId1"/>
  <headerFooter scaleWithDoc="0">
    <oddFooter>&amp;LStaff_DR_130 Revised-Attachment B&amp;RPage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J34" sqref="J34"/>
    </sheetView>
  </sheetViews>
  <sheetFormatPr defaultColWidth="8.88671875" defaultRowHeight="13.2"/>
  <cols>
    <col min="1" max="1" width="11.33203125" style="732" bestFit="1" customWidth="1"/>
    <col min="2" max="2" width="41" style="732" bestFit="1" customWidth="1"/>
    <col min="3" max="3" width="19.6640625" style="732" bestFit="1" customWidth="1"/>
    <col min="4" max="4" width="11.109375" style="732" bestFit="1" customWidth="1"/>
    <col min="5" max="5" width="20.6640625" style="732" customWidth="1"/>
    <col min="6" max="6" width="10.33203125" style="732" customWidth="1"/>
    <col min="7" max="7" width="12.6640625" style="732" bestFit="1" customWidth="1"/>
    <col min="8" max="8" width="18.33203125" style="732" customWidth="1"/>
    <col min="9" max="9" width="14.5546875" style="732" customWidth="1"/>
    <col min="10" max="10" width="12.6640625" style="732" customWidth="1"/>
    <col min="11" max="16384" width="8.88671875" style="732"/>
  </cols>
  <sheetData>
    <row r="1" spans="1:10">
      <c r="A1" s="236" t="s">
        <v>662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747" t="s">
        <v>613</v>
      </c>
      <c r="B3" s="748" t="s">
        <v>614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749"/>
      <c r="B5" s="750"/>
      <c r="C5" s="751"/>
      <c r="D5" s="752"/>
      <c r="E5" s="753" t="s">
        <v>615</v>
      </c>
      <c r="F5" s="754"/>
      <c r="G5" s="754"/>
      <c r="H5" s="755"/>
      <c r="I5" s="769" t="s">
        <v>89</v>
      </c>
      <c r="J5" s="769" t="s">
        <v>699</v>
      </c>
    </row>
    <row r="6" spans="1:10" ht="13.8">
      <c r="A6" s="756"/>
      <c r="B6" s="757"/>
      <c r="C6" s="758"/>
      <c r="D6" s="759" t="s">
        <v>616</v>
      </c>
      <c r="E6" s="759" t="s">
        <v>617</v>
      </c>
      <c r="F6" s="759" t="s">
        <v>260</v>
      </c>
      <c r="G6" s="759" t="s">
        <v>32</v>
      </c>
      <c r="H6" s="760" t="s">
        <v>618</v>
      </c>
      <c r="I6" s="769" t="s">
        <v>88</v>
      </c>
      <c r="J6" s="769"/>
    </row>
    <row r="7" spans="1:10" ht="13.8">
      <c r="A7" s="759" t="s">
        <v>619</v>
      </c>
      <c r="B7" s="759" t="s">
        <v>663</v>
      </c>
      <c r="C7" s="759" t="s">
        <v>620</v>
      </c>
      <c r="D7" s="761"/>
      <c r="E7" s="761"/>
      <c r="F7" s="761"/>
      <c r="G7" s="761"/>
      <c r="H7" s="761"/>
    </row>
    <row r="8" spans="1:10" ht="13.8">
      <c r="A8" s="762" t="s">
        <v>664</v>
      </c>
      <c r="B8" s="762" t="s">
        <v>665</v>
      </c>
      <c r="C8" s="759" t="s">
        <v>666</v>
      </c>
      <c r="D8" s="761"/>
      <c r="E8" s="763">
        <v>10582</v>
      </c>
      <c r="F8" s="763" t="s">
        <v>623</v>
      </c>
      <c r="G8" s="763" t="s">
        <v>623</v>
      </c>
      <c r="H8" s="763">
        <v>10582</v>
      </c>
    </row>
    <row r="9" spans="1:10" ht="13.8">
      <c r="A9" s="764"/>
      <c r="B9" s="764"/>
      <c r="C9" s="759" t="s">
        <v>667</v>
      </c>
      <c r="D9" s="761"/>
      <c r="E9" s="763">
        <v>889279.74</v>
      </c>
      <c r="F9" s="763" t="s">
        <v>623</v>
      </c>
      <c r="G9" s="763" t="s">
        <v>623</v>
      </c>
      <c r="H9" s="763">
        <v>889279.74</v>
      </c>
    </row>
    <row r="10" spans="1:10" ht="13.8">
      <c r="A10" s="764"/>
      <c r="B10" s="765"/>
      <c r="C10" s="759" t="s">
        <v>668</v>
      </c>
      <c r="D10" s="761"/>
      <c r="E10" s="763">
        <v>3679.62</v>
      </c>
      <c r="F10" s="763">
        <v>683.02</v>
      </c>
      <c r="G10" s="763">
        <v>38699.56</v>
      </c>
      <c r="H10" s="763">
        <v>43062.200000000004</v>
      </c>
    </row>
    <row r="11" spans="1:10" ht="13.8">
      <c r="A11" s="764"/>
      <c r="B11" s="759" t="s">
        <v>669</v>
      </c>
      <c r="C11" s="759" t="s">
        <v>670</v>
      </c>
      <c r="D11" s="761"/>
      <c r="E11" s="763">
        <v>16978.95</v>
      </c>
      <c r="F11" s="763" t="s">
        <v>623</v>
      </c>
      <c r="G11" s="763" t="s">
        <v>623</v>
      </c>
      <c r="H11" s="763">
        <v>16978.95</v>
      </c>
    </row>
    <row r="12" spans="1:10" ht="13.8">
      <c r="A12" s="764"/>
      <c r="B12" s="762" t="s">
        <v>671</v>
      </c>
      <c r="C12" s="759" t="s">
        <v>672</v>
      </c>
      <c r="D12" s="761"/>
      <c r="E12" s="763">
        <v>6800</v>
      </c>
      <c r="F12" s="763" t="s">
        <v>623</v>
      </c>
      <c r="G12" s="763" t="s">
        <v>623</v>
      </c>
      <c r="H12" s="763">
        <v>6800</v>
      </c>
    </row>
    <row r="13" spans="1:10" ht="13.8">
      <c r="A13" s="764"/>
      <c r="B13" s="764"/>
      <c r="C13" s="759" t="s">
        <v>673</v>
      </c>
      <c r="D13" s="761"/>
      <c r="E13" s="763">
        <v>7023.6900000000005</v>
      </c>
      <c r="F13" s="763" t="s">
        <v>623</v>
      </c>
      <c r="G13" s="763" t="s">
        <v>623</v>
      </c>
      <c r="H13" s="763">
        <v>7023.6900000000005</v>
      </c>
    </row>
    <row r="14" spans="1:10" ht="13.8">
      <c r="A14" s="764"/>
      <c r="B14" s="764"/>
      <c r="C14" s="759" t="s">
        <v>674</v>
      </c>
      <c r="D14" s="761"/>
      <c r="E14" s="763">
        <v>666530.53</v>
      </c>
      <c r="F14" s="763" t="s">
        <v>623</v>
      </c>
      <c r="G14" s="763" t="s">
        <v>623</v>
      </c>
      <c r="H14" s="763">
        <v>666530.53</v>
      </c>
    </row>
    <row r="15" spans="1:10" ht="13.8">
      <c r="A15" s="764"/>
      <c r="B15" s="765"/>
      <c r="C15" s="759" t="s">
        <v>675</v>
      </c>
      <c r="D15" s="761"/>
      <c r="E15" s="763">
        <v>456.12</v>
      </c>
      <c r="F15" s="763" t="s">
        <v>623</v>
      </c>
      <c r="G15" s="763" t="s">
        <v>623</v>
      </c>
      <c r="H15" s="763">
        <v>456.12</v>
      </c>
    </row>
    <row r="16" spans="1:10" ht="13.8">
      <c r="A16" s="765"/>
      <c r="B16" s="759" t="s">
        <v>676</v>
      </c>
      <c r="C16" s="759" t="s">
        <v>677</v>
      </c>
      <c r="D16" s="761"/>
      <c r="E16" s="763">
        <v>46995</v>
      </c>
      <c r="F16" s="763" t="s">
        <v>623</v>
      </c>
      <c r="G16" s="763" t="s">
        <v>623</v>
      </c>
      <c r="H16" s="763">
        <v>46995</v>
      </c>
    </row>
    <row r="17" spans="1:10" ht="13.8">
      <c r="A17" s="762" t="s">
        <v>678</v>
      </c>
      <c r="B17" s="762" t="s">
        <v>679</v>
      </c>
      <c r="C17" s="759" t="s">
        <v>680</v>
      </c>
      <c r="D17" s="761"/>
      <c r="E17" s="763">
        <v>-7723892.5</v>
      </c>
      <c r="F17" s="763" t="s">
        <v>623</v>
      </c>
      <c r="G17" s="763" t="s">
        <v>623</v>
      </c>
      <c r="H17" s="763">
        <v>-7723892.5</v>
      </c>
      <c r="I17" s="770">
        <f>H17</f>
        <v>-7723892.5</v>
      </c>
    </row>
    <row r="18" spans="1:10" ht="13.8">
      <c r="A18" s="764"/>
      <c r="B18" s="764"/>
      <c r="C18" s="759" t="s">
        <v>681</v>
      </c>
      <c r="D18" s="761"/>
      <c r="E18" s="763">
        <v>-2718369.75</v>
      </c>
      <c r="F18" s="763" t="s">
        <v>623</v>
      </c>
      <c r="G18" s="763" t="s">
        <v>623</v>
      </c>
      <c r="H18" s="763">
        <v>-2718369.75</v>
      </c>
      <c r="I18" s="770">
        <f t="shared" ref="I18:I23" si="0">H18</f>
        <v>-2718369.75</v>
      </c>
    </row>
    <row r="19" spans="1:10" ht="13.8">
      <c r="A19" s="765"/>
      <c r="B19" s="765"/>
      <c r="C19" s="759" t="s">
        <v>682</v>
      </c>
      <c r="D19" s="761"/>
      <c r="E19" s="763">
        <v>24.8</v>
      </c>
      <c r="F19" s="763" t="s">
        <v>623</v>
      </c>
      <c r="G19" s="763" t="s">
        <v>623</v>
      </c>
      <c r="H19" s="763">
        <v>24.8</v>
      </c>
      <c r="I19" s="770">
        <f t="shared" si="0"/>
        <v>24.8</v>
      </c>
    </row>
    <row r="20" spans="1:10" ht="13.8">
      <c r="A20" s="762" t="s">
        <v>683</v>
      </c>
      <c r="B20" s="762" t="s">
        <v>679</v>
      </c>
      <c r="C20" s="759" t="s">
        <v>684</v>
      </c>
      <c r="D20" s="761"/>
      <c r="E20" s="763">
        <v>855810.15</v>
      </c>
      <c r="F20" s="763" t="s">
        <v>623</v>
      </c>
      <c r="G20" s="763" t="s">
        <v>623</v>
      </c>
      <c r="H20" s="763">
        <v>855810.15</v>
      </c>
      <c r="I20" s="770">
        <f t="shared" si="0"/>
        <v>855810.15</v>
      </c>
    </row>
    <row r="21" spans="1:10" ht="13.8">
      <c r="A21" s="765"/>
      <c r="B21" s="765"/>
      <c r="C21" s="759" t="s">
        <v>685</v>
      </c>
      <c r="D21" s="761"/>
      <c r="E21" s="763">
        <v>29287951.550000001</v>
      </c>
      <c r="F21" s="763" t="s">
        <v>623</v>
      </c>
      <c r="G21" s="763" t="s">
        <v>623</v>
      </c>
      <c r="H21" s="763">
        <v>29287951.550000001</v>
      </c>
      <c r="I21" s="770">
        <f t="shared" si="0"/>
        <v>29287951.550000001</v>
      </c>
    </row>
    <row r="22" spans="1:10" ht="13.8">
      <c r="A22" s="762" t="s">
        <v>686</v>
      </c>
      <c r="B22" s="762" t="s">
        <v>687</v>
      </c>
      <c r="C22" s="759" t="s">
        <v>688</v>
      </c>
      <c r="D22" s="761"/>
      <c r="E22" s="763">
        <v>4006377.64</v>
      </c>
      <c r="F22" s="763" t="s">
        <v>623</v>
      </c>
      <c r="G22" s="763" t="s">
        <v>623</v>
      </c>
      <c r="H22" s="763">
        <v>4006377.64</v>
      </c>
      <c r="I22" s="770">
        <f t="shared" si="0"/>
        <v>4006377.64</v>
      </c>
    </row>
    <row r="23" spans="1:10" ht="13.8">
      <c r="A23" s="765"/>
      <c r="B23" s="765"/>
      <c r="C23" s="759" t="s">
        <v>689</v>
      </c>
      <c r="D23" s="761"/>
      <c r="E23" s="763" t="s">
        <v>623</v>
      </c>
      <c r="F23" s="763" t="s">
        <v>623</v>
      </c>
      <c r="G23" s="763">
        <v>162500</v>
      </c>
      <c r="H23" s="763">
        <v>162500</v>
      </c>
      <c r="I23" s="770">
        <f t="shared" si="0"/>
        <v>162500</v>
      </c>
    </row>
    <row r="24" spans="1:10" ht="13.8">
      <c r="A24" s="759" t="s">
        <v>621</v>
      </c>
      <c r="B24" s="759" t="s">
        <v>690</v>
      </c>
      <c r="C24" s="759" t="s">
        <v>622</v>
      </c>
      <c r="D24" s="761"/>
      <c r="E24" s="763">
        <v>60244.08</v>
      </c>
      <c r="F24" s="763" t="s">
        <v>623</v>
      </c>
      <c r="G24" s="763" t="s">
        <v>623</v>
      </c>
      <c r="H24" s="763">
        <v>60244.08</v>
      </c>
      <c r="J24" s="770">
        <f>H24</f>
        <v>60244.08</v>
      </c>
    </row>
    <row r="25" spans="1:10" ht="13.8">
      <c r="A25" s="759" t="s">
        <v>691</v>
      </c>
      <c r="B25" s="759" t="s">
        <v>692</v>
      </c>
      <c r="C25" s="759" t="s">
        <v>693</v>
      </c>
      <c r="D25" s="761"/>
      <c r="E25" s="763">
        <v>529103.25</v>
      </c>
      <c r="F25" s="763" t="s">
        <v>623</v>
      </c>
      <c r="G25" s="763" t="s">
        <v>623</v>
      </c>
      <c r="H25" s="763">
        <v>529103.25</v>
      </c>
      <c r="I25" s="780"/>
      <c r="J25" s="770">
        <f>H25</f>
        <v>529103.25</v>
      </c>
    </row>
    <row r="26" spans="1:10" ht="13.8">
      <c r="A26" s="759" t="s">
        <v>624</v>
      </c>
      <c r="B26" s="759" t="s">
        <v>690</v>
      </c>
      <c r="C26" s="759" t="s">
        <v>625</v>
      </c>
      <c r="D26" s="761"/>
      <c r="E26" s="763">
        <v>11553981.52</v>
      </c>
      <c r="F26" s="763" t="s">
        <v>623</v>
      </c>
      <c r="G26" s="763" t="s">
        <v>623</v>
      </c>
      <c r="H26" s="763">
        <v>11553981.52</v>
      </c>
      <c r="J26" s="770">
        <f>H26</f>
        <v>11553981.52</v>
      </c>
    </row>
    <row r="27" spans="1:10" ht="13.8">
      <c r="A27" s="759" t="s">
        <v>626</v>
      </c>
      <c r="B27" s="759" t="s">
        <v>690</v>
      </c>
      <c r="C27" s="759" t="s">
        <v>627</v>
      </c>
      <c r="D27" s="761"/>
      <c r="E27" s="763">
        <v>3192000</v>
      </c>
      <c r="F27" s="763" t="s">
        <v>623</v>
      </c>
      <c r="G27" s="763" t="s">
        <v>623</v>
      </c>
      <c r="H27" s="763">
        <v>3192000</v>
      </c>
      <c r="J27" s="770">
        <f t="shared" ref="J27:J29" si="1">H27</f>
        <v>3192000</v>
      </c>
    </row>
    <row r="28" spans="1:10" ht="13.8">
      <c r="A28" s="759" t="s">
        <v>628</v>
      </c>
      <c r="B28" s="759" t="s">
        <v>690</v>
      </c>
      <c r="C28" s="759" t="s">
        <v>629</v>
      </c>
      <c r="D28" s="761"/>
      <c r="E28" s="763" t="s">
        <v>623</v>
      </c>
      <c r="F28" s="763">
        <v>44019.49</v>
      </c>
      <c r="G28" s="763">
        <v>97939.56</v>
      </c>
      <c r="H28" s="763">
        <v>141959.05000000002</v>
      </c>
      <c r="J28" s="770">
        <f t="shared" si="1"/>
        <v>141959.05000000002</v>
      </c>
    </row>
    <row r="29" spans="1:10" ht="13.8">
      <c r="A29" s="759" t="s">
        <v>630</v>
      </c>
      <c r="B29" s="759" t="s">
        <v>690</v>
      </c>
      <c r="C29" s="759" t="s">
        <v>631</v>
      </c>
      <c r="D29" s="761"/>
      <c r="E29" s="763">
        <v>928944</v>
      </c>
      <c r="F29" s="763" t="s">
        <v>623</v>
      </c>
      <c r="G29" s="763" t="s">
        <v>623</v>
      </c>
      <c r="H29" s="763">
        <v>928944</v>
      </c>
      <c r="J29" s="770">
        <f t="shared" si="1"/>
        <v>928944</v>
      </c>
    </row>
    <row r="30" spans="1:10" ht="13.8">
      <c r="A30" s="759" t="s">
        <v>694</v>
      </c>
      <c r="B30" s="759" t="s">
        <v>679</v>
      </c>
      <c r="C30" s="759" t="s">
        <v>695</v>
      </c>
      <c r="D30" s="761"/>
      <c r="E30" s="763">
        <v>-44500</v>
      </c>
      <c r="F30" s="763" t="s">
        <v>623</v>
      </c>
      <c r="G30" s="763" t="s">
        <v>623</v>
      </c>
      <c r="H30" s="763">
        <v>-44500</v>
      </c>
      <c r="I30" s="770">
        <f t="shared" ref="I30:I32" si="2">H30</f>
        <v>-44500</v>
      </c>
    </row>
    <row r="31" spans="1:10" ht="13.8">
      <c r="A31" s="759" t="s">
        <v>696</v>
      </c>
      <c r="B31" s="759" t="s">
        <v>679</v>
      </c>
      <c r="C31" s="759" t="s">
        <v>695</v>
      </c>
      <c r="D31" s="761"/>
      <c r="E31" s="763">
        <v>44500</v>
      </c>
      <c r="F31" s="763" t="s">
        <v>623</v>
      </c>
      <c r="G31" s="763" t="s">
        <v>623</v>
      </c>
      <c r="H31" s="763">
        <v>44500</v>
      </c>
      <c r="I31" s="770">
        <f t="shared" si="2"/>
        <v>44500</v>
      </c>
    </row>
    <row r="32" spans="1:10" ht="13.8">
      <c r="A32" s="759" t="s">
        <v>697</v>
      </c>
      <c r="B32" s="759" t="s">
        <v>679</v>
      </c>
      <c r="C32" s="759" t="s">
        <v>698</v>
      </c>
      <c r="D32" s="761"/>
      <c r="E32" s="763">
        <v>67420725.560000002</v>
      </c>
      <c r="F32" s="763" t="s">
        <v>623</v>
      </c>
      <c r="G32" s="763" t="s">
        <v>623</v>
      </c>
      <c r="H32" s="763">
        <v>67420725.560000002</v>
      </c>
      <c r="I32" s="770">
        <f t="shared" si="2"/>
        <v>67420725.560000002</v>
      </c>
    </row>
    <row r="33" spans="1:10">
      <c r="A33" s="766" t="s">
        <v>632</v>
      </c>
      <c r="B33" s="767"/>
      <c r="C33" s="768"/>
      <c r="D33" s="761"/>
      <c r="E33" s="763">
        <v>109041225.95</v>
      </c>
      <c r="F33" s="763">
        <v>44702.51</v>
      </c>
      <c r="G33" s="763">
        <v>299139.12</v>
      </c>
      <c r="H33" s="763">
        <v>109385067.58</v>
      </c>
    </row>
    <row r="34" spans="1:10">
      <c r="I34" s="770">
        <f>SUM(I17:I32)</f>
        <v>91291127.450000003</v>
      </c>
      <c r="J34" s="841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H20" sqref="H20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912" t="s">
        <v>249</v>
      </c>
      <c r="B1" s="912"/>
      <c r="C1" s="912"/>
      <c r="D1" s="912"/>
      <c r="E1" s="912"/>
      <c r="F1" s="912"/>
    </row>
    <row r="2" spans="1:10">
      <c r="A2" s="913" t="s">
        <v>93</v>
      </c>
      <c r="B2" s="913"/>
      <c r="C2" s="913"/>
      <c r="D2" s="913"/>
      <c r="E2" s="913"/>
      <c r="F2" s="913"/>
      <c r="G2" s="771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97" t="s">
        <v>89</v>
      </c>
      <c r="H4" s="597" t="s">
        <v>89</v>
      </c>
      <c r="I4" s="597" t="s">
        <v>587</v>
      </c>
      <c r="J4" s="597"/>
    </row>
    <row r="5" spans="1:10">
      <c r="E5" s="167" t="s">
        <v>119</v>
      </c>
      <c r="G5" s="597" t="s">
        <v>251</v>
      </c>
      <c r="H5" s="597" t="s">
        <v>251</v>
      </c>
      <c r="I5" s="597" t="s">
        <v>89</v>
      </c>
      <c r="J5" s="597" t="s">
        <v>588</v>
      </c>
    </row>
    <row r="6" spans="1:10">
      <c r="A6" s="158" t="s">
        <v>3</v>
      </c>
      <c r="E6" s="158" t="s">
        <v>250</v>
      </c>
      <c r="G6" s="597" t="s">
        <v>584</v>
      </c>
      <c r="H6" s="597" t="s">
        <v>586</v>
      </c>
      <c r="I6" s="597" t="s">
        <v>88</v>
      </c>
      <c r="J6" s="597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251</v>
      </c>
      <c r="G7" s="625" t="s">
        <v>585</v>
      </c>
      <c r="H7" s="625" t="s">
        <v>585</v>
      </c>
      <c r="I7" s="625" t="s">
        <v>277</v>
      </c>
      <c r="J7" s="625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53757</v>
      </c>
      <c r="H12" s="162">
        <f>ROUND('PF Power Supply 2016 load'!F11,0)</f>
        <v>51162</v>
      </c>
      <c r="I12" s="568">
        <f>H12-G12</f>
        <v>-2595</v>
      </c>
    </row>
    <row r="13" spans="1:10">
      <c r="A13" s="158">
        <v>4</v>
      </c>
      <c r="B13" s="156" t="s">
        <v>82</v>
      </c>
      <c r="E13" s="607">
        <f>SUM(E10:E12)</f>
        <v>3962.4971279193942</v>
      </c>
      <c r="F13" s="208"/>
      <c r="G13" s="607">
        <f>SUM(G10:G12)</f>
        <v>53757</v>
      </c>
      <c r="H13" s="607">
        <f>SUM(H10:H12)</f>
        <v>51162</v>
      </c>
      <c r="I13" s="607">
        <f>SUM(I10:I12)</f>
        <v>-2595</v>
      </c>
      <c r="J13" s="607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125.31984256280101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68">
        <f>H14-G14</f>
        <v>0</v>
      </c>
      <c r="J14" s="162">
        <f>'Attrition 09.2014 to 2016'!N11*'Attrition 09.2014 to 2016'!K11</f>
        <v>125.31984256280101</v>
      </c>
    </row>
    <row r="15" spans="1:10">
      <c r="A15" s="158">
        <v>6</v>
      </c>
      <c r="B15" s="156" t="s">
        <v>80</v>
      </c>
      <c r="E15" s="607">
        <f>E13+E14</f>
        <v>4087.8169704821953</v>
      </c>
      <c r="F15" s="208"/>
      <c r="G15" s="162">
        <f>G13+G14</f>
        <v>64286</v>
      </c>
      <c r="H15" s="162">
        <f>H13+H14</f>
        <v>61691</v>
      </c>
      <c r="I15" s="607">
        <f>I13+I14</f>
        <v>-2595</v>
      </c>
      <c r="J15" s="607">
        <f>J13+J14</f>
        <v>6682.8169704821948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89306</v>
      </c>
      <c r="H19" s="162">
        <f>ROUND('PF Power Supply 2016 load'!F35-H20,0)-1</f>
        <v>89306</v>
      </c>
      <c r="I19" s="568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75611</v>
      </c>
      <c r="H20" s="162">
        <f>ROUND('PF Power Supply 2016 load'!F26,0)</f>
        <v>77518</v>
      </c>
      <c r="I20" s="568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164917</v>
      </c>
      <c r="H24" s="162">
        <f>SUM(H19:H23)</f>
        <v>166824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60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607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60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60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164917</v>
      </c>
      <c r="H41" s="164">
        <f>H24+H30+H32+H33+H34+H40</f>
        <v>166824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1880.513804319542</v>
      </c>
      <c r="G43" s="162">
        <f>G15-G41</f>
        <v>-100631</v>
      </c>
      <c r="H43" s="162">
        <f>H15-H41</f>
        <v>-105133</v>
      </c>
      <c r="I43" s="162">
        <f>I15-I41</f>
        <v>-4502</v>
      </c>
      <c r="J43" s="162">
        <f>J15-J41</f>
        <v>6382.513804319542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658</v>
      </c>
      <c r="G46" s="162">
        <f>ROUND(0.35*G43,0)</f>
        <v>-35221</v>
      </c>
      <c r="H46" s="162">
        <f>ROUND(0.35*H43,0)</f>
        <v>-36797</v>
      </c>
      <c r="I46" s="162">
        <f>ROUND(0.35*I43,0)</f>
        <v>-1576</v>
      </c>
      <c r="J46" s="162">
        <f>ROUND(0.35*J43,0)</f>
        <v>2234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1222.513804319542</v>
      </c>
      <c r="G51" s="162">
        <f>G43-G46-G47-G48-G49</f>
        <v>-65410</v>
      </c>
      <c r="H51" s="162">
        <f>H43-H46-H47-H48-H49</f>
        <v>-68336</v>
      </c>
      <c r="I51" s="162">
        <f>I43-I46-I47-I48-I49</f>
        <v>-2926</v>
      </c>
      <c r="J51" s="162">
        <f>J43-J46-J47-J48-J49</f>
        <v>4148.513804319542</v>
      </c>
    </row>
    <row r="52" spans="1:10">
      <c r="A52" s="158"/>
    </row>
    <row r="53" spans="1:10">
      <c r="B53" s="156" t="s">
        <v>589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I22" sqref="I22"/>
    </sheetView>
  </sheetViews>
  <sheetFormatPr defaultColWidth="9.109375" defaultRowHeight="13.2"/>
  <cols>
    <col min="1" max="3" width="9.109375" style="732"/>
    <col min="4" max="4" width="10.33203125" style="732" bestFit="1" customWidth="1"/>
    <col min="5" max="6" width="9.109375" style="732"/>
    <col min="7" max="7" width="12.33203125" style="732" customWidth="1"/>
    <col min="8" max="8" width="7.88671875" style="732" customWidth="1"/>
    <col min="9" max="12" width="9.109375" style="732"/>
    <col min="13" max="13" width="11" style="732" customWidth="1"/>
    <col min="14" max="16384" width="9.109375" style="732"/>
  </cols>
  <sheetData>
    <row r="1" spans="1:14" ht="15.6">
      <c r="A1" s="845" t="s">
        <v>734</v>
      </c>
    </row>
    <row r="2" spans="1:14">
      <c r="A2" s="809" t="s">
        <v>716</v>
      </c>
    </row>
    <row r="3" spans="1:14" ht="13.8" thickBot="1">
      <c r="D3" s="813" t="s">
        <v>717</v>
      </c>
      <c r="E3" s="813"/>
      <c r="F3" s="813" t="s">
        <v>718</v>
      </c>
      <c r="G3" s="813" t="s">
        <v>723</v>
      </c>
    </row>
    <row r="4" spans="1:14">
      <c r="A4" s="846" t="s">
        <v>591</v>
      </c>
      <c r="B4" s="847"/>
      <c r="C4" s="847"/>
      <c r="D4" s="848">
        <f>'12.2014 CB Power Supply'!F46</f>
        <v>3729.8843999999999</v>
      </c>
      <c r="E4" s="848"/>
      <c r="F4" s="848">
        <f>'PF Power Supply 09.2014 load'!F45</f>
        <v>6040.6785</v>
      </c>
      <c r="G4" s="848">
        <f>F4-D4</f>
        <v>2310.7941000000001</v>
      </c>
      <c r="H4" s="849" t="s">
        <v>719</v>
      </c>
      <c r="I4" s="850"/>
      <c r="J4" s="850"/>
      <c r="K4" s="850"/>
      <c r="L4" s="850"/>
      <c r="M4" s="850"/>
      <c r="N4" s="850"/>
    </row>
    <row r="5" spans="1:14" ht="13.8" thickBot="1">
      <c r="A5" s="851" t="s">
        <v>592</v>
      </c>
      <c r="B5" s="852"/>
      <c r="C5" s="852"/>
      <c r="D5" s="853">
        <f>'12.2014 CB Power Supply'!F47</f>
        <v>8398.7109</v>
      </c>
      <c r="E5" s="853"/>
      <c r="F5" s="853">
        <f>'PF Power Supply 09.2014 load'!F46</f>
        <v>9709.7355000000007</v>
      </c>
      <c r="G5" s="853">
        <f>F5-D5</f>
        <v>1311.0246000000006</v>
      </c>
      <c r="H5" s="854" t="s">
        <v>719</v>
      </c>
      <c r="I5" s="850"/>
      <c r="J5" s="850"/>
      <c r="K5" s="850"/>
      <c r="L5" s="850"/>
      <c r="M5" s="850"/>
      <c r="N5" s="850"/>
    </row>
    <row r="6" spans="1:14">
      <c r="A6" s="794"/>
      <c r="B6" s="794"/>
      <c r="C6" s="794"/>
      <c r="D6" s="60">
        <f>SUM(D4:D5)</f>
        <v>12128.595300000001</v>
      </c>
      <c r="E6" s="794"/>
      <c r="F6" s="60">
        <f>SUM(F4:F5)</f>
        <v>15750.414000000001</v>
      </c>
      <c r="G6" s="812">
        <f>F6-D6</f>
        <v>3621.8186999999998</v>
      </c>
    </row>
    <row r="7" spans="1:14">
      <c r="H7" s="811"/>
    </row>
    <row r="8" spans="1:14">
      <c r="C8" s="810" t="s">
        <v>720</v>
      </c>
      <c r="D8" s="814">
        <f>100%+'Cost Trends'!N186</f>
        <v>1.0609</v>
      </c>
      <c r="H8" s="811"/>
    </row>
    <row r="9" spans="1:14">
      <c r="H9" s="855" t="s">
        <v>722</v>
      </c>
      <c r="I9" s="856"/>
      <c r="J9" s="856"/>
      <c r="K9" s="856"/>
      <c r="L9" s="856"/>
      <c r="M9" s="856"/>
    </row>
    <row r="10" spans="1:14">
      <c r="C10" s="810" t="s">
        <v>721</v>
      </c>
      <c r="D10" s="815">
        <f>D6*D8</f>
        <v>12867.226753770001</v>
      </c>
      <c r="F10" s="816">
        <f>F6</f>
        <v>15750.414000000001</v>
      </c>
      <c r="H10" s="857">
        <f>F10-D10</f>
        <v>2883.1872462299998</v>
      </c>
      <c r="I10" s="856"/>
      <c r="J10" s="858"/>
      <c r="K10" s="856"/>
      <c r="L10" s="856"/>
      <c r="M10" s="856"/>
    </row>
    <row r="11" spans="1:14">
      <c r="H11" s="811"/>
    </row>
    <row r="12" spans="1:14">
      <c r="H12" s="811"/>
    </row>
    <row r="13" spans="1:14">
      <c r="H13" s="811"/>
    </row>
    <row r="14" spans="1:14">
      <c r="H14" s="811"/>
    </row>
  </sheetData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zoomScaleNormal="100" workbookViewId="0">
      <selection activeCell="L37" sqref="L37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521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842"/>
      <c r="D5" s="843" t="s">
        <v>642</v>
      </c>
      <c r="E5" s="842"/>
      <c r="G5" s="72"/>
      <c r="H5" s="837" t="s">
        <v>702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836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59">
        <v>83074</v>
      </c>
      <c r="E11" s="59"/>
      <c r="F11" s="59">
        <f>F$9*D11</f>
        <v>53757.185400000002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58" customFormat="1">
      <c r="A14" s="661" t="s">
        <v>404</v>
      </c>
      <c r="B14" s="661"/>
      <c r="C14" s="661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772" t="s">
        <v>700</v>
      </c>
    </row>
    <row r="15" spans="1:11" s="661" customFormat="1">
      <c r="A15" s="661" t="s">
        <v>404</v>
      </c>
      <c r="C15" s="661" t="s">
        <v>522</v>
      </c>
      <c r="D15" s="352">
        <v>100</v>
      </c>
      <c r="E15" s="60"/>
      <c r="F15" s="62">
        <f>D15</f>
        <v>100</v>
      </c>
      <c r="G15" s="62"/>
      <c r="H15" s="773" t="s">
        <v>701</v>
      </c>
    </row>
    <row r="16" spans="1:11" s="661" customFormat="1">
      <c r="A16" s="661" t="s">
        <v>404</v>
      </c>
      <c r="C16" s="661" t="s">
        <v>523</v>
      </c>
      <c r="D16" s="352">
        <v>51</v>
      </c>
      <c r="E16" s="60"/>
      <c r="F16" s="62">
        <v>0</v>
      </c>
      <c r="G16" s="62"/>
      <c r="H16" s="773" t="s">
        <v>699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99341</v>
      </c>
      <c r="E19" s="62"/>
      <c r="F19" s="60">
        <f>SUM(F11:F18)</f>
        <v>64285.849000000002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60">
        <v>29696</v>
      </c>
      <c r="E22" s="62"/>
      <c r="F22" s="60">
        <f t="shared" ref="F22:F30" si="0">F$9*D22</f>
        <v>19216.281600000002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60">
        <v>92175</v>
      </c>
      <c r="E24" s="62"/>
      <c r="F24" s="60">
        <f t="shared" si="0"/>
        <v>59646.442499999997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60">
        <v>116846</v>
      </c>
      <c r="E26" s="62"/>
      <c r="F26" s="60">
        <f t="shared" si="0"/>
        <v>75611.046600000001</v>
      </c>
      <c r="G26" s="62"/>
      <c r="H26" s="59"/>
    </row>
    <row r="27" spans="1:8">
      <c r="A27" s="15" t="s">
        <v>20</v>
      </c>
      <c r="D27" s="60">
        <v>0</v>
      </c>
      <c r="E27" s="62"/>
      <c r="F27" s="352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818" t="s">
        <v>732</v>
      </c>
      <c r="D31" s="60">
        <v>0</v>
      </c>
      <c r="E31" s="62"/>
      <c r="F31" s="838">
        <v>-1528</v>
      </c>
      <c r="G31" s="62"/>
      <c r="H31" s="840" t="s">
        <v>712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69" customFormat="1" ht="12.75" customHeight="1">
      <c r="A33" s="837" t="s">
        <v>591</v>
      </c>
      <c r="B33" s="837"/>
      <c r="C33" s="837"/>
      <c r="D33" s="838">
        <v>0</v>
      </c>
      <c r="E33" s="839"/>
      <c r="F33" s="838">
        <f>F$9*D33</f>
        <v>0</v>
      </c>
      <c r="G33" s="839"/>
      <c r="H33" s="840" t="s">
        <v>711</v>
      </c>
    </row>
    <row r="34" spans="1:8" s="669" customFormat="1" ht="12.75" customHeight="1">
      <c r="A34" s="837" t="s">
        <v>592</v>
      </c>
      <c r="B34" s="837"/>
      <c r="C34" s="837"/>
      <c r="D34" s="838">
        <v>0</v>
      </c>
      <c r="E34" s="839"/>
      <c r="F34" s="838">
        <f>F$9*D34</f>
        <v>0</v>
      </c>
      <c r="G34" s="839"/>
      <c r="H34" s="840" t="s">
        <v>711</v>
      </c>
    </row>
    <row r="35" spans="1:8">
      <c r="A35" s="15" t="s">
        <v>25</v>
      </c>
      <c r="D35" s="63">
        <f>SUM(D22:D34)</f>
        <v>257217</v>
      </c>
      <c r="E35" s="62"/>
      <c r="F35" s="63">
        <f>SUM(F22:F34)</f>
        <v>164917.12069999997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-157876</v>
      </c>
      <c r="E37" s="60"/>
      <c r="F37" s="60">
        <f>F19-F35</f>
        <v>-100631.27169999997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-35220.945094999988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-65410.32660499998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81" t="s">
        <v>591</v>
      </c>
      <c r="B45" s="781"/>
      <c r="C45" s="781"/>
      <c r="D45" s="738">
        <v>9335</v>
      </c>
      <c r="E45" s="795"/>
      <c r="F45" s="738">
        <f>F$9*D45</f>
        <v>6040.6785</v>
      </c>
      <c r="G45" s="62"/>
      <c r="H45" s="806" t="s">
        <v>711</v>
      </c>
    </row>
    <row r="46" spans="1:8">
      <c r="A46" s="781" t="s">
        <v>592</v>
      </c>
      <c r="B46" s="781"/>
      <c r="C46" s="781"/>
      <c r="D46" s="738">
        <v>15005</v>
      </c>
      <c r="E46" s="795"/>
      <c r="F46" s="738">
        <f>F$9*D46</f>
        <v>9709.7355000000007</v>
      </c>
      <c r="G46" s="62"/>
      <c r="H46" s="806" t="s">
        <v>711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zoomScaleNormal="100" workbookViewId="0">
      <selection activeCell="F27" sqref="F27"/>
    </sheetView>
  </sheetViews>
  <sheetFormatPr defaultColWidth="9.109375" defaultRowHeight="13.2"/>
  <cols>
    <col min="1" max="1" width="22.109375" style="596" customWidth="1"/>
    <col min="2" max="2" width="10.44140625" style="596" customWidth="1"/>
    <col min="3" max="3" width="10.33203125" style="596" customWidth="1"/>
    <col min="4" max="4" width="9.88671875" style="596" customWidth="1"/>
    <col min="5" max="5" width="8" style="596" customWidth="1"/>
    <col min="6" max="6" width="12.109375" style="596" customWidth="1"/>
    <col min="7" max="7" width="3.6640625" style="596" customWidth="1"/>
    <col min="8" max="8" width="57.5546875" style="596" customWidth="1"/>
    <col min="9" max="16384" width="9.109375" style="596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583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745" t="s">
        <v>703</v>
      </c>
      <c r="G5" s="72"/>
      <c r="H5" s="771" t="s">
        <v>704</v>
      </c>
    </row>
    <row r="6" spans="1:8">
      <c r="D6" s="350" t="s">
        <v>89</v>
      </c>
      <c r="E6" s="598"/>
      <c r="F6" s="598" t="s">
        <v>8</v>
      </c>
      <c r="G6" s="72"/>
    </row>
    <row r="7" spans="1:8">
      <c r="D7" s="350" t="s">
        <v>88</v>
      </c>
      <c r="E7" s="598"/>
      <c r="F7" s="598" t="s">
        <v>5</v>
      </c>
      <c r="G7" s="72"/>
    </row>
    <row r="8" spans="1:8">
      <c r="D8" s="774" t="s">
        <v>98</v>
      </c>
      <c r="E8" s="58"/>
      <c r="F8" s="58" t="s">
        <v>127</v>
      </c>
      <c r="G8" s="73"/>
    </row>
    <row r="9" spans="1:8">
      <c r="A9" s="596" t="s">
        <v>9</v>
      </c>
      <c r="D9" s="18"/>
      <c r="E9" s="1"/>
      <c r="F9" s="836">
        <v>0.64710000000000001</v>
      </c>
      <c r="G9" s="74"/>
    </row>
    <row r="10" spans="1:8">
      <c r="D10" s="18"/>
      <c r="G10" s="72"/>
    </row>
    <row r="11" spans="1:8">
      <c r="A11" s="596" t="s">
        <v>10</v>
      </c>
      <c r="D11" s="844">
        <f>66586+12478</f>
        <v>79064</v>
      </c>
      <c r="E11" s="59"/>
      <c r="F11" s="59">
        <f>F$9*D11</f>
        <v>51162.314400000003</v>
      </c>
      <c r="G11" s="65"/>
      <c r="H11" s="59"/>
    </row>
    <row r="12" spans="1:8">
      <c r="A12" s="596" t="s">
        <v>11</v>
      </c>
      <c r="D12" s="352">
        <v>466</v>
      </c>
      <c r="E12" s="60"/>
      <c r="F12" s="60">
        <f>F$9*D12</f>
        <v>301.54860000000002</v>
      </c>
      <c r="G12" s="62"/>
      <c r="H12" s="59"/>
    </row>
    <row r="13" spans="1:8">
      <c r="A13" s="596" t="s">
        <v>12</v>
      </c>
      <c r="D13" s="352">
        <v>0</v>
      </c>
      <c r="E13" s="60"/>
      <c r="F13" s="60">
        <f>F$9*D13</f>
        <v>0</v>
      </c>
      <c r="G13" s="62"/>
      <c r="H13" s="59"/>
    </row>
    <row r="14" spans="1:8">
      <c r="A14" s="661" t="s">
        <v>404</v>
      </c>
      <c r="B14" s="661"/>
      <c r="C14" s="661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59"/>
    </row>
    <row r="15" spans="1:8" s="661" customFormat="1">
      <c r="A15" s="661" t="s">
        <v>404</v>
      </c>
      <c r="C15" s="661" t="s">
        <v>522</v>
      </c>
      <c r="D15" s="352">
        <v>100</v>
      </c>
      <c r="E15" s="60"/>
      <c r="F15" s="62">
        <f>D15</f>
        <v>100</v>
      </c>
      <c r="G15" s="62"/>
      <c r="H15" s="59"/>
    </row>
    <row r="16" spans="1:8" s="661" customFormat="1">
      <c r="A16" s="661" t="s">
        <v>404</v>
      </c>
      <c r="C16" s="661" t="s">
        <v>523</v>
      </c>
      <c r="D16" s="352">
        <v>51</v>
      </c>
      <c r="E16" s="60"/>
      <c r="F16" s="62">
        <v>0</v>
      </c>
      <c r="G16" s="62"/>
      <c r="H16" s="59"/>
    </row>
    <row r="17" spans="1:8">
      <c r="A17" s="596" t="s">
        <v>13</v>
      </c>
      <c r="D17" s="352">
        <v>0</v>
      </c>
      <c r="E17" s="60"/>
      <c r="F17" s="60">
        <f>F$9*D17</f>
        <v>0</v>
      </c>
      <c r="G17" s="62"/>
      <c r="H17" s="59"/>
    </row>
    <row r="18" spans="1:8">
      <c r="A18" s="596" t="s">
        <v>128</v>
      </c>
      <c r="D18" s="353">
        <v>0</v>
      </c>
      <c r="E18" s="62"/>
      <c r="F18" s="61">
        <f>D18</f>
        <v>0</v>
      </c>
      <c r="G18" s="62"/>
      <c r="H18" s="59"/>
    </row>
    <row r="19" spans="1:8">
      <c r="A19" s="596" t="s">
        <v>14</v>
      </c>
      <c r="D19" s="352">
        <f>SUM(D11:D18)</f>
        <v>95331</v>
      </c>
      <c r="E19" s="62"/>
      <c r="F19" s="60">
        <f>SUM(F11:F18)</f>
        <v>61690.978000000003</v>
      </c>
      <c r="G19" s="62"/>
      <c r="H19" s="59"/>
    </row>
    <row r="20" spans="1:8">
      <c r="D20" s="352"/>
      <c r="E20" s="62"/>
      <c r="F20" s="60"/>
      <c r="G20" s="62"/>
      <c r="H20" s="59"/>
    </row>
    <row r="21" spans="1:8">
      <c r="D21" s="352"/>
      <c r="E21" s="62"/>
      <c r="F21" s="60"/>
      <c r="G21" s="62"/>
      <c r="H21" s="59"/>
    </row>
    <row r="22" spans="1:8">
      <c r="A22" s="596" t="s">
        <v>15</v>
      </c>
      <c r="D22" s="352">
        <v>29696</v>
      </c>
      <c r="E22" s="62"/>
      <c r="F22" s="60">
        <f>F$9*D22+1</f>
        <v>19217.281600000002</v>
      </c>
      <c r="G22" s="62"/>
      <c r="H22" s="59"/>
    </row>
    <row r="23" spans="1:8">
      <c r="A23" s="596" t="s">
        <v>16</v>
      </c>
      <c r="D23" s="352">
        <v>0</v>
      </c>
      <c r="E23" s="62"/>
      <c r="F23" s="60">
        <f t="shared" ref="F23:F30" si="0">F$9*D23</f>
        <v>0</v>
      </c>
      <c r="G23" s="62"/>
      <c r="H23" s="59"/>
    </row>
    <row r="24" spans="1:8">
      <c r="A24" s="596" t="s">
        <v>17</v>
      </c>
      <c r="D24" s="352">
        <v>92175</v>
      </c>
      <c r="E24" s="62"/>
      <c r="F24" s="60">
        <f t="shared" si="0"/>
        <v>59646.442499999997</v>
      </c>
      <c r="G24" s="62"/>
      <c r="H24" s="59"/>
    </row>
    <row r="25" spans="1:8">
      <c r="A25" s="596" t="s">
        <v>18</v>
      </c>
      <c r="D25" s="352">
        <v>1001</v>
      </c>
      <c r="E25" s="62"/>
      <c r="F25" s="60">
        <f t="shared" si="0"/>
        <v>647.74710000000005</v>
      </c>
      <c r="G25" s="62"/>
      <c r="H25" s="59"/>
    </row>
    <row r="26" spans="1:8">
      <c r="A26" s="596" t="s">
        <v>19</v>
      </c>
      <c r="D26" s="838">
        <f>123406-3612</f>
        <v>119794</v>
      </c>
      <c r="E26" s="62"/>
      <c r="F26" s="60">
        <f>F$9*D26-1</f>
        <v>77517.697400000005</v>
      </c>
      <c r="G26" s="62"/>
      <c r="H26" s="59"/>
    </row>
    <row r="27" spans="1:8">
      <c r="A27" s="596" t="s">
        <v>20</v>
      </c>
      <c r="D27" s="352">
        <v>0</v>
      </c>
      <c r="E27" s="62"/>
      <c r="F27" s="352">
        <v>0</v>
      </c>
      <c r="G27" s="62"/>
    </row>
    <row r="28" spans="1:8">
      <c r="A28" s="596" t="s">
        <v>21</v>
      </c>
      <c r="D28" s="352">
        <v>0</v>
      </c>
      <c r="E28" s="62"/>
      <c r="F28" s="60">
        <f t="shared" si="0"/>
        <v>0</v>
      </c>
      <c r="G28" s="62"/>
      <c r="H28" s="59"/>
    </row>
    <row r="29" spans="1:8">
      <c r="A29" s="596" t="s">
        <v>22</v>
      </c>
      <c r="D29" s="352">
        <v>0</v>
      </c>
      <c r="E29" s="62"/>
      <c r="F29" s="60">
        <f t="shared" si="0"/>
        <v>0</v>
      </c>
      <c r="G29" s="62"/>
      <c r="H29" s="59"/>
    </row>
    <row r="30" spans="1:8">
      <c r="A30" s="596" t="s">
        <v>23</v>
      </c>
      <c r="D30" s="352">
        <v>690</v>
      </c>
      <c r="E30" s="62"/>
      <c r="F30" s="60">
        <f t="shared" si="0"/>
        <v>446.49900000000002</v>
      </c>
      <c r="G30" s="62"/>
      <c r="H30" s="59"/>
    </row>
    <row r="31" spans="1:8">
      <c r="A31" s="818" t="s">
        <v>731</v>
      </c>
      <c r="D31" s="352">
        <v>0</v>
      </c>
      <c r="E31" s="62"/>
      <c r="F31" s="838">
        <v>-1528</v>
      </c>
      <c r="G31" s="62"/>
      <c r="H31" s="840" t="s">
        <v>712</v>
      </c>
    </row>
    <row r="32" spans="1:8">
      <c r="A32" s="596" t="s">
        <v>24</v>
      </c>
      <c r="D32" s="352">
        <v>16809</v>
      </c>
      <c r="E32" s="62"/>
      <c r="F32" s="60">
        <f>F$9*D32</f>
        <v>10877.1039</v>
      </c>
      <c r="G32" s="62"/>
      <c r="H32" s="59"/>
    </row>
    <row r="33" spans="1:8" s="669" customFormat="1" ht="12.75" customHeight="1">
      <c r="A33" s="837" t="s">
        <v>591</v>
      </c>
      <c r="B33" s="837"/>
      <c r="C33" s="837"/>
      <c r="D33" s="838">
        <v>0</v>
      </c>
      <c r="E33" s="839"/>
      <c r="F33" s="838">
        <f>F$9*D33</f>
        <v>0</v>
      </c>
      <c r="G33" s="839"/>
      <c r="H33" s="840" t="s">
        <v>711</v>
      </c>
    </row>
    <row r="34" spans="1:8" s="669" customFormat="1" ht="12.75" customHeight="1">
      <c r="A34" s="837" t="s">
        <v>592</v>
      </c>
      <c r="B34" s="837"/>
      <c r="C34" s="837"/>
      <c r="D34" s="838">
        <v>0</v>
      </c>
      <c r="E34" s="839"/>
      <c r="F34" s="838">
        <f>F$9*D34</f>
        <v>0</v>
      </c>
      <c r="G34" s="839"/>
      <c r="H34" s="840" t="s">
        <v>711</v>
      </c>
    </row>
    <row r="35" spans="1:8">
      <c r="A35" s="596" t="s">
        <v>25</v>
      </c>
      <c r="D35" s="354">
        <f>SUM(D22:D34)</f>
        <v>260165</v>
      </c>
      <c r="E35" s="62"/>
      <c r="F35" s="63">
        <f>SUM(F22:F34)</f>
        <v>166824.77149999997</v>
      </c>
      <c r="G35" s="62"/>
      <c r="H35" s="59"/>
    </row>
    <row r="36" spans="1:8">
      <c r="D36" s="18"/>
      <c r="G36" s="72"/>
      <c r="H36" s="59"/>
    </row>
    <row r="37" spans="1:8">
      <c r="A37" s="596" t="s">
        <v>26</v>
      </c>
      <c r="D37" s="352">
        <f>D19-D35</f>
        <v>-164834</v>
      </c>
      <c r="E37" s="60"/>
      <c r="F37" s="60">
        <f>F19-F35</f>
        <v>-105133.79349999997</v>
      </c>
      <c r="G37" s="62"/>
      <c r="H37" s="59"/>
    </row>
    <row r="38" spans="1:8">
      <c r="D38" s="18"/>
      <c r="E38" s="60"/>
      <c r="F38" s="60"/>
      <c r="G38" s="60"/>
    </row>
    <row r="39" spans="1:8">
      <c r="A39" s="596" t="s">
        <v>27</v>
      </c>
      <c r="C39" s="64">
        <v>0.35</v>
      </c>
      <c r="D39" s="18"/>
      <c r="E39" s="65"/>
      <c r="F39" s="61">
        <f>C39*F37</f>
        <v>-36796.827724999988</v>
      </c>
      <c r="G39" s="59"/>
    </row>
    <row r="40" spans="1:8">
      <c r="D40" s="18"/>
      <c r="E40" s="65"/>
      <c r="F40" s="59"/>
      <c r="G40" s="59"/>
    </row>
    <row r="41" spans="1:8">
      <c r="A41" s="596" t="s">
        <v>28</v>
      </c>
      <c r="D41" s="18"/>
      <c r="E41" s="60"/>
      <c r="F41" s="59">
        <f>F37-F39</f>
        <v>-68336.96577499999</v>
      </c>
      <c r="G41" s="60"/>
    </row>
    <row r="42" spans="1:8">
      <c r="D42" s="18"/>
      <c r="E42" s="60"/>
      <c r="F42" s="60"/>
      <c r="G42" s="60"/>
    </row>
    <row r="43" spans="1:8">
      <c r="A43" s="75"/>
      <c r="D43" s="18"/>
    </row>
    <row r="44" spans="1:8">
      <c r="A44" s="781" t="s">
        <v>591</v>
      </c>
      <c r="B44" s="781"/>
      <c r="C44" s="781"/>
      <c r="D44" s="738">
        <v>9335</v>
      </c>
      <c r="E44" s="795"/>
      <c r="F44" s="738">
        <f>F$9*D44</f>
        <v>6040.6785</v>
      </c>
      <c r="G44" s="62"/>
      <c r="H44" s="806" t="s">
        <v>711</v>
      </c>
    </row>
    <row r="45" spans="1:8">
      <c r="A45" s="781" t="s">
        <v>592</v>
      </c>
      <c r="B45" s="781"/>
      <c r="C45" s="781"/>
      <c r="D45" s="738">
        <v>15005</v>
      </c>
      <c r="E45" s="795"/>
      <c r="F45" s="738">
        <f>F$9*D45</f>
        <v>9709.7355000000007</v>
      </c>
      <c r="G45" s="62"/>
      <c r="H45" s="806" t="s">
        <v>711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111"/>
  <sheetViews>
    <sheetView topLeftCell="D1" workbookViewId="0">
      <selection activeCell="S6" sqref="S6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42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507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92" t="s">
        <v>710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89">
        <v>2014</v>
      </c>
    </row>
    <row r="10" spans="1:19">
      <c r="S10" s="236"/>
    </row>
    <row r="11" spans="1:19">
      <c r="A11" s="12" t="s">
        <v>301</v>
      </c>
      <c r="E11" s="356">
        <f>'CBR Hist'!F24</f>
        <v>-3114</v>
      </c>
      <c r="F11" s="356">
        <f>'CBR Hist'!G24</f>
        <v>9152</v>
      </c>
      <c r="G11" s="356">
        <f>'CBR Hist'!H24</f>
        <v>13808</v>
      </c>
      <c r="H11" s="356">
        <f>'CBR Hist'!I24</f>
        <v>14915</v>
      </c>
      <c r="I11" s="356">
        <f>'CBR Hist'!J24</f>
        <v>22879</v>
      </c>
      <c r="J11" s="356">
        <f>'CBR Hist'!K24</f>
        <v>13812</v>
      </c>
      <c r="K11" s="356">
        <f>'CBR Hist'!L24</f>
        <v>25745</v>
      </c>
      <c r="L11" s="356">
        <f>'CBR Hist'!M24</f>
        <v>21795</v>
      </c>
      <c r="M11" s="356">
        <f>'CBR Hist'!N24</f>
        <v>22000</v>
      </c>
      <c r="N11" s="356">
        <f>'CBR Hist'!O24</f>
        <v>22266</v>
      </c>
      <c r="O11" s="356">
        <f>'CBR Hist'!P24</f>
        <v>22129</v>
      </c>
      <c r="P11" s="356">
        <f>'CBR Hist'!Q24</f>
        <v>25158</v>
      </c>
      <c r="Q11" s="356">
        <f>'CBR Hist'!R24+Q19</f>
        <v>25680</v>
      </c>
      <c r="R11" s="356">
        <f>'CBR Hist'!S24</f>
        <v>23284</v>
      </c>
      <c r="S11" s="775">
        <f>'CBR Hist'!T24</f>
        <v>23715</v>
      </c>
    </row>
    <row r="12" spans="1:19">
      <c r="A12" s="12" t="s">
        <v>302</v>
      </c>
      <c r="P12" s="356">
        <f>'CBR Hist'!Q25</f>
        <v>403</v>
      </c>
      <c r="Q12" s="356">
        <f>'CBR Hist'!R25-Q19</f>
        <v>-7744</v>
      </c>
      <c r="R12" s="356">
        <f>'CBR Hist'!S25</f>
        <v>8629</v>
      </c>
      <c r="S12" s="775">
        <f>'CBR Hist'!T25</f>
        <v>8101</v>
      </c>
    </row>
    <row r="13" spans="1:19">
      <c r="A13" s="12"/>
      <c r="S13" s="236"/>
    </row>
    <row r="14" spans="1:19">
      <c r="A14" s="12"/>
      <c r="B14" s="12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S14" s="236"/>
    </row>
    <row r="15" spans="1:19">
      <c r="A15" s="12"/>
      <c r="B15" s="12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S15" s="236"/>
    </row>
    <row r="16" spans="1:19">
      <c r="A16" s="12" t="s">
        <v>303</v>
      </c>
      <c r="E16" s="357">
        <f>10346-213</f>
        <v>10133</v>
      </c>
      <c r="F16" s="357">
        <f>10784-205</f>
        <v>10579</v>
      </c>
      <c r="G16" s="357">
        <f>12359+3035-228</f>
        <v>15166</v>
      </c>
      <c r="H16" s="357">
        <f>14152+1470-219</f>
        <v>15403</v>
      </c>
      <c r="I16" s="357">
        <f>15379+1705-113-221</f>
        <v>16750</v>
      </c>
      <c r="J16" s="357">
        <f>17205-154-219</f>
        <v>16832</v>
      </c>
      <c r="K16" s="357">
        <f>18582-216</f>
        <v>18366</v>
      </c>
      <c r="L16" s="357">
        <f>18487-225</f>
        <v>18262</v>
      </c>
      <c r="M16" s="357">
        <f>17022-195</f>
        <v>16827</v>
      </c>
      <c r="N16" s="357">
        <f>17556-193</f>
        <v>17363</v>
      </c>
      <c r="O16" s="357">
        <f>18188-191</f>
        <v>17997</v>
      </c>
      <c r="P16" s="357">
        <f>18013-191</f>
        <v>17822</v>
      </c>
      <c r="Q16" s="357">
        <f>18237</f>
        <v>18237</v>
      </c>
      <c r="R16" s="357">
        <v>16250</v>
      </c>
      <c r="S16" s="238">
        <v>16426</v>
      </c>
    </row>
    <row r="17" spans="1:19">
      <c r="A17" s="12" t="s">
        <v>304</v>
      </c>
      <c r="E17" s="357">
        <f>4492</f>
        <v>4492</v>
      </c>
      <c r="F17" s="357">
        <f>4393</f>
        <v>4393</v>
      </c>
      <c r="G17" s="357">
        <f>4780</f>
        <v>4780</v>
      </c>
      <c r="H17" s="357">
        <f>4891</f>
        <v>4891</v>
      </c>
      <c r="I17" s="357">
        <f>5220</f>
        <v>5220</v>
      </c>
      <c r="J17" s="357">
        <v>5531</v>
      </c>
      <c r="K17" s="357">
        <f>5957</f>
        <v>5957</v>
      </c>
      <c r="L17" s="357">
        <f>6352+1</f>
        <v>6353</v>
      </c>
      <c r="M17" s="357">
        <v>5969</v>
      </c>
      <c r="N17" s="357">
        <v>6116</v>
      </c>
      <c r="O17" s="357">
        <v>6354</v>
      </c>
      <c r="P17" s="357">
        <v>6681</v>
      </c>
      <c r="Q17" s="357">
        <v>6976</v>
      </c>
      <c r="R17" s="357">
        <v>6529</v>
      </c>
      <c r="S17" s="238">
        <v>6725</v>
      </c>
    </row>
    <row r="18" spans="1:19">
      <c r="A18" s="12" t="s">
        <v>305</v>
      </c>
      <c r="E18" s="357">
        <f>9+216</f>
        <v>225</v>
      </c>
      <c r="F18" s="357">
        <f>9+221</f>
        <v>230</v>
      </c>
      <c r="G18" s="357">
        <f>1+210</f>
        <v>211</v>
      </c>
      <c r="H18" s="357">
        <f>17+212</f>
        <v>229</v>
      </c>
      <c r="I18" s="357">
        <f>9+212+8+11+102</f>
        <v>342</v>
      </c>
      <c r="J18" s="357">
        <f>10+221+31+4</f>
        <v>266</v>
      </c>
      <c r="K18" s="357">
        <f>32+222</f>
        <v>254</v>
      </c>
      <c r="L18" s="357">
        <f>44+218</f>
        <v>262</v>
      </c>
      <c r="M18" s="357">
        <f>62+218</f>
        <v>280</v>
      </c>
      <c r="N18" s="357">
        <f>63+427</f>
        <v>490</v>
      </c>
      <c r="O18" s="357">
        <f>595+62</f>
        <v>657</v>
      </c>
      <c r="P18" s="357">
        <f>655</f>
        <v>655</v>
      </c>
      <c r="Q18" s="357">
        <v>659</v>
      </c>
      <c r="R18" s="357">
        <v>652</v>
      </c>
      <c r="S18" s="238">
        <v>710</v>
      </c>
    </row>
    <row r="19" spans="1:19">
      <c r="A19" s="12"/>
      <c r="E19" s="359" t="s">
        <v>327</v>
      </c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>
        <v>-192</v>
      </c>
      <c r="R19" s="357">
        <v>-147</v>
      </c>
      <c r="S19" s="238">
        <v>-146</v>
      </c>
    </row>
    <row r="20" spans="1:19">
      <c r="A20" s="12"/>
      <c r="B20" s="12" t="s">
        <v>325</v>
      </c>
      <c r="E20" s="360">
        <f>SUM(E16:E18)</f>
        <v>14850</v>
      </c>
      <c r="F20" s="360">
        <f t="shared" ref="F20:P20" si="0">SUM(F16:F18)</f>
        <v>15202</v>
      </c>
      <c r="G20" s="360">
        <f t="shared" si="0"/>
        <v>20157</v>
      </c>
      <c r="H20" s="360">
        <f t="shared" si="0"/>
        <v>20523</v>
      </c>
      <c r="I20" s="360">
        <f t="shared" si="0"/>
        <v>22312</v>
      </c>
      <c r="J20" s="360">
        <f t="shared" si="0"/>
        <v>22629</v>
      </c>
      <c r="K20" s="360">
        <f t="shared" si="0"/>
        <v>24577</v>
      </c>
      <c r="L20" s="360">
        <f t="shared" si="0"/>
        <v>24877</v>
      </c>
      <c r="M20" s="360">
        <f t="shared" si="0"/>
        <v>23076</v>
      </c>
      <c r="N20" s="360">
        <f t="shared" si="0"/>
        <v>23969</v>
      </c>
      <c r="O20" s="360">
        <f t="shared" si="0"/>
        <v>25008</v>
      </c>
      <c r="P20" s="360">
        <f t="shared" si="0"/>
        <v>25158</v>
      </c>
      <c r="Q20" s="360">
        <f>SUM(Q16:Q19)</f>
        <v>25680</v>
      </c>
      <c r="R20" s="360">
        <f>SUM(R16:R19)</f>
        <v>23284</v>
      </c>
      <c r="S20" s="776">
        <f>SUM(S16:S19)</f>
        <v>23715</v>
      </c>
    </row>
    <row r="21" spans="1:19">
      <c r="A21" s="12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S21" s="236"/>
    </row>
    <row r="22" spans="1:19">
      <c r="A22" s="12" t="s">
        <v>306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51">
        <v>2450</v>
      </c>
      <c r="S22" s="551">
        <v>2450</v>
      </c>
    </row>
    <row r="23" spans="1:19">
      <c r="A23" s="12" t="s">
        <v>307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51">
        <v>32</v>
      </c>
      <c r="S23" s="551">
        <v>32</v>
      </c>
    </row>
    <row r="24" spans="1:19">
      <c r="A24" s="12" t="s">
        <v>308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309</v>
      </c>
      <c r="D25" s="585" t="s">
        <v>315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310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311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312</v>
      </c>
      <c r="D28" s="585" t="s">
        <v>315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313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314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316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317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318</v>
      </c>
      <c r="D33" s="586" t="s">
        <v>315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319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320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322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321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501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502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323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324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61" t="s">
        <v>326</v>
      </c>
      <c r="D42" s="236"/>
      <c r="E42" s="587">
        <f>SUM(E22:E41)</f>
        <v>-17964</v>
      </c>
      <c r="F42" s="587">
        <f t="shared" ref="F42:P42" si="1">SUM(F22:F41)</f>
        <v>-6050</v>
      </c>
      <c r="G42" s="587">
        <f t="shared" si="1"/>
        <v>-6349</v>
      </c>
      <c r="H42" s="587">
        <f t="shared" si="1"/>
        <v>-5608</v>
      </c>
      <c r="I42" s="587">
        <f t="shared" si="1"/>
        <v>567</v>
      </c>
      <c r="J42" s="587">
        <f t="shared" si="1"/>
        <v>-8817</v>
      </c>
      <c r="K42" s="587">
        <f t="shared" si="1"/>
        <v>1168</v>
      </c>
      <c r="L42" s="587">
        <f t="shared" si="1"/>
        <v>-3082</v>
      </c>
      <c r="M42" s="587">
        <f t="shared" si="1"/>
        <v>-1076</v>
      </c>
      <c r="N42" s="587">
        <f t="shared" si="1"/>
        <v>-1703</v>
      </c>
      <c r="O42" s="587">
        <f t="shared" si="1"/>
        <v>-2879</v>
      </c>
      <c r="P42" s="587">
        <f t="shared" si="1"/>
        <v>403</v>
      </c>
      <c r="Q42" s="587">
        <f>SUM(Q22:Q41)</f>
        <v>-7744</v>
      </c>
      <c r="R42" s="587">
        <f>SUM(R22:R41)</f>
        <v>8629</v>
      </c>
      <c r="S42" s="587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328</v>
      </c>
      <c r="D44" s="236"/>
      <c r="E44" s="588">
        <f t="shared" ref="E44:P44" si="2">E20+E42</f>
        <v>-3114</v>
      </c>
      <c r="F44" s="588">
        <f t="shared" si="2"/>
        <v>9152</v>
      </c>
      <c r="G44" s="588">
        <f t="shared" si="2"/>
        <v>13808</v>
      </c>
      <c r="H44" s="588">
        <f t="shared" si="2"/>
        <v>14915</v>
      </c>
      <c r="I44" s="588">
        <f t="shared" si="2"/>
        <v>22879</v>
      </c>
      <c r="J44" s="588">
        <f t="shared" si="2"/>
        <v>13812</v>
      </c>
      <c r="K44" s="588">
        <f t="shared" si="2"/>
        <v>25745</v>
      </c>
      <c r="L44" s="588">
        <f t="shared" si="2"/>
        <v>21795</v>
      </c>
      <c r="M44" s="588">
        <f t="shared" si="2"/>
        <v>22000</v>
      </c>
      <c r="N44" s="588">
        <f t="shared" si="2"/>
        <v>22266</v>
      </c>
      <c r="O44" s="588">
        <f t="shared" si="2"/>
        <v>22129</v>
      </c>
      <c r="P44" s="588">
        <f t="shared" si="2"/>
        <v>25561</v>
      </c>
      <c r="Q44" s="588">
        <f>Q20+Q42</f>
        <v>17936</v>
      </c>
      <c r="R44" s="588">
        <f>R20+R42</f>
        <v>31913</v>
      </c>
      <c r="S44" s="588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329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88">
        <f>E42-E25</f>
        <v>-1320</v>
      </c>
      <c r="F47" s="588">
        <f>F42-F28</f>
        <v>-4634</v>
      </c>
      <c r="G47" s="588">
        <f t="shared" ref="G47:O47" si="4">G42-G28</f>
        <v>1163</v>
      </c>
      <c r="H47" s="588">
        <f t="shared" si="4"/>
        <v>731</v>
      </c>
      <c r="I47" s="588">
        <f t="shared" si="4"/>
        <v>567</v>
      </c>
      <c r="J47" s="588">
        <f t="shared" si="4"/>
        <v>571</v>
      </c>
      <c r="K47" s="588">
        <f>K42-K28</f>
        <v>1168</v>
      </c>
      <c r="L47" s="588">
        <f t="shared" si="4"/>
        <v>2500</v>
      </c>
      <c r="M47" s="588">
        <f t="shared" si="4"/>
        <v>2500</v>
      </c>
      <c r="N47" s="588">
        <f t="shared" si="4"/>
        <v>2302</v>
      </c>
      <c r="O47" s="588">
        <f t="shared" si="4"/>
        <v>3365</v>
      </c>
      <c r="P47" s="588">
        <f>P42-P28-P33</f>
        <v>5013</v>
      </c>
      <c r="Q47" s="588">
        <f>Q42-Q28-Q33</f>
        <v>583</v>
      </c>
      <c r="R47" s="588">
        <f>R42-R28</f>
        <v>8629</v>
      </c>
      <c r="S47" s="588">
        <f>S42-S28</f>
        <v>8101</v>
      </c>
    </row>
    <row r="48" spans="1:19">
      <c r="D48" s="236"/>
      <c r="E48" s="588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236"/>
      <c r="S48" s="236"/>
    </row>
    <row r="49" spans="1:19">
      <c r="D49" s="236"/>
      <c r="E49" s="589">
        <v>2000</v>
      </c>
      <c r="F49" s="589">
        <v>2001</v>
      </c>
      <c r="G49" s="589">
        <v>2002</v>
      </c>
      <c r="H49" s="589">
        <v>2003</v>
      </c>
      <c r="I49" s="589">
        <v>2004</v>
      </c>
      <c r="J49" s="589">
        <v>2005</v>
      </c>
      <c r="K49" s="589">
        <v>2006</v>
      </c>
      <c r="L49" s="589">
        <v>2007</v>
      </c>
      <c r="M49" s="589">
        <v>2008</v>
      </c>
      <c r="N49" s="589">
        <v>2009</v>
      </c>
      <c r="O49" s="589">
        <v>2010</v>
      </c>
      <c r="P49" s="589">
        <v>2011</v>
      </c>
      <c r="Q49" s="589">
        <v>2012</v>
      </c>
      <c r="R49" s="589">
        <v>2013</v>
      </c>
      <c r="S49" s="589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90">
        <f>'CBR Hist'!F58</f>
        <v>15127</v>
      </c>
      <c r="F52" s="590">
        <f>'CBR Hist'!G58</f>
        <v>16340</v>
      </c>
      <c r="G52" s="590">
        <f>'CBR Hist'!H58</f>
        <v>20910</v>
      </c>
      <c r="H52" s="590">
        <f>'CBR Hist'!I58</f>
        <v>21299</v>
      </c>
      <c r="I52" s="590">
        <f>'CBR Hist'!J58</f>
        <v>21374</v>
      </c>
      <c r="J52" s="590">
        <f>'CBR Hist'!K58</f>
        <v>22459</v>
      </c>
      <c r="K52" s="590">
        <f>'CBR Hist'!L58</f>
        <v>23458</v>
      </c>
      <c r="L52" s="590">
        <f>'CBR Hist'!M58</f>
        <v>20632</v>
      </c>
      <c r="M52" s="590">
        <f>'CBR Hist'!N58</f>
        <v>23321</v>
      </c>
      <c r="N52" s="590">
        <f>'CBR Hist'!O58</f>
        <v>57116</v>
      </c>
      <c r="O52" s="590">
        <f>'CBR Hist'!P58</f>
        <v>81955</v>
      </c>
      <c r="P52" s="590">
        <f>'CBR Hist'!Q58</f>
        <v>84081</v>
      </c>
      <c r="Q52" s="590">
        <f>'CBR Hist'!R58</f>
        <v>85247</v>
      </c>
      <c r="R52" s="590">
        <f>'CBR Hist'!S58</f>
        <v>91466</v>
      </c>
      <c r="S52" s="590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27">
        <f>SUM(E52:E56)</f>
        <v>1022583</v>
      </c>
      <c r="F57" s="427">
        <f t="shared" ref="F57:O57" si="5">SUM(F52:F56)</f>
        <v>1066652</v>
      </c>
      <c r="G57" s="427">
        <f t="shared" si="5"/>
        <v>1295496</v>
      </c>
      <c r="H57" s="427">
        <f t="shared" si="5"/>
        <v>1331772</v>
      </c>
      <c r="I57" s="427">
        <f t="shared" si="5"/>
        <v>1409192</v>
      </c>
      <c r="J57" s="427">
        <f t="shared" si="5"/>
        <v>1462135</v>
      </c>
      <c r="K57" s="427">
        <f t="shared" si="5"/>
        <v>1554029</v>
      </c>
      <c r="L57" s="427">
        <f t="shared" si="5"/>
        <v>1603303</v>
      </c>
      <c r="M57" s="427">
        <f t="shared" si="5"/>
        <v>1689260</v>
      </c>
      <c r="N57" s="427">
        <f t="shared" si="5"/>
        <v>1806872</v>
      </c>
      <c r="O57" s="427">
        <f t="shared" si="5"/>
        <v>1921533</v>
      </c>
      <c r="P57" s="427">
        <f t="shared" ref="P57" si="6">SUM(P52:P56)</f>
        <v>1955287</v>
      </c>
      <c r="Q57" s="427">
        <f t="shared" ref="Q57:R57" si="7">SUM(Q52:Q56)</f>
        <v>2043913</v>
      </c>
      <c r="R57" s="427">
        <f t="shared" si="7"/>
        <v>2165496</v>
      </c>
      <c r="S57" s="427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280</v>
      </c>
      <c r="F59" s="196" t="s">
        <v>280</v>
      </c>
      <c r="G59" s="196" t="s">
        <v>280</v>
      </c>
      <c r="H59" s="196" t="s">
        <v>280</v>
      </c>
      <c r="I59" s="196" t="s">
        <v>280</v>
      </c>
      <c r="J59" s="196" t="s">
        <v>280</v>
      </c>
      <c r="K59" s="196" t="s">
        <v>280</v>
      </c>
      <c r="L59" s="196" t="s">
        <v>280</v>
      </c>
      <c r="M59" s="196" t="s">
        <v>280</v>
      </c>
      <c r="N59" s="196" t="s">
        <v>280</v>
      </c>
      <c r="O59" s="196" t="s">
        <v>280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280</v>
      </c>
      <c r="F60" s="196" t="s">
        <v>280</v>
      </c>
      <c r="G60" s="196" t="s">
        <v>280</v>
      </c>
      <c r="H60" s="196" t="s">
        <v>280</v>
      </c>
      <c r="I60" s="196" t="s">
        <v>280</v>
      </c>
      <c r="J60" s="196" t="s">
        <v>280</v>
      </c>
      <c r="K60" s="196" t="s">
        <v>280</v>
      </c>
      <c r="L60" s="196" t="s">
        <v>280</v>
      </c>
      <c r="M60" s="196" t="s">
        <v>280</v>
      </c>
      <c r="N60" s="196" t="s">
        <v>280</v>
      </c>
      <c r="O60" s="196" t="s">
        <v>280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280</v>
      </c>
      <c r="F61" s="196" t="s">
        <v>280</v>
      </c>
      <c r="G61" s="196" t="s">
        <v>280</v>
      </c>
      <c r="H61" s="196" t="s">
        <v>280</v>
      </c>
      <c r="I61" s="196" t="s">
        <v>280</v>
      </c>
      <c r="J61" s="196" t="s">
        <v>280</v>
      </c>
      <c r="K61" s="196" t="s">
        <v>280</v>
      </c>
      <c r="L61" s="196" t="s">
        <v>280</v>
      </c>
      <c r="M61" s="196" t="s">
        <v>280</v>
      </c>
      <c r="N61" s="196" t="s">
        <v>280</v>
      </c>
      <c r="O61" s="196" t="s">
        <v>280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280</v>
      </c>
      <c r="F62" s="196" t="s">
        <v>280</v>
      </c>
      <c r="G62" s="196" t="s">
        <v>280</v>
      </c>
      <c r="H62" s="196" t="s">
        <v>280</v>
      </c>
      <c r="I62" s="196" t="s">
        <v>280</v>
      </c>
      <c r="J62" s="196" t="s">
        <v>280</v>
      </c>
      <c r="K62" s="196" t="s">
        <v>280</v>
      </c>
      <c r="L62" s="196" t="s">
        <v>280</v>
      </c>
      <c r="M62" s="196" t="s">
        <v>280</v>
      </c>
      <c r="N62" s="196" t="s">
        <v>280</v>
      </c>
      <c r="O62" s="196" t="s">
        <v>280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280</v>
      </c>
      <c r="F63" s="196" t="s">
        <v>280</v>
      </c>
      <c r="G63" s="196" t="s">
        <v>280</v>
      </c>
      <c r="H63" s="196" t="s">
        <v>280</v>
      </c>
      <c r="I63" s="196" t="s">
        <v>280</v>
      </c>
      <c r="J63" s="196" t="s">
        <v>280</v>
      </c>
      <c r="K63" s="196" t="s">
        <v>280</v>
      </c>
      <c r="L63" s="196" t="s">
        <v>280</v>
      </c>
      <c r="M63" s="196" t="s">
        <v>280</v>
      </c>
      <c r="N63" s="196" t="s">
        <v>280</v>
      </c>
      <c r="O63" s="196" t="s">
        <v>280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31">
        <f>SUM(P59:P63)</f>
        <v>666983</v>
      </c>
      <c r="Q64" s="431">
        <f>SUM(Q59:Q63)</f>
        <v>704134</v>
      </c>
      <c r="R64" s="431">
        <f>SUM(R59:R63)</f>
        <v>749132</v>
      </c>
      <c r="S64" s="431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30">
        <f t="shared" ref="E65" si="9">E57-E64</f>
        <v>674238</v>
      </c>
      <c r="F65" s="430">
        <f t="shared" ref="F65:O65" si="10">F57-F64</f>
        <v>706998</v>
      </c>
      <c r="G65" s="430">
        <f t="shared" si="10"/>
        <v>876903</v>
      </c>
      <c r="H65" s="430">
        <f t="shared" si="10"/>
        <v>881676</v>
      </c>
      <c r="I65" s="430">
        <f t="shared" si="10"/>
        <v>933257</v>
      </c>
      <c r="J65" s="430">
        <f t="shared" si="10"/>
        <v>958941</v>
      </c>
      <c r="K65" s="430">
        <f t="shared" si="10"/>
        <v>1017347</v>
      </c>
      <c r="L65" s="430">
        <f t="shared" si="10"/>
        <v>1035983</v>
      </c>
      <c r="M65" s="430">
        <f t="shared" si="10"/>
        <v>1088968</v>
      </c>
      <c r="N65" s="430">
        <f t="shared" si="10"/>
        <v>1174762</v>
      </c>
      <c r="O65" s="430">
        <f t="shared" si="10"/>
        <v>1244898</v>
      </c>
      <c r="P65" s="430">
        <f t="shared" ref="P65:Q65" si="11">P57-P64</f>
        <v>1288304</v>
      </c>
      <c r="Q65" s="430">
        <f t="shared" si="11"/>
        <v>1339779</v>
      </c>
      <c r="R65" s="430">
        <f t="shared" ref="R65:S65" si="12">R57-R64</f>
        <v>1416364</v>
      </c>
      <c r="S65" s="430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294</v>
      </c>
      <c r="D68" s="40"/>
      <c r="E68" s="427">
        <f>E65+E67</f>
        <v>569992</v>
      </c>
      <c r="F68" s="427">
        <f t="shared" ref="F68:O68" si="13">F65+F67</f>
        <v>598885</v>
      </c>
      <c r="G68" s="427">
        <f t="shared" si="13"/>
        <v>763096</v>
      </c>
      <c r="H68" s="427">
        <f t="shared" si="13"/>
        <v>743549</v>
      </c>
      <c r="I68" s="427">
        <f t="shared" si="13"/>
        <v>778726</v>
      </c>
      <c r="J68" s="427">
        <f t="shared" si="13"/>
        <v>820685</v>
      </c>
      <c r="K68" s="427">
        <f t="shared" si="13"/>
        <v>874964</v>
      </c>
      <c r="L68" s="427">
        <f t="shared" si="13"/>
        <v>892437</v>
      </c>
      <c r="M68" s="427">
        <f t="shared" si="13"/>
        <v>937291</v>
      </c>
      <c r="N68" s="427">
        <f t="shared" si="13"/>
        <v>1005341</v>
      </c>
      <c r="O68" s="427">
        <f t="shared" si="13"/>
        <v>1053967</v>
      </c>
      <c r="P68" s="427">
        <f t="shared" ref="P68" si="14">P65+P67</f>
        <v>1087141</v>
      </c>
      <c r="Q68" s="427">
        <f t="shared" ref="Q68:R68" si="15">Q65+Q67</f>
        <v>1131570</v>
      </c>
      <c r="R68" s="427">
        <f t="shared" si="15"/>
        <v>1195010</v>
      </c>
      <c r="S68" s="427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29">
        <f>SUM(E68:E71)</f>
        <v>568492</v>
      </c>
      <c r="F72" s="429">
        <f t="shared" ref="F72:O72" si="17">SUM(F68:F71)</f>
        <v>597515</v>
      </c>
      <c r="G72" s="429">
        <f t="shared" si="17"/>
        <v>761858</v>
      </c>
      <c r="H72" s="429">
        <f t="shared" si="17"/>
        <v>742443</v>
      </c>
      <c r="I72" s="429">
        <f t="shared" si="17"/>
        <v>778011</v>
      </c>
      <c r="J72" s="429">
        <f t="shared" si="17"/>
        <v>819842</v>
      </c>
      <c r="K72" s="429">
        <f t="shared" si="17"/>
        <v>874511</v>
      </c>
      <c r="L72" s="429">
        <f t="shared" si="17"/>
        <v>891855</v>
      </c>
      <c r="M72" s="429">
        <f t="shared" si="17"/>
        <v>936840</v>
      </c>
      <c r="N72" s="429">
        <f t="shared" si="17"/>
        <v>1005019</v>
      </c>
      <c r="O72" s="429">
        <f t="shared" si="17"/>
        <v>1072028</v>
      </c>
      <c r="P72" s="429">
        <f t="shared" ref="P72" si="18">SUM(P68:P71)</f>
        <v>1137863</v>
      </c>
      <c r="Q72" s="429">
        <f t="shared" ref="Q72:R72" si="19">SUM(Q68:Q71)</f>
        <v>1158975</v>
      </c>
      <c r="R72" s="429">
        <f t="shared" si="19"/>
        <v>1226052</v>
      </c>
      <c r="S72" s="429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91">
        <f>E49</f>
        <v>2000</v>
      </c>
      <c r="F74" s="591">
        <f t="shared" ref="F74:R74" si="22">F49</f>
        <v>2001</v>
      </c>
      <c r="G74" s="591">
        <f t="shared" si="22"/>
        <v>2002</v>
      </c>
      <c r="H74" s="591">
        <f t="shared" si="22"/>
        <v>2003</v>
      </c>
      <c r="I74" s="591">
        <f t="shared" si="22"/>
        <v>2004</v>
      </c>
      <c r="J74" s="591">
        <f t="shared" si="22"/>
        <v>2005</v>
      </c>
      <c r="K74" s="591">
        <f t="shared" si="22"/>
        <v>2006</v>
      </c>
      <c r="L74" s="591">
        <f t="shared" si="22"/>
        <v>2007</v>
      </c>
      <c r="M74" s="591">
        <f t="shared" si="22"/>
        <v>2008</v>
      </c>
      <c r="N74" s="591">
        <f t="shared" si="22"/>
        <v>2009</v>
      </c>
      <c r="O74" s="591">
        <f t="shared" si="22"/>
        <v>2010</v>
      </c>
      <c r="P74" s="591">
        <f t="shared" si="22"/>
        <v>2011</v>
      </c>
      <c r="Q74" s="591">
        <f t="shared" si="22"/>
        <v>2012</v>
      </c>
      <c r="R74" s="591">
        <f t="shared" si="22"/>
        <v>2013</v>
      </c>
      <c r="S74" s="591">
        <f t="shared" ref="S74" si="23">S49</f>
        <v>2014</v>
      </c>
    </row>
    <row r="75" spans="1:19">
      <c r="B75" s="46" t="s">
        <v>246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332</v>
      </c>
      <c r="D76" s="592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350</v>
      </c>
      <c r="D77" s="592" t="s">
        <v>337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333</v>
      </c>
      <c r="D78" s="592" t="s">
        <v>348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333</v>
      </c>
      <c r="D79" s="592" t="s">
        <v>335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334</v>
      </c>
      <c r="D80" s="592" t="s">
        <v>348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334</v>
      </c>
      <c r="D81" s="592" t="s">
        <v>335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336</v>
      </c>
      <c r="D82" s="592" t="s">
        <v>348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336</v>
      </c>
      <c r="D83" s="592" t="s">
        <v>335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336</v>
      </c>
      <c r="D84" s="592" t="s">
        <v>337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338</v>
      </c>
      <c r="D85" s="592" t="s">
        <v>348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338</v>
      </c>
      <c r="D86" s="592" t="s">
        <v>335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338</v>
      </c>
      <c r="D87" s="592" t="s">
        <v>337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344</v>
      </c>
      <c r="D88" s="592" t="s">
        <v>348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344</v>
      </c>
      <c r="D89" s="592" t="s">
        <v>335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344</v>
      </c>
      <c r="D90" s="592" t="s">
        <v>337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339</v>
      </c>
      <c r="D91" s="592" t="s">
        <v>348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339</v>
      </c>
      <c r="D92" s="592" t="s">
        <v>335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339</v>
      </c>
      <c r="D93" s="363" t="s">
        <v>337</v>
      </c>
      <c r="E93" s="357"/>
      <c r="F93" s="357"/>
      <c r="G93" s="357"/>
      <c r="H93" s="357"/>
      <c r="I93" s="357"/>
      <c r="J93" s="357"/>
      <c r="K93" s="357"/>
      <c r="L93" s="357"/>
      <c r="M93" s="357"/>
      <c r="N93" s="357">
        <f>-236-78</f>
        <v>-314</v>
      </c>
      <c r="O93" s="357">
        <f>-476-429</f>
        <v>-905</v>
      </c>
      <c r="P93" s="357">
        <f>-501-36-240-153</f>
        <v>-930</v>
      </c>
      <c r="Q93" s="357">
        <f>-448-33-215-136</f>
        <v>-832</v>
      </c>
      <c r="R93" s="357">
        <f>-395-189-121</f>
        <v>-705</v>
      </c>
      <c r="S93" s="238">
        <f>-342-163-104</f>
        <v>-609</v>
      </c>
    </row>
    <row r="94" spans="1:19">
      <c r="A94" s="12" t="s">
        <v>340</v>
      </c>
      <c r="D94" s="363" t="s">
        <v>348</v>
      </c>
      <c r="E94" s="357"/>
      <c r="F94" s="357"/>
      <c r="G94" s="357"/>
      <c r="H94" s="357"/>
      <c r="I94" s="357"/>
      <c r="J94" s="357"/>
      <c r="K94" s="357"/>
      <c r="L94" s="357"/>
      <c r="M94" s="357"/>
      <c r="N94" s="357">
        <v>5075</v>
      </c>
      <c r="O94" s="357">
        <v>4398</v>
      </c>
      <c r="P94" s="357">
        <v>3721</v>
      </c>
      <c r="Q94" s="357">
        <v>3045</v>
      </c>
      <c r="R94" s="357">
        <v>2368</v>
      </c>
      <c r="S94" s="238">
        <v>1692</v>
      </c>
    </row>
    <row r="95" spans="1:19">
      <c r="A95" s="12" t="s">
        <v>340</v>
      </c>
      <c r="D95" s="363" t="s">
        <v>337</v>
      </c>
      <c r="E95" s="357"/>
      <c r="F95" s="357"/>
      <c r="G95" s="357"/>
      <c r="H95" s="357"/>
      <c r="I95" s="357"/>
      <c r="J95" s="357"/>
      <c r="K95" s="357"/>
      <c r="L95" s="357"/>
      <c r="M95" s="357"/>
      <c r="N95" s="357">
        <v>-1776</v>
      </c>
      <c r="O95" s="357">
        <v>-1539</v>
      </c>
      <c r="P95" s="357">
        <v>-1303</v>
      </c>
      <c r="Q95" s="357">
        <v>-1066</v>
      </c>
      <c r="R95" s="357">
        <v>-829</v>
      </c>
      <c r="S95" s="238">
        <v>-592</v>
      </c>
    </row>
    <row r="96" spans="1:19">
      <c r="A96" s="12" t="s">
        <v>341</v>
      </c>
      <c r="D96" s="363" t="s">
        <v>348</v>
      </c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>
        <v>279</v>
      </c>
      <c r="P96" s="357">
        <v>6007</v>
      </c>
      <c r="Q96" s="357">
        <v>4647</v>
      </c>
      <c r="R96" s="357">
        <v>3287</v>
      </c>
      <c r="S96" s="238">
        <v>1927</v>
      </c>
    </row>
    <row r="97" spans="1:19">
      <c r="A97" s="12" t="s">
        <v>341</v>
      </c>
      <c r="D97" s="363" t="s">
        <v>337</v>
      </c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>
        <v>-98</v>
      </c>
      <c r="P97" s="357">
        <v>-2102</v>
      </c>
      <c r="Q97" s="357">
        <v>-1626</v>
      </c>
      <c r="R97" s="357">
        <v>-1150</v>
      </c>
      <c r="S97" s="238">
        <v>-674</v>
      </c>
    </row>
    <row r="98" spans="1:19">
      <c r="A98" s="12" t="s">
        <v>345</v>
      </c>
      <c r="D98" s="363" t="s">
        <v>348</v>
      </c>
      <c r="E98" s="357">
        <v>24</v>
      </c>
      <c r="F98" s="357">
        <v>479</v>
      </c>
      <c r="G98" s="357">
        <v>286</v>
      </c>
      <c r="H98" s="357">
        <v>95</v>
      </c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238"/>
    </row>
    <row r="99" spans="1:19">
      <c r="A99" s="12" t="s">
        <v>342</v>
      </c>
      <c r="D99" s="363" t="s">
        <v>349</v>
      </c>
      <c r="E99" s="357">
        <v>-848</v>
      </c>
      <c r="F99" s="357">
        <v>-487</v>
      </c>
      <c r="G99" s="357">
        <v>-245</v>
      </c>
      <c r="H99" s="357">
        <v>-225</v>
      </c>
      <c r="I99" s="357">
        <v>-223</v>
      </c>
      <c r="J99" s="357">
        <v>-248</v>
      </c>
      <c r="K99" s="357">
        <v>-267</v>
      </c>
      <c r="L99" s="357">
        <v>-258</v>
      </c>
      <c r="M99" s="357">
        <v>-232</v>
      </c>
      <c r="N99" s="357">
        <v>-257</v>
      </c>
      <c r="O99" s="357">
        <v>-279</v>
      </c>
      <c r="P99" s="357">
        <f>-248-22</f>
        <v>-270</v>
      </c>
      <c r="Q99" s="357">
        <v>-236</v>
      </c>
      <c r="R99" s="357">
        <v>-363</v>
      </c>
      <c r="S99" s="238">
        <v>-438</v>
      </c>
    </row>
    <row r="100" spans="1:19">
      <c r="A100" s="12" t="s">
        <v>343</v>
      </c>
      <c r="D100" s="363" t="s">
        <v>349</v>
      </c>
      <c r="E100" s="357"/>
      <c r="F100" s="357"/>
      <c r="G100" s="357"/>
      <c r="H100" s="357"/>
      <c r="I100" s="357"/>
      <c r="J100" s="357"/>
      <c r="K100" s="357"/>
      <c r="L100" s="357"/>
      <c r="M100" s="357"/>
      <c r="N100" s="357">
        <v>-3060</v>
      </c>
      <c r="O100" s="357">
        <v>-3419</v>
      </c>
      <c r="P100" s="357">
        <v>-3743</v>
      </c>
      <c r="Q100" s="357">
        <v>-2942</v>
      </c>
      <c r="R100" s="357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58">
        <f t="shared" ref="E102:M102" si="24">SUM(E76:E100)</f>
        <v>-80657</v>
      </c>
      <c r="F102" s="358">
        <f t="shared" si="24"/>
        <v>-64763</v>
      </c>
      <c r="G102" s="358">
        <f t="shared" si="24"/>
        <v>22356</v>
      </c>
      <c r="H102" s="358">
        <f t="shared" si="24"/>
        <v>21841</v>
      </c>
      <c r="I102" s="358">
        <f t="shared" si="24"/>
        <v>20255</v>
      </c>
      <c r="J102" s="358">
        <f t="shared" si="24"/>
        <v>20751</v>
      </c>
      <c r="K102" s="358">
        <f t="shared" si="24"/>
        <v>18799</v>
      </c>
      <c r="L102" s="358">
        <f t="shared" si="24"/>
        <v>21020</v>
      </c>
      <c r="M102" s="358">
        <f t="shared" si="24"/>
        <v>19593</v>
      </c>
      <c r="N102" s="358">
        <f t="shared" ref="N102:S102" si="25">SUM(N76:N100)</f>
        <v>17776</v>
      </c>
      <c r="O102" s="358">
        <f t="shared" si="25"/>
        <v>17776</v>
      </c>
      <c r="P102" s="358">
        <f t="shared" si="25"/>
        <v>18845</v>
      </c>
      <c r="Q102" s="358">
        <f t="shared" si="25"/>
        <v>16438</v>
      </c>
      <c r="R102" s="358">
        <f t="shared" si="25"/>
        <v>14761</v>
      </c>
      <c r="S102" s="588">
        <f t="shared" si="25"/>
        <v>10846</v>
      </c>
    </row>
    <row r="103" spans="1:19">
      <c r="A103" s="12" t="s">
        <v>346</v>
      </c>
      <c r="E103" s="358">
        <f>E78+E80+E82+E85+E88+E91+E94+E96+E98</f>
        <v>-86175</v>
      </c>
      <c r="F103" s="358">
        <f t="shared" ref="F103:O103" si="26">F78+F80+F82+F85+F88+F91+F94+F96+F98</f>
        <v>-77770</v>
      </c>
      <c r="G103" s="358">
        <f t="shared" si="26"/>
        <v>53521</v>
      </c>
      <c r="H103" s="358">
        <f t="shared" si="26"/>
        <v>53601</v>
      </c>
      <c r="I103" s="358">
        <f t="shared" si="26"/>
        <v>53340</v>
      </c>
      <c r="J103" s="358">
        <f t="shared" si="26"/>
        <v>53419</v>
      </c>
      <c r="K103" s="358">
        <f t="shared" si="26"/>
        <v>53490</v>
      </c>
      <c r="L103" s="358">
        <f t="shared" si="26"/>
        <v>67386</v>
      </c>
      <c r="M103" s="358">
        <f t="shared" si="26"/>
        <v>67317</v>
      </c>
      <c r="N103" s="358">
        <f t="shared" si="26"/>
        <v>73409</v>
      </c>
      <c r="O103" s="358">
        <f t="shared" si="26"/>
        <v>74943</v>
      </c>
      <c r="P103" s="358"/>
      <c r="Q103" s="358"/>
      <c r="R103" s="358"/>
      <c r="S103" s="588"/>
    </row>
    <row r="104" spans="1:19">
      <c r="A104" s="12" t="s">
        <v>347</v>
      </c>
      <c r="E104" s="358">
        <f>E99+E100</f>
        <v>-848</v>
      </c>
      <c r="F104" s="358">
        <f t="shared" ref="F104:O104" si="27">F99+F100</f>
        <v>-487</v>
      </c>
      <c r="G104" s="358">
        <f t="shared" si="27"/>
        <v>-245</v>
      </c>
      <c r="H104" s="358">
        <f t="shared" si="27"/>
        <v>-225</v>
      </c>
      <c r="I104" s="358">
        <f t="shared" si="27"/>
        <v>-223</v>
      </c>
      <c r="J104" s="358">
        <f t="shared" si="27"/>
        <v>-248</v>
      </c>
      <c r="K104" s="358">
        <f t="shared" si="27"/>
        <v>-267</v>
      </c>
      <c r="L104" s="358">
        <f t="shared" si="27"/>
        <v>-258</v>
      </c>
      <c r="M104" s="358">
        <f t="shared" si="27"/>
        <v>-232</v>
      </c>
      <c r="N104" s="358">
        <f t="shared" si="27"/>
        <v>-3317</v>
      </c>
      <c r="O104" s="358">
        <f t="shared" si="27"/>
        <v>-3698</v>
      </c>
      <c r="P104" s="358"/>
      <c r="Q104" s="358"/>
      <c r="R104" s="358"/>
      <c r="S104" s="588"/>
    </row>
    <row r="105" spans="1:19">
      <c r="A105" s="12" t="s">
        <v>335</v>
      </c>
      <c r="E105" s="358">
        <f>E79+E81+E83+E86+E89+E92</f>
        <v>6337</v>
      </c>
      <c r="F105" s="358">
        <f t="shared" ref="F105:O105" si="28">F79+F81+F83+F86+F89+F92</f>
        <v>13436</v>
      </c>
      <c r="G105" s="358">
        <f t="shared" si="28"/>
        <v>-27242</v>
      </c>
      <c r="H105" s="358">
        <f t="shared" si="28"/>
        <v>-27706</v>
      </c>
      <c r="I105" s="358">
        <f t="shared" si="28"/>
        <v>-28576</v>
      </c>
      <c r="J105" s="358">
        <f t="shared" si="28"/>
        <v>-28288</v>
      </c>
      <c r="K105" s="358">
        <f t="shared" si="28"/>
        <v>-30083</v>
      </c>
      <c r="L105" s="358">
        <f t="shared" si="28"/>
        <v>-41013</v>
      </c>
      <c r="M105" s="358">
        <f t="shared" si="28"/>
        <v>-42866</v>
      </c>
      <c r="N105" s="358">
        <f t="shared" si="28"/>
        <v>-46289</v>
      </c>
      <c r="O105" s="358">
        <f t="shared" si="28"/>
        <v>-47236</v>
      </c>
      <c r="P105" s="358"/>
      <c r="Q105" s="358"/>
      <c r="R105" s="358"/>
      <c r="S105" s="588"/>
    </row>
    <row r="106" spans="1:19">
      <c r="A106" s="12" t="s">
        <v>337</v>
      </c>
      <c r="E106" s="358">
        <f>E77+E84+E87+E90+E93+E95+E97</f>
        <v>1529</v>
      </c>
      <c r="F106" s="358">
        <f t="shared" ref="F106:O106" si="29">F77+F84+F87+F90+F93+F95+F97</f>
        <v>1428</v>
      </c>
      <c r="G106" s="358">
        <f t="shared" si="29"/>
        <v>-2440</v>
      </c>
      <c r="H106" s="358">
        <f t="shared" si="29"/>
        <v>-2723</v>
      </c>
      <c r="I106" s="358">
        <f t="shared" si="29"/>
        <v>-3571</v>
      </c>
      <c r="J106" s="358">
        <f t="shared" si="29"/>
        <v>-3289</v>
      </c>
      <c r="K106" s="358">
        <f t="shared" si="29"/>
        <v>-3888</v>
      </c>
      <c r="L106" s="358">
        <f t="shared" si="29"/>
        <v>-4513</v>
      </c>
      <c r="M106" s="358">
        <f t="shared" si="29"/>
        <v>-4175</v>
      </c>
      <c r="N106" s="358">
        <f t="shared" si="29"/>
        <v>-5705</v>
      </c>
      <c r="O106" s="358">
        <f t="shared" si="29"/>
        <v>-6106</v>
      </c>
      <c r="P106" s="358"/>
      <c r="Q106" s="358"/>
      <c r="R106" s="358"/>
      <c r="S106" s="588"/>
    </row>
    <row r="107" spans="1:19">
      <c r="A107" s="12" t="s">
        <v>239</v>
      </c>
      <c r="E107" s="358">
        <f t="shared" ref="E107" si="30">E76</f>
        <v>-1500</v>
      </c>
      <c r="F107" s="358">
        <f t="shared" ref="F107:O107" si="31">F76</f>
        <v>-1370</v>
      </c>
      <c r="G107" s="358">
        <f t="shared" si="31"/>
        <v>-1238</v>
      </c>
      <c r="H107" s="358">
        <f t="shared" si="31"/>
        <v>-1106</v>
      </c>
      <c r="I107" s="358">
        <f t="shared" si="31"/>
        <v>-715</v>
      </c>
      <c r="J107" s="358">
        <f t="shared" si="31"/>
        <v>-843</v>
      </c>
      <c r="K107" s="358">
        <f t="shared" si="31"/>
        <v>-453</v>
      </c>
      <c r="L107" s="358">
        <f t="shared" si="31"/>
        <v>-582</v>
      </c>
      <c r="M107" s="358">
        <f t="shared" si="31"/>
        <v>-451</v>
      </c>
      <c r="N107" s="358">
        <f t="shared" si="31"/>
        <v>-322</v>
      </c>
      <c r="O107" s="358">
        <f t="shared" si="31"/>
        <v>-127</v>
      </c>
      <c r="P107" s="358">
        <f>P69</f>
        <v>32534</v>
      </c>
      <c r="Q107" s="358">
        <f t="shared" ref="Q107" si="32">Q69</f>
        <v>16438</v>
      </c>
      <c r="R107" s="358">
        <f>R69</f>
        <v>14761</v>
      </c>
      <c r="S107" s="588">
        <f>S69</f>
        <v>10846</v>
      </c>
    </row>
    <row r="108" spans="1:19">
      <c r="S108" s="236"/>
    </row>
    <row r="109" spans="1:19">
      <c r="O109" s="363" t="s">
        <v>509</v>
      </c>
      <c r="P109" s="358">
        <f>P102-P107</f>
        <v>-13689</v>
      </c>
      <c r="S109" s="236"/>
    </row>
    <row r="110" spans="1:19">
      <c r="O110" s="363" t="s">
        <v>510</v>
      </c>
      <c r="P110" s="358">
        <f>-P109</f>
        <v>13689</v>
      </c>
      <c r="S110" s="236"/>
    </row>
    <row r="111" spans="1:19">
      <c r="P111" s="358"/>
      <c r="Q111" s="358"/>
      <c r="R111" s="358"/>
      <c r="S111" s="358"/>
    </row>
  </sheetData>
  <printOptions horizontalCentered="1"/>
  <pageMargins left="0.23" right="0.2" top="0.75" bottom="0.75" header="0.3" footer="0.54"/>
  <pageSetup scale="37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57"/>
  <sheetViews>
    <sheetView topLeftCell="E1" workbookViewId="0"/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296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54" t="s">
        <v>643</v>
      </c>
      <c r="W7" s="554"/>
      <c r="X7" s="555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62" t="s">
        <v>515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60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60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60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403</v>
      </c>
    </row>
    <row r="56" spans="1:21">
      <c r="F56" s="156" t="s">
        <v>297</v>
      </c>
    </row>
    <row r="57" spans="1:21">
      <c r="F57" s="156" t="s">
        <v>514</v>
      </c>
    </row>
  </sheetData>
  <phoneticPr fontId="55" type="noConversion"/>
  <pageMargins left="0.7" right="0.7" top="0.33" bottom="0.5" header="0.17" footer="0.3"/>
  <pageSetup scale="71" orientation="landscape" r:id="rId1"/>
  <headerFooter>
    <oddFooter>&amp;C&amp;F/&amp;A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58"/>
  <sheetViews>
    <sheetView topLeftCell="E1" workbookViewId="0"/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296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56">
        <v>2004</v>
      </c>
      <c r="N7" s="565">
        <v>2005</v>
      </c>
      <c r="O7" s="556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71" t="s">
        <v>643</v>
      </c>
      <c r="W7" s="571"/>
      <c r="X7" s="740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57" t="s">
        <v>92</v>
      </c>
      <c r="N8" s="566" t="s">
        <v>92</v>
      </c>
      <c r="O8" s="557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62" t="s">
        <v>512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58" t="s">
        <v>235</v>
      </c>
      <c r="N9" s="567" t="s">
        <v>235</v>
      </c>
      <c r="O9" s="558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55"/>
      <c r="O10" s="555"/>
    </row>
    <row r="11" spans="1:24">
      <c r="A11" s="158"/>
      <c r="B11" s="156" t="s">
        <v>86</v>
      </c>
      <c r="E11" s="158"/>
      <c r="F11" s="156" t="s">
        <v>86</v>
      </c>
      <c r="M11" s="555"/>
      <c r="O11" s="555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60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59">
        <f>M24/$H12</f>
        <v>7504.2971533978953</v>
      </c>
      <c r="N12" s="568">
        <f t="shared" ref="N12:T12" si="0">N24/$D12</f>
        <v>9829.3372421735949</v>
      </c>
      <c r="O12" s="559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59"/>
      <c r="N13" s="568"/>
      <c r="O13" s="559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60"/>
      <c r="N14" s="569"/>
      <c r="O14" s="560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59">
        <f>SUM(M12:M14)</f>
        <v>7504.2971533978953</v>
      </c>
      <c r="N15" s="568">
        <f t="shared" ref="N15:T15" si="2">SUM(N12:N14)</f>
        <v>9829.3372421735949</v>
      </c>
      <c r="O15" s="559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60"/>
      <c r="N16" s="569"/>
      <c r="O16" s="560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59">
        <f>M15+M16</f>
        <v>7504.2971533978953</v>
      </c>
      <c r="N17" s="568">
        <f t="shared" ref="N17:T17" si="4">N15+N16</f>
        <v>9829.3372421735949</v>
      </c>
      <c r="O17" s="559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59"/>
      <c r="N18" s="568"/>
      <c r="O18" s="559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59"/>
      <c r="N19" s="568"/>
      <c r="O19" s="559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59"/>
      <c r="N20" s="568"/>
      <c r="O20" s="559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59"/>
      <c r="N21" s="568"/>
      <c r="O21" s="559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59"/>
      <c r="N22" s="568"/>
      <c r="O22" s="559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59"/>
      <c r="N23" s="568"/>
      <c r="O23" s="559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59">
        <v>7160</v>
      </c>
      <c r="N24" s="568">
        <v>9388</v>
      </c>
      <c r="O24" s="559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60"/>
      <c r="N25" s="569"/>
      <c r="O25" s="560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59">
        <f>SUM(M21:M25)</f>
        <v>7160</v>
      </c>
      <c r="N26" s="568">
        <f t="shared" ref="N26:T26" si="6">SUM(N21:N25)</f>
        <v>9388</v>
      </c>
      <c r="O26" s="559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59"/>
      <c r="N27" s="568"/>
      <c r="O27" s="559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59"/>
      <c r="N28" s="568"/>
      <c r="O28" s="559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59"/>
      <c r="N29" s="568"/>
      <c r="O29" s="559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59"/>
      <c r="N30" s="568"/>
      <c r="O30" s="559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60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60">
        <f>M12*$H31</f>
        <v>289.1180564289607</v>
      </c>
      <c r="N31" s="569">
        <f t="shared" ref="N31:U31" si="8">N12*$D31</f>
        <v>379.03890273269815</v>
      </c>
      <c r="O31" s="560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59">
        <f>SUM(M29:M31)</f>
        <v>289.1180564289607</v>
      </c>
      <c r="N32" s="568">
        <f t="shared" ref="N32:T32" si="9">SUM(N29:N31)</f>
        <v>379.03890273269815</v>
      </c>
      <c r="O32" s="559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59"/>
      <c r="N33" s="568"/>
      <c r="O33" s="559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60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59">
        <f>M12*$H34</f>
        <v>40.170502662138937</v>
      </c>
      <c r="N34" s="568">
        <f t="shared" ref="N34:S34" si="11">N12*$D34</f>
        <v>42.639664956549055</v>
      </c>
      <c r="O34" s="559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59"/>
      <c r="N35" s="568"/>
      <c r="O35" s="559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59"/>
      <c r="N36" s="568"/>
      <c r="O36" s="559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59"/>
      <c r="N37" s="568"/>
      <c r="O37" s="559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59"/>
      <c r="N38" s="568"/>
      <c r="O38" s="559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60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59">
        <f>M12*$H39</f>
        <v>15.008594306795791</v>
      </c>
      <c r="N39" s="568">
        <f t="shared" ref="N39:T39" si="12">N12*$D39</f>
        <v>19.658674484347191</v>
      </c>
      <c r="O39" s="559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59"/>
      <c r="N40" s="568"/>
      <c r="O40" s="559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60"/>
      <c r="N41" s="569"/>
      <c r="O41" s="560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61">
        <f>SUM(M39:M41)</f>
        <v>15.008594306795791</v>
      </c>
      <c r="N42" s="570">
        <f t="shared" ref="N42:T42" si="14">SUM(N39:N41)</f>
        <v>19.658674484347191</v>
      </c>
      <c r="O42" s="561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61">
        <f>M26+M32+M34+M35+M36+M42</f>
        <v>7504.2971533978962</v>
      </c>
      <c r="N43" s="570">
        <f t="shared" ref="N43:S43" si="16">N26+N32+N34+N35+N36+N42</f>
        <v>9829.3372421735949</v>
      </c>
      <c r="O43" s="561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59"/>
      <c r="N44" s="568"/>
      <c r="O44" s="559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59">
        <f>M17-M43</f>
        <v>0</v>
      </c>
      <c r="N45" s="568">
        <f t="shared" ref="N45:T45" si="17">N17-N43</f>
        <v>0</v>
      </c>
      <c r="O45" s="559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59"/>
      <c r="N46" s="568"/>
      <c r="O46" s="559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59"/>
      <c r="N47" s="568"/>
      <c r="O47" s="559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59">
        <f>ROUND(0.35*M45,0)</f>
        <v>0</v>
      </c>
      <c r="N48" s="568">
        <f t="shared" ref="N48:T48" si="19">ROUND(0.35*N45,0)</f>
        <v>0</v>
      </c>
      <c r="O48" s="559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59"/>
      <c r="N49" s="568"/>
      <c r="O49" s="559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59"/>
      <c r="N50" s="568"/>
      <c r="O50" s="559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60"/>
      <c r="N51" s="569"/>
      <c r="O51" s="560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59"/>
      <c r="N52" s="568"/>
      <c r="O52" s="559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59">
        <f>M45-M48-M49-M50-M51</f>
        <v>0</v>
      </c>
      <c r="N53" s="568">
        <f t="shared" ref="N53:T53" si="21">N45-N48-N49-N50-N51</f>
        <v>0</v>
      </c>
      <c r="O53" s="559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511</v>
      </c>
    </row>
    <row r="56" spans="1:21">
      <c r="F56" s="156" t="s">
        <v>300</v>
      </c>
    </row>
    <row r="57" spans="1:21">
      <c r="F57" s="156" t="s">
        <v>298</v>
      </c>
    </row>
    <row r="58" spans="1:21">
      <c r="F58" s="156" t="s">
        <v>513</v>
      </c>
    </row>
  </sheetData>
  <phoneticPr fontId="55" type="noConversion"/>
  <pageMargins left="0.7" right="0.7" top="0.19" bottom="0.5" header="0.17" footer="0.3"/>
  <pageSetup scale="71" orientation="landscape" cellComments="asDisplayed" r:id="rId1"/>
  <headerFooter>
    <oddFooter>&amp;C&amp;F /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84"/>
  <sheetViews>
    <sheetView view="pageBreakPreview" topLeftCell="A13" zoomScaleNormal="100" zoomScaleSheetLayoutView="100" workbookViewId="0">
      <selection activeCell="T22" sqref="T22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12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12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386</v>
      </c>
      <c r="D3" s="17"/>
      <c r="H3" s="14" t="s">
        <v>387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12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12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12"/>
      <c r="F7" s="26"/>
      <c r="G7" s="27"/>
      <c r="K7" s="26"/>
      <c r="O7" s="26"/>
      <c r="T7" s="792" t="s">
        <v>710</v>
      </c>
    </row>
    <row r="8" spans="1:20" s="25" customFormat="1">
      <c r="A8" s="31" t="s">
        <v>90</v>
      </c>
      <c r="B8" s="30"/>
      <c r="C8" s="29"/>
      <c r="D8" s="29" t="s">
        <v>4</v>
      </c>
      <c r="E8" s="412"/>
      <c r="F8" s="413" t="s">
        <v>388</v>
      </c>
      <c r="G8" s="413" t="s">
        <v>389</v>
      </c>
      <c r="H8" s="413" t="s">
        <v>390</v>
      </c>
      <c r="I8" s="413" t="s">
        <v>391</v>
      </c>
      <c r="J8" s="413" t="s">
        <v>392</v>
      </c>
      <c r="K8" s="413" t="s">
        <v>393</v>
      </c>
      <c r="L8" s="413" t="s">
        <v>394</v>
      </c>
      <c r="M8" s="413" t="s">
        <v>395</v>
      </c>
      <c r="N8" s="413" t="s">
        <v>396</v>
      </c>
      <c r="O8" s="413" t="s">
        <v>397</v>
      </c>
      <c r="P8" s="413" t="s">
        <v>398</v>
      </c>
      <c r="Q8" s="413" t="s">
        <v>399</v>
      </c>
      <c r="R8" s="413" t="s">
        <v>400</v>
      </c>
      <c r="S8" s="413" t="s">
        <v>500</v>
      </c>
      <c r="T8" s="413" t="s">
        <v>644</v>
      </c>
    </row>
    <row r="9" spans="1:20" s="76" customFormat="1">
      <c r="B9" s="77" t="s">
        <v>135</v>
      </c>
      <c r="E9" s="412"/>
      <c r="F9" s="79"/>
      <c r="G9" s="80"/>
      <c r="K9" s="78"/>
      <c r="O9" s="79"/>
    </row>
    <row r="10" spans="1:20" s="76" customFormat="1">
      <c r="B10" s="77" t="s">
        <v>136</v>
      </c>
      <c r="E10" s="412"/>
      <c r="F10" s="79"/>
      <c r="G10" s="80"/>
      <c r="K10" s="78"/>
      <c r="O10" s="79"/>
    </row>
    <row r="11" spans="1:20" s="76" customFormat="1">
      <c r="B11" s="77"/>
      <c r="E11" s="412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12"/>
      <c r="F13" s="414">
        <v>242529</v>
      </c>
      <c r="G13" s="414">
        <v>258201</v>
      </c>
      <c r="H13" s="414">
        <v>273318</v>
      </c>
      <c r="I13" s="414">
        <v>283356</v>
      </c>
      <c r="J13" s="414">
        <v>285399</v>
      </c>
      <c r="K13" s="414">
        <v>289216</v>
      </c>
      <c r="L13" s="414">
        <v>321929</v>
      </c>
      <c r="M13" s="414">
        <v>326335</v>
      </c>
      <c r="N13" s="414">
        <v>365425</v>
      </c>
      <c r="O13" s="414">
        <v>402618</v>
      </c>
      <c r="P13" s="414">
        <v>415739.9703632</v>
      </c>
      <c r="Q13" s="414">
        <v>451837</v>
      </c>
      <c r="R13" s="414">
        <v>460195</v>
      </c>
      <c r="S13" s="414">
        <v>468006</v>
      </c>
      <c r="T13" s="414">
        <v>488372</v>
      </c>
    </row>
    <row r="14" spans="1:20" s="22" customFormat="1">
      <c r="A14" s="19">
        <v>2</v>
      </c>
      <c r="B14" s="22" t="s">
        <v>84</v>
      </c>
      <c r="E14" s="412"/>
      <c r="F14" s="415">
        <v>546</v>
      </c>
      <c r="G14" s="415">
        <v>528</v>
      </c>
      <c r="H14" s="415">
        <v>791</v>
      </c>
      <c r="I14" s="415">
        <v>752</v>
      </c>
      <c r="J14" s="415">
        <v>752</v>
      </c>
      <c r="K14" s="415">
        <v>713</v>
      </c>
      <c r="L14" s="415">
        <v>733</v>
      </c>
      <c r="M14" s="415">
        <v>739</v>
      </c>
      <c r="N14" s="415">
        <v>820</v>
      </c>
      <c r="O14" s="415">
        <v>871.54909999999995</v>
      </c>
      <c r="P14" s="415">
        <v>790</v>
      </c>
      <c r="Q14" s="415">
        <v>820</v>
      </c>
      <c r="R14" s="415">
        <v>-113</v>
      </c>
      <c r="S14" s="415">
        <v>884</v>
      </c>
      <c r="T14" s="415">
        <v>922</v>
      </c>
    </row>
    <row r="15" spans="1:20" s="22" customFormat="1">
      <c r="A15" s="19">
        <v>3</v>
      </c>
      <c r="B15" s="22" t="s">
        <v>83</v>
      </c>
      <c r="E15" s="412"/>
      <c r="F15" s="416">
        <v>137117</v>
      </c>
      <c r="G15" s="416">
        <v>91388</v>
      </c>
      <c r="H15" s="416">
        <v>29918</v>
      </c>
      <c r="I15" s="416">
        <v>35252</v>
      </c>
      <c r="J15" s="416">
        <v>40460</v>
      </c>
      <c r="K15" s="416">
        <v>44718</v>
      </c>
      <c r="L15" s="416">
        <v>35380</v>
      </c>
      <c r="M15" s="416">
        <v>34954</v>
      </c>
      <c r="N15" s="416">
        <v>46848</v>
      </c>
      <c r="O15" s="416">
        <v>31491</v>
      </c>
      <c r="P15" s="416">
        <v>133479</v>
      </c>
      <c r="Q15" s="416">
        <v>52604</v>
      </c>
      <c r="R15" s="416">
        <v>54549</v>
      </c>
      <c r="S15" s="416">
        <v>75349</v>
      </c>
      <c r="T15" s="416">
        <v>60998</v>
      </c>
    </row>
    <row r="16" spans="1:20" s="22" customFormat="1">
      <c r="A16" s="19">
        <v>4</v>
      </c>
      <c r="B16" s="22" t="s">
        <v>82</v>
      </c>
      <c r="E16" s="412"/>
      <c r="F16" s="417">
        <v>380192</v>
      </c>
      <c r="G16" s="417">
        <v>350117</v>
      </c>
      <c r="H16" s="417">
        <v>304027</v>
      </c>
      <c r="I16" s="417">
        <v>319360</v>
      </c>
      <c r="J16" s="417">
        <v>326611</v>
      </c>
      <c r="K16" s="417">
        <v>334647</v>
      </c>
      <c r="L16" s="417">
        <v>358042</v>
      </c>
      <c r="M16" s="417">
        <v>362028</v>
      </c>
      <c r="N16" s="417">
        <v>413093</v>
      </c>
      <c r="O16" s="417">
        <v>434980.5491</v>
      </c>
      <c r="P16" s="417">
        <v>550008.97036319994</v>
      </c>
      <c r="Q16" s="417">
        <v>505261</v>
      </c>
      <c r="R16" s="417">
        <v>514631</v>
      </c>
      <c r="S16" s="417">
        <f>SUM(S13:S15)</f>
        <v>544239</v>
      </c>
      <c r="T16" s="417">
        <f>SUM(T13:T15)</f>
        <v>550292</v>
      </c>
    </row>
    <row r="17" spans="1:21" s="22" customFormat="1">
      <c r="A17" s="19">
        <v>5</v>
      </c>
      <c r="B17" s="22" t="s">
        <v>81</v>
      </c>
      <c r="E17" s="412"/>
      <c r="F17" s="416">
        <v>13062</v>
      </c>
      <c r="G17" s="416">
        <v>14305</v>
      </c>
      <c r="H17" s="416">
        <v>34274</v>
      </c>
      <c r="I17" s="416">
        <v>57244</v>
      </c>
      <c r="J17" s="416">
        <v>8587</v>
      </c>
      <c r="K17" s="416">
        <v>10259</v>
      </c>
      <c r="L17" s="416">
        <v>10178</v>
      </c>
      <c r="M17" s="416">
        <v>10170</v>
      </c>
      <c r="N17" s="416">
        <v>10927</v>
      </c>
      <c r="O17" s="416">
        <v>9395</v>
      </c>
      <c r="P17" s="416">
        <v>11786</v>
      </c>
      <c r="Q17" s="416">
        <v>13666</v>
      </c>
      <c r="R17" s="416">
        <v>13089</v>
      </c>
      <c r="S17" s="416">
        <v>13408</v>
      </c>
      <c r="T17" s="416">
        <v>17163</v>
      </c>
    </row>
    <row r="18" spans="1:21" s="22" customFormat="1">
      <c r="A18" s="19">
        <v>6</v>
      </c>
      <c r="B18" s="22" t="s">
        <v>80</v>
      </c>
      <c r="E18" s="412"/>
      <c r="F18" s="417">
        <v>393254</v>
      </c>
      <c r="G18" s="417">
        <v>364422</v>
      </c>
      <c r="H18" s="417">
        <v>338301</v>
      </c>
      <c r="I18" s="417">
        <v>376604</v>
      </c>
      <c r="J18" s="417">
        <v>335198</v>
      </c>
      <c r="K18" s="417">
        <v>344906</v>
      </c>
      <c r="L18" s="417">
        <v>368220</v>
      </c>
      <c r="M18" s="417">
        <v>372198</v>
      </c>
      <c r="N18" s="417">
        <v>424020</v>
      </c>
      <c r="O18" s="417">
        <v>444375.5491</v>
      </c>
      <c r="P18" s="417">
        <v>561794.97036319994</v>
      </c>
      <c r="Q18" s="417">
        <v>518927</v>
      </c>
      <c r="R18" s="417">
        <v>527720</v>
      </c>
      <c r="S18" s="417">
        <f>SUM(S16:S17)</f>
        <v>557647</v>
      </c>
      <c r="T18" s="417">
        <f>SUM(T16:T17)</f>
        <v>567455</v>
      </c>
    </row>
    <row r="19" spans="1:21" s="22" customFormat="1">
      <c r="A19" s="19"/>
      <c r="E19" s="412"/>
      <c r="F19" s="418"/>
      <c r="G19" s="418"/>
      <c r="H19" s="418"/>
      <c r="I19" s="418"/>
      <c r="J19" s="418"/>
      <c r="K19" s="418"/>
      <c r="L19" s="418"/>
      <c r="M19" s="417"/>
      <c r="N19" s="417"/>
      <c r="O19" s="417"/>
      <c r="P19" s="417"/>
      <c r="Q19" s="417"/>
      <c r="R19" s="417"/>
      <c r="S19" s="417"/>
      <c r="T19" s="417"/>
    </row>
    <row r="20" spans="1:21" s="22" customFormat="1">
      <c r="A20" s="19"/>
      <c r="B20" s="22" t="s">
        <v>79</v>
      </c>
      <c r="E20" s="412"/>
      <c r="F20" s="418"/>
      <c r="G20" s="418"/>
      <c r="H20" s="418"/>
      <c r="I20" s="418"/>
      <c r="J20" s="418"/>
      <c r="K20" s="418"/>
      <c r="L20" s="418"/>
      <c r="M20" s="417"/>
      <c r="N20" s="417"/>
      <c r="O20" s="417"/>
      <c r="P20" s="417"/>
      <c r="Q20" s="417"/>
      <c r="R20" s="417"/>
      <c r="S20" s="417"/>
      <c r="T20" s="417"/>
    </row>
    <row r="21" spans="1:21" s="22" customFormat="1">
      <c r="A21" s="19"/>
      <c r="B21" s="22" t="s">
        <v>78</v>
      </c>
      <c r="E21" s="412"/>
      <c r="F21" s="418"/>
      <c r="G21" s="418"/>
      <c r="H21" s="418"/>
      <c r="I21" s="418"/>
      <c r="J21" s="418"/>
      <c r="K21" s="418"/>
      <c r="L21" s="418"/>
      <c r="M21" s="417"/>
      <c r="N21" s="417"/>
      <c r="O21" s="417"/>
      <c r="P21" s="417"/>
      <c r="Q21" s="417"/>
      <c r="R21" s="417"/>
      <c r="S21" s="417"/>
      <c r="T21" s="417"/>
    </row>
    <row r="22" spans="1:21" s="22" customFormat="1">
      <c r="A22" s="19">
        <v>7</v>
      </c>
      <c r="C22" s="22" t="s">
        <v>70</v>
      </c>
      <c r="E22" s="412"/>
      <c r="F22" s="415">
        <v>78721</v>
      </c>
      <c r="G22" s="415">
        <v>47157</v>
      </c>
      <c r="H22" s="415">
        <v>101475</v>
      </c>
      <c r="I22" s="415">
        <v>132098</v>
      </c>
      <c r="J22" s="415">
        <v>101545</v>
      </c>
      <c r="K22" s="415">
        <v>105374</v>
      </c>
      <c r="L22" s="415">
        <v>104260</v>
      </c>
      <c r="M22" s="415">
        <v>102890</v>
      </c>
      <c r="N22" s="415">
        <v>117123</v>
      </c>
      <c r="O22" s="415">
        <v>87599</v>
      </c>
      <c r="P22" s="415">
        <v>147107</v>
      </c>
      <c r="Q22" s="415">
        <v>145634</v>
      </c>
      <c r="R22" s="415">
        <v>131795</v>
      </c>
      <c r="S22" s="415">
        <v>143904</v>
      </c>
      <c r="T22" s="859">
        <v>120307</v>
      </c>
      <c r="U22" s="860" t="s">
        <v>736</v>
      </c>
    </row>
    <row r="23" spans="1:21" s="22" customFormat="1">
      <c r="A23" s="19">
        <v>8</v>
      </c>
      <c r="C23" s="22" t="s">
        <v>77</v>
      </c>
      <c r="E23" s="412"/>
      <c r="F23" s="415">
        <v>181189</v>
      </c>
      <c r="G23" s="415">
        <v>132159</v>
      </c>
      <c r="H23" s="415">
        <v>50769</v>
      </c>
      <c r="I23" s="415">
        <v>46591</v>
      </c>
      <c r="J23" s="415">
        <v>51042</v>
      </c>
      <c r="K23" s="415">
        <v>55046</v>
      </c>
      <c r="L23" s="415">
        <v>79146</v>
      </c>
      <c r="M23" s="415">
        <v>65640</v>
      </c>
      <c r="N23" s="415">
        <v>72508</v>
      </c>
      <c r="O23" s="859">
        <f>104869-4432</f>
        <v>100437</v>
      </c>
      <c r="P23" s="415">
        <v>142197</v>
      </c>
      <c r="Q23" s="415">
        <v>91142</v>
      </c>
      <c r="R23" s="415">
        <v>101283</v>
      </c>
      <c r="S23" s="415">
        <v>109034</v>
      </c>
      <c r="T23" s="415">
        <v>116643</v>
      </c>
      <c r="U23" s="860" t="s">
        <v>737</v>
      </c>
    </row>
    <row r="24" spans="1:21" s="22" customFormat="1">
      <c r="A24" s="19">
        <v>9</v>
      </c>
      <c r="C24" s="22" t="s">
        <v>137</v>
      </c>
      <c r="E24" s="412"/>
      <c r="F24" s="415">
        <v>-3114</v>
      </c>
      <c r="G24" s="415">
        <v>9152</v>
      </c>
      <c r="H24" s="415">
        <v>13808</v>
      </c>
      <c r="I24" s="415">
        <v>14915</v>
      </c>
      <c r="J24" s="415">
        <v>22879</v>
      </c>
      <c r="K24" s="415">
        <v>13812</v>
      </c>
      <c r="L24" s="415">
        <v>25745</v>
      </c>
      <c r="M24" s="415">
        <v>21795</v>
      </c>
      <c r="N24" s="415">
        <v>22000</v>
      </c>
      <c r="O24" s="415">
        <v>22266</v>
      </c>
      <c r="P24" s="415">
        <v>22129</v>
      </c>
      <c r="Q24" s="415">
        <v>25158</v>
      </c>
      <c r="R24" s="415">
        <v>25872</v>
      </c>
      <c r="S24" s="415">
        <v>23284</v>
      </c>
      <c r="T24" s="415">
        <v>23715</v>
      </c>
    </row>
    <row r="25" spans="1:21" s="22" customFormat="1">
      <c r="A25" s="19">
        <v>10</v>
      </c>
      <c r="C25" s="23" t="s">
        <v>138</v>
      </c>
      <c r="D25" s="23"/>
      <c r="E25" s="412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12"/>
      <c r="F26" s="416">
        <v>9346</v>
      </c>
      <c r="G26" s="416">
        <v>5139</v>
      </c>
      <c r="H26" s="416">
        <v>7164</v>
      </c>
      <c r="I26" s="416">
        <v>6722</v>
      </c>
      <c r="J26" s="416">
        <v>7283</v>
      </c>
      <c r="K26" s="416">
        <v>9900</v>
      </c>
      <c r="L26" s="416">
        <v>9115</v>
      </c>
      <c r="M26" s="416">
        <v>8319</v>
      </c>
      <c r="N26" s="416">
        <v>8146</v>
      </c>
      <c r="O26" s="416">
        <v>9014</v>
      </c>
      <c r="P26" s="416">
        <v>9955</v>
      </c>
      <c r="Q26" s="416">
        <v>10846</v>
      </c>
      <c r="R26" s="416">
        <v>11456</v>
      </c>
      <c r="S26" s="416">
        <v>12913</v>
      </c>
      <c r="T26" s="416">
        <v>12828</v>
      </c>
    </row>
    <row r="27" spans="1:21" s="22" customFormat="1">
      <c r="A27" s="19">
        <v>12</v>
      </c>
      <c r="B27" s="22" t="s">
        <v>76</v>
      </c>
      <c r="E27" s="412"/>
      <c r="F27" s="417">
        <v>266142</v>
      </c>
      <c r="G27" s="417">
        <v>193607</v>
      </c>
      <c r="H27" s="417">
        <v>173216</v>
      </c>
      <c r="I27" s="417">
        <v>200326</v>
      </c>
      <c r="J27" s="417">
        <v>182749</v>
      </c>
      <c r="K27" s="417">
        <v>184132</v>
      </c>
      <c r="L27" s="417">
        <v>218266</v>
      </c>
      <c r="M27" s="417">
        <v>198644</v>
      </c>
      <c r="N27" s="417">
        <v>219777</v>
      </c>
      <c r="O27" s="417">
        <v>223748</v>
      </c>
      <c r="P27" s="417">
        <v>321388</v>
      </c>
      <c r="Q27" s="417">
        <v>273183</v>
      </c>
      <c r="R27" s="417">
        <v>262470</v>
      </c>
      <c r="S27" s="417">
        <f>SUM(S22:S26)</f>
        <v>297764</v>
      </c>
      <c r="T27" s="417">
        <f>SUM(T22:T26)</f>
        <v>281594</v>
      </c>
    </row>
    <row r="28" spans="1:21" s="22" customFormat="1">
      <c r="A28" s="19"/>
      <c r="E28" s="412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</row>
    <row r="29" spans="1:21" s="22" customFormat="1">
      <c r="A29" s="19"/>
      <c r="B29" s="22" t="s">
        <v>56</v>
      </c>
      <c r="E29" s="412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</row>
    <row r="30" spans="1:21" s="22" customFormat="1">
      <c r="A30" s="19">
        <v>13</v>
      </c>
      <c r="C30" s="22" t="s">
        <v>70</v>
      </c>
      <c r="E30" s="412"/>
      <c r="F30" s="415">
        <v>9418</v>
      </c>
      <c r="G30" s="415">
        <v>10560</v>
      </c>
      <c r="H30" s="415">
        <v>9631</v>
      </c>
      <c r="I30" s="415">
        <v>10171</v>
      </c>
      <c r="J30" s="415">
        <v>12016</v>
      </c>
      <c r="K30" s="415">
        <v>14263</v>
      </c>
      <c r="L30" s="415">
        <v>15485</v>
      </c>
      <c r="M30" s="415">
        <v>14563</v>
      </c>
      <c r="N30" s="415">
        <v>17329</v>
      </c>
      <c r="O30" s="415">
        <v>17267</v>
      </c>
      <c r="P30" s="415">
        <v>18354</v>
      </c>
      <c r="Q30" s="415">
        <v>19081</v>
      </c>
      <c r="R30" s="415">
        <v>21152</v>
      </c>
      <c r="S30" s="415">
        <v>20878</v>
      </c>
      <c r="T30" s="415">
        <v>21299</v>
      </c>
    </row>
    <row r="31" spans="1:21" s="22" customFormat="1">
      <c r="A31" s="19">
        <v>14</v>
      </c>
      <c r="C31" s="22" t="s">
        <v>139</v>
      </c>
      <c r="E31" s="412"/>
      <c r="F31" s="415">
        <v>9056</v>
      </c>
      <c r="G31" s="415">
        <v>9178</v>
      </c>
      <c r="H31" s="415">
        <v>9427</v>
      </c>
      <c r="I31" s="415">
        <v>9752</v>
      </c>
      <c r="J31" s="415">
        <v>10067</v>
      </c>
      <c r="K31" s="415">
        <v>10399</v>
      </c>
      <c r="L31" s="415">
        <v>10776</v>
      </c>
      <c r="M31" s="415">
        <v>11333</v>
      </c>
      <c r="N31" s="415">
        <v>15611</v>
      </c>
      <c r="O31" s="415">
        <v>16809</v>
      </c>
      <c r="P31" s="415">
        <v>17985</v>
      </c>
      <c r="Q31" s="415">
        <v>19240</v>
      </c>
      <c r="R31" s="415">
        <v>20749</v>
      </c>
      <c r="S31" s="415">
        <v>22303</v>
      </c>
      <c r="T31" s="415">
        <v>23794</v>
      </c>
    </row>
    <row r="32" spans="1:21" s="22" customFormat="1">
      <c r="A32" s="19">
        <v>15</v>
      </c>
      <c r="C32" s="22" t="s">
        <v>69</v>
      </c>
      <c r="E32" s="412"/>
      <c r="F32" s="416">
        <v>11693</v>
      </c>
      <c r="G32" s="416">
        <v>15462</v>
      </c>
      <c r="H32" s="416">
        <v>16996</v>
      </c>
      <c r="I32" s="416">
        <v>17286</v>
      </c>
      <c r="J32" s="416">
        <v>17401</v>
      </c>
      <c r="K32" s="416">
        <v>14988</v>
      </c>
      <c r="L32" s="416">
        <v>16307</v>
      </c>
      <c r="M32" s="416">
        <v>16156</v>
      </c>
      <c r="N32" s="416">
        <v>17416</v>
      </c>
      <c r="O32" s="416">
        <v>18207</v>
      </c>
      <c r="P32" s="416">
        <v>19990</v>
      </c>
      <c r="Q32" s="416">
        <v>22393.453812</v>
      </c>
      <c r="R32" s="416">
        <v>22594.925350000001</v>
      </c>
      <c r="S32" s="416">
        <v>23288</v>
      </c>
      <c r="T32" s="416">
        <v>25575</v>
      </c>
    </row>
    <row r="33" spans="1:20" s="22" customFormat="1">
      <c r="A33" s="19">
        <v>16</v>
      </c>
      <c r="B33" s="22" t="s">
        <v>75</v>
      </c>
      <c r="E33" s="412"/>
      <c r="F33" s="417">
        <v>30167</v>
      </c>
      <c r="G33" s="417">
        <v>35200</v>
      </c>
      <c r="H33" s="417">
        <v>36054</v>
      </c>
      <c r="I33" s="417">
        <v>37209</v>
      </c>
      <c r="J33" s="417">
        <v>39484</v>
      </c>
      <c r="K33" s="417">
        <v>39650</v>
      </c>
      <c r="L33" s="417">
        <v>42568</v>
      </c>
      <c r="M33" s="417">
        <v>42052</v>
      </c>
      <c r="N33" s="417">
        <v>50356</v>
      </c>
      <c r="O33" s="417">
        <v>52283</v>
      </c>
      <c r="P33" s="417">
        <v>56329</v>
      </c>
      <c r="Q33" s="417">
        <v>60714.453812</v>
      </c>
      <c r="R33" s="417">
        <v>64495.925350000005</v>
      </c>
      <c r="S33" s="417">
        <f>SUM(S30:S32)</f>
        <v>66469</v>
      </c>
      <c r="T33" s="417">
        <f>SUM(T30:T32)</f>
        <v>70668</v>
      </c>
    </row>
    <row r="34" spans="1:20" s="22" customFormat="1">
      <c r="E34" s="412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</row>
    <row r="35" spans="1:20" s="22" customFormat="1">
      <c r="A35" s="19">
        <v>17</v>
      </c>
      <c r="B35" s="22" t="s">
        <v>74</v>
      </c>
      <c r="E35" s="412"/>
      <c r="F35" s="415">
        <v>5768</v>
      </c>
      <c r="G35" s="415">
        <v>6196</v>
      </c>
      <c r="H35" s="415">
        <v>7113</v>
      </c>
      <c r="I35" s="415">
        <v>7129</v>
      </c>
      <c r="J35" s="415">
        <v>7352</v>
      </c>
      <c r="K35" s="415">
        <v>7156</v>
      </c>
      <c r="L35" s="415">
        <v>7097</v>
      </c>
      <c r="M35" s="415">
        <v>7514</v>
      </c>
      <c r="N35" s="415">
        <v>7919</v>
      </c>
      <c r="O35" s="415">
        <v>9646</v>
      </c>
      <c r="P35" s="415">
        <v>9261</v>
      </c>
      <c r="Q35" s="415">
        <v>10274.701588</v>
      </c>
      <c r="R35" s="415">
        <v>10335.791302</v>
      </c>
      <c r="S35" s="415">
        <v>11334</v>
      </c>
      <c r="T35" s="415">
        <v>11166</v>
      </c>
    </row>
    <row r="36" spans="1:20" s="22" customFormat="1">
      <c r="A36" s="19">
        <v>18</v>
      </c>
      <c r="B36" s="22" t="s">
        <v>73</v>
      </c>
      <c r="E36" s="412"/>
      <c r="F36" s="415">
        <v>5704</v>
      </c>
      <c r="G36" s="415">
        <v>5381</v>
      </c>
      <c r="H36" s="415">
        <v>6261</v>
      </c>
      <c r="I36" s="415">
        <v>6620</v>
      </c>
      <c r="J36" s="415">
        <v>266</v>
      </c>
      <c r="K36" s="415">
        <v>7127</v>
      </c>
      <c r="L36" s="415">
        <v>1159</v>
      </c>
      <c r="M36" s="415">
        <v>7472</v>
      </c>
      <c r="N36" s="415">
        <v>12847</v>
      </c>
      <c r="O36" s="415">
        <v>19736</v>
      </c>
      <c r="P36" s="415">
        <v>20832</v>
      </c>
      <c r="Q36" s="415">
        <v>21292</v>
      </c>
      <c r="R36" s="415">
        <v>18487</v>
      </c>
      <c r="S36" s="415">
        <v>1516</v>
      </c>
      <c r="T36" s="415">
        <v>1383</v>
      </c>
    </row>
    <row r="37" spans="1:20" s="22" customFormat="1">
      <c r="A37" s="19">
        <v>19</v>
      </c>
      <c r="B37" s="22" t="s">
        <v>72</v>
      </c>
      <c r="E37" s="412"/>
      <c r="F37" s="415">
        <v>1071</v>
      </c>
      <c r="G37" s="415">
        <v>734</v>
      </c>
      <c r="H37" s="415">
        <v>628</v>
      </c>
      <c r="I37" s="415">
        <v>734</v>
      </c>
      <c r="J37" s="415">
        <v>686</v>
      </c>
      <c r="K37" s="415">
        <v>430</v>
      </c>
      <c r="L37" s="415">
        <v>657</v>
      </c>
      <c r="M37" s="415">
        <v>682</v>
      </c>
      <c r="N37" s="415">
        <v>571</v>
      </c>
      <c r="O37" s="415">
        <v>660</v>
      </c>
      <c r="P37" s="415">
        <v>176</v>
      </c>
      <c r="Q37" s="415">
        <v>4</v>
      </c>
      <c r="R37" s="415">
        <v>5</v>
      </c>
      <c r="S37" s="415">
        <v>5</v>
      </c>
      <c r="T37" s="415">
        <v>0</v>
      </c>
    </row>
    <row r="38" spans="1:20" s="22" customFormat="1">
      <c r="A38" s="19"/>
      <c r="E38" s="412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</row>
    <row r="39" spans="1:20" s="22" customFormat="1">
      <c r="B39" s="22" t="s">
        <v>71</v>
      </c>
      <c r="E39" s="412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</row>
    <row r="40" spans="1:20" s="22" customFormat="1">
      <c r="A40" s="19">
        <v>20</v>
      </c>
      <c r="C40" s="22" t="s">
        <v>70</v>
      </c>
      <c r="E40" s="412"/>
      <c r="F40" s="415">
        <v>30350</v>
      </c>
      <c r="G40" s="415">
        <v>25102</v>
      </c>
      <c r="H40" s="415">
        <v>30304</v>
      </c>
      <c r="I40" s="415">
        <v>30153</v>
      </c>
      <c r="J40" s="415">
        <v>31927</v>
      </c>
      <c r="K40" s="415">
        <v>33143</v>
      </c>
      <c r="L40" s="415">
        <v>33148</v>
      </c>
      <c r="M40" s="415">
        <v>35844</v>
      </c>
      <c r="N40" s="415">
        <v>35982</v>
      </c>
      <c r="O40" s="415">
        <v>38461</v>
      </c>
      <c r="P40" s="415">
        <v>44662</v>
      </c>
      <c r="Q40" s="415">
        <v>44779.252</v>
      </c>
      <c r="R40" s="415">
        <v>49333.396000000001</v>
      </c>
      <c r="S40" s="415">
        <v>43310</v>
      </c>
      <c r="T40" s="415">
        <v>46210</v>
      </c>
    </row>
    <row r="41" spans="1:20" s="22" customFormat="1">
      <c r="A41" s="19">
        <v>21</v>
      </c>
      <c r="C41" s="22" t="s">
        <v>139</v>
      </c>
      <c r="E41" s="412"/>
      <c r="F41" s="415">
        <v>3998</v>
      </c>
      <c r="G41" s="415">
        <v>4414</v>
      </c>
      <c r="H41" s="415">
        <v>6606</v>
      </c>
      <c r="I41" s="415">
        <v>6659</v>
      </c>
      <c r="J41" s="415">
        <v>6072</v>
      </c>
      <c r="K41" s="415">
        <v>6537</v>
      </c>
      <c r="L41" s="415">
        <v>6459</v>
      </c>
      <c r="M41" s="415">
        <v>6739</v>
      </c>
      <c r="N41" s="415">
        <v>7187</v>
      </c>
      <c r="O41" s="415">
        <v>7688</v>
      </c>
      <c r="P41" s="415">
        <v>9277</v>
      </c>
      <c r="Q41" s="415">
        <v>10906</v>
      </c>
      <c r="R41" s="415">
        <v>12517</v>
      </c>
      <c r="S41" s="415">
        <v>14721</v>
      </c>
      <c r="T41" s="415">
        <v>16947</v>
      </c>
    </row>
    <row r="42" spans="1:20" s="22" customFormat="1">
      <c r="A42" s="81">
        <v>22</v>
      </c>
      <c r="C42" s="22" t="s">
        <v>69</v>
      </c>
      <c r="E42" s="412"/>
      <c r="F42" s="416">
        <v>5</v>
      </c>
      <c r="G42" s="416">
        <v>2</v>
      </c>
      <c r="H42" s="416">
        <v>1</v>
      </c>
      <c r="I42" s="416">
        <v>2</v>
      </c>
      <c r="J42" s="416">
        <v>3</v>
      </c>
      <c r="K42" s="416">
        <v>-4</v>
      </c>
      <c r="L42" s="416">
        <v>0</v>
      </c>
      <c r="M42" s="416">
        <v>-9</v>
      </c>
      <c r="N42" s="416">
        <v>-3</v>
      </c>
      <c r="O42" s="416">
        <v>-3</v>
      </c>
      <c r="P42" s="416">
        <v>2</v>
      </c>
      <c r="Q42" s="416">
        <v>0</v>
      </c>
      <c r="R42" s="416">
        <v>-4</v>
      </c>
      <c r="S42" s="416">
        <v>0</v>
      </c>
      <c r="T42" s="416">
        <v>0</v>
      </c>
    </row>
    <row r="43" spans="1:20" s="22" customFormat="1">
      <c r="A43" s="19">
        <v>23</v>
      </c>
      <c r="B43" s="22" t="s">
        <v>68</v>
      </c>
      <c r="E43" s="412"/>
      <c r="F43" s="419">
        <v>34353</v>
      </c>
      <c r="G43" s="419">
        <v>29518</v>
      </c>
      <c r="H43" s="419">
        <v>36911</v>
      </c>
      <c r="I43" s="419">
        <v>36814</v>
      </c>
      <c r="J43" s="419">
        <v>38002</v>
      </c>
      <c r="K43" s="419">
        <v>39676</v>
      </c>
      <c r="L43" s="419">
        <v>39607</v>
      </c>
      <c r="M43" s="419">
        <v>42574</v>
      </c>
      <c r="N43" s="419">
        <v>43166</v>
      </c>
      <c r="O43" s="419">
        <v>46146</v>
      </c>
      <c r="P43" s="419">
        <v>53941</v>
      </c>
      <c r="Q43" s="419">
        <v>55685.252</v>
      </c>
      <c r="R43" s="419">
        <v>61846.396000000001</v>
      </c>
      <c r="S43" s="419">
        <f>SUM(S40:S42)</f>
        <v>58031</v>
      </c>
      <c r="T43" s="419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12"/>
      <c r="F44" s="419">
        <v>343205</v>
      </c>
      <c r="G44" s="419">
        <v>270636</v>
      </c>
      <c r="H44" s="419">
        <v>260183</v>
      </c>
      <c r="I44" s="419">
        <v>288832</v>
      </c>
      <c r="J44" s="419">
        <v>268539</v>
      </c>
      <c r="K44" s="419">
        <v>278171</v>
      </c>
      <c r="L44" s="419">
        <v>309354</v>
      </c>
      <c r="M44" s="419">
        <v>298938</v>
      </c>
      <c r="N44" s="419">
        <v>334636</v>
      </c>
      <c r="O44" s="419">
        <v>352219</v>
      </c>
      <c r="P44" s="419">
        <v>461927</v>
      </c>
      <c r="Q44" s="419">
        <v>421153.40740000003</v>
      </c>
      <c r="R44" s="419">
        <v>417640.11265200004</v>
      </c>
      <c r="S44" s="419">
        <f>S27+S33+S35+S36+S37+S43</f>
        <v>435119</v>
      </c>
      <c r="T44" s="419">
        <f>T27+T33+T35+T36+T37+T43</f>
        <v>427968</v>
      </c>
    </row>
    <row r="45" spans="1:20" s="22" customFormat="1">
      <c r="E45" s="41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</row>
    <row r="46" spans="1:20" s="22" customFormat="1">
      <c r="A46" s="19">
        <v>25</v>
      </c>
      <c r="B46" s="22" t="s">
        <v>66</v>
      </c>
      <c r="E46" s="412"/>
      <c r="F46" s="414">
        <v>50049</v>
      </c>
      <c r="G46" s="414">
        <v>93786</v>
      </c>
      <c r="H46" s="414">
        <v>78118</v>
      </c>
      <c r="I46" s="414">
        <v>87772</v>
      </c>
      <c r="J46" s="414">
        <v>66659</v>
      </c>
      <c r="K46" s="414">
        <v>66735</v>
      </c>
      <c r="L46" s="414">
        <v>58866</v>
      </c>
      <c r="M46" s="414">
        <v>73260</v>
      </c>
      <c r="N46" s="414">
        <v>89384</v>
      </c>
      <c r="O46" s="414">
        <v>92156.549100000004</v>
      </c>
      <c r="P46" s="414">
        <v>99867.970363199944</v>
      </c>
      <c r="Q46" s="414">
        <v>97773.592599999974</v>
      </c>
      <c r="R46" s="414">
        <v>110079.88734799996</v>
      </c>
      <c r="S46" s="414">
        <f>S18-S44</f>
        <v>122528</v>
      </c>
      <c r="T46" s="414">
        <f>T18-T44</f>
        <v>139487</v>
      </c>
    </row>
    <row r="47" spans="1:20" s="22" customFormat="1">
      <c r="A47" s="19"/>
      <c r="E47" s="412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</row>
    <row r="48" spans="1:20" s="22" customFormat="1">
      <c r="A48" s="21"/>
      <c r="B48" s="22" t="s">
        <v>65</v>
      </c>
      <c r="E48" s="412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</row>
    <row r="49" spans="1:21" s="22" customFormat="1">
      <c r="A49" s="81">
        <v>26</v>
      </c>
      <c r="B49" s="22" t="s">
        <v>140</v>
      </c>
      <c r="D49" s="70"/>
      <c r="E49" s="412"/>
      <c r="F49" s="420">
        <v>13500</v>
      </c>
      <c r="G49" s="420">
        <v>7802.6454399910144</v>
      </c>
      <c r="H49" s="420">
        <v>12532.4934614427</v>
      </c>
      <c r="I49" s="420">
        <v>18199.38094551977</v>
      </c>
      <c r="J49" s="420">
        <v>10602.745932108257</v>
      </c>
      <c r="K49" s="420">
        <v>6760.4768703774607</v>
      </c>
      <c r="L49" s="420">
        <v>3583.5198936206907</v>
      </c>
      <c r="M49" s="420">
        <v>5069.5165750000015</v>
      </c>
      <c r="N49" s="420">
        <v>-6217.1202000000012</v>
      </c>
      <c r="O49" s="420">
        <v>-1846</v>
      </c>
      <c r="P49" s="420">
        <v>9263</v>
      </c>
      <c r="Q49" s="420">
        <v>6568.9074099999998</v>
      </c>
      <c r="R49" s="420">
        <v>11499.260571799998</v>
      </c>
      <c r="S49" s="420">
        <v>19267</v>
      </c>
      <c r="T49" s="420">
        <v>-7683</v>
      </c>
    </row>
    <row r="50" spans="1:21" s="23" customFormat="1">
      <c r="A50" s="19">
        <v>27</v>
      </c>
      <c r="B50" s="23" t="s">
        <v>141</v>
      </c>
      <c r="E50" s="412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>
        <v>206.8288</v>
      </c>
      <c r="R50" s="420">
        <v>70.410550000000001</v>
      </c>
      <c r="S50" s="420">
        <v>1</v>
      </c>
      <c r="T50" s="420">
        <v>-136</v>
      </c>
    </row>
    <row r="51" spans="1:21" s="22" customFormat="1">
      <c r="A51" s="19">
        <v>28</v>
      </c>
      <c r="B51" s="22" t="s">
        <v>64</v>
      </c>
      <c r="E51" s="412"/>
      <c r="F51" s="420">
        <v>3549</v>
      </c>
      <c r="G51" s="420">
        <v>16107</v>
      </c>
      <c r="H51" s="420">
        <v>3470</v>
      </c>
      <c r="I51" s="420">
        <v>1284</v>
      </c>
      <c r="J51" s="420">
        <v>608</v>
      </c>
      <c r="K51" s="420">
        <v>3867</v>
      </c>
      <c r="L51" s="420">
        <v>3975</v>
      </c>
      <c r="M51" s="420">
        <v>6497</v>
      </c>
      <c r="N51" s="420">
        <v>26634</v>
      </c>
      <c r="O51" s="420">
        <v>23983</v>
      </c>
      <c r="P51" s="420">
        <v>13823</v>
      </c>
      <c r="Q51" s="420">
        <v>16402</v>
      </c>
      <c r="R51" s="420">
        <v>15684</v>
      </c>
      <c r="S51" s="420">
        <v>10613</v>
      </c>
      <c r="T51" s="859">
        <v>46085</v>
      </c>
      <c r="U51" s="860" t="s">
        <v>738</v>
      </c>
    </row>
    <row r="52" spans="1:21" s="22" customFormat="1">
      <c r="A52" s="21">
        <v>29</v>
      </c>
      <c r="B52" s="22" t="s">
        <v>63</v>
      </c>
      <c r="E52" s="412"/>
      <c r="F52" s="420"/>
      <c r="G52" s="420"/>
      <c r="H52" s="420"/>
      <c r="I52" s="420"/>
      <c r="J52" s="420"/>
      <c r="K52" s="420"/>
      <c r="L52" s="420"/>
      <c r="M52" s="420"/>
      <c r="N52" s="420"/>
      <c r="O52" s="420">
        <v>-58</v>
      </c>
      <c r="P52" s="420">
        <v>-83</v>
      </c>
      <c r="Q52" s="420">
        <v>-99</v>
      </c>
      <c r="R52" s="420">
        <v>-128</v>
      </c>
      <c r="S52" s="420">
        <v>-130</v>
      </c>
      <c r="T52" s="420">
        <v>-128</v>
      </c>
    </row>
    <row r="53" spans="1:21">
      <c r="B53" s="421" t="s">
        <v>299</v>
      </c>
      <c r="F53" s="420">
        <v>5683</v>
      </c>
      <c r="G53" s="420">
        <v>5369</v>
      </c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</row>
    <row r="54" spans="1:21" s="20" customFormat="1" ht="13.8" thickBot="1">
      <c r="A54" s="24">
        <v>30</v>
      </c>
      <c r="B54" s="20" t="s">
        <v>62</v>
      </c>
      <c r="E54" s="412"/>
      <c r="F54" s="422">
        <v>27317</v>
      </c>
      <c r="G54" s="422">
        <v>64507.354560008986</v>
      </c>
      <c r="H54" s="422">
        <v>62115.506538557296</v>
      </c>
      <c r="I54" s="422">
        <v>68288.619054480223</v>
      </c>
      <c r="J54" s="422">
        <v>55448.254067891743</v>
      </c>
      <c r="K54" s="422">
        <v>56107.523129622539</v>
      </c>
      <c r="L54" s="422">
        <v>51307.480106379313</v>
      </c>
      <c r="M54" s="422">
        <v>61693.483424999999</v>
      </c>
      <c r="N54" s="422">
        <v>68967.120200000005</v>
      </c>
      <c r="O54" s="422">
        <v>70077.549100000004</v>
      </c>
      <c r="P54" s="422">
        <v>76864.970363199944</v>
      </c>
      <c r="Q54" s="422">
        <v>74694.856389999972</v>
      </c>
      <c r="R54" s="422">
        <v>82954.216226199962</v>
      </c>
      <c r="S54" s="422">
        <f>S46-S49-S50-S51-S52</f>
        <v>92777</v>
      </c>
      <c r="T54" s="422">
        <f>T46-T49-T50-T51-T52</f>
        <v>101349</v>
      </c>
    </row>
    <row r="55" spans="1:21" ht="13.8" thickTop="1">
      <c r="A55" s="24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</row>
    <row r="56" spans="1:21">
      <c r="A56" s="24"/>
      <c r="B56" s="13" t="s">
        <v>61</v>
      </c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</row>
    <row r="57" spans="1:21">
      <c r="B57" s="13" t="s">
        <v>60</v>
      </c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</row>
    <row r="58" spans="1:21" s="20" customFormat="1">
      <c r="A58" s="82">
        <v>31</v>
      </c>
      <c r="C58" s="20" t="s">
        <v>59</v>
      </c>
      <c r="E58" s="412"/>
      <c r="F58" s="414">
        <v>15127</v>
      </c>
      <c r="G58" s="414">
        <v>16340</v>
      </c>
      <c r="H58" s="414">
        <v>20910</v>
      </c>
      <c r="I58" s="414">
        <v>21299</v>
      </c>
      <c r="J58" s="414">
        <v>21374</v>
      </c>
      <c r="K58" s="414">
        <v>22459</v>
      </c>
      <c r="L58" s="414">
        <v>23458</v>
      </c>
      <c r="M58" s="414">
        <v>20632</v>
      </c>
      <c r="N58" s="414">
        <v>23321</v>
      </c>
      <c r="O58" s="414">
        <v>57116</v>
      </c>
      <c r="P58" s="414">
        <v>81955</v>
      </c>
      <c r="Q58" s="414">
        <v>84081</v>
      </c>
      <c r="R58" s="414">
        <v>85247</v>
      </c>
      <c r="S58" s="414">
        <v>91466</v>
      </c>
      <c r="T58" s="414">
        <v>102620</v>
      </c>
    </row>
    <row r="59" spans="1:21" s="22" customFormat="1">
      <c r="A59" s="24">
        <v>32</v>
      </c>
      <c r="C59" s="22" t="s">
        <v>58</v>
      </c>
      <c r="E59" s="412"/>
      <c r="F59" s="420">
        <v>369323</v>
      </c>
      <c r="G59" s="420">
        <v>382522</v>
      </c>
      <c r="H59" s="420">
        <v>598523</v>
      </c>
      <c r="I59" s="420">
        <v>609668</v>
      </c>
      <c r="J59" s="420">
        <v>651608</v>
      </c>
      <c r="K59" s="420">
        <v>669043</v>
      </c>
      <c r="L59" s="420">
        <v>703455</v>
      </c>
      <c r="M59" s="420">
        <v>712962</v>
      </c>
      <c r="N59" s="420">
        <v>724416</v>
      </c>
      <c r="O59" s="420">
        <v>751055</v>
      </c>
      <c r="P59" s="420">
        <v>767632</v>
      </c>
      <c r="Q59" s="420">
        <v>706894</v>
      </c>
      <c r="R59" s="420">
        <v>717448</v>
      </c>
      <c r="S59" s="420">
        <v>738315</v>
      </c>
      <c r="T59" s="420">
        <v>746101</v>
      </c>
    </row>
    <row r="60" spans="1:21" s="22" customFormat="1">
      <c r="A60" s="24">
        <v>33</v>
      </c>
      <c r="C60" s="22" t="s">
        <v>57</v>
      </c>
      <c r="E60" s="412"/>
      <c r="F60" s="420">
        <v>181627</v>
      </c>
      <c r="G60" s="420">
        <v>191517</v>
      </c>
      <c r="H60" s="420">
        <v>186550</v>
      </c>
      <c r="I60" s="420">
        <v>196937</v>
      </c>
      <c r="J60" s="420">
        <v>213539</v>
      </c>
      <c r="K60" s="420">
        <v>224696</v>
      </c>
      <c r="L60" s="420">
        <v>244435</v>
      </c>
      <c r="M60" s="420">
        <v>259532</v>
      </c>
      <c r="N60" s="420">
        <v>289302</v>
      </c>
      <c r="O60" s="420">
        <v>301090</v>
      </c>
      <c r="P60" s="420">
        <v>312505</v>
      </c>
      <c r="Q60" s="420">
        <v>328012</v>
      </c>
      <c r="R60" s="420">
        <v>342382</v>
      </c>
      <c r="S60" s="420">
        <v>359941</v>
      </c>
      <c r="T60" s="420">
        <v>371971</v>
      </c>
    </row>
    <row r="61" spans="1:21" s="22" customFormat="1">
      <c r="A61" s="24">
        <v>34</v>
      </c>
      <c r="C61" s="22" t="s">
        <v>56</v>
      </c>
      <c r="E61" s="412"/>
      <c r="F61" s="420">
        <v>398104</v>
      </c>
      <c r="G61" s="420">
        <v>416427</v>
      </c>
      <c r="H61" s="420">
        <v>429742</v>
      </c>
      <c r="I61" s="420">
        <v>443424</v>
      </c>
      <c r="J61" s="420">
        <v>459516</v>
      </c>
      <c r="K61" s="420">
        <v>480638</v>
      </c>
      <c r="L61" s="420">
        <v>502571</v>
      </c>
      <c r="M61" s="420">
        <v>528809</v>
      </c>
      <c r="N61" s="420">
        <v>561016</v>
      </c>
      <c r="O61" s="420">
        <v>598884</v>
      </c>
      <c r="P61" s="420">
        <v>638445</v>
      </c>
      <c r="Q61" s="420">
        <v>696082</v>
      </c>
      <c r="R61" s="420">
        <v>743732</v>
      </c>
      <c r="S61" s="420">
        <v>796640</v>
      </c>
      <c r="T61" s="420">
        <v>842795</v>
      </c>
    </row>
    <row r="62" spans="1:21" s="22" customFormat="1">
      <c r="A62" s="24">
        <v>35</v>
      </c>
      <c r="C62" s="22" t="s">
        <v>55</v>
      </c>
      <c r="E62" s="412"/>
      <c r="F62" s="420">
        <v>58402</v>
      </c>
      <c r="G62" s="420">
        <v>59846</v>
      </c>
      <c r="H62" s="420">
        <v>59771</v>
      </c>
      <c r="I62" s="420">
        <v>60444</v>
      </c>
      <c r="J62" s="420">
        <v>63155</v>
      </c>
      <c r="K62" s="420">
        <v>65299</v>
      </c>
      <c r="L62" s="420">
        <v>80110</v>
      </c>
      <c r="M62" s="420">
        <v>81368</v>
      </c>
      <c r="N62" s="420">
        <v>91205</v>
      </c>
      <c r="O62" s="420">
        <v>98727</v>
      </c>
      <c r="P62" s="420">
        <v>120996</v>
      </c>
      <c r="Q62" s="420">
        <v>140218</v>
      </c>
      <c r="R62" s="420">
        <v>155104</v>
      </c>
      <c r="S62" s="420">
        <v>179134</v>
      </c>
      <c r="T62" s="420">
        <v>196867</v>
      </c>
    </row>
    <row r="63" spans="1:21" s="22" customFormat="1">
      <c r="A63" s="24">
        <v>36</v>
      </c>
      <c r="B63" s="22" t="s">
        <v>54</v>
      </c>
      <c r="E63" s="412"/>
      <c r="F63" s="423">
        <v>1022583</v>
      </c>
      <c r="G63" s="423">
        <v>1066652</v>
      </c>
      <c r="H63" s="423">
        <v>1295496</v>
      </c>
      <c r="I63" s="423">
        <v>1331772</v>
      </c>
      <c r="J63" s="423">
        <v>1409192</v>
      </c>
      <c r="K63" s="423">
        <v>1462135</v>
      </c>
      <c r="L63" s="423">
        <v>1554029</v>
      </c>
      <c r="M63" s="423">
        <v>1603303</v>
      </c>
      <c r="N63" s="423">
        <v>1689260</v>
      </c>
      <c r="O63" s="423">
        <v>1806872</v>
      </c>
      <c r="P63" s="423">
        <v>1921533</v>
      </c>
      <c r="Q63" s="423">
        <v>1955287</v>
      </c>
      <c r="R63" s="423">
        <v>2043913</v>
      </c>
      <c r="S63" s="423">
        <f>SUM(S58:S62)</f>
        <v>2165496</v>
      </c>
      <c r="T63" s="423">
        <f>SUM(T58:T62)</f>
        <v>2260354</v>
      </c>
    </row>
    <row r="64" spans="1:21" s="22" customFormat="1" ht="18" customHeight="1">
      <c r="A64" s="24"/>
      <c r="B64" s="22" t="s">
        <v>142</v>
      </c>
      <c r="E64" s="412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12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5">
        <v>3744</v>
      </c>
      <c r="R65" s="425">
        <v>4369</v>
      </c>
      <c r="S65" s="425">
        <v>17667</v>
      </c>
      <c r="T65" s="425">
        <v>20242</v>
      </c>
    </row>
    <row r="66" spans="1:20" s="22" customFormat="1">
      <c r="A66" s="24">
        <v>38</v>
      </c>
      <c r="C66" s="22" t="s">
        <v>58</v>
      </c>
      <c r="E66" s="412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5">
        <v>286300</v>
      </c>
      <c r="R66" s="425">
        <v>300170</v>
      </c>
      <c r="S66" s="425">
        <v>314599</v>
      </c>
      <c r="T66" s="425">
        <v>325531</v>
      </c>
    </row>
    <row r="67" spans="1:20" s="22" customFormat="1">
      <c r="A67" s="24">
        <v>39</v>
      </c>
      <c r="C67" s="22" t="s">
        <v>57</v>
      </c>
      <c r="E67" s="412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5">
        <v>111144</v>
      </c>
      <c r="R67" s="425">
        <v>116316</v>
      </c>
      <c r="S67" s="425">
        <v>122308</v>
      </c>
      <c r="T67" s="425">
        <v>123869</v>
      </c>
    </row>
    <row r="68" spans="1:20" s="22" customFormat="1">
      <c r="A68" s="24">
        <v>40</v>
      </c>
      <c r="C68" s="22" t="s">
        <v>56</v>
      </c>
      <c r="E68" s="412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5">
        <v>209101</v>
      </c>
      <c r="R68" s="425">
        <v>221408</v>
      </c>
      <c r="S68" s="425">
        <v>236201</v>
      </c>
      <c r="T68" s="425">
        <v>252722</v>
      </c>
    </row>
    <row r="69" spans="1:20" s="22" customFormat="1">
      <c r="A69" s="24">
        <v>41</v>
      </c>
      <c r="C69" s="22" t="s">
        <v>55</v>
      </c>
      <c r="E69" s="412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550">
        <v>56694</v>
      </c>
      <c r="R69" s="550">
        <v>61871</v>
      </c>
      <c r="S69" s="550">
        <v>58357</v>
      </c>
      <c r="T69" s="550">
        <v>65720</v>
      </c>
    </row>
    <row r="70" spans="1:20" s="22" customFormat="1">
      <c r="A70" s="24">
        <v>42</v>
      </c>
      <c r="B70" s="22" t="s">
        <v>143</v>
      </c>
      <c r="E70" s="412"/>
      <c r="F70" s="420">
        <v>348345</v>
      </c>
      <c r="G70" s="420">
        <v>359654</v>
      </c>
      <c r="H70" s="420">
        <v>418593</v>
      </c>
      <c r="I70" s="420">
        <v>450096</v>
      </c>
      <c r="J70" s="420">
        <v>475935</v>
      </c>
      <c r="K70" s="420">
        <v>503194</v>
      </c>
      <c r="L70" s="420">
        <v>536682</v>
      </c>
      <c r="M70" s="420">
        <v>567320</v>
      </c>
      <c r="N70" s="420">
        <v>600292</v>
      </c>
      <c r="O70" s="420">
        <v>632110</v>
      </c>
      <c r="P70" s="420">
        <v>676635</v>
      </c>
      <c r="Q70" s="420">
        <v>666983</v>
      </c>
      <c r="R70" s="420">
        <v>704134</v>
      </c>
      <c r="S70" s="420">
        <f>SUM(S65:S69)</f>
        <v>749132</v>
      </c>
      <c r="T70" s="420">
        <f>SUM(T65:T69)</f>
        <v>788084</v>
      </c>
    </row>
    <row r="71" spans="1:20" s="22" customFormat="1">
      <c r="A71" s="24">
        <v>43</v>
      </c>
      <c r="B71" s="22" t="s">
        <v>144</v>
      </c>
      <c r="E71" s="412"/>
      <c r="F71" s="423">
        <v>674238</v>
      </c>
      <c r="G71" s="423">
        <v>706998</v>
      </c>
      <c r="H71" s="423">
        <v>876903</v>
      </c>
      <c r="I71" s="423">
        <v>881676</v>
      </c>
      <c r="J71" s="423">
        <v>933257</v>
      </c>
      <c r="K71" s="423">
        <v>958941</v>
      </c>
      <c r="L71" s="423">
        <v>1017347</v>
      </c>
      <c r="M71" s="423">
        <v>1035983</v>
      </c>
      <c r="N71" s="423">
        <v>1088968</v>
      </c>
      <c r="O71" s="423">
        <v>1174762</v>
      </c>
      <c r="P71" s="423">
        <v>1244898</v>
      </c>
      <c r="Q71" s="423">
        <v>1288304</v>
      </c>
      <c r="R71" s="423">
        <v>1339779</v>
      </c>
      <c r="S71" s="423">
        <f>S63-S70</f>
        <v>1416364</v>
      </c>
      <c r="T71" s="423">
        <f>T63-T70</f>
        <v>1472270</v>
      </c>
    </row>
    <row r="72" spans="1:20" s="22" customFormat="1" ht="6.75" customHeight="1">
      <c r="A72" s="24"/>
      <c r="E72" s="412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</row>
    <row r="73" spans="1:20" s="22" customFormat="1">
      <c r="A73" s="21">
        <v>44</v>
      </c>
      <c r="B73" s="22" t="s">
        <v>52</v>
      </c>
      <c r="E73" s="412"/>
      <c r="F73" s="420">
        <v>-104246</v>
      </c>
      <c r="G73" s="420">
        <v>-108113</v>
      </c>
      <c r="H73" s="420">
        <v>-113807</v>
      </c>
      <c r="I73" s="420">
        <v>-138127</v>
      </c>
      <c r="J73" s="420">
        <v>-154531</v>
      </c>
      <c r="K73" s="420">
        <v>-138256</v>
      </c>
      <c r="L73" s="420">
        <v>-142383</v>
      </c>
      <c r="M73" s="420">
        <v>-143546</v>
      </c>
      <c r="N73" s="420">
        <v>-151677</v>
      </c>
      <c r="O73" s="420">
        <v>-169421</v>
      </c>
      <c r="P73" s="420">
        <v>-190931</v>
      </c>
      <c r="Q73" s="420">
        <v>-201163</v>
      </c>
      <c r="R73" s="420">
        <v>-208209</v>
      </c>
      <c r="S73" s="420">
        <v>-221354</v>
      </c>
      <c r="T73" s="420">
        <v>-257766</v>
      </c>
    </row>
    <row r="74" spans="1:20" s="22" customFormat="1">
      <c r="A74" s="21">
        <v>45</v>
      </c>
      <c r="C74" s="22" t="s">
        <v>145</v>
      </c>
      <c r="E74" s="412"/>
      <c r="F74" s="423">
        <v>569992</v>
      </c>
      <c r="G74" s="423">
        <v>598885</v>
      </c>
      <c r="H74" s="423">
        <v>763096</v>
      </c>
      <c r="I74" s="423">
        <v>743549</v>
      </c>
      <c r="J74" s="423">
        <v>778726</v>
      </c>
      <c r="K74" s="423">
        <v>820685</v>
      </c>
      <c r="L74" s="423">
        <v>874964</v>
      </c>
      <c r="M74" s="423">
        <v>892437</v>
      </c>
      <c r="N74" s="423">
        <v>937291</v>
      </c>
      <c r="O74" s="423">
        <v>1005341</v>
      </c>
      <c r="P74" s="423">
        <v>1053967</v>
      </c>
      <c r="Q74" s="423">
        <v>1087141</v>
      </c>
      <c r="R74" s="423">
        <v>1131570</v>
      </c>
      <c r="S74" s="423">
        <f>S71+S73</f>
        <v>1195010</v>
      </c>
      <c r="T74" s="423">
        <f>T71+T73</f>
        <v>1214504</v>
      </c>
    </row>
    <row r="75" spans="1:20" s="22" customFormat="1">
      <c r="A75" s="24">
        <v>46</v>
      </c>
      <c r="B75" s="22" t="s">
        <v>146</v>
      </c>
      <c r="E75" s="412"/>
      <c r="F75" s="420">
        <v>-1500</v>
      </c>
      <c r="G75" s="420">
        <v>-1370</v>
      </c>
      <c r="H75" s="420">
        <v>-1238</v>
      </c>
      <c r="I75" s="420">
        <v>-1106</v>
      </c>
      <c r="J75" s="420">
        <v>-715</v>
      </c>
      <c r="K75" s="420">
        <v>-843</v>
      </c>
      <c r="L75" s="420">
        <v>-453</v>
      </c>
      <c r="M75" s="420">
        <v>-582</v>
      </c>
      <c r="N75" s="420">
        <v>-451</v>
      </c>
      <c r="O75" s="420">
        <v>-322</v>
      </c>
      <c r="P75" s="420">
        <v>-127</v>
      </c>
      <c r="Q75" s="420">
        <v>32534</v>
      </c>
      <c r="R75" s="420">
        <v>16438</v>
      </c>
      <c r="S75" s="420">
        <v>14761</v>
      </c>
      <c r="T75" s="420">
        <v>10846</v>
      </c>
    </row>
    <row r="76" spans="1:20" s="22" customFormat="1">
      <c r="A76" s="24">
        <v>47</v>
      </c>
      <c r="B76" s="22" t="s">
        <v>53</v>
      </c>
      <c r="E76" s="412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>
        <v>18188</v>
      </c>
      <c r="Q76" s="420">
        <v>18188</v>
      </c>
      <c r="R76" s="420">
        <v>10967</v>
      </c>
      <c r="S76" s="420">
        <v>16281</v>
      </c>
      <c r="T76" s="420">
        <v>47807</v>
      </c>
    </row>
    <row r="77" spans="1:20" s="22" customFormat="1">
      <c r="A77" s="21"/>
      <c r="E77" s="412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12"/>
      <c r="F78" s="426">
        <v>568492</v>
      </c>
      <c r="G78" s="426">
        <v>597515</v>
      </c>
      <c r="H78" s="426">
        <v>761858</v>
      </c>
      <c r="I78" s="426">
        <v>742443</v>
      </c>
      <c r="J78" s="426">
        <v>778011</v>
      </c>
      <c r="K78" s="426">
        <v>819842</v>
      </c>
      <c r="L78" s="426">
        <v>874511</v>
      </c>
      <c r="M78" s="426">
        <v>891855</v>
      </c>
      <c r="N78" s="426">
        <v>936840</v>
      </c>
      <c r="O78" s="426">
        <v>1005019</v>
      </c>
      <c r="P78" s="426">
        <v>1072028</v>
      </c>
      <c r="Q78" s="426">
        <v>1137863</v>
      </c>
      <c r="R78" s="426">
        <v>1158975</v>
      </c>
      <c r="S78" s="426">
        <f>SUM(S74:S76)</f>
        <v>1226052</v>
      </c>
      <c r="T78" s="426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12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2" firstPageNumber="4" orientation="landscape" r:id="rId1"/>
  <headerFooter scaleWithDoc="0" alignWithMargins="0">
    <oddFooter>&amp;C&amp;F /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Y54"/>
  <sheetViews>
    <sheetView topLeftCell="K1" workbookViewId="0">
      <selection activeCell="S5" sqref="S5"/>
    </sheetView>
  </sheetViews>
  <sheetFormatPr defaultColWidth="8.88671875" defaultRowHeight="13.2"/>
  <cols>
    <col min="1" max="1" width="34.6640625" style="412" customWidth="1"/>
    <col min="2" max="3" width="0" style="412" hidden="1" customWidth="1"/>
    <col min="4" max="4" width="5.5546875" style="412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12" customWidth="1"/>
    <col min="19" max="19" width="13.44140625" style="736" customWidth="1"/>
    <col min="20" max="16384" width="8.88671875" style="412"/>
  </cols>
  <sheetData>
    <row r="1" spans="1:20">
      <c r="A1" s="914" t="s">
        <v>6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</row>
    <row r="2" spans="1:20">
      <c r="A2" s="915" t="s">
        <v>7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</row>
    <row r="3" spans="1:20">
      <c r="D3" s="57"/>
    </row>
    <row r="4" spans="1:20">
      <c r="D4" s="57"/>
      <c r="E4" s="916" t="s">
        <v>29</v>
      </c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20">
      <c r="D5" s="57"/>
      <c r="E5" s="917" t="s">
        <v>295</v>
      </c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S5" s="792" t="s">
        <v>710</v>
      </c>
    </row>
    <row r="6" spans="1:20">
      <c r="D6" s="58"/>
      <c r="E6" s="433">
        <v>2000</v>
      </c>
      <c r="F6" s="350">
        <v>2001</v>
      </c>
      <c r="G6" s="350">
        <v>2002</v>
      </c>
      <c r="H6" s="350">
        <v>2003</v>
      </c>
      <c r="I6" s="350">
        <v>2004</v>
      </c>
      <c r="J6" s="350">
        <v>2005</v>
      </c>
      <c r="K6" s="350">
        <v>2006</v>
      </c>
      <c r="L6" s="350">
        <v>2007</v>
      </c>
      <c r="M6" s="350">
        <v>2008</v>
      </c>
      <c r="N6" s="350">
        <v>2009</v>
      </c>
      <c r="O6" s="350">
        <v>2010</v>
      </c>
      <c r="P6" s="434">
        <v>2011</v>
      </c>
      <c r="Q6" s="434">
        <v>2012</v>
      </c>
      <c r="R6" s="434">
        <v>2013</v>
      </c>
      <c r="S6" s="434">
        <v>2014</v>
      </c>
    </row>
    <row r="7" spans="1:20">
      <c r="A7" s="412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35">
        <v>0.65239999999999998</v>
      </c>
      <c r="Q7" s="435">
        <v>0.65010000000000001</v>
      </c>
      <c r="R7" s="435">
        <v>0.65190000000000003</v>
      </c>
      <c r="S7" s="435">
        <v>0.64710000000000001</v>
      </c>
    </row>
    <row r="8" spans="1:20"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</row>
    <row r="9" spans="1:20">
      <c r="A9" s="412" t="s">
        <v>10</v>
      </c>
      <c r="D9" s="59"/>
      <c r="E9" s="351">
        <v>135976.0367</v>
      </c>
      <c r="F9" s="351">
        <v>90880</v>
      </c>
      <c r="G9" s="351">
        <v>31728</v>
      </c>
      <c r="H9" s="351">
        <v>35221</v>
      </c>
      <c r="I9" s="351">
        <v>40439</v>
      </c>
      <c r="J9" s="351">
        <v>44689.546799999996</v>
      </c>
      <c r="K9" s="351">
        <v>35381</v>
      </c>
      <c r="L9" s="351">
        <v>34954</v>
      </c>
      <c r="M9" s="351">
        <v>46849</v>
      </c>
      <c r="N9" s="351">
        <v>30933.259500000004</v>
      </c>
      <c r="O9" s="351">
        <v>132773.274</v>
      </c>
      <c r="P9" s="351">
        <v>52603.011999999995</v>
      </c>
      <c r="Q9" s="351">
        <v>54547.940699999999</v>
      </c>
      <c r="R9" s="351">
        <v>75350</v>
      </c>
      <c r="S9" s="351">
        <f>'12.2014 CB Power Supply'!F11</f>
        <v>60998</v>
      </c>
    </row>
    <row r="10" spans="1:20">
      <c r="A10" s="412" t="s">
        <v>11</v>
      </c>
      <c r="D10" s="60"/>
      <c r="E10" s="352">
        <v>300.2937</v>
      </c>
      <c r="F10" s="352">
        <v>281</v>
      </c>
      <c r="G10" s="352">
        <v>38</v>
      </c>
      <c r="H10" s="352">
        <v>297</v>
      </c>
      <c r="I10" s="352">
        <v>238</v>
      </c>
      <c r="J10" s="352">
        <v>124.85669999999999</v>
      </c>
      <c r="K10" s="352">
        <v>153</v>
      </c>
      <c r="L10" s="352">
        <v>200</v>
      </c>
      <c r="M10" s="352">
        <v>198</v>
      </c>
      <c r="N10" s="352">
        <v>247.15470000000002</v>
      </c>
      <c r="O10" s="352">
        <v>183.75119999999998</v>
      </c>
      <c r="P10" s="352">
        <v>330.76679999999999</v>
      </c>
      <c r="Q10" s="352">
        <v>303.5967</v>
      </c>
      <c r="R10" s="352">
        <v>282</v>
      </c>
      <c r="S10" s="352">
        <f>'12.2014 CB Power Supply'!F12</f>
        <v>307</v>
      </c>
    </row>
    <row r="11" spans="1:20">
      <c r="A11" s="412" t="s">
        <v>12</v>
      </c>
      <c r="D11" s="60"/>
      <c r="E11" s="352">
        <v>43.751400000000004</v>
      </c>
      <c r="F11" s="352">
        <v>0</v>
      </c>
      <c r="G11" s="352">
        <v>30</v>
      </c>
      <c r="H11" s="352">
        <v>16</v>
      </c>
      <c r="I11" s="352">
        <v>16</v>
      </c>
      <c r="J11" s="352">
        <v>12.420299999999999</v>
      </c>
      <c r="K11" s="352">
        <v>14</v>
      </c>
      <c r="L11" s="352">
        <v>14</v>
      </c>
      <c r="M11" s="352">
        <v>16</v>
      </c>
      <c r="N11" s="352">
        <v>18.8123</v>
      </c>
      <c r="O11" s="352">
        <v>0</v>
      </c>
      <c r="P11" s="352">
        <v>0</v>
      </c>
      <c r="Q11" s="352">
        <v>0</v>
      </c>
      <c r="R11" s="352">
        <v>0</v>
      </c>
      <c r="S11" s="352">
        <f>'12.2014 CB Power Supply'!F13</f>
        <v>0</v>
      </c>
    </row>
    <row r="12" spans="1:20">
      <c r="A12" s="575" t="s">
        <v>13</v>
      </c>
      <c r="D12" s="62"/>
      <c r="E12" s="462">
        <v>10967.6805</v>
      </c>
      <c r="F12" s="462">
        <v>11862</v>
      </c>
      <c r="G12" s="462">
        <v>25225</v>
      </c>
      <c r="H12" s="462">
        <v>46826</v>
      </c>
      <c r="I12" s="462">
        <v>31</v>
      </c>
      <c r="J12" s="462">
        <v>41.836799999999997</v>
      </c>
      <c r="K12" s="462">
        <v>31</v>
      </c>
      <c r="L12" s="462">
        <v>7</v>
      </c>
      <c r="M12" s="462">
        <v>2</v>
      </c>
      <c r="N12" s="462">
        <v>93.412800000000004</v>
      </c>
      <c r="O12" s="462">
        <v>456.11999999999995</v>
      </c>
      <c r="P12" s="462">
        <v>1420.9271999999999</v>
      </c>
      <c r="Q12" s="462">
        <v>1122.7227</v>
      </c>
      <c r="R12" s="462">
        <v>0</v>
      </c>
      <c r="S12" s="462">
        <f>'12.2014 CB Power Supply'!F17</f>
        <v>2592</v>
      </c>
      <c r="T12" s="746" t="s">
        <v>707</v>
      </c>
    </row>
    <row r="13" spans="1:20" s="458" customFormat="1">
      <c r="A13" s="458" t="s">
        <v>405</v>
      </c>
      <c r="D13" s="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>
        <v>63</v>
      </c>
      <c r="R13" s="462">
        <v>0</v>
      </c>
      <c r="S13" s="462">
        <f>'12.2014 CB Power Supply'!F18</f>
        <v>163</v>
      </c>
      <c r="T13" s="746" t="s">
        <v>707</v>
      </c>
    </row>
    <row r="14" spans="1:20">
      <c r="A14" s="412" t="s">
        <v>14</v>
      </c>
      <c r="D14" s="62"/>
      <c r="E14" s="463">
        <f>SUM(E9:E12)</f>
        <v>147287.7623</v>
      </c>
      <c r="F14" s="463">
        <f t="shared" ref="F14:Q14" si="0">SUM(F9:F12)</f>
        <v>103023</v>
      </c>
      <c r="G14" s="463">
        <f t="shared" si="0"/>
        <v>57021</v>
      </c>
      <c r="H14" s="463">
        <f t="shared" si="0"/>
        <v>82360</v>
      </c>
      <c r="I14" s="463">
        <f t="shared" si="0"/>
        <v>40724</v>
      </c>
      <c r="J14" s="463">
        <f t="shared" si="0"/>
        <v>44868.660599999988</v>
      </c>
      <c r="K14" s="463">
        <f t="shared" si="0"/>
        <v>35579</v>
      </c>
      <c r="L14" s="463">
        <f t="shared" si="0"/>
        <v>35175</v>
      </c>
      <c r="M14" s="463">
        <f t="shared" si="0"/>
        <v>47065</v>
      </c>
      <c r="N14" s="463">
        <f t="shared" si="0"/>
        <v>31292.639300000003</v>
      </c>
      <c r="O14" s="463">
        <f t="shared" si="0"/>
        <v>133413.1452</v>
      </c>
      <c r="P14" s="463">
        <f t="shared" si="0"/>
        <v>54354.705999999991</v>
      </c>
      <c r="Q14" s="463">
        <f t="shared" si="0"/>
        <v>55974.2601</v>
      </c>
      <c r="R14" s="463">
        <f>SUM(R9:R13)</f>
        <v>75632</v>
      </c>
      <c r="S14" s="463">
        <f>SUM(S9:S13)</f>
        <v>64060</v>
      </c>
    </row>
    <row r="15" spans="1:20">
      <c r="D15" s="6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20">
      <c r="D16" s="6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</row>
    <row r="17" spans="1:25">
      <c r="A17" s="412" t="s">
        <v>15</v>
      </c>
      <c r="D17" s="62"/>
      <c r="E17" s="352">
        <v>18358.352600000002</v>
      </c>
      <c r="F17" s="352">
        <v>10164</v>
      </c>
      <c r="G17" s="352">
        <v>9430</v>
      </c>
      <c r="H17" s="352">
        <v>12014</v>
      </c>
      <c r="I17" s="352">
        <v>12358</v>
      </c>
      <c r="J17" s="352">
        <v>12956.9877</v>
      </c>
      <c r="K17" s="352">
        <v>15914</v>
      </c>
      <c r="L17" s="352">
        <v>16710</v>
      </c>
      <c r="M17" s="352">
        <v>18086</v>
      </c>
      <c r="N17" s="352">
        <v>16203.228600000002</v>
      </c>
      <c r="O17" s="352">
        <v>19974.797999999999</v>
      </c>
      <c r="P17" s="352">
        <v>21546.8148</v>
      </c>
      <c r="Q17" s="352">
        <v>16459.231800000001</v>
      </c>
      <c r="R17" s="352">
        <v>18925</v>
      </c>
      <c r="S17" s="352">
        <f>'12.2014 CB Power Supply'!F22</f>
        <v>17743</v>
      </c>
    </row>
    <row r="18" spans="1:25">
      <c r="A18" s="412" t="s">
        <v>16</v>
      </c>
      <c r="D18" s="62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  <c r="S18" s="352">
        <f>'12.2014 CB Power Supply'!F23</f>
        <v>0</v>
      </c>
    </row>
    <row r="19" spans="1:25">
      <c r="A19" s="412" t="s">
        <v>17</v>
      </c>
      <c r="D19" s="62"/>
      <c r="E19" s="352">
        <v>23060.302300000003</v>
      </c>
      <c r="F19" s="352">
        <v>3582</v>
      </c>
      <c r="G19" s="352">
        <v>8111</v>
      </c>
      <c r="H19" s="352">
        <v>15447</v>
      </c>
      <c r="I19" s="352">
        <v>45629</v>
      </c>
      <c r="J19" s="352">
        <v>55227.190799999997</v>
      </c>
      <c r="K19" s="352">
        <v>47155</v>
      </c>
      <c r="L19" s="352">
        <v>43656</v>
      </c>
      <c r="M19" s="352">
        <v>52704</v>
      </c>
      <c r="N19" s="352">
        <v>15927.531100000002</v>
      </c>
      <c r="O19" s="352">
        <v>74448.55799999999</v>
      </c>
      <c r="P19" s="352">
        <v>62923.979999999996</v>
      </c>
      <c r="Q19" s="352">
        <v>50012.192999999999</v>
      </c>
      <c r="R19" s="352">
        <v>60338</v>
      </c>
      <c r="S19" s="352">
        <f>'12.2014 CB Power Supply'!F24</f>
        <v>36097</v>
      </c>
    </row>
    <row r="20" spans="1:25">
      <c r="A20" s="412" t="s">
        <v>18</v>
      </c>
      <c r="D20" s="62"/>
      <c r="E20" s="352">
        <v>548.88120000000004</v>
      </c>
      <c r="F20" s="352">
        <v>528</v>
      </c>
      <c r="G20" s="352">
        <v>392</v>
      </c>
      <c r="H20" s="352">
        <v>528</v>
      </c>
      <c r="I20" s="352">
        <v>490</v>
      </c>
      <c r="J20" s="352">
        <v>497.46569999999997</v>
      </c>
      <c r="K20" s="352">
        <v>450</v>
      </c>
      <c r="L20" s="352">
        <v>420</v>
      </c>
      <c r="M20" s="352">
        <v>421</v>
      </c>
      <c r="N20" s="352">
        <v>464.46920000000006</v>
      </c>
      <c r="O20" s="352">
        <v>555.81479999999999</v>
      </c>
      <c r="P20" s="352">
        <v>635.43759999999997</v>
      </c>
      <c r="Q20" s="352">
        <v>673.50360000000001</v>
      </c>
      <c r="R20" s="352">
        <v>671</v>
      </c>
      <c r="S20" s="352">
        <f>'12.2014 CB Power Supply'!F25</f>
        <v>636</v>
      </c>
    </row>
    <row r="21" spans="1:25">
      <c r="A21" s="412" t="s">
        <v>19</v>
      </c>
      <c r="D21" s="62"/>
      <c r="E21" s="352">
        <v>180040.32550000001</v>
      </c>
      <c r="F21" s="352">
        <v>131649</v>
      </c>
      <c r="G21" s="352">
        <v>50729</v>
      </c>
      <c r="H21" s="352">
        <v>53591</v>
      </c>
      <c r="I21" s="352">
        <v>51029</v>
      </c>
      <c r="J21" s="352">
        <v>55379.502899999992</v>
      </c>
      <c r="K21" s="352">
        <v>79145</v>
      </c>
      <c r="L21" s="352">
        <v>65642</v>
      </c>
      <c r="M21" s="352">
        <v>72581</v>
      </c>
      <c r="N21" s="352">
        <v>104870.13940000001</v>
      </c>
      <c r="O21" s="352">
        <v>142281.42119999998</v>
      </c>
      <c r="P21" s="352">
        <v>91141.584799999997</v>
      </c>
      <c r="Q21" s="352">
        <v>101282.32950000001</v>
      </c>
      <c r="R21" s="352">
        <v>109035</v>
      </c>
      <c r="S21" s="352">
        <f>'12.2014 CB Power Supply'!F26</f>
        <v>116641</v>
      </c>
    </row>
    <row r="22" spans="1:25">
      <c r="A22" s="412" t="s">
        <v>20</v>
      </c>
      <c r="D22" s="62"/>
      <c r="E22" s="352">
        <v>0</v>
      </c>
      <c r="F22" s="352">
        <v>0</v>
      </c>
      <c r="G22" s="352">
        <v>85</v>
      </c>
      <c r="H22" s="352">
        <v>87</v>
      </c>
      <c r="I22" s="352">
        <v>87</v>
      </c>
      <c r="J22" s="352">
        <v>86.942099999999996</v>
      </c>
      <c r="K22" s="352">
        <v>115</v>
      </c>
      <c r="L22" s="352">
        <v>100</v>
      </c>
      <c r="M22" s="352">
        <v>113</v>
      </c>
      <c r="N22" s="352">
        <v>103.792</v>
      </c>
      <c r="O22" s="352">
        <v>104.256</v>
      </c>
      <c r="P22" s="352">
        <v>104.384</v>
      </c>
      <c r="Q22" s="352">
        <v>104.01600000000001</v>
      </c>
      <c r="R22" s="352">
        <v>104</v>
      </c>
      <c r="S22" s="352">
        <f>'12.2014 CB Power Supply'!F27</f>
        <v>0</v>
      </c>
    </row>
    <row r="23" spans="1:25">
      <c r="A23" s="412" t="s">
        <v>21</v>
      </c>
      <c r="D23" s="62"/>
      <c r="E23" s="352">
        <v>3013.5434</v>
      </c>
      <c r="F23" s="352">
        <v>3056</v>
      </c>
      <c r="G23" s="352">
        <v>3059</v>
      </c>
      <c r="H23" s="352">
        <v>3066</v>
      </c>
      <c r="I23" s="352">
        <v>4385</v>
      </c>
      <c r="J23" s="352">
        <v>2320.6349999999998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0</v>
      </c>
      <c r="S23" s="352">
        <f>'12.2014 CB Power Supply'!F28</f>
        <v>0</v>
      </c>
    </row>
    <row r="24" spans="1:25">
      <c r="A24" s="412" t="s">
        <v>22</v>
      </c>
      <c r="D24" s="62"/>
      <c r="E24" s="352">
        <v>109.3785</v>
      </c>
      <c r="F24" s="352">
        <v>171</v>
      </c>
      <c r="G24" s="352">
        <v>150</v>
      </c>
      <c r="H24" s="352">
        <v>173</v>
      </c>
      <c r="I24" s="352">
        <v>99</v>
      </c>
      <c r="J24" s="352">
        <v>141.19919999999999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  <c r="S24" s="352">
        <f>'12.2014 CB Power Supply'!F29</f>
        <v>0</v>
      </c>
    </row>
    <row r="25" spans="1:25">
      <c r="A25" s="412" t="s">
        <v>23</v>
      </c>
      <c r="D25" s="62"/>
      <c r="E25" s="352">
        <v>1984.7226000000001</v>
      </c>
      <c r="F25" s="352">
        <v>25</v>
      </c>
      <c r="G25" s="352">
        <v>46700</v>
      </c>
      <c r="H25" s="352">
        <v>63438</v>
      </c>
      <c r="I25" s="352">
        <v>51</v>
      </c>
      <c r="J25" s="352">
        <v>73.868099999999998</v>
      </c>
      <c r="K25" s="352">
        <v>291</v>
      </c>
      <c r="L25" s="352">
        <v>243</v>
      </c>
      <c r="M25" s="352">
        <v>297</v>
      </c>
      <c r="N25" s="352">
        <v>307.48380000000003</v>
      </c>
      <c r="O25" s="352">
        <v>465.89399999999995</v>
      </c>
      <c r="P25" s="352">
        <v>820.7192</v>
      </c>
      <c r="Q25" s="352">
        <v>891.93719999999996</v>
      </c>
      <c r="R25" s="352">
        <v>711</v>
      </c>
      <c r="S25" s="352">
        <f>'12.2014 CB Power Supply'!F30</f>
        <v>376</v>
      </c>
    </row>
    <row r="26" spans="1:25" s="458" customFormat="1">
      <c r="A26" s="458" t="s">
        <v>406</v>
      </c>
      <c r="D26" s="6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>
        <v>0</v>
      </c>
      <c r="R26" s="352">
        <v>0</v>
      </c>
      <c r="S26" s="352">
        <f>'12.2014 CB Power Supply'!F31</f>
        <v>2396</v>
      </c>
    </row>
    <row r="27" spans="1:25">
      <c r="A27" s="412" t="s">
        <v>24</v>
      </c>
      <c r="D27" s="62"/>
      <c r="E27" s="352">
        <v>7669.7530000000006</v>
      </c>
      <c r="F27" s="352">
        <v>7010</v>
      </c>
      <c r="G27" s="352">
        <v>5723</v>
      </c>
      <c r="H27" s="352">
        <v>5938</v>
      </c>
      <c r="I27" s="352">
        <v>8671</v>
      </c>
      <c r="J27" s="352">
        <v>6436.3301999999994</v>
      </c>
      <c r="K27" s="352">
        <v>9054</v>
      </c>
      <c r="L27" s="352">
        <v>8948</v>
      </c>
      <c r="M27" s="352">
        <v>8782</v>
      </c>
      <c r="N27" s="352">
        <v>8661.4423999999999</v>
      </c>
      <c r="O27" s="352">
        <v>11537.8812</v>
      </c>
      <c r="P27" s="352">
        <v>11410.475999999999</v>
      </c>
      <c r="Q27" s="352">
        <v>11410.555200000001</v>
      </c>
      <c r="R27" s="352">
        <v>11687</v>
      </c>
      <c r="S27" s="352">
        <f>'12.2014 CB Power Supply'!F32</f>
        <v>12228</v>
      </c>
    </row>
    <row r="28" spans="1:25" ht="15.6" customHeight="1">
      <c r="A28" s="18"/>
      <c r="B28" s="18"/>
      <c r="C28" s="18"/>
      <c r="D28" s="46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8"/>
      <c r="V28" s="18"/>
      <c r="W28" s="18"/>
      <c r="X28" s="18"/>
      <c r="Y28" s="18"/>
    </row>
    <row r="29" spans="1:25">
      <c r="A29" s="412" t="s">
        <v>25</v>
      </c>
      <c r="D29" s="62"/>
      <c r="E29" s="354">
        <f>SUM(E17:E28)</f>
        <v>234785.2591</v>
      </c>
      <c r="F29" s="354">
        <f t="shared" ref="F29:Q29" si="1">SUM(F17:F28)</f>
        <v>156185</v>
      </c>
      <c r="G29" s="354">
        <f t="shared" si="1"/>
        <v>124379</v>
      </c>
      <c r="H29" s="354">
        <f t="shared" si="1"/>
        <v>154282</v>
      </c>
      <c r="I29" s="354">
        <f t="shared" si="1"/>
        <v>122799</v>
      </c>
      <c r="J29" s="354">
        <f t="shared" si="1"/>
        <v>133120.12169999999</v>
      </c>
      <c r="K29" s="354">
        <f t="shared" si="1"/>
        <v>152124</v>
      </c>
      <c r="L29" s="354">
        <f t="shared" si="1"/>
        <v>135719</v>
      </c>
      <c r="M29" s="354">
        <f t="shared" si="1"/>
        <v>152984</v>
      </c>
      <c r="N29" s="354">
        <f t="shared" si="1"/>
        <v>146538.0865</v>
      </c>
      <c r="O29" s="354">
        <f t="shared" si="1"/>
        <v>249368.62319999994</v>
      </c>
      <c r="P29" s="354">
        <f t="shared" si="1"/>
        <v>188583.39639999997</v>
      </c>
      <c r="Q29" s="354">
        <f t="shared" si="1"/>
        <v>180833.76630000002</v>
      </c>
      <c r="R29" s="354">
        <f t="shared" ref="R29:S29" si="2">SUM(R17:R28)</f>
        <v>201471</v>
      </c>
      <c r="S29" s="354">
        <f t="shared" si="2"/>
        <v>186117</v>
      </c>
    </row>
    <row r="30" spans="1:25"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</row>
    <row r="31" spans="1:25">
      <c r="A31" s="412" t="s">
        <v>26</v>
      </c>
      <c r="D31" s="60"/>
      <c r="E31" s="352">
        <f>E14-E29</f>
        <v>-87497.496799999994</v>
      </c>
      <c r="F31" s="352">
        <f t="shared" ref="F31:Q31" si="3">F14-F29</f>
        <v>-53162</v>
      </c>
      <c r="G31" s="352">
        <f t="shared" si="3"/>
        <v>-67358</v>
      </c>
      <c r="H31" s="352">
        <f t="shared" si="3"/>
        <v>-71922</v>
      </c>
      <c r="I31" s="352">
        <f t="shared" si="3"/>
        <v>-82075</v>
      </c>
      <c r="J31" s="352">
        <f t="shared" si="3"/>
        <v>-88251.4611</v>
      </c>
      <c r="K31" s="352">
        <f t="shared" si="3"/>
        <v>-116545</v>
      </c>
      <c r="L31" s="352">
        <f t="shared" si="3"/>
        <v>-100544</v>
      </c>
      <c r="M31" s="352">
        <f t="shared" si="3"/>
        <v>-105919</v>
      </c>
      <c r="N31" s="352">
        <f t="shared" si="3"/>
        <v>-115245.4472</v>
      </c>
      <c r="O31" s="352">
        <f t="shared" si="3"/>
        <v>-115955.47799999994</v>
      </c>
      <c r="P31" s="352">
        <f t="shared" si="3"/>
        <v>-134228.69039999996</v>
      </c>
      <c r="Q31" s="352">
        <f t="shared" si="3"/>
        <v>-124859.50620000002</v>
      </c>
      <c r="R31" s="352">
        <f t="shared" ref="R31:S31" si="4">R14-R29</f>
        <v>-125839</v>
      </c>
      <c r="S31" s="352">
        <f t="shared" si="4"/>
        <v>-122057</v>
      </c>
    </row>
    <row r="32" spans="1:25">
      <c r="D32" s="60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spans="1:19">
      <c r="A33" s="412" t="s">
        <v>27</v>
      </c>
      <c r="C33" s="64">
        <v>0.35</v>
      </c>
      <c r="D33" s="65"/>
      <c r="E33" s="353">
        <f>E31*0.35</f>
        <v>-30624.123879999996</v>
      </c>
      <c r="F33" s="353">
        <f t="shared" ref="F33:Q33" si="5">F31*0.35</f>
        <v>-18606.699999999997</v>
      </c>
      <c r="G33" s="353">
        <f t="shared" si="5"/>
        <v>-23575.3</v>
      </c>
      <c r="H33" s="353">
        <f t="shared" si="5"/>
        <v>-25172.699999999997</v>
      </c>
      <c r="I33" s="353">
        <f t="shared" si="5"/>
        <v>-28726.249999999996</v>
      </c>
      <c r="J33" s="353">
        <f t="shared" si="5"/>
        <v>-30888.011384999998</v>
      </c>
      <c r="K33" s="353">
        <f t="shared" si="5"/>
        <v>-40790.75</v>
      </c>
      <c r="L33" s="353">
        <f t="shared" si="5"/>
        <v>-35190.399999999994</v>
      </c>
      <c r="M33" s="353">
        <f t="shared" si="5"/>
        <v>-37071.649999999994</v>
      </c>
      <c r="N33" s="353">
        <f t="shared" si="5"/>
        <v>-40335.906519999997</v>
      </c>
      <c r="O33" s="353">
        <f t="shared" si="5"/>
        <v>-40584.417299999979</v>
      </c>
      <c r="P33" s="353">
        <f t="shared" si="5"/>
        <v>-46980.041639999981</v>
      </c>
      <c r="Q33" s="353">
        <f t="shared" si="5"/>
        <v>-43700.827170000004</v>
      </c>
      <c r="R33" s="353">
        <f t="shared" ref="R33:S33" si="6">R31*0.35</f>
        <v>-44043.649999999994</v>
      </c>
      <c r="S33" s="353">
        <f t="shared" si="6"/>
        <v>-42719.95</v>
      </c>
    </row>
    <row r="34" spans="1:19">
      <c r="D34" s="65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>
      <c r="A35" s="412" t="s">
        <v>28</v>
      </c>
      <c r="D35" s="60"/>
      <c r="E35" s="436">
        <f>E31-E33</f>
        <v>-56873.372919999994</v>
      </c>
      <c r="F35" s="436">
        <f t="shared" ref="F35:Q35" si="7">F31-F33</f>
        <v>-34555.300000000003</v>
      </c>
      <c r="G35" s="436">
        <f t="shared" si="7"/>
        <v>-43782.7</v>
      </c>
      <c r="H35" s="436">
        <f t="shared" si="7"/>
        <v>-46749.3</v>
      </c>
      <c r="I35" s="436">
        <f t="shared" si="7"/>
        <v>-53348.75</v>
      </c>
      <c r="J35" s="436">
        <f t="shared" si="7"/>
        <v>-57363.449715000002</v>
      </c>
      <c r="K35" s="436">
        <f t="shared" si="7"/>
        <v>-75754.25</v>
      </c>
      <c r="L35" s="436">
        <f t="shared" si="7"/>
        <v>-65353.600000000006</v>
      </c>
      <c r="M35" s="436">
        <f t="shared" si="7"/>
        <v>-68847.350000000006</v>
      </c>
      <c r="N35" s="436">
        <f t="shared" si="7"/>
        <v>-74909.540680000006</v>
      </c>
      <c r="O35" s="436">
        <f t="shared" si="7"/>
        <v>-75371.060699999973</v>
      </c>
      <c r="P35" s="436">
        <f t="shared" si="7"/>
        <v>-87248.648759999982</v>
      </c>
      <c r="Q35" s="436">
        <f t="shared" si="7"/>
        <v>-81158.679030000014</v>
      </c>
      <c r="R35" s="436">
        <f t="shared" ref="R35:S35" si="8">R31-R33</f>
        <v>-81795.350000000006</v>
      </c>
      <c r="S35" s="436">
        <f t="shared" si="8"/>
        <v>-79337.05</v>
      </c>
    </row>
    <row r="36" spans="1:19">
      <c r="E36" s="352"/>
      <c r="F36" s="352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37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37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33"/>
    </row>
    <row r="45" spans="1:19">
      <c r="J45" s="433"/>
    </row>
    <row r="54" spans="1:21">
      <c r="A54" s="777" t="s">
        <v>705</v>
      </c>
      <c r="B54" s="777"/>
      <c r="C54" s="777"/>
      <c r="D54" s="62"/>
      <c r="E54" s="738"/>
      <c r="F54" s="738"/>
      <c r="G54" s="738"/>
      <c r="H54" s="738"/>
      <c r="I54" s="738"/>
      <c r="J54" s="778">
        <f>ROUND(9555*J33,0)</f>
        <v>-295134949</v>
      </c>
      <c r="K54" s="778">
        <f>ROUND(12757*K33,0)</f>
        <v>-520367598</v>
      </c>
      <c r="L54" s="778">
        <f>ROUND(14241*L33,0)</f>
        <v>-501146486</v>
      </c>
      <c r="M54" s="778">
        <f>ROUND(15869*M33,0)</f>
        <v>-588290014</v>
      </c>
      <c r="N54" s="778">
        <f>ROUND(16051*N33,0)</f>
        <v>-647431636</v>
      </c>
      <c r="O54" s="778">
        <f>ROUND(15132*O33,0)</f>
        <v>-614123403</v>
      </c>
      <c r="P54" s="778">
        <f>ROUND(16369*P33,0)</f>
        <v>-769016302</v>
      </c>
      <c r="Q54" s="778">
        <f>ROUND(21605*Q33,0)</f>
        <v>-944156371</v>
      </c>
      <c r="R54" s="778">
        <f>ROUND(17902*R33,0)</f>
        <v>-788469422</v>
      </c>
      <c r="S54" s="778">
        <f>ROUND(18743*S33,0)</f>
        <v>-800700023</v>
      </c>
      <c r="T54" s="738">
        <f>'12.2014 CB Power Supply'!F59+'12.2014 CB Power Supply'!F60</f>
        <v>0</v>
      </c>
      <c r="U54" s="777" t="s">
        <v>706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55" orientation="landscape" r:id="rId1"/>
  <headerFooter alignWithMargins="0">
    <oddFooter>&amp;C&amp;F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tabSelected="1" workbookViewId="0">
      <selection activeCell="I47" sqref="I47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67" t="s">
        <v>117</v>
      </c>
      <c r="I1" s="467"/>
      <c r="J1" s="467"/>
      <c r="K1" s="467"/>
      <c r="L1" s="468"/>
    </row>
    <row r="2" spans="1:12">
      <c r="A2" s="888" t="s">
        <v>117</v>
      </c>
      <c r="B2" s="888"/>
      <c r="C2" s="888"/>
      <c r="D2" s="888"/>
      <c r="E2" s="888"/>
      <c r="F2" s="888"/>
      <c r="G2" s="888"/>
      <c r="H2" s="885" t="s">
        <v>95</v>
      </c>
      <c r="I2" s="885"/>
      <c r="J2" s="885"/>
      <c r="K2" s="885"/>
      <c r="L2" s="885"/>
    </row>
    <row r="3" spans="1:12">
      <c r="A3" s="889" t="s">
        <v>730</v>
      </c>
      <c r="B3" s="889"/>
      <c r="C3" s="889"/>
      <c r="D3" s="889"/>
      <c r="E3" s="889"/>
      <c r="F3" s="889"/>
      <c r="G3" s="889"/>
      <c r="H3" s="885" t="s">
        <v>273</v>
      </c>
      <c r="I3" s="885"/>
      <c r="J3" s="885"/>
      <c r="K3" s="885"/>
      <c r="L3" s="885"/>
    </row>
    <row r="4" spans="1:12" ht="15.6">
      <c r="A4" s="888" t="s">
        <v>273</v>
      </c>
      <c r="B4" s="888"/>
      <c r="C4" s="888"/>
      <c r="D4" s="888"/>
      <c r="E4" s="888"/>
      <c r="F4" s="888"/>
      <c r="G4" s="888"/>
      <c r="H4" s="886" t="s">
        <v>637</v>
      </c>
      <c r="I4" s="887"/>
      <c r="J4" s="886"/>
      <c r="K4" s="886"/>
      <c r="L4" s="886"/>
    </row>
    <row r="5" spans="1:12" ht="15" thickBot="1">
      <c r="A5" s="888" t="s">
        <v>637</v>
      </c>
      <c r="B5" s="888"/>
      <c r="C5" s="888"/>
      <c r="D5" s="888"/>
      <c r="E5" s="888"/>
      <c r="F5" s="888"/>
      <c r="G5" s="888"/>
      <c r="H5" s="469"/>
      <c r="I5" s="469"/>
      <c r="J5" s="469"/>
      <c r="K5" s="469"/>
      <c r="L5" s="470"/>
    </row>
    <row r="6" spans="1:12">
      <c r="A6" s="210" t="s">
        <v>402</v>
      </c>
      <c r="B6" s="211"/>
      <c r="C6" s="211"/>
      <c r="D6" s="211"/>
      <c r="E6" s="211"/>
      <c r="F6" s="211"/>
      <c r="G6" s="212"/>
      <c r="H6" s="471" t="s">
        <v>409</v>
      </c>
      <c r="I6" s="471"/>
      <c r="J6" s="471"/>
      <c r="K6" s="471"/>
      <c r="L6" s="472"/>
    </row>
    <row r="7" spans="1:12">
      <c r="A7" s="213"/>
      <c r="B7" s="214"/>
      <c r="C7" s="214"/>
      <c r="D7" s="215"/>
      <c r="E7" s="216"/>
      <c r="F7" s="215"/>
      <c r="G7" s="217"/>
      <c r="H7" s="473" t="s">
        <v>90</v>
      </c>
      <c r="I7" s="471"/>
      <c r="J7" s="473" t="s">
        <v>410</v>
      </c>
      <c r="K7" s="474"/>
      <c r="L7" s="475" t="s">
        <v>411</v>
      </c>
    </row>
    <row r="8" spans="1:12">
      <c r="A8" s="213"/>
      <c r="B8" s="218"/>
      <c r="C8" s="215"/>
      <c r="D8" s="215" t="s">
        <v>97</v>
      </c>
      <c r="E8" s="215"/>
      <c r="F8" s="215" t="s">
        <v>274</v>
      </c>
      <c r="G8" s="217"/>
      <c r="H8" s="469"/>
      <c r="I8" s="469"/>
      <c r="J8" s="469"/>
      <c r="K8" s="469"/>
      <c r="L8" s="470"/>
    </row>
    <row r="9" spans="1:12">
      <c r="A9" s="213"/>
      <c r="B9" s="219" t="s">
        <v>275</v>
      </c>
      <c r="C9" s="215"/>
      <c r="D9" s="219" t="s">
        <v>276</v>
      </c>
      <c r="E9" s="219" t="s">
        <v>277</v>
      </c>
      <c r="F9" s="219" t="s">
        <v>277</v>
      </c>
      <c r="G9" s="217"/>
      <c r="H9" s="476">
        <v>1</v>
      </c>
      <c r="I9" s="469"/>
      <c r="J9" s="477" t="s">
        <v>412</v>
      </c>
      <c r="K9" s="469"/>
      <c r="L9" s="478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76"/>
      <c r="I10" s="469"/>
      <c r="J10" s="469"/>
      <c r="K10" s="469"/>
      <c r="L10" s="478"/>
    </row>
    <row r="11" spans="1:12">
      <c r="A11" s="213"/>
      <c r="B11" s="218" t="s">
        <v>278</v>
      </c>
      <c r="C11" s="221"/>
      <c r="D11" s="222">
        <f>100%-D13</f>
        <v>0.51500000000000001</v>
      </c>
      <c r="E11" s="222">
        <v>5.1999999999999998E-2</v>
      </c>
      <c r="F11" s="823">
        <f>ROUND(D11*E11,4)</f>
        <v>2.6800000000000001E-2</v>
      </c>
      <c r="G11" s="235"/>
      <c r="H11" s="476"/>
      <c r="I11" s="469"/>
      <c r="J11" s="479" t="s">
        <v>413</v>
      </c>
      <c r="K11" s="480"/>
      <c r="L11" s="478"/>
    </row>
    <row r="12" spans="1:12">
      <c r="A12" s="213"/>
      <c r="B12" s="218"/>
      <c r="C12" s="224"/>
      <c r="D12" s="222"/>
      <c r="E12" s="222"/>
      <c r="F12" s="222"/>
      <c r="G12" s="225"/>
      <c r="H12" s="476">
        <v>2</v>
      </c>
      <c r="I12" s="469"/>
      <c r="J12" s="480" t="s">
        <v>414</v>
      </c>
      <c r="K12" s="480"/>
      <c r="L12" s="480">
        <v>5.3530000000000001E-3</v>
      </c>
    </row>
    <row r="13" spans="1:12">
      <c r="A13" s="213"/>
      <c r="B13" s="218" t="s">
        <v>91</v>
      </c>
      <c r="C13" s="224"/>
      <c r="D13" s="823">
        <v>0.48499999999999999</v>
      </c>
      <c r="E13" s="823">
        <v>9.5000000000000001E-2</v>
      </c>
      <c r="F13" s="222">
        <f>ROUND(D13*E13,4)</f>
        <v>4.6100000000000002E-2</v>
      </c>
      <c r="G13" s="220"/>
      <c r="H13" s="476"/>
      <c r="I13" s="469"/>
      <c r="J13" s="480"/>
      <c r="K13" s="480"/>
      <c r="L13" s="480"/>
    </row>
    <row r="14" spans="1:12">
      <c r="A14" s="213"/>
      <c r="B14" s="218"/>
      <c r="C14" s="224"/>
      <c r="D14" s="226"/>
      <c r="E14" s="226"/>
      <c r="F14" s="222"/>
      <c r="G14" s="217"/>
      <c r="H14" s="476">
        <v>3</v>
      </c>
      <c r="I14" s="469"/>
      <c r="J14" s="480" t="s">
        <v>415</v>
      </c>
      <c r="K14" s="480"/>
      <c r="L14" s="480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76"/>
      <c r="I15" s="469"/>
      <c r="J15" s="480"/>
      <c r="K15" s="480"/>
      <c r="L15" s="480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76">
        <v>4</v>
      </c>
      <c r="I16" s="469"/>
      <c r="J16" s="480" t="s">
        <v>416</v>
      </c>
      <c r="K16" s="480"/>
      <c r="L16" s="480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76"/>
      <c r="I17" s="469"/>
      <c r="J17" s="480"/>
      <c r="K17" s="480"/>
      <c r="L17" s="480"/>
    </row>
    <row r="18" spans="1:21">
      <c r="A18" s="214"/>
      <c r="B18" s="218"/>
      <c r="C18" s="224"/>
      <c r="D18" s="222"/>
      <c r="E18" s="223"/>
      <c r="F18" s="222"/>
      <c r="G18" s="214"/>
      <c r="H18" s="476">
        <v>5</v>
      </c>
      <c r="I18" s="469"/>
      <c r="J18" s="480" t="s">
        <v>417</v>
      </c>
      <c r="K18" s="480"/>
      <c r="L18" s="481">
        <f>SUM(L12:L16)</f>
        <v>4.5879999999999997E-2</v>
      </c>
    </row>
    <row r="19" spans="1:21">
      <c r="H19" s="476"/>
      <c r="I19" s="469"/>
      <c r="J19" s="480"/>
      <c r="K19" s="480"/>
      <c r="L19" s="482"/>
    </row>
    <row r="20" spans="1:21">
      <c r="H20" s="476">
        <v>6</v>
      </c>
      <c r="I20" s="469"/>
      <c r="J20" s="480" t="s">
        <v>418</v>
      </c>
      <c r="K20" s="480"/>
      <c r="L20" s="482">
        <f>L9-L18</f>
        <v>0.95411999999999997</v>
      </c>
    </row>
    <row r="21" spans="1:21">
      <c r="H21" s="469"/>
      <c r="I21" s="469"/>
      <c r="J21" s="480"/>
      <c r="K21" s="480"/>
      <c r="L21" s="482"/>
      <c r="U21" s="563"/>
    </row>
    <row r="22" spans="1:21">
      <c r="H22" s="476">
        <v>7</v>
      </c>
      <c r="I22" s="469"/>
      <c r="J22" s="480" t="s">
        <v>419</v>
      </c>
      <c r="K22" s="483"/>
      <c r="L22" s="484">
        <f>ROUND(L20*0.35,6)</f>
        <v>0.33394200000000002</v>
      </c>
    </row>
    <row r="23" spans="1:21">
      <c r="H23" s="469"/>
      <c r="I23" s="469"/>
      <c r="J23" s="480"/>
      <c r="K23" s="480"/>
      <c r="L23" s="482"/>
    </row>
    <row r="24" spans="1:21" ht="15" thickBot="1">
      <c r="H24" s="476">
        <v>8</v>
      </c>
      <c r="I24" s="469"/>
      <c r="J24" s="479" t="s">
        <v>420</v>
      </c>
      <c r="K24" s="480"/>
      <c r="L24" s="827">
        <f>ROUND(L20-L22,5)</f>
        <v>0.62017999999999995</v>
      </c>
      <c r="M24" s="563"/>
    </row>
    <row r="25" spans="1:21" ht="15" thickTop="1"/>
    <row r="28" spans="1:21">
      <c r="A28" s="888" t="s">
        <v>117</v>
      </c>
      <c r="B28" s="888"/>
      <c r="C28" s="888"/>
      <c r="D28" s="888"/>
      <c r="E28" s="888"/>
      <c r="F28" s="888"/>
      <c r="G28" s="888"/>
    </row>
    <row r="29" spans="1:21">
      <c r="A29" s="890" t="s">
        <v>641</v>
      </c>
      <c r="B29" s="890"/>
      <c r="C29" s="890"/>
      <c r="D29" s="890"/>
      <c r="E29" s="890"/>
      <c r="F29" s="890"/>
      <c r="G29" s="890"/>
    </row>
    <row r="30" spans="1:21">
      <c r="A30" s="888" t="s">
        <v>273</v>
      </c>
      <c r="B30" s="888"/>
      <c r="C30" s="888"/>
      <c r="D30" s="888"/>
      <c r="E30" s="888"/>
      <c r="F30" s="888"/>
      <c r="G30" s="888"/>
    </row>
    <row r="31" spans="1:21" ht="15" thickBot="1">
      <c r="A31" s="888"/>
      <c r="B31" s="888"/>
      <c r="C31" s="888"/>
      <c r="D31" s="888"/>
      <c r="E31" s="888"/>
      <c r="F31" s="888"/>
      <c r="G31" s="888"/>
    </row>
    <row r="32" spans="1:21">
      <c r="A32" s="210" t="s">
        <v>473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274</v>
      </c>
      <c r="G34" s="217"/>
    </row>
    <row r="35" spans="1:21">
      <c r="A35" s="213"/>
      <c r="B35" s="219" t="s">
        <v>275</v>
      </c>
      <c r="C35" s="215"/>
      <c r="D35" s="219" t="s">
        <v>276</v>
      </c>
      <c r="E35" s="219" t="s">
        <v>277</v>
      </c>
      <c r="F35" s="219" t="s">
        <v>277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278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99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67"/>
      <c r="I42" s="467"/>
      <c r="J42" s="467"/>
      <c r="K42" s="467"/>
      <c r="L42" s="468"/>
    </row>
    <row r="43" spans="1:21">
      <c r="A43" s="563"/>
      <c r="B43" s="563"/>
      <c r="C43" s="563"/>
      <c r="D43" s="563"/>
      <c r="E43" s="563"/>
      <c r="F43" s="563"/>
    </row>
    <row r="44" spans="1:21">
      <c r="A44" s="888"/>
      <c r="B44" s="888"/>
      <c r="C44" s="888"/>
      <c r="D44" s="888"/>
      <c r="E44" s="888"/>
      <c r="F44" s="888"/>
      <c r="G44" s="888"/>
    </row>
    <row r="48" spans="1:21">
      <c r="U48" s="185" t="s">
        <v>738</v>
      </c>
    </row>
    <row r="94" spans="21:21">
      <c r="U94" s="872" t="s">
        <v>739</v>
      </c>
    </row>
    <row r="104" spans="21:21">
      <c r="U104" s="872" t="s">
        <v>739</v>
      </c>
    </row>
    <row r="150" spans="21:21">
      <c r="U150" s="872" t="s">
        <v>739</v>
      </c>
    </row>
    <row r="164" spans="21:21">
      <c r="U164" s="872" t="s">
        <v>739</v>
      </c>
    </row>
    <row r="184" spans="14:21">
      <c r="N184" s="872"/>
      <c r="O184" s="872"/>
      <c r="P184" s="872"/>
      <c r="Q184" s="872"/>
      <c r="R184" s="872"/>
      <c r="S184" s="872"/>
      <c r="T184" s="872"/>
      <c r="U184" s="872" t="s">
        <v>739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scale="73" orientation="portrait" r:id="rId1"/>
  <headerFooter scaleWithDoc="0">
    <oddFooter>&amp;LStaff_DR_130 Revised-Attachment B&amp;RPage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B43" sqref="B43"/>
    </sheetView>
  </sheetViews>
  <sheetFormatPr defaultColWidth="9.109375" defaultRowHeight="14.4"/>
  <cols>
    <col min="1" max="4" width="9.109375" style="365"/>
    <col min="5" max="5" width="11.5546875" style="365" bestFit="1" customWidth="1"/>
    <col min="6" max="14" width="10.5546875" style="365" bestFit="1" customWidth="1"/>
    <col min="15" max="15" width="11.5546875" style="365" bestFit="1" customWidth="1"/>
    <col min="16" max="19" width="10.5546875" style="365" bestFit="1" customWidth="1"/>
    <col min="20" max="16384" width="9.109375" style="365"/>
  </cols>
  <sheetData>
    <row r="1" spans="1:20">
      <c r="A1" s="365" t="s">
        <v>351</v>
      </c>
    </row>
    <row r="2" spans="1:20">
      <c r="P2" s="366"/>
      <c r="Q2" s="366"/>
      <c r="R2" s="366"/>
      <c r="S2" s="792" t="s">
        <v>710</v>
      </c>
    </row>
    <row r="3" spans="1:20">
      <c r="D3" s="367"/>
      <c r="E3" s="368">
        <v>2000</v>
      </c>
      <c r="F3" s="369">
        <v>2001</v>
      </c>
      <c r="G3" s="369">
        <v>2002</v>
      </c>
      <c r="H3" s="369">
        <v>2003</v>
      </c>
      <c r="I3" s="369">
        <v>2004</v>
      </c>
      <c r="J3" s="369">
        <v>2005</v>
      </c>
      <c r="K3" s="369">
        <v>2006</v>
      </c>
      <c r="L3" s="369">
        <v>2007</v>
      </c>
      <c r="M3" s="369">
        <v>2008</v>
      </c>
      <c r="N3" s="369">
        <v>2009</v>
      </c>
      <c r="O3" s="369">
        <v>2010</v>
      </c>
      <c r="P3" s="369">
        <v>2011</v>
      </c>
      <c r="Q3" s="369">
        <v>2012</v>
      </c>
      <c r="R3" s="369">
        <v>2013</v>
      </c>
      <c r="S3" s="369">
        <v>2014</v>
      </c>
    </row>
    <row r="4" spans="1:20">
      <c r="A4" s="365" t="s">
        <v>9</v>
      </c>
      <c r="D4" s="370"/>
      <c r="E4" s="371">
        <v>0.66290000000000004</v>
      </c>
      <c r="F4" s="371">
        <v>0.67479999999999996</v>
      </c>
      <c r="G4" s="371">
        <v>0.64119999999999999</v>
      </c>
      <c r="H4" s="371">
        <v>0.65480000000000005</v>
      </c>
      <c r="I4" s="371">
        <v>0.65159999999999996</v>
      </c>
      <c r="J4" s="371">
        <v>0.65369999999999995</v>
      </c>
      <c r="K4" s="371">
        <v>0.6583</v>
      </c>
      <c r="L4" s="371">
        <v>0.64590000000000003</v>
      </c>
      <c r="M4" s="371">
        <v>0.64419999999999999</v>
      </c>
      <c r="N4" s="371">
        <v>0.64870000000000005</v>
      </c>
      <c r="O4" s="371">
        <v>0.65159999999999996</v>
      </c>
      <c r="P4" s="372">
        <v>0.65239999999999998</v>
      </c>
      <c r="Q4" s="372">
        <v>0.65010000000000001</v>
      </c>
      <c r="R4" s="372">
        <v>0.65190000000000003</v>
      </c>
      <c r="S4" s="372">
        <v>0.64710000000000001</v>
      </c>
    </row>
    <row r="5" spans="1:20">
      <c r="A5" s="365" t="s">
        <v>352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1:20">
      <c r="A6" s="365" t="s">
        <v>10</v>
      </c>
      <c r="D6" s="373"/>
      <c r="E6" s="374">
        <v>135976.0367</v>
      </c>
      <c r="F6" s="374">
        <v>90880</v>
      </c>
      <c r="G6" s="374">
        <v>31728</v>
      </c>
      <c r="H6" s="374">
        <v>35221</v>
      </c>
      <c r="I6" s="374">
        <v>40439</v>
      </c>
      <c r="J6" s="374">
        <v>44689.546799999996</v>
      </c>
      <c r="K6" s="374">
        <v>35381</v>
      </c>
      <c r="L6" s="374">
        <v>34954</v>
      </c>
      <c r="M6" s="374">
        <v>46849</v>
      </c>
      <c r="N6" s="374">
        <v>30933.259500000004</v>
      </c>
      <c r="O6" s="374">
        <v>132773.274</v>
      </c>
      <c r="P6" s="374">
        <v>52603.011999999995</v>
      </c>
      <c r="Q6" s="374">
        <v>54547.940699999999</v>
      </c>
      <c r="R6" s="351">
        <v>75350</v>
      </c>
      <c r="S6" s="351">
        <f>'PS Consolidated'!S9</f>
        <v>60998</v>
      </c>
    </row>
    <row r="7" spans="1:20">
      <c r="A7" s="365" t="s">
        <v>11</v>
      </c>
      <c r="D7" s="375"/>
      <c r="E7" s="376">
        <v>300.2937</v>
      </c>
      <c r="F7" s="376">
        <v>281</v>
      </c>
      <c r="G7" s="376">
        <v>38</v>
      </c>
      <c r="H7" s="376">
        <v>297</v>
      </c>
      <c r="I7" s="376">
        <v>238</v>
      </c>
      <c r="J7" s="376">
        <v>124.85669999999999</v>
      </c>
      <c r="K7" s="376">
        <v>153</v>
      </c>
      <c r="L7" s="376">
        <v>200</v>
      </c>
      <c r="M7" s="376">
        <v>198</v>
      </c>
      <c r="N7" s="376">
        <v>247.15470000000002</v>
      </c>
      <c r="O7" s="376">
        <v>183.75119999999998</v>
      </c>
      <c r="P7" s="376">
        <v>330.76679999999999</v>
      </c>
      <c r="Q7" s="376">
        <v>303.5967</v>
      </c>
      <c r="R7" s="376">
        <v>282</v>
      </c>
      <c r="S7" s="376">
        <f>475*S4</f>
        <v>307.3725</v>
      </c>
    </row>
    <row r="8" spans="1:20">
      <c r="A8" s="365" t="s">
        <v>12</v>
      </c>
      <c r="D8" s="375"/>
      <c r="E8" s="376">
        <v>43.751400000000004</v>
      </c>
      <c r="F8" s="376">
        <v>0</v>
      </c>
      <c r="G8" s="376">
        <v>30</v>
      </c>
      <c r="H8" s="376">
        <v>16</v>
      </c>
      <c r="I8" s="376">
        <v>16</v>
      </c>
      <c r="J8" s="376">
        <v>12.420299999999999</v>
      </c>
      <c r="K8" s="376">
        <v>14</v>
      </c>
      <c r="L8" s="376">
        <v>14</v>
      </c>
      <c r="M8" s="376">
        <v>16</v>
      </c>
      <c r="N8" s="376">
        <v>18.8123</v>
      </c>
      <c r="O8" s="376">
        <v>0</v>
      </c>
      <c r="P8" s="376">
        <v>0</v>
      </c>
      <c r="Q8" s="376">
        <v>0</v>
      </c>
      <c r="R8" s="376">
        <v>0</v>
      </c>
      <c r="S8" s="376">
        <v>0</v>
      </c>
    </row>
    <row r="9" spans="1:20">
      <c r="A9" s="365" t="s">
        <v>13</v>
      </c>
      <c r="D9" s="377"/>
      <c r="E9" s="378">
        <v>10967.6805</v>
      </c>
      <c r="F9" s="378">
        <v>11862</v>
      </c>
      <c r="G9" s="378">
        <v>25225</v>
      </c>
      <c r="H9" s="378">
        <v>46826</v>
      </c>
      <c r="I9" s="378">
        <v>31</v>
      </c>
      <c r="J9" s="378">
        <v>41.836799999999997</v>
      </c>
      <c r="K9" s="378">
        <v>31</v>
      </c>
      <c r="L9" s="378">
        <v>7</v>
      </c>
      <c r="M9" s="378">
        <v>2</v>
      </c>
      <c r="N9" s="378">
        <v>93.412800000000004</v>
      </c>
      <c r="O9" s="378">
        <v>456.11999999999995</v>
      </c>
      <c r="P9" s="378">
        <v>1420.9271999999999</v>
      </c>
      <c r="Q9" s="378">
        <f>'PS Consolidated'!Q12+'PS Consolidated'!Q13</f>
        <v>1185.7227</v>
      </c>
      <c r="R9" s="378">
        <f>'PS Consolidated'!R12+'PS Consolidated'!R13</f>
        <v>0</v>
      </c>
      <c r="S9" s="378">
        <f>'PS Consolidated'!S12+'PS Consolidated'!S13</f>
        <v>2755</v>
      </c>
    </row>
    <row r="10" spans="1:20">
      <c r="A10" s="365" t="s">
        <v>14</v>
      </c>
      <c r="D10" s="377"/>
      <c r="E10" s="376">
        <f t="shared" ref="E10:R10" si="0">SUM(E6:E9)</f>
        <v>147287.7623</v>
      </c>
      <c r="F10" s="376">
        <f t="shared" si="0"/>
        <v>103023</v>
      </c>
      <c r="G10" s="376">
        <f t="shared" si="0"/>
        <v>57021</v>
      </c>
      <c r="H10" s="376">
        <f t="shared" si="0"/>
        <v>82360</v>
      </c>
      <c r="I10" s="376">
        <f t="shared" si="0"/>
        <v>40724</v>
      </c>
      <c r="J10" s="376">
        <f t="shared" si="0"/>
        <v>44868.660599999988</v>
      </c>
      <c r="K10" s="376">
        <f t="shared" si="0"/>
        <v>35579</v>
      </c>
      <c r="L10" s="376">
        <f t="shared" si="0"/>
        <v>35175</v>
      </c>
      <c r="M10" s="376">
        <f t="shared" si="0"/>
        <v>47065</v>
      </c>
      <c r="N10" s="376">
        <f t="shared" si="0"/>
        <v>31292.639300000003</v>
      </c>
      <c r="O10" s="376">
        <f t="shared" si="0"/>
        <v>133413.1452</v>
      </c>
      <c r="P10" s="376">
        <f t="shared" si="0"/>
        <v>54354.705999999991</v>
      </c>
      <c r="Q10" s="376">
        <f t="shared" si="0"/>
        <v>56037.2601</v>
      </c>
      <c r="R10" s="376">
        <f t="shared" si="0"/>
        <v>75632</v>
      </c>
      <c r="S10" s="376">
        <f t="shared" ref="S10" si="1">SUM(S6:S9)</f>
        <v>64060.372499999998</v>
      </c>
    </row>
    <row r="11" spans="1:20">
      <c r="R11" s="576"/>
      <c r="S11" s="576"/>
    </row>
    <row r="12" spans="1:20">
      <c r="A12" s="365" t="s">
        <v>353</v>
      </c>
      <c r="R12" s="576"/>
      <c r="S12" s="576"/>
    </row>
    <row r="13" spans="1:20">
      <c r="A13" s="365" t="s">
        <v>354</v>
      </c>
      <c r="E13" s="379">
        <f>'CBR Hist'!F15</f>
        <v>137117</v>
      </c>
      <c r="F13" s="379">
        <f>'CBR Hist'!G15</f>
        <v>91388</v>
      </c>
      <c r="G13" s="379">
        <f>'CBR Hist'!H15</f>
        <v>29918</v>
      </c>
      <c r="H13" s="379">
        <f>'CBR Hist'!I15</f>
        <v>35252</v>
      </c>
      <c r="I13" s="379">
        <f>'CBR Hist'!J15</f>
        <v>40460</v>
      </c>
      <c r="J13" s="379">
        <f>'CBR Hist'!K15</f>
        <v>44718</v>
      </c>
      <c r="K13" s="379">
        <f>'CBR Hist'!L15</f>
        <v>35380</v>
      </c>
      <c r="L13" s="379">
        <f>'CBR Hist'!M15</f>
        <v>34954</v>
      </c>
      <c r="M13" s="379">
        <f>'CBR Hist'!N15</f>
        <v>46848</v>
      </c>
      <c r="N13" s="379">
        <f>'CBR Hist'!O15</f>
        <v>31491</v>
      </c>
      <c r="O13" s="379">
        <f>'CBR Hist'!P15</f>
        <v>133479</v>
      </c>
      <c r="P13" s="379">
        <f>'CBR Hist'!Q15</f>
        <v>52604</v>
      </c>
      <c r="Q13" s="379">
        <f>'CBR Hist'!R15</f>
        <v>54549</v>
      </c>
      <c r="R13" s="380">
        <f>'CBR Hist'!S15+1</f>
        <v>75350</v>
      </c>
      <c r="S13" s="380">
        <f>'CBR Hist'!T15</f>
        <v>60998</v>
      </c>
    </row>
    <row r="14" spans="1:20">
      <c r="A14" s="365" t="s">
        <v>1</v>
      </c>
      <c r="E14" s="379">
        <f>'CBR Hist'!F17</f>
        <v>13062</v>
      </c>
      <c r="F14" s="379">
        <f>'CBR Hist'!G17</f>
        <v>14305</v>
      </c>
      <c r="G14" s="379">
        <f>'CBR Hist'!H17</f>
        <v>34274</v>
      </c>
      <c r="H14" s="379">
        <f>'CBR Hist'!I17</f>
        <v>57244</v>
      </c>
      <c r="I14" s="379">
        <f>'CBR Hist'!J17</f>
        <v>8587</v>
      </c>
      <c r="J14" s="379">
        <f>'CBR Hist'!K17</f>
        <v>10259</v>
      </c>
      <c r="K14" s="379">
        <f>'CBR Hist'!L17</f>
        <v>10178</v>
      </c>
      <c r="L14" s="379">
        <f>'CBR Hist'!M17</f>
        <v>10170</v>
      </c>
      <c r="M14" s="379">
        <f>'CBR Hist'!N17</f>
        <v>10927</v>
      </c>
      <c r="N14" s="379">
        <f>'CBR Hist'!O17</f>
        <v>9395</v>
      </c>
      <c r="O14" s="379">
        <f>'CBR Hist'!P17</f>
        <v>11786</v>
      </c>
      <c r="P14" s="379">
        <f>'CBR Hist'!Q17</f>
        <v>13666</v>
      </c>
      <c r="Q14" s="379">
        <f>'CBR Hist'!R17</f>
        <v>13089</v>
      </c>
      <c r="R14" s="380">
        <f>'CBR Hist'!S17</f>
        <v>13408</v>
      </c>
      <c r="S14" s="380">
        <f>'CBR Hist'!T17</f>
        <v>17163</v>
      </c>
    </row>
    <row r="15" spans="1:20">
      <c r="R15" s="576"/>
      <c r="S15" s="576"/>
    </row>
    <row r="16" spans="1:20">
      <c r="A16" s="464" t="s">
        <v>404</v>
      </c>
      <c r="E16" s="379">
        <v>7824</v>
      </c>
      <c r="F16" s="379">
        <v>9892</v>
      </c>
      <c r="G16" s="379">
        <f>ROUND(11097*G4,0)</f>
        <v>7115</v>
      </c>
      <c r="H16" s="379">
        <f>ROUND(11559*H4,0)</f>
        <v>7569</v>
      </c>
      <c r="I16" s="379">
        <f>ROUND(8476*I4,0)</f>
        <v>5523</v>
      </c>
      <c r="J16" s="380">
        <f>ROUND(10033*J4,0)+78</f>
        <v>6637</v>
      </c>
      <c r="K16" s="380">
        <f>ROUND(10539*K4,0)+86</f>
        <v>7024</v>
      </c>
      <c r="L16" s="380">
        <f>ROUND(10488*L4,0)+102</f>
        <v>6876</v>
      </c>
      <c r="M16" s="380">
        <f>ROUND(9486*M4,0)+102</f>
        <v>6213</v>
      </c>
      <c r="N16" s="380">
        <f>ROUND(9315*N4,0)+90</f>
        <v>6133</v>
      </c>
      <c r="O16" s="380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71"/>
    </row>
    <row r="17" spans="1:19">
      <c r="A17" s="464" t="s">
        <v>407</v>
      </c>
      <c r="E17" s="381">
        <f>E9-E16</f>
        <v>3143.6805000000004</v>
      </c>
      <c r="F17" s="381">
        <f>F9-F16</f>
        <v>1970</v>
      </c>
      <c r="G17" s="381">
        <f>G9</f>
        <v>25225</v>
      </c>
      <c r="H17" s="381">
        <f>H9</f>
        <v>46826</v>
      </c>
      <c r="I17" s="381">
        <f>I9</f>
        <v>31</v>
      </c>
      <c r="J17" s="381">
        <f t="shared" ref="J17:Q17" si="2">J9</f>
        <v>41.836799999999997</v>
      </c>
      <c r="K17" s="381">
        <f t="shared" si="2"/>
        <v>31</v>
      </c>
      <c r="L17" s="381">
        <f t="shared" si="2"/>
        <v>7</v>
      </c>
      <c r="M17" s="381">
        <f>M9+1623</f>
        <v>1625</v>
      </c>
      <c r="N17" s="381">
        <f>N9+89</f>
        <v>182.4128</v>
      </c>
      <c r="O17" s="381">
        <f t="shared" si="2"/>
        <v>456.11999999999995</v>
      </c>
      <c r="P17" s="381">
        <f t="shared" si="2"/>
        <v>1420.9271999999999</v>
      </c>
      <c r="Q17" s="381">
        <f t="shared" si="2"/>
        <v>1185.7227</v>
      </c>
      <c r="R17" s="577">
        <f>R9</f>
        <v>0</v>
      </c>
      <c r="S17" s="577">
        <f>S9</f>
        <v>2755</v>
      </c>
    </row>
    <row r="18" spans="1:19">
      <c r="A18" s="464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577"/>
      <c r="S18" s="577"/>
    </row>
    <row r="19" spans="1:19">
      <c r="A19" s="497" t="s">
        <v>464</v>
      </c>
      <c r="E19" s="381">
        <f t="shared" ref="E19:R19" si="3">E17+E7+E8</f>
        <v>3487.7256000000007</v>
      </c>
      <c r="F19" s="381">
        <f t="shared" si="3"/>
        <v>2251</v>
      </c>
      <c r="G19" s="381">
        <f t="shared" si="3"/>
        <v>25293</v>
      </c>
      <c r="H19" s="381">
        <f t="shared" si="3"/>
        <v>47139</v>
      </c>
      <c r="I19" s="381">
        <f t="shared" si="3"/>
        <v>285</v>
      </c>
      <c r="J19" s="381">
        <f t="shared" si="3"/>
        <v>179.11379999999997</v>
      </c>
      <c r="K19" s="381">
        <f t="shared" si="3"/>
        <v>198</v>
      </c>
      <c r="L19" s="381">
        <f t="shared" si="3"/>
        <v>221</v>
      </c>
      <c r="M19" s="381">
        <f t="shared" si="3"/>
        <v>1839</v>
      </c>
      <c r="N19" s="381">
        <f t="shared" si="3"/>
        <v>448.37979999999999</v>
      </c>
      <c r="O19" s="381">
        <f t="shared" si="3"/>
        <v>639.87119999999993</v>
      </c>
      <c r="P19" s="381">
        <f t="shared" si="3"/>
        <v>1751.694</v>
      </c>
      <c r="Q19" s="381">
        <f t="shared" si="3"/>
        <v>1489.3194000000001</v>
      </c>
      <c r="R19" s="577">
        <f t="shared" si="3"/>
        <v>282</v>
      </c>
      <c r="S19" s="577">
        <f>S17+S7+S8</f>
        <v>3062.3724999999999</v>
      </c>
    </row>
    <row r="20" spans="1:19">
      <c r="R20" s="576"/>
      <c r="S20" s="576"/>
    </row>
    <row r="21" spans="1:19">
      <c r="A21" s="365" t="s">
        <v>355</v>
      </c>
      <c r="E21" s="381">
        <f>E14-E9-E7-E8</f>
        <v>1750.2743999999996</v>
      </c>
      <c r="F21" s="381">
        <f>F14-F9-F7-F8</f>
        <v>2162</v>
      </c>
      <c r="G21" s="381">
        <f t="shared" ref="G21:Q21" si="4">G14-G16-G17-G7-G8</f>
        <v>1866</v>
      </c>
      <c r="H21" s="381">
        <f t="shared" si="4"/>
        <v>2536</v>
      </c>
      <c r="I21" s="381">
        <f t="shared" si="4"/>
        <v>2779</v>
      </c>
      <c r="J21" s="381">
        <f t="shared" si="4"/>
        <v>3442.8861999999999</v>
      </c>
      <c r="K21" s="381">
        <f t="shared" si="4"/>
        <v>2956</v>
      </c>
      <c r="L21" s="381">
        <f t="shared" si="4"/>
        <v>3073</v>
      </c>
      <c r="M21" s="381">
        <f t="shared" si="4"/>
        <v>2875</v>
      </c>
      <c r="N21" s="381">
        <f t="shared" si="4"/>
        <v>2813.6201999999998</v>
      </c>
      <c r="O21" s="381">
        <f t="shared" si="4"/>
        <v>2813.1288</v>
      </c>
      <c r="P21" s="381">
        <f t="shared" si="4"/>
        <v>2812.306</v>
      </c>
      <c r="Q21" s="381">
        <f t="shared" si="4"/>
        <v>3314.6805999999997</v>
      </c>
      <c r="R21" s="577">
        <f>R14-R16-R17-R7-R8</f>
        <v>3464</v>
      </c>
      <c r="S21" s="577">
        <f>S14-S16-S17-S7-S8</f>
        <v>3478.1931</v>
      </c>
    </row>
    <row r="23" spans="1:19">
      <c r="A23" s="465" t="s">
        <v>408</v>
      </c>
      <c r="E23" s="381" t="str">
        <f t="shared" ref="E23:R23" si="5">IF(E7+E8+E16+E17+E21=E14,"","footing error")</f>
        <v/>
      </c>
      <c r="F23" s="381" t="str">
        <f t="shared" si="5"/>
        <v/>
      </c>
      <c r="G23" s="381" t="str">
        <f t="shared" si="5"/>
        <v/>
      </c>
      <c r="H23" s="381" t="str">
        <f t="shared" si="5"/>
        <v/>
      </c>
      <c r="I23" s="381" t="str">
        <f t="shared" si="5"/>
        <v/>
      </c>
      <c r="J23" s="381" t="str">
        <f t="shared" si="5"/>
        <v/>
      </c>
      <c r="K23" s="381" t="str">
        <f t="shared" si="5"/>
        <v/>
      </c>
      <c r="L23" s="381" t="str">
        <f t="shared" si="5"/>
        <v/>
      </c>
      <c r="M23" s="381" t="str">
        <f t="shared" si="5"/>
        <v/>
      </c>
      <c r="N23" s="381" t="str">
        <f t="shared" si="5"/>
        <v/>
      </c>
      <c r="O23" s="381" t="str">
        <f t="shared" si="5"/>
        <v/>
      </c>
      <c r="P23" s="381" t="str">
        <f t="shared" si="5"/>
        <v/>
      </c>
      <c r="Q23" s="381" t="str">
        <f t="shared" si="5"/>
        <v/>
      </c>
      <c r="R23" s="381" t="str">
        <f t="shared" si="5"/>
        <v/>
      </c>
      <c r="S23" s="381" t="str">
        <f t="shared" ref="S23" si="6">IF(S7+S8+S16+S17+S21=S14,"","footing error")</f>
        <v/>
      </c>
    </row>
    <row r="24" spans="1:19">
      <c r="I24" s="564" t="s">
        <v>518</v>
      </c>
      <c r="M24" s="381">
        <v>1623</v>
      </c>
      <c r="N24" s="381">
        <v>89</v>
      </c>
      <c r="O24" s="381"/>
      <c r="P24" s="381"/>
    </row>
    <row r="25" spans="1:19">
      <c r="I25" s="382" t="s">
        <v>356</v>
      </c>
      <c r="M25" s="381"/>
      <c r="N25" s="381"/>
      <c r="O25" s="381">
        <v>-767</v>
      </c>
      <c r="P25" s="381"/>
    </row>
    <row r="26" spans="1:19">
      <c r="I26" s="382" t="s">
        <v>357</v>
      </c>
      <c r="M26" s="381"/>
      <c r="N26" s="381"/>
      <c r="O26" s="381"/>
      <c r="P26" s="381">
        <v>-1044</v>
      </c>
    </row>
  </sheetData>
  <pageMargins left="0.7" right="0.7" top="0.75" bottom="0.75" header="0.3" footer="0.56000000000000005"/>
  <pageSetup scale="63" orientation="landscape" r:id="rId1"/>
  <headerFooter>
    <oddFooter>&amp;C&amp;F / 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48" sqref="A48"/>
    </sheetView>
  </sheetViews>
  <sheetFormatPr defaultRowHeight="13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2"/>
  <sheetViews>
    <sheetView topLeftCell="A61" zoomScaleNormal="100" zoomScaleSheetLayoutView="100" workbookViewId="0">
      <selection activeCell="I47" sqref="I47"/>
    </sheetView>
  </sheetViews>
  <sheetFormatPr defaultColWidth="12.44140625" defaultRowHeight="11.1" customHeight="1"/>
  <cols>
    <col min="1" max="1" width="6.5546875" style="51" customWidth="1"/>
    <col min="2" max="2" width="2.44140625" style="51" customWidth="1"/>
    <col min="3" max="3" width="37.5546875" style="242" customWidth="1"/>
    <col min="4" max="4" width="2.109375" style="48" customWidth="1"/>
    <col min="5" max="5" width="13" style="240" customWidth="1"/>
    <col min="6" max="6" width="11.88671875" style="184" customWidth="1"/>
    <col min="7" max="7" width="11.88671875" style="244" customWidth="1"/>
    <col min="8" max="8" width="13.44140625" style="244" bestFit="1" customWidth="1"/>
    <col min="9" max="9" width="15.88671875" style="245" bestFit="1" customWidth="1"/>
    <col min="10" max="10" width="1.109375" style="245" customWidth="1"/>
    <col min="11" max="11" width="12" style="243" customWidth="1"/>
    <col min="12" max="12" width="0.88671875" style="243" customWidth="1"/>
    <col min="13" max="13" width="13.33203125" style="243" customWidth="1"/>
    <col min="14" max="14" width="13.33203125" style="242" customWidth="1"/>
    <col min="15" max="15" width="0.88671875" style="242" customWidth="1"/>
    <col min="16" max="16" width="16.5546875" style="51" customWidth="1"/>
    <col min="17" max="17" width="12.44140625" style="242" customWidth="1"/>
    <col min="18" max="18" width="13.44140625" style="242" customWidth="1"/>
    <col min="19" max="19" width="15.44140625" style="242" bestFit="1" customWidth="1"/>
    <col min="20" max="20" width="12.44140625" style="51"/>
    <col min="21" max="21" width="12.5546875" style="51" bestFit="1" customWidth="1"/>
    <col min="22" max="16384" width="12.44140625" style="51"/>
  </cols>
  <sheetData>
    <row r="1" spans="1:22" s="50" customFormat="1" ht="6" customHeight="1"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</row>
    <row r="2" spans="1:22" s="50" customFormat="1" ht="18" thickBot="1">
      <c r="A2" s="346" t="s">
        <v>96</v>
      </c>
      <c r="B2" s="898" t="s">
        <v>520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9"/>
      <c r="S2" s="899"/>
    </row>
    <row r="3" spans="1:22" s="166" customFormat="1" ht="21" thickBot="1">
      <c r="B3" s="693"/>
      <c r="C3" s="674" t="s">
        <v>495</v>
      </c>
      <c r="D3" s="694"/>
      <c r="E3" s="892" t="s">
        <v>248</v>
      </c>
      <c r="F3" s="893"/>
      <c r="G3" s="893"/>
      <c r="H3" s="893"/>
      <c r="I3" s="894"/>
      <c r="J3" s="672"/>
      <c r="K3" s="673"/>
      <c r="L3" s="673"/>
      <c r="M3" s="674" t="s">
        <v>254</v>
      </c>
      <c r="N3" s="675"/>
      <c r="O3" s="676"/>
      <c r="P3" s="895" t="s">
        <v>729</v>
      </c>
      <c r="Q3" s="896"/>
      <c r="R3" s="817"/>
      <c r="S3" s="819"/>
      <c r="V3" s="343"/>
    </row>
    <row r="4" spans="1:22" s="50" customFormat="1" ht="78" customHeight="1">
      <c r="A4" s="300" t="s">
        <v>247</v>
      </c>
      <c r="B4" s="52"/>
      <c r="C4" s="540" t="s">
        <v>4</v>
      </c>
      <c r="D4" s="338"/>
      <c r="E4" s="826" t="s">
        <v>638</v>
      </c>
      <c r="F4" s="828" t="s">
        <v>640</v>
      </c>
      <c r="G4" s="824" t="s">
        <v>726</v>
      </c>
      <c r="H4" s="828" t="s">
        <v>524</v>
      </c>
      <c r="I4" s="670" t="s">
        <v>715</v>
      </c>
      <c r="J4" s="670"/>
      <c r="K4" s="829" t="s">
        <v>422</v>
      </c>
      <c r="L4" s="670"/>
      <c r="M4" s="670" t="s">
        <v>595</v>
      </c>
      <c r="N4" s="671" t="s">
        <v>594</v>
      </c>
      <c r="O4" s="671"/>
      <c r="P4" s="825" t="s">
        <v>639</v>
      </c>
      <c r="Q4" s="825" t="s">
        <v>498</v>
      </c>
      <c r="R4" s="825" t="s">
        <v>714</v>
      </c>
      <c r="S4" s="671" t="s">
        <v>725</v>
      </c>
      <c r="T4" s="50" t="s">
        <v>506</v>
      </c>
    </row>
    <row r="5" spans="1:22" ht="15.6">
      <c r="A5" s="51" t="s">
        <v>516</v>
      </c>
      <c r="B5" s="47"/>
      <c r="C5" s="47"/>
      <c r="D5" s="86"/>
      <c r="E5" s="340" t="s">
        <v>121</v>
      </c>
      <c r="F5" s="737" t="s">
        <v>122</v>
      </c>
      <c r="G5" s="737" t="s">
        <v>284</v>
      </c>
      <c r="H5" s="281" t="s">
        <v>123</v>
      </c>
      <c r="I5" s="337" t="s">
        <v>285</v>
      </c>
      <c r="J5" s="49"/>
      <c r="K5" s="337" t="s">
        <v>286</v>
      </c>
      <c r="L5" s="50"/>
      <c r="M5" s="341" t="s">
        <v>287</v>
      </c>
      <c r="N5" s="341" t="s">
        <v>288</v>
      </c>
      <c r="O5" s="51"/>
      <c r="P5" s="341" t="s">
        <v>289</v>
      </c>
      <c r="Q5" s="341" t="s">
        <v>290</v>
      </c>
      <c r="R5" s="341" t="s">
        <v>724</v>
      </c>
      <c r="S5" s="341" t="s">
        <v>401</v>
      </c>
    </row>
    <row r="6" spans="1:22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</row>
    <row r="7" spans="1:22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252">
        <f>I7+Q7</f>
        <v>505605.40466788696</v>
      </c>
    </row>
    <row r="8" spans="1:22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 t="shared" ref="I8:I11" si="0"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252">
        <f>I8+Q8</f>
        <v>934.09246003244448</v>
      </c>
      <c r="U8" s="546">
        <f>(S7+S8)/(I7+I8)</f>
        <v>1.0131154664126296</v>
      </c>
    </row>
    <row r="9" spans="1:22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 t="shared" si="0"/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53757</v>
      </c>
      <c r="Q9" s="248">
        <f>'incremental load expense'!E12</f>
        <v>-2595</v>
      </c>
      <c r="R9" s="253"/>
      <c r="S9" s="253">
        <f>I9+P9+Q9</f>
        <v>51162</v>
      </c>
    </row>
    <row r="10" spans="1:22" ht="15.75" customHeight="1">
      <c r="A10" s="198">
        <v>4</v>
      </c>
      <c r="B10" s="204" t="s">
        <v>252</v>
      </c>
      <c r="C10" s="204"/>
      <c r="D10" s="86"/>
      <c r="E10" s="453">
        <f>SUM(E7:E9)</f>
        <v>550292</v>
      </c>
      <c r="F10" s="249">
        <f>F9+F8+F7</f>
        <v>-60998</v>
      </c>
      <c r="G10" s="455">
        <f>G9+G8+G7</f>
        <v>0</v>
      </c>
      <c r="H10" s="455">
        <f>H9+H8+H7</f>
        <v>10688</v>
      </c>
      <c r="I10" s="455">
        <f>I9+I8+I7</f>
        <v>499982</v>
      </c>
      <c r="J10" s="249"/>
      <c r="K10" s="251"/>
      <c r="L10" s="251"/>
      <c r="M10" s="252"/>
      <c r="N10" s="455">
        <f>N9+N8+N7</f>
        <v>499982</v>
      </c>
      <c r="O10" s="252"/>
      <c r="P10" s="252">
        <f>P7+P8+P9</f>
        <v>53757</v>
      </c>
      <c r="Q10" s="453">
        <f>Q7+Q8+Q9</f>
        <v>3962.4971279193942</v>
      </c>
      <c r="R10" s="252"/>
      <c r="S10" s="252">
        <f>S7+S8+S9</f>
        <v>557701.49712791946</v>
      </c>
    </row>
    <row r="11" spans="1:22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 t="shared" si="0"/>
        <v>3479</v>
      </c>
      <c r="J11" s="254"/>
      <c r="K11" s="256">
        <f>'Cost Trends'!N200</f>
        <v>3.602180010428313E-2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125.31984256280101</v>
      </c>
      <c r="R11" s="253"/>
      <c r="S11" s="253">
        <f>I11+P11+Q11</f>
        <v>14133.319842562802</v>
      </c>
    </row>
    <row r="12" spans="1:22" ht="26.25" customHeight="1">
      <c r="A12" s="198">
        <v>6</v>
      </c>
      <c r="B12" s="204" t="s">
        <v>80</v>
      </c>
      <c r="C12" s="204"/>
      <c r="D12" s="90"/>
      <c r="E12" s="453">
        <f>E10+E11</f>
        <v>567455</v>
      </c>
      <c r="F12" s="248">
        <f>F11+F10</f>
        <v>-74682</v>
      </c>
      <c r="G12" s="453">
        <f>G11+G10</f>
        <v>0</v>
      </c>
      <c r="H12" s="453">
        <f>H11+H10</f>
        <v>10688</v>
      </c>
      <c r="I12" s="455">
        <f>I10+I11</f>
        <v>503461</v>
      </c>
      <c r="J12" s="249"/>
      <c r="K12" s="251"/>
      <c r="L12" s="251"/>
      <c r="M12" s="248"/>
      <c r="N12" s="455">
        <f>N10+N11</f>
        <v>503461</v>
      </c>
      <c r="O12" s="248"/>
      <c r="P12" s="248">
        <f>P11+P10</f>
        <v>64286</v>
      </c>
      <c r="Q12" s="453">
        <f>Q11+Q10</f>
        <v>4087.8169704821953</v>
      </c>
      <c r="R12" s="248"/>
      <c r="S12" s="248">
        <f>S11+S10</f>
        <v>571834.81697048224</v>
      </c>
    </row>
    <row r="13" spans="1:22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252"/>
    </row>
    <row r="14" spans="1:22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252"/>
    </row>
    <row r="15" spans="1:22" ht="15.75" customHeigh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252"/>
    </row>
    <row r="16" spans="1:22" ht="15.75" customHeigh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259">
        <f>'Cost Trends'!N186</f>
        <v>6.0899999999999954E-2</v>
      </c>
      <c r="L16" s="259"/>
      <c r="M16" s="249">
        <f>K16*I16</f>
        <v>3095.6078999999977</v>
      </c>
      <c r="N16" s="252">
        <f>M16+I16</f>
        <v>53926.607899999995</v>
      </c>
      <c r="O16" s="252"/>
      <c r="P16" s="248">
        <f>ROUND('PF Power Supply 09.2014 load'!F35-P17,0)</f>
        <v>89306</v>
      </c>
      <c r="Q16" s="248">
        <f>'incremental load expense'!E19</f>
        <v>0</v>
      </c>
      <c r="R16" s="248">
        <f>'CS2-Colstrip 2016 Incrmntl Exp'!H10</f>
        <v>2883.1872462299998</v>
      </c>
      <c r="S16" s="252">
        <f>N16+P16+Q16+R16</f>
        <v>146115.79514623</v>
      </c>
    </row>
    <row r="17" spans="1:23" ht="15.75" customHeigh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 t="shared" ref="I17:I20" si="1"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75611</v>
      </c>
      <c r="Q17" s="248">
        <f>'incremental load expense'!E20</f>
        <v>1907</v>
      </c>
      <c r="R17" s="248"/>
      <c r="S17" s="252">
        <f>N17+P17+Q17+R17</f>
        <v>77520</v>
      </c>
    </row>
    <row r="18" spans="1:23" ht="15.75" customHeigh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 t="shared" si="1"/>
        <v>23715</v>
      </c>
      <c r="J18" s="249"/>
      <c r="K18" s="259">
        <f>'Cost Trends'!N190</f>
        <v>0.22201191510413221</v>
      </c>
      <c r="L18" s="259"/>
      <c r="M18" s="249">
        <f>K18*I18</f>
        <v>5265.012566694495</v>
      </c>
      <c r="N18" s="252">
        <f>M18+I18</f>
        <v>28980.012566694495</v>
      </c>
      <c r="O18" s="252"/>
      <c r="P18" s="248">
        <v>0</v>
      </c>
      <c r="Q18" s="248"/>
      <c r="R18" s="248"/>
      <c r="S18" s="252">
        <f>N18+P18+Q18+R18</f>
        <v>28980.012566694495</v>
      </c>
      <c r="T18" s="53"/>
      <c r="U18" s="184"/>
      <c r="V18" s="53"/>
      <c r="W18" s="668"/>
    </row>
    <row r="19" spans="1:23" ht="15.75" customHeigh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248">
        <v>-1382</v>
      </c>
      <c r="H19" s="248">
        <v>0</v>
      </c>
      <c r="I19" s="249">
        <f t="shared" si="1"/>
        <v>6719</v>
      </c>
      <c r="J19" s="249"/>
      <c r="K19" s="259">
        <v>0</v>
      </c>
      <c r="L19" s="259"/>
      <c r="M19" s="249">
        <f>K19*I19</f>
        <v>0</v>
      </c>
      <c r="N19" s="252">
        <f>M19+I19</f>
        <v>6719</v>
      </c>
      <c r="O19" s="252"/>
      <c r="P19" s="248">
        <v>0</v>
      </c>
      <c r="Q19" s="248"/>
      <c r="R19" s="248"/>
      <c r="S19" s="252">
        <f>N19+P19+Q19+R19</f>
        <v>6719</v>
      </c>
      <c r="T19" s="53"/>
    </row>
    <row r="20" spans="1:23" ht="15.75" customHeigh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 t="shared" si="1"/>
        <v>12828</v>
      </c>
      <c r="J20" s="254"/>
      <c r="K20" s="256">
        <f>'Cost Trends'!N192</f>
        <v>0.13806181972825415</v>
      </c>
      <c r="L20" s="256"/>
      <c r="M20" s="254">
        <f>K20*I20</f>
        <v>1771.0570234740442</v>
      </c>
      <c r="N20" s="253">
        <f>M20+I20</f>
        <v>14599.057023474044</v>
      </c>
      <c r="O20" s="253"/>
      <c r="P20" s="253"/>
      <c r="Q20" s="253"/>
      <c r="R20" s="253"/>
      <c r="S20" s="253">
        <f>N20+P20+Q20+R20</f>
        <v>14599.057023474044</v>
      </c>
      <c r="T20" s="53"/>
      <c r="V20" s="549"/>
    </row>
    <row r="21" spans="1:23" ht="15.75" customHeight="1">
      <c r="A21" s="198">
        <v>12</v>
      </c>
      <c r="B21" s="204"/>
      <c r="C21" s="200" t="s">
        <v>241</v>
      </c>
      <c r="D21" s="86"/>
      <c r="E21" s="453">
        <f>SUM(E16:E20)</f>
        <v>281594</v>
      </c>
      <c r="F21" s="249">
        <f>F16+F17+F18+F19+F20</f>
        <v>-186117</v>
      </c>
      <c r="G21" s="455">
        <f>G16+G17+G18+G19+G20</f>
        <v>-1382</v>
      </c>
      <c r="H21" s="455">
        <f>H16+H17+H18+H19+H20</f>
        <v>0</v>
      </c>
      <c r="I21" s="455">
        <f>I16+I17+I18+I19+I20</f>
        <v>94095</v>
      </c>
      <c r="J21" s="249"/>
      <c r="K21" s="251"/>
      <c r="L21" s="251"/>
      <c r="M21" s="249">
        <f>M16+M17+M18+M19+M20</f>
        <v>10131.677490168537</v>
      </c>
      <c r="N21" s="249">
        <f>N16+N17+N18+N19+N20</f>
        <v>104226.67749016854</v>
      </c>
      <c r="O21" s="249"/>
      <c r="P21" s="249">
        <f>P16+P17+P18+P19+P20</f>
        <v>164917</v>
      </c>
      <c r="Q21" s="249">
        <f>Q16+Q17+Q18+Q19+Q20</f>
        <v>1907</v>
      </c>
      <c r="R21" s="249">
        <f>R16+R17+R18+R19+R20</f>
        <v>2883.1872462299998</v>
      </c>
      <c r="S21" s="249">
        <f>S16+S17+S18+S19+S20</f>
        <v>273933.86473639857</v>
      </c>
      <c r="T21" s="53"/>
    </row>
    <row r="22" spans="1:23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252"/>
      <c r="T22" s="53"/>
    </row>
    <row r="23" spans="1:23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252"/>
      <c r="T23" s="53"/>
    </row>
    <row r="24" spans="1:23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6.0899999999999954E-2</v>
      </c>
      <c r="L24" s="251"/>
      <c r="M24" s="249">
        <f>K24*I24</f>
        <v>1297.109099999999</v>
      </c>
      <c r="N24" s="252">
        <f>M24+I24</f>
        <v>22596.109099999998</v>
      </c>
      <c r="O24" s="252"/>
      <c r="P24" s="248"/>
      <c r="Q24" s="248"/>
      <c r="R24" s="248"/>
      <c r="S24" s="252">
        <f>N24+P24+Q24+R24</f>
        <v>22596.109099999998</v>
      </c>
      <c r="T24" s="53"/>
    </row>
    <row r="25" spans="1:23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 t="shared" ref="I25:I27" si="2">SUM(E25:H25)</f>
        <v>23794</v>
      </c>
      <c r="J25" s="249"/>
      <c r="K25" s="251">
        <f>K18</f>
        <v>0.22201191510413221</v>
      </c>
      <c r="L25" s="251"/>
      <c r="M25" s="249">
        <f>K25*I25</f>
        <v>5282.5515079877214</v>
      </c>
      <c r="N25" s="252">
        <f>M25+I25</f>
        <v>29076.551507987722</v>
      </c>
      <c r="O25" s="252"/>
      <c r="P25" s="248"/>
      <c r="Q25" s="248"/>
      <c r="R25" s="248"/>
      <c r="S25" s="252">
        <f>N25+P25+Q25+R25</f>
        <v>29076.551507987722</v>
      </c>
      <c r="T25" s="53"/>
    </row>
    <row r="26" spans="1:23" ht="15.75" customHeight="1">
      <c r="A26" s="198"/>
      <c r="B26" s="204"/>
      <c r="C26" s="200" t="s">
        <v>330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252"/>
      <c r="T26" s="53"/>
    </row>
    <row r="27" spans="1:23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 t="shared" si="2"/>
        <v>25987</v>
      </c>
      <c r="J27" s="254"/>
      <c r="K27" s="256">
        <f>K20</f>
        <v>0.13806181972825415</v>
      </c>
      <c r="L27" s="256"/>
      <c r="M27" s="254">
        <f>K27*I27</f>
        <v>3587.8125092781406</v>
      </c>
      <c r="N27" s="253">
        <f>M27+I27</f>
        <v>29574.812509278141</v>
      </c>
      <c r="O27" s="253"/>
      <c r="P27" s="253"/>
      <c r="Q27" s="248">
        <f>'incremental load expense'!E29</f>
        <v>252.1748056396805</v>
      </c>
      <c r="R27" s="253"/>
      <c r="S27" s="253">
        <f>N27+P27+Q27+R27</f>
        <v>29826.98731491782</v>
      </c>
      <c r="T27" s="53"/>
    </row>
    <row r="28" spans="1:23" ht="15.75" customHeight="1">
      <c r="A28" s="198">
        <v>16</v>
      </c>
      <c r="B28" s="204"/>
      <c r="C28" s="200" t="s">
        <v>242</v>
      </c>
      <c r="D28" s="86"/>
      <c r="E28" s="453">
        <f>SUM(E24:E27)</f>
        <v>70668</v>
      </c>
      <c r="F28" s="262"/>
      <c r="G28" s="455">
        <f>G24+G25+G27</f>
        <v>0</v>
      </c>
      <c r="H28" s="455">
        <f>H24+H25+H27</f>
        <v>412</v>
      </c>
      <c r="I28" s="455">
        <f>SUM(I24:I27)</f>
        <v>71080</v>
      </c>
      <c r="J28" s="249"/>
      <c r="K28" s="251"/>
      <c r="L28" s="251"/>
      <c r="M28" s="249">
        <f>M24+M25+M27</f>
        <v>10167.473117265861</v>
      </c>
      <c r="N28" s="249">
        <f>N24+N25+N27</f>
        <v>81247.473117265865</v>
      </c>
      <c r="O28" s="249"/>
      <c r="P28" s="249">
        <f>P24+P25+P27</f>
        <v>0</v>
      </c>
      <c r="Q28" s="455">
        <f>Q24+Q25+Q27</f>
        <v>252.1748056396805</v>
      </c>
      <c r="R28" s="455">
        <f>R24+R25+R27</f>
        <v>0</v>
      </c>
      <c r="S28" s="249">
        <f>S24+S25+S27</f>
        <v>81499.64792290554</v>
      </c>
      <c r="T28" s="53"/>
    </row>
    <row r="29" spans="1:23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252"/>
      <c r="T29" s="53"/>
    </row>
    <row r="30" spans="1:23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6.0899999999999954E-2</v>
      </c>
      <c r="L30" s="251"/>
      <c r="M30" s="249">
        <f>K30*I30</f>
        <v>683.4806999999995</v>
      </c>
      <c r="N30" s="252">
        <f>M30+I30</f>
        <v>11906.4807</v>
      </c>
      <c r="O30" s="252"/>
      <c r="P30" s="248"/>
      <c r="Q30" s="248">
        <f>'incremental load expense'!E32</f>
        <v>35.037551187198844</v>
      </c>
      <c r="R30" s="248"/>
      <c r="S30" s="252">
        <f>N30+P30+Q30</f>
        <v>11941.518251187199</v>
      </c>
      <c r="T30" s="53"/>
    </row>
    <row r="31" spans="1:23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 t="shared" ref="I31:I32" si="3">SUM(E31:H31)</f>
        <v>1383</v>
      </c>
      <c r="J31" s="249"/>
      <c r="K31" s="251">
        <f>K16</f>
        <v>6.0899999999999954E-2</v>
      </c>
      <c r="L31" s="251"/>
      <c r="M31" s="249">
        <f>K31*I31</f>
        <v>84.224699999999942</v>
      </c>
      <c r="N31" s="252">
        <f>M31+I31</f>
        <v>1467.2247</v>
      </c>
      <c r="O31" s="252"/>
      <c r="P31" s="248"/>
      <c r="Q31" s="248"/>
      <c r="R31" s="248"/>
      <c r="S31" s="252">
        <f>N31+P31+Q31</f>
        <v>1467.2247</v>
      </c>
      <c r="T31" s="53"/>
    </row>
    <row r="32" spans="1:23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 t="shared" si="3"/>
        <v>0</v>
      </c>
      <c r="J32" s="249"/>
      <c r="K32" s="251">
        <f>K16</f>
        <v>6.0899999999999954E-2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252">
        <f>N32+P32+Q32</f>
        <v>0</v>
      </c>
      <c r="T32" s="53"/>
    </row>
    <row r="33" spans="1:23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252"/>
      <c r="T33" s="53"/>
    </row>
    <row r="34" spans="1:23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252"/>
      <c r="T34" s="53"/>
    </row>
    <row r="35" spans="1:23" ht="15.75" customHeigh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 t="shared" ref="I35:I37" si="4">SUM(E35:H35)</f>
        <v>46231</v>
      </c>
      <c r="J35" s="249"/>
      <c r="K35" s="251">
        <f>K16</f>
        <v>6.0899999999999954E-2</v>
      </c>
      <c r="L35" s="251"/>
      <c r="M35" s="249">
        <f>K35*I35</f>
        <v>2815.4678999999978</v>
      </c>
      <c r="N35" s="252">
        <f>M35+I35</f>
        <v>49046.467899999996</v>
      </c>
      <c r="O35" s="252"/>
      <c r="P35" s="248"/>
      <c r="Q35" s="248">
        <f>'incremental load expense'!E37</f>
        <v>13.090809335773899</v>
      </c>
      <c r="R35" s="248"/>
      <c r="S35" s="252">
        <f>N35+P35+Q35</f>
        <v>49059.558709335768</v>
      </c>
      <c r="T35" s="53"/>
    </row>
    <row r="36" spans="1:23" ht="15.75" customHeigh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 t="shared" si="4"/>
        <v>16947</v>
      </c>
      <c r="J36" s="249"/>
      <c r="K36" s="251">
        <f>K18</f>
        <v>0.22201191510413221</v>
      </c>
      <c r="L36" s="251"/>
      <c r="M36" s="249">
        <f>K36*I36</f>
        <v>3762.4359252697286</v>
      </c>
      <c r="N36" s="252">
        <f>M36+I36</f>
        <v>20709.435925269729</v>
      </c>
      <c r="O36" s="252"/>
      <c r="P36" s="248"/>
      <c r="Q36" s="248"/>
      <c r="R36" s="248"/>
      <c r="S36" s="252">
        <f>N36+P36+Q36</f>
        <v>20709.435925269729</v>
      </c>
      <c r="T36" s="53"/>
      <c r="U36" s="53"/>
      <c r="V36" s="184"/>
      <c r="W36" s="549"/>
    </row>
    <row r="37" spans="1:23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 t="shared" si="4"/>
        <v>0</v>
      </c>
      <c r="J37" s="254"/>
      <c r="K37" s="256">
        <f>K20</f>
        <v>0.13806181972825415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253">
        <f>N37+P37+Q37</f>
        <v>0</v>
      </c>
      <c r="T37" s="53"/>
    </row>
    <row r="38" spans="1:23" ht="15.75" customHeight="1">
      <c r="A38" s="198">
        <v>23</v>
      </c>
      <c r="B38" s="204"/>
      <c r="C38" s="200" t="s">
        <v>243</v>
      </c>
      <c r="D38" s="86"/>
      <c r="E38" s="453">
        <f>SUM(E35:E37)</f>
        <v>63157</v>
      </c>
      <c r="F38" s="249">
        <f>F35+F36+F37</f>
        <v>0</v>
      </c>
      <c r="G38" s="461">
        <f>G35+G36+G37</f>
        <v>0</v>
      </c>
      <c r="H38" s="461">
        <f>H35+H36+H37</f>
        <v>21</v>
      </c>
      <c r="I38" s="461">
        <f>I35+I36+I37</f>
        <v>63178</v>
      </c>
      <c r="J38" s="249"/>
      <c r="K38" s="251"/>
      <c r="L38" s="251"/>
      <c r="M38" s="249">
        <f>M35+M36+M37</f>
        <v>6577.9038252697264</v>
      </c>
      <c r="N38" s="249">
        <f>N35+N36+N37</f>
        <v>69755.903825269721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249">
        <f>S35+S36+S37</f>
        <v>69768.994634605493</v>
      </c>
    </row>
    <row r="39" spans="1:23" ht="15.75" customHeight="1">
      <c r="A39" s="198">
        <v>24</v>
      </c>
      <c r="B39" s="204" t="s">
        <v>67</v>
      </c>
      <c r="C39" s="200"/>
      <c r="D39" s="86"/>
      <c r="E39" s="453">
        <f>E21+E28+E30+E31+E32+E38</f>
        <v>427968</v>
      </c>
      <c r="F39" s="453">
        <f>F21+F28+F30+F31+F32+F38</f>
        <v>-186117</v>
      </c>
      <c r="G39" s="453">
        <f>G21+G28+G30+G31+G32+G38</f>
        <v>-1382</v>
      </c>
      <c r="H39" s="453">
        <f>H21+H28+H30+H31+H32+H38</f>
        <v>490</v>
      </c>
      <c r="I39" s="453">
        <f>I21+I28+I30+I31+I32+I38</f>
        <v>240959</v>
      </c>
      <c r="J39" s="453"/>
      <c r="K39" s="452"/>
      <c r="L39" s="452"/>
      <c r="M39" s="453">
        <f>M21+M28+M30+M31+M32+M38</f>
        <v>27644.759832704127</v>
      </c>
      <c r="N39" s="453">
        <f>N21+N28+N30+N31+N32+N38</f>
        <v>268603.75983270409</v>
      </c>
      <c r="O39" s="453"/>
      <c r="P39" s="453">
        <f>P21+P28+P30+P31+P32+P38</f>
        <v>164917</v>
      </c>
      <c r="Q39" s="453">
        <f>Q21+Q28+Q30+Q31+Q32+Q38</f>
        <v>2207.3031661626533</v>
      </c>
      <c r="R39" s="453">
        <f>R21+R28+R30+R31+R32+R38</f>
        <v>2883.1872462299998</v>
      </c>
      <c r="S39" s="453">
        <f>S21+S28+S30+S31+S32+S38</f>
        <v>438611.2502450968</v>
      </c>
      <c r="T39" s="53"/>
      <c r="V39" s="53"/>
      <c r="W39" s="666"/>
    </row>
    <row r="40" spans="1:23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252"/>
    </row>
    <row r="41" spans="1:23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1382</v>
      </c>
      <c r="H41" s="248">
        <f>H12-H39</f>
        <v>10198</v>
      </c>
      <c r="I41" s="248">
        <f>I12-I39</f>
        <v>262502</v>
      </c>
      <c r="J41" s="248"/>
      <c r="K41" s="251"/>
      <c r="L41" s="248"/>
      <c r="M41" s="248">
        <f t="shared" ref="M41:R41" si="5">M12-M39</f>
        <v>-27644.759832704127</v>
      </c>
      <c r="N41" s="248">
        <f>N12-N39</f>
        <v>234857.24016729591</v>
      </c>
      <c r="O41" s="248">
        <f t="shared" si="5"/>
        <v>0</v>
      </c>
      <c r="P41" s="248">
        <f t="shared" si="5"/>
        <v>-100631</v>
      </c>
      <c r="Q41" s="248">
        <f t="shared" si="5"/>
        <v>1880.513804319542</v>
      </c>
      <c r="R41" s="248">
        <f t="shared" si="5"/>
        <v>-2883.1872462299998</v>
      </c>
      <c r="S41" s="248">
        <f>S12-S39</f>
        <v>133223.56672538543</v>
      </c>
      <c r="T41" s="53"/>
    </row>
    <row r="42" spans="1:23" ht="15.75" customHeight="1">
      <c r="A42" s="198"/>
      <c r="B42" s="204"/>
      <c r="C42" s="204"/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</row>
    <row r="43" spans="1:23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</row>
    <row r="44" spans="1:23" s="50" customFormat="1" ht="18" thickBot="1">
      <c r="A44" s="346" t="s">
        <v>96</v>
      </c>
      <c r="B44" s="898" t="str">
        <f>B2</f>
        <v>AVISTA'S 2016  ELECTRIC ATTRITION REVENUE REQUIREMENT</v>
      </c>
      <c r="C44" s="898"/>
      <c r="D44" s="898"/>
      <c r="E44" s="898"/>
      <c r="F44" s="898"/>
      <c r="G44" s="898"/>
      <c r="H44" s="898"/>
      <c r="I44" s="898"/>
      <c r="J44" s="898"/>
      <c r="K44" s="898"/>
      <c r="L44" s="898"/>
      <c r="M44" s="898"/>
      <c r="N44" s="898"/>
      <c r="O44" s="898"/>
      <c r="P44" s="898"/>
      <c r="Q44" s="898"/>
      <c r="R44" s="899"/>
      <c r="S44" s="899"/>
    </row>
    <row r="45" spans="1:23" s="166" customFormat="1" ht="21" thickBot="1">
      <c r="A45" s="344"/>
      <c r="B45" s="693"/>
      <c r="C45" s="674" t="s">
        <v>495</v>
      </c>
      <c r="D45" s="694"/>
      <c r="E45" s="892" t="s">
        <v>248</v>
      </c>
      <c r="F45" s="893"/>
      <c r="G45" s="893"/>
      <c r="H45" s="893"/>
      <c r="I45" s="894"/>
      <c r="J45" s="691"/>
      <c r="K45" s="692"/>
      <c r="L45" s="692"/>
      <c r="M45" s="674" t="s">
        <v>254</v>
      </c>
      <c r="N45" s="675"/>
      <c r="O45" s="676"/>
      <c r="P45" s="895" t="s">
        <v>728</v>
      </c>
      <c r="Q45" s="896"/>
      <c r="R45" s="817"/>
      <c r="S45" s="819"/>
      <c r="U45" s="345"/>
    </row>
    <row r="46" spans="1:23" s="50" customFormat="1" ht="78" customHeight="1">
      <c r="A46" s="300" t="s">
        <v>247</v>
      </c>
      <c r="B46" s="52"/>
      <c r="C46" s="191"/>
      <c r="D46" s="338"/>
      <c r="E46" s="339" t="str">
        <f>E4</f>
        <v>12.2014 Commission Basis Report Restated Totals</v>
      </c>
      <c r="F46" s="339" t="str">
        <f t="shared" ref="F46:R46" si="6">F4</f>
        <v>(less) 12.2014 Normalized Net Power Supply  Cost</v>
      </c>
      <c r="G46" s="339" t="str">
        <f t="shared" si="6"/>
        <v>Deferred Debit/Credit &amp; Reg. Amorts Adjs*</v>
      </c>
      <c r="H46" s="339" t="str">
        <f t="shared" si="6"/>
        <v>Pro Forma Revenue Normalization Adjustment</v>
      </c>
      <c r="I46" s="339" t="str">
        <f t="shared" si="6"/>
        <v>December 2014 Escalation Base</v>
      </c>
      <c r="J46" s="339">
        <f t="shared" si="6"/>
        <v>0</v>
      </c>
      <c r="K46" s="339" t="str">
        <f t="shared" si="6"/>
        <v>Escalation Factor</v>
      </c>
      <c r="L46" s="339">
        <f t="shared" si="6"/>
        <v>0</v>
      </c>
      <c r="M46" s="339" t="str">
        <f t="shared" si="6"/>
        <v xml:space="preserve"> Non-Energy Cost Escalation Amount [E]*[F]=[G]</v>
      </c>
      <c r="N46" s="339" t="str">
        <f t="shared" si="6"/>
        <v>Trended 2016 Non-Energy Cost [E]+[G]=[H]</v>
      </c>
      <c r="O46" s="339">
        <f t="shared" si="6"/>
        <v>0</v>
      </c>
      <c r="P46" s="339" t="str">
        <f t="shared" si="6"/>
        <v>(plus) 12.2014 Pro-Formed Net Energy Cost</v>
      </c>
      <c r="Q46" s="339" t="str">
        <f t="shared" si="6"/>
        <v>(plus)  Revenue Growth</v>
      </c>
      <c r="R46" s="339" t="str">
        <f t="shared" si="6"/>
        <v>After Attrition Adj - CS2/Colstrip Incremental O&amp;M Exp</v>
      </c>
      <c r="S46" s="671" t="s">
        <v>593</v>
      </c>
    </row>
    <row r="47" spans="1:23" ht="16.95" customHeight="1">
      <c r="B47" s="47"/>
      <c r="C47" s="47"/>
      <c r="D47" s="86"/>
      <c r="E47" s="340" t="str">
        <f>E5</f>
        <v>[A]</v>
      </c>
      <c r="F47" s="340" t="str">
        <f t="shared" ref="F47:S47" si="7">F5</f>
        <v>[B]</v>
      </c>
      <c r="G47" s="340" t="str">
        <f t="shared" si="7"/>
        <v>[C]</v>
      </c>
      <c r="H47" s="340" t="str">
        <f t="shared" si="7"/>
        <v>[D]</v>
      </c>
      <c r="I47" s="340" t="str">
        <f t="shared" si="7"/>
        <v>[E]</v>
      </c>
      <c r="J47" s="340">
        <f t="shared" si="7"/>
        <v>0</v>
      </c>
      <c r="K47" s="340" t="str">
        <f t="shared" si="7"/>
        <v>[F]</v>
      </c>
      <c r="L47" s="340">
        <f t="shared" si="7"/>
        <v>0</v>
      </c>
      <c r="M47" s="340" t="str">
        <f t="shared" si="7"/>
        <v>[G]</v>
      </c>
      <c r="N47" s="340" t="str">
        <f t="shared" si="7"/>
        <v>[H]</v>
      </c>
      <c r="O47" s="340">
        <f t="shared" si="7"/>
        <v>0</v>
      </c>
      <c r="P47" s="340" t="str">
        <f t="shared" si="7"/>
        <v>[I]</v>
      </c>
      <c r="Q47" s="340" t="str">
        <f t="shared" si="7"/>
        <v>[J]</v>
      </c>
      <c r="R47" s="340" t="str">
        <f t="shared" si="7"/>
        <v>[AA]</v>
      </c>
      <c r="S47" s="340" t="str">
        <f t="shared" si="7"/>
        <v>[K]</v>
      </c>
    </row>
    <row r="48" spans="1:23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265"/>
      <c r="U48" s="51" t="s">
        <v>738</v>
      </c>
    </row>
    <row r="49" spans="1:23" ht="15.75" customHeight="1">
      <c r="A49" s="198">
        <v>26</v>
      </c>
      <c r="B49" s="203"/>
      <c r="C49" s="204" t="s">
        <v>140</v>
      </c>
      <c r="D49" s="86"/>
      <c r="E49" s="248">
        <v>-7683</v>
      </c>
      <c r="F49" s="347">
        <f>ROUND(F41*0.35,0)</f>
        <v>39002</v>
      </c>
      <c r="G49" s="347">
        <f>ROUND(G41*0.35,0)</f>
        <v>484</v>
      </c>
      <c r="H49" s="347">
        <f>ROUND(H41*0.35,0)</f>
        <v>3569</v>
      </c>
      <c r="I49" s="249">
        <f>SUM(E49:H49)</f>
        <v>35372</v>
      </c>
      <c r="J49" s="249"/>
      <c r="K49" s="251"/>
      <c r="L49" s="251"/>
      <c r="M49" s="347">
        <f>M41*0.35</f>
        <v>-9675.665941446443</v>
      </c>
      <c r="N49" s="266">
        <f>I49+M49</f>
        <v>25696.334058553555</v>
      </c>
      <c r="O49" s="266"/>
      <c r="P49" s="267">
        <f>0.35*P41</f>
        <v>-35220.85</v>
      </c>
      <c r="Q49" s="267">
        <f>0.35*Q41</f>
        <v>658.17983151183967</v>
      </c>
      <c r="R49" s="267">
        <f>0.35*R41</f>
        <v>-1009.1155361804998</v>
      </c>
      <c r="S49" s="266">
        <f>N49+P49+Q49+R49</f>
        <v>-9875.4516461151034</v>
      </c>
    </row>
    <row r="50" spans="1:23" ht="15.75" customHeigh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-132.2475</v>
      </c>
      <c r="H50" s="248">
        <f>H79*ROR!F37*-0.35</f>
        <v>0</v>
      </c>
      <c r="I50" s="249">
        <f t="shared" ref="I50:I52" si="8">SUM(E50:H50)</f>
        <v>-268.2475</v>
      </c>
      <c r="J50" s="249"/>
      <c r="K50" s="251"/>
      <c r="L50" s="251"/>
      <c r="M50" s="347">
        <f>(ROR!F11*-0.35*M79)+(ROR!F11-ROR!F37)*I79*-0.35</f>
        <v>-1110.574514000743</v>
      </c>
      <c r="N50" s="266">
        <f>I50+M50</f>
        <v>-1378.8220140007429</v>
      </c>
      <c r="O50" s="266"/>
      <c r="P50" s="267"/>
      <c r="Q50" s="267"/>
      <c r="R50" s="267"/>
      <c r="S50" s="266">
        <f>N50+P50+Q50</f>
        <v>-1378.8220140007429</v>
      </c>
    </row>
    <row r="51" spans="1:23" ht="15.75" customHeight="1">
      <c r="A51" s="198">
        <v>28</v>
      </c>
      <c r="B51" s="203"/>
      <c r="C51" s="204" t="s">
        <v>64</v>
      </c>
      <c r="D51" s="861" t="s">
        <v>735</v>
      </c>
      <c r="E51" s="830">
        <v>46085</v>
      </c>
      <c r="F51" s="248"/>
      <c r="G51" s="248">
        <v>0</v>
      </c>
      <c r="H51" s="248">
        <v>0</v>
      </c>
      <c r="I51" s="249">
        <f t="shared" si="8"/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66">
        <f>N51+P51+Q51</f>
        <v>46085</v>
      </c>
    </row>
    <row r="52" spans="1:23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 t="shared" si="8"/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252">
        <f>N52+P52+Q52</f>
        <v>-128</v>
      </c>
    </row>
    <row r="53" spans="1:23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252"/>
    </row>
    <row r="54" spans="1:23" ht="15.75" customHeight="1" thickBot="1">
      <c r="A54" s="198">
        <v>31</v>
      </c>
      <c r="B54" s="204" t="s">
        <v>62</v>
      </c>
      <c r="C54" s="204"/>
      <c r="D54" s="86"/>
      <c r="E54" s="454">
        <f>E41-E49-E50-E51-E52</f>
        <v>101349</v>
      </c>
      <c r="F54" s="454">
        <f>F41-F49-F50-F51-F52</f>
        <v>72433</v>
      </c>
      <c r="G54" s="454">
        <f t="shared" ref="G54:I54" si="9">G41-G49-G50-G51-G52</f>
        <v>1030.2474999999999</v>
      </c>
      <c r="H54" s="454">
        <f t="shared" si="9"/>
        <v>6629</v>
      </c>
      <c r="I54" s="454">
        <f t="shared" si="9"/>
        <v>181441.2475</v>
      </c>
      <c r="J54" s="454"/>
      <c r="K54" s="454"/>
      <c r="L54" s="454"/>
      <c r="M54" s="454">
        <f t="shared" ref="M54:R54" si="10">M41-M49-M50-M51-M52</f>
        <v>-16858.51937725694</v>
      </c>
      <c r="N54" s="454">
        <f t="shared" si="10"/>
        <v>164582.72812274308</v>
      </c>
      <c r="O54" s="454"/>
      <c r="P54" s="454">
        <f t="shared" si="10"/>
        <v>-65410.15</v>
      </c>
      <c r="Q54" s="454">
        <f t="shared" si="10"/>
        <v>1222.3339728077024</v>
      </c>
      <c r="R54" s="454">
        <f t="shared" si="10"/>
        <v>-1874.0717100494999</v>
      </c>
      <c r="S54" s="454">
        <f>S41-S49-S50-S51-S52</f>
        <v>98520.840385501273</v>
      </c>
      <c r="T54" s="53">
        <f>S54/S89</f>
        <v>97245.421328288096</v>
      </c>
      <c r="W54" s="53"/>
    </row>
    <row r="55" spans="1:23" ht="6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268"/>
    </row>
    <row r="56" spans="1:23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69" t="s">
        <v>741</v>
      </c>
    </row>
    <row r="57" spans="1:23" ht="15.75" customHeigh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252"/>
    </row>
    <row r="58" spans="1:23" ht="15.75" customHeigh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251">
        <f>'Cost Trends'!N196</f>
        <v>0.12437258337566548</v>
      </c>
      <c r="L58" s="251"/>
      <c r="M58" s="249">
        <f>I58*K58</f>
        <v>12763.114506010792</v>
      </c>
      <c r="N58" s="252">
        <f>I58+M58</f>
        <v>115383.1145060108</v>
      </c>
      <c r="O58" s="252"/>
      <c r="P58" s="248"/>
      <c r="Q58" s="248"/>
      <c r="R58" s="248"/>
      <c r="S58" s="252">
        <f>N58</f>
        <v>115383.1145060108</v>
      </c>
    </row>
    <row r="59" spans="1:23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 t="shared" ref="I59:I62" si="11">SUM(E59:H59)</f>
        <v>746101</v>
      </c>
      <c r="J59" s="249"/>
      <c r="K59" s="251">
        <f>$K$58</f>
        <v>0.12437258337566548</v>
      </c>
      <c r="L59" s="251"/>
      <c r="M59" s="249">
        <f>I59*K59</f>
        <v>92794.508829167389</v>
      </c>
      <c r="N59" s="252">
        <f>I59+M59</f>
        <v>838895.50882916735</v>
      </c>
      <c r="O59" s="252"/>
      <c r="P59" s="248"/>
      <c r="Q59" s="248"/>
      <c r="R59" s="248"/>
      <c r="S59" s="252">
        <f>N59</f>
        <v>838895.50882916735</v>
      </c>
    </row>
    <row r="60" spans="1:23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 t="shared" si="11"/>
        <v>371971</v>
      </c>
      <c r="J60" s="249"/>
      <c r="K60" s="251">
        <f>$K$58</f>
        <v>0.12437258337566548</v>
      </c>
      <c r="L60" s="251"/>
      <c r="M60" s="249">
        <f>I60*K60</f>
        <v>46262.994210829667</v>
      </c>
      <c r="N60" s="252">
        <f>I60+M60</f>
        <v>418233.99421082967</v>
      </c>
      <c r="O60" s="252"/>
      <c r="P60" s="248"/>
      <c r="Q60" s="248"/>
      <c r="R60" s="248"/>
      <c r="S60" s="252">
        <f>N60</f>
        <v>418233.99421082967</v>
      </c>
    </row>
    <row r="61" spans="1:23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 t="shared" si="11"/>
        <v>842795</v>
      </c>
      <c r="J61" s="249"/>
      <c r="K61" s="251">
        <f>$K$58</f>
        <v>0.12437258337566548</v>
      </c>
      <c r="L61" s="251"/>
      <c r="M61" s="249">
        <f>I61*K61</f>
        <v>104820.59140609398</v>
      </c>
      <c r="N61" s="252">
        <f>I61+M61</f>
        <v>947615.59140609403</v>
      </c>
      <c r="O61" s="252"/>
      <c r="P61" s="248"/>
      <c r="Q61" s="248"/>
      <c r="R61" s="248"/>
      <c r="S61" s="252">
        <f>N61</f>
        <v>947615.59140609403</v>
      </c>
    </row>
    <row r="62" spans="1:23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 t="shared" si="11"/>
        <v>196867</v>
      </c>
      <c r="J62" s="254"/>
      <c r="K62" s="251">
        <f>$K$58</f>
        <v>0.12437258337566548</v>
      </c>
      <c r="L62" s="256"/>
      <c r="M62" s="254">
        <f>I62*K62</f>
        <v>24484.857371417136</v>
      </c>
      <c r="N62" s="253">
        <f>I62+M62</f>
        <v>221351.85737141714</v>
      </c>
      <c r="O62" s="253"/>
      <c r="P62" s="253"/>
      <c r="Q62" s="253"/>
      <c r="R62" s="253"/>
      <c r="S62" s="253">
        <f>N62</f>
        <v>221351.85737141714</v>
      </c>
    </row>
    <row r="63" spans="1:23" ht="15.75" customHeight="1">
      <c r="A63" s="198">
        <v>37</v>
      </c>
      <c r="B63" s="204"/>
      <c r="C63" s="204" t="s">
        <v>253</v>
      </c>
      <c r="D63" s="86"/>
      <c r="E63" s="453">
        <f>SUM(E58:E62)</f>
        <v>2260354</v>
      </c>
      <c r="F63" s="453">
        <f t="shared" ref="F63:H63" si="12">SUM(F58:F62)</f>
        <v>0</v>
      </c>
      <c r="G63" s="453">
        <f t="shared" si="12"/>
        <v>0</v>
      </c>
      <c r="H63" s="453">
        <f t="shared" si="12"/>
        <v>0</v>
      </c>
      <c r="I63" s="455">
        <f>SUM(I58:I62)</f>
        <v>2260354</v>
      </c>
      <c r="J63" s="249"/>
      <c r="K63" s="452"/>
      <c r="L63" s="251"/>
      <c r="M63" s="249">
        <f>SUM(M58:M62)</f>
        <v>281126.06632351899</v>
      </c>
      <c r="N63" s="249">
        <f>SUM(N58:N62)</f>
        <v>2541480.0663235192</v>
      </c>
      <c r="O63" s="252"/>
      <c r="P63" s="248"/>
      <c r="Q63" s="248"/>
      <c r="R63" s="248"/>
      <c r="S63" s="249">
        <f>SUM(S58:S62)</f>
        <v>2541480.0663235192</v>
      </c>
      <c r="U63" s="184"/>
    </row>
    <row r="64" spans="1:23" ht="15.75" customHeight="1">
      <c r="A64" s="198"/>
      <c r="B64" s="204" t="s">
        <v>244</v>
      </c>
      <c r="C64" s="204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252">
        <f t="shared" ref="S64:S69" si="13">N64</f>
        <v>0</v>
      </c>
    </row>
    <row r="65" spans="1:24" ht="15.75" customHeigh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0.12437258337566548</v>
      </c>
      <c r="L65" s="251"/>
      <c r="M65" s="249">
        <f>I65*K65</f>
        <v>-2517.5498326902207</v>
      </c>
      <c r="N65" s="252">
        <f>I65+M65</f>
        <v>-22759.54983269022</v>
      </c>
      <c r="O65" s="252"/>
      <c r="P65" s="248"/>
      <c r="Q65" s="248"/>
      <c r="R65" s="248"/>
      <c r="S65" s="252">
        <f t="shared" si="13"/>
        <v>-22759.54983269022</v>
      </c>
    </row>
    <row r="66" spans="1:24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 t="shared" ref="I66:I69" si="14">SUM(E66:H66)</f>
        <v>-325531</v>
      </c>
      <c r="J66" s="249"/>
      <c r="K66" s="251">
        <f>$K$58</f>
        <v>0.12437258337566548</v>
      </c>
      <c r="L66" s="251"/>
      <c r="M66" s="249">
        <f>I66*K66</f>
        <v>-40487.131438863762</v>
      </c>
      <c r="N66" s="252">
        <f>I66+M66</f>
        <v>-366018.13143886375</v>
      </c>
      <c r="O66" s="252"/>
      <c r="P66" s="248"/>
      <c r="Q66" s="248"/>
      <c r="R66" s="248"/>
      <c r="S66" s="252">
        <f t="shared" si="13"/>
        <v>-366018.13143886375</v>
      </c>
    </row>
    <row r="67" spans="1:24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 t="shared" si="14"/>
        <v>-123869</v>
      </c>
      <c r="J67" s="249"/>
      <c r="K67" s="251">
        <f>$K$58</f>
        <v>0.12437258337566548</v>
      </c>
      <c r="L67" s="251"/>
      <c r="M67" s="249">
        <f>I67*K67</f>
        <v>-15405.907530160308</v>
      </c>
      <c r="N67" s="252">
        <f>I67+M67</f>
        <v>-139274.9075301603</v>
      </c>
      <c r="O67" s="252"/>
      <c r="P67" s="248"/>
      <c r="Q67" s="248"/>
      <c r="R67" s="248"/>
      <c r="S67" s="252">
        <f t="shared" si="13"/>
        <v>-139274.9075301603</v>
      </c>
    </row>
    <row r="68" spans="1:24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 t="shared" si="14"/>
        <v>-252722</v>
      </c>
      <c r="J68" s="249"/>
      <c r="K68" s="251">
        <f>$K$58</f>
        <v>0.12437258337566548</v>
      </c>
      <c r="L68" s="251"/>
      <c r="M68" s="249">
        <f>I68*K68</f>
        <v>-31431.688015864933</v>
      </c>
      <c r="N68" s="252">
        <f>I68+M68</f>
        <v>-284153.68801586493</v>
      </c>
      <c r="O68" s="252"/>
      <c r="P68" s="248"/>
      <c r="Q68" s="248"/>
      <c r="R68" s="248"/>
      <c r="S68" s="252">
        <f t="shared" si="13"/>
        <v>-284153.68801586493</v>
      </c>
    </row>
    <row r="69" spans="1:24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 t="shared" si="14"/>
        <v>-65720</v>
      </c>
      <c r="J69" s="254"/>
      <c r="K69" s="251">
        <f>$K$58</f>
        <v>0.12437258337566548</v>
      </c>
      <c r="L69" s="256"/>
      <c r="M69" s="254">
        <f>I69*K69</f>
        <v>-8173.7661794487349</v>
      </c>
      <c r="N69" s="253">
        <f>I69+M69</f>
        <v>-73893.766179448736</v>
      </c>
      <c r="O69" s="253"/>
      <c r="P69" s="253"/>
      <c r="Q69" s="253"/>
      <c r="R69" s="253"/>
      <c r="S69" s="253">
        <f t="shared" si="13"/>
        <v>-73893.766179448736</v>
      </c>
    </row>
    <row r="70" spans="1:24" ht="30.75" customHeight="1">
      <c r="A70" s="198">
        <v>43</v>
      </c>
      <c r="B70" s="204"/>
      <c r="C70" s="201" t="s">
        <v>291</v>
      </c>
      <c r="D70" s="91"/>
      <c r="E70" s="453">
        <f>SUM(E65:E69)</f>
        <v>-788084</v>
      </c>
      <c r="F70" s="453">
        <f t="shared" ref="F70:H70" si="15">SUM(F65:F69)</f>
        <v>0</v>
      </c>
      <c r="G70" s="453">
        <f t="shared" si="15"/>
        <v>0</v>
      </c>
      <c r="H70" s="453">
        <f t="shared" si="15"/>
        <v>0</v>
      </c>
      <c r="I70" s="455">
        <f>SUM(I65:I69)</f>
        <v>-788084</v>
      </c>
      <c r="J70" s="249"/>
      <c r="K70" s="452"/>
      <c r="L70" s="251"/>
      <c r="M70" s="269">
        <f>SUM(M65:M69)</f>
        <v>-98016.042997027966</v>
      </c>
      <c r="N70" s="269">
        <f>SUM(N65:N69)</f>
        <v>-886100.04299702786</v>
      </c>
      <c r="O70" s="252"/>
      <c r="P70" s="248"/>
      <c r="Q70" s="248"/>
      <c r="R70" s="248"/>
      <c r="S70" s="269">
        <f>SUM(S65:S69)</f>
        <v>-886100.04299702786</v>
      </c>
      <c r="U70" s="184"/>
    </row>
    <row r="71" spans="1:24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252"/>
    </row>
    <row r="72" spans="1:24" ht="15.75" customHeight="1">
      <c r="A72" s="198">
        <v>44</v>
      </c>
      <c r="B72" s="204" t="s">
        <v>232</v>
      </c>
      <c r="C72" s="204"/>
      <c r="D72" s="86"/>
      <c r="E72" s="453">
        <f>E63+E70</f>
        <v>1472270</v>
      </c>
      <c r="F72" s="453">
        <f t="shared" ref="F72:S72" si="16">F63+F70</f>
        <v>0</v>
      </c>
      <c r="G72" s="453">
        <f t="shared" si="16"/>
        <v>0</v>
      </c>
      <c r="H72" s="453">
        <f t="shared" si="16"/>
        <v>0</v>
      </c>
      <c r="I72" s="453">
        <f t="shared" si="16"/>
        <v>1472270</v>
      </c>
      <c r="J72" s="453">
        <f t="shared" si="16"/>
        <v>0</v>
      </c>
      <c r="K72" s="453">
        <f t="shared" si="16"/>
        <v>0</v>
      </c>
      <c r="L72" s="453">
        <f t="shared" si="16"/>
        <v>0</v>
      </c>
      <c r="M72" s="453">
        <f t="shared" si="16"/>
        <v>183110.02332649101</v>
      </c>
      <c r="N72" s="453">
        <f t="shared" si="16"/>
        <v>1655380.0233264915</v>
      </c>
      <c r="O72" s="453">
        <f t="shared" si="16"/>
        <v>0</v>
      </c>
      <c r="P72" s="453"/>
      <c r="Q72" s="453"/>
      <c r="R72" s="453">
        <f t="shared" si="16"/>
        <v>0</v>
      </c>
      <c r="S72" s="453">
        <f t="shared" si="16"/>
        <v>1655380.0233264915</v>
      </c>
      <c r="V72" s="184"/>
    </row>
    <row r="73" spans="1:24" ht="12.75" customHeigh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252"/>
    </row>
    <row r="74" spans="1:24" ht="13.5" customHeight="1">
      <c r="A74" s="198">
        <v>45</v>
      </c>
      <c r="B74" s="204" t="s">
        <v>245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 t="shared" ref="I74:I77" si="17">SUM(E74:H74)</f>
        <v>-257766</v>
      </c>
      <c r="J74" s="249"/>
      <c r="K74" s="251">
        <f>$K$58</f>
        <v>0.12437258337566548</v>
      </c>
      <c r="L74" s="259"/>
      <c r="M74" s="249">
        <f>K74*I74</f>
        <v>-32059.023326411789</v>
      </c>
      <c r="N74" s="252">
        <f>M74+I74</f>
        <v>-289825.02332641179</v>
      </c>
      <c r="O74" s="252"/>
      <c r="P74" s="248"/>
      <c r="Q74" s="248"/>
      <c r="R74" s="248"/>
      <c r="S74" s="252">
        <f>N74</f>
        <v>-289825.02332641179</v>
      </c>
      <c r="U74" s="688"/>
      <c r="V74" s="667"/>
    </row>
    <row r="75" spans="1:24" ht="15.75" customHeight="1">
      <c r="A75" s="198">
        <v>46</v>
      </c>
      <c r="B75" s="204"/>
      <c r="C75" s="204" t="s">
        <v>292</v>
      </c>
      <c r="D75" s="90"/>
      <c r="E75" s="453">
        <f>E72+E74</f>
        <v>1214504</v>
      </c>
      <c r="F75" s="453">
        <f t="shared" ref="F75:N75" si="18">F72+F74</f>
        <v>0</v>
      </c>
      <c r="G75" s="453">
        <f>G72+G74</f>
        <v>0</v>
      </c>
      <c r="H75" s="453">
        <f t="shared" si="18"/>
        <v>0</v>
      </c>
      <c r="I75" s="453">
        <f t="shared" si="18"/>
        <v>1214504</v>
      </c>
      <c r="J75" s="453">
        <f t="shared" si="18"/>
        <v>0</v>
      </c>
      <c r="K75" s="453">
        <f t="shared" si="18"/>
        <v>0.12437258337566548</v>
      </c>
      <c r="L75" s="453">
        <f t="shared" si="18"/>
        <v>0</v>
      </c>
      <c r="M75" s="453">
        <f t="shared" si="18"/>
        <v>151051.00000007922</v>
      </c>
      <c r="N75" s="453">
        <f t="shared" si="18"/>
        <v>1365555.0000000796</v>
      </c>
      <c r="O75" s="453"/>
      <c r="P75" s="453"/>
      <c r="Q75" s="453"/>
      <c r="R75" s="453"/>
      <c r="S75" s="453">
        <f>N75</f>
        <v>1365555.0000000796</v>
      </c>
      <c r="T75" s="53"/>
      <c r="U75" s="53"/>
      <c r="V75" s="184"/>
      <c r="W75" s="668"/>
      <c r="X75" s="668"/>
    </row>
    <row r="76" spans="1:24" ht="15.75" customHeight="1">
      <c r="A76" s="198">
        <v>47</v>
      </c>
      <c r="B76" s="204" t="s">
        <v>246</v>
      </c>
      <c r="C76" s="204"/>
      <c r="D76" s="86"/>
      <c r="E76" s="260">
        <v>10846</v>
      </c>
      <c r="F76" s="293"/>
      <c r="G76" s="248">
        <v>13750</v>
      </c>
      <c r="H76" s="248"/>
      <c r="I76" s="269">
        <f t="shared" si="17"/>
        <v>24596</v>
      </c>
      <c r="J76" s="249"/>
      <c r="K76" s="251">
        <v>0</v>
      </c>
      <c r="L76" s="251"/>
      <c r="M76" s="249">
        <f>K76*I76</f>
        <v>0</v>
      </c>
      <c r="N76" s="252">
        <f>M76+I76</f>
        <v>24596</v>
      </c>
      <c r="O76" s="252"/>
      <c r="P76" s="248"/>
      <c r="Q76" s="248"/>
      <c r="R76" s="248"/>
      <c r="S76" s="252">
        <f>N76</f>
        <v>24596</v>
      </c>
      <c r="T76" s="53"/>
    </row>
    <row r="77" spans="1:24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 t="shared" si="17"/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252">
        <f>N77</f>
        <v>47807</v>
      </c>
      <c r="U77" s="782" t="s">
        <v>708</v>
      </c>
      <c r="V77" s="53"/>
      <c r="W77" s="668"/>
      <c r="X77" s="668"/>
    </row>
    <row r="78" spans="1:24" ht="12.75" customHeigh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252">
        <f>N78</f>
        <v>0</v>
      </c>
      <c r="U78" s="689" t="s">
        <v>590</v>
      </c>
      <c r="V78" s="549"/>
      <c r="W78" s="668"/>
    </row>
    <row r="79" spans="1:24" ht="15.75" customHeight="1" thickBot="1">
      <c r="A79" s="198">
        <v>49</v>
      </c>
      <c r="B79" s="204" t="s">
        <v>51</v>
      </c>
      <c r="C79" s="204"/>
      <c r="D79" s="86"/>
      <c r="E79" s="454">
        <f>SUM(E75:E77)</f>
        <v>1273157</v>
      </c>
      <c r="F79" s="454">
        <f t="shared" ref="F79:H79" si="19">SUM(F75:F77)</f>
        <v>0</v>
      </c>
      <c r="G79" s="454">
        <f t="shared" si="19"/>
        <v>13750</v>
      </c>
      <c r="H79" s="454">
        <f t="shared" si="19"/>
        <v>0</v>
      </c>
      <c r="I79" s="456">
        <f>I72+I74+I76+I77</f>
        <v>1286907</v>
      </c>
      <c r="J79" s="456"/>
      <c r="K79" s="457"/>
      <c r="L79" s="457"/>
      <c r="M79" s="456">
        <f>M72+M74+M76+M77</f>
        <v>151051.00000007922</v>
      </c>
      <c r="N79" s="456">
        <f>N72+N74+N76+N77</f>
        <v>1437958.0000000796</v>
      </c>
      <c r="O79" s="454"/>
      <c r="P79" s="454"/>
      <c r="Q79" s="454"/>
      <c r="R79" s="454"/>
      <c r="S79" s="456">
        <f>S72+S74+S76+S77</f>
        <v>1437958.0000000796</v>
      </c>
      <c r="T79" s="53">
        <f>S79/S89</f>
        <v>1419342.6590275909</v>
      </c>
      <c r="U79" s="184">
        <v>1436022</v>
      </c>
      <c r="V79" s="51" t="s">
        <v>709</v>
      </c>
      <c r="X79" s="666"/>
    </row>
    <row r="80" spans="1:24" ht="13.2" customHeight="1" thickTop="1" thickBot="1">
      <c r="A80" s="198"/>
      <c r="B80" s="204"/>
      <c r="C80" s="204"/>
      <c r="D80" s="86"/>
      <c r="E80" s="248"/>
      <c r="F80" s="248"/>
      <c r="G80" s="248"/>
      <c r="H80" s="537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252"/>
      <c r="T80" s="687">
        <f>T79-U79</f>
        <v>-16679.340972409118</v>
      </c>
      <c r="U80" s="549"/>
    </row>
    <row r="81" spans="1:22" ht="15.75" customHeight="1">
      <c r="A81" s="198">
        <v>50</v>
      </c>
      <c r="B81" s="204" t="s">
        <v>50</v>
      </c>
      <c r="C81" s="204"/>
      <c r="D81" s="86"/>
      <c r="E81" s="535">
        <f>E54/E79</f>
        <v>7.9604479259038755E-2</v>
      </c>
      <c r="F81" s="293"/>
      <c r="G81" s="293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535">
        <f>S54/S79</f>
        <v>6.8514407503901933E-2</v>
      </c>
      <c r="V81" s="53"/>
    </row>
    <row r="82" spans="1:22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03"/>
    </row>
    <row r="83" spans="1:22" s="49" customFormat="1" ht="15.75" customHeight="1">
      <c r="A83" s="202"/>
      <c r="B83" s="297" t="s">
        <v>281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80"/>
      <c r="V83" s="680"/>
    </row>
    <row r="84" spans="1:22" s="197" customFormat="1" ht="15.75" customHeight="1">
      <c r="A84" s="198">
        <v>50</v>
      </c>
      <c r="B84" s="206" t="s">
        <v>279</v>
      </c>
      <c r="C84" s="207"/>
      <c r="D84" s="88"/>
      <c r="E84" s="259">
        <f>ROR!F15</f>
        <v>7.2900000000000006E-2</v>
      </c>
      <c r="F84" s="281"/>
      <c r="G84" s="281"/>
      <c r="H84" s="281"/>
      <c r="I84" s="501"/>
      <c r="J84" s="282"/>
      <c r="K84" s="259"/>
      <c r="L84" s="259"/>
      <c r="M84" s="259"/>
      <c r="N84" s="263"/>
      <c r="O84" s="263"/>
      <c r="P84" s="248"/>
      <c r="Q84" s="248"/>
      <c r="R84" s="248"/>
      <c r="S84" s="832">
        <f>E84</f>
        <v>7.2900000000000006E-2</v>
      </c>
      <c r="V84" s="681"/>
    </row>
    <row r="85" spans="1:22" s="197" customFormat="1" ht="15.75" customHeight="1">
      <c r="A85" s="198">
        <v>51</v>
      </c>
      <c r="B85" s="206" t="s">
        <v>293</v>
      </c>
      <c r="C85" s="207"/>
      <c r="D85" s="88"/>
      <c r="E85" s="248">
        <f>E84*E79</f>
        <v>92813.145300000004</v>
      </c>
      <c r="F85" s="283"/>
      <c r="G85" s="283"/>
      <c r="H85" s="283"/>
      <c r="I85" s="501"/>
      <c r="J85" s="282"/>
      <c r="K85" s="283"/>
      <c r="L85" s="283"/>
      <c r="M85" s="283"/>
      <c r="N85" s="263"/>
      <c r="O85" s="263"/>
      <c r="P85" s="248"/>
      <c r="Q85" s="248"/>
      <c r="R85" s="248"/>
      <c r="S85" s="502">
        <f>S84*S79</f>
        <v>104827.13820000581</v>
      </c>
    </row>
    <row r="86" spans="1:22" s="197" customFormat="1" ht="15.75" customHeight="1">
      <c r="A86" s="198">
        <v>52</v>
      </c>
      <c r="B86" s="206" t="s">
        <v>282</v>
      </c>
      <c r="C86" s="207"/>
      <c r="D86" s="87"/>
      <c r="E86" s="248">
        <f>E85-E54</f>
        <v>-8535.8546999999962</v>
      </c>
      <c r="F86" s="284"/>
      <c r="G86" s="284"/>
      <c r="H86" s="284"/>
      <c r="I86" s="501"/>
      <c r="J86" s="282"/>
      <c r="K86" s="284"/>
      <c r="L86" s="284"/>
      <c r="M86" s="284"/>
      <c r="N86" s="285"/>
      <c r="O86" s="285"/>
      <c r="P86" s="285"/>
      <c r="Q86" s="285"/>
      <c r="R86" s="263"/>
      <c r="S86" s="502">
        <f>S85-S54</f>
        <v>6306.2978145045345</v>
      </c>
    </row>
    <row r="87" spans="1:22" s="197" customFormat="1" ht="15.75" customHeight="1">
      <c r="A87" s="198">
        <v>53</v>
      </c>
      <c r="B87" s="206" t="s">
        <v>95</v>
      </c>
      <c r="C87" s="207"/>
      <c r="D87" s="87"/>
      <c r="E87" s="594">
        <f>S87</f>
        <v>0.62017999999999995</v>
      </c>
      <c r="F87" s="281"/>
      <c r="G87" s="281"/>
      <c r="H87" s="281"/>
      <c r="I87" s="501"/>
      <c r="J87" s="282"/>
      <c r="K87" s="287"/>
      <c r="L87" s="287"/>
      <c r="M87" s="287"/>
      <c r="N87" s="285"/>
      <c r="O87" s="285"/>
      <c r="P87" s="285"/>
      <c r="Q87" s="285"/>
      <c r="R87" s="263"/>
      <c r="S87" s="593">
        <f>ROR!L24</f>
        <v>0.62017999999999995</v>
      </c>
    </row>
    <row r="88" spans="1:22" s="197" customFormat="1" ht="15.75" customHeight="1">
      <c r="A88" s="198">
        <v>54</v>
      </c>
      <c r="B88" s="206" t="s">
        <v>49</v>
      </c>
      <c r="C88" s="207"/>
      <c r="D88" s="87"/>
      <c r="E88" s="248">
        <f>E86/E87</f>
        <v>-13763.511722403167</v>
      </c>
      <c r="F88" s="288"/>
      <c r="G88" s="288"/>
      <c r="H88" s="288"/>
      <c r="I88" s="501"/>
      <c r="J88" s="282"/>
      <c r="K88" s="284"/>
      <c r="L88" s="284"/>
      <c r="M88" s="284"/>
      <c r="N88" s="285"/>
      <c r="O88" s="285"/>
      <c r="P88" s="285"/>
      <c r="Q88" s="285"/>
      <c r="R88" s="263"/>
      <c r="S88" s="502">
        <f>S86/S87</f>
        <v>10168.495943926819</v>
      </c>
    </row>
    <row r="89" spans="1:22" s="47" customFormat="1" ht="15.75" customHeight="1">
      <c r="A89" s="198">
        <v>55</v>
      </c>
      <c r="B89" s="206" t="s">
        <v>116</v>
      </c>
      <c r="C89" s="207"/>
      <c r="D89" s="87"/>
      <c r="E89" s="294"/>
      <c r="F89" s="288"/>
      <c r="G89" s="288"/>
      <c r="H89" s="288"/>
      <c r="I89" s="288"/>
      <c r="J89" s="282"/>
      <c r="K89" s="289"/>
      <c r="L89" s="289"/>
      <c r="M89" s="289"/>
      <c r="N89" s="285"/>
      <c r="O89" s="285"/>
      <c r="P89" s="285"/>
      <c r="Q89" s="285"/>
      <c r="R89" s="263"/>
      <c r="S89" s="348">
        <f>'Weighted Revenue Growth'!J25+1</f>
        <v>1.0131154664126296</v>
      </c>
      <c r="U89" s="545"/>
    </row>
    <row r="90" spans="1:22" s="47" customFormat="1" ht="15.75" customHeight="1" thickBot="1">
      <c r="A90" s="198">
        <v>56</v>
      </c>
      <c r="B90" s="298" t="s">
        <v>283</v>
      </c>
      <c r="C90" s="299"/>
      <c r="D90" s="154"/>
      <c r="E90" s="295"/>
      <c r="F90" s="290"/>
      <c r="G90" s="290"/>
      <c r="H90" s="290"/>
      <c r="I90" s="290"/>
      <c r="J90" s="296"/>
      <c r="K90" s="295"/>
      <c r="L90" s="295"/>
      <c r="M90" s="295"/>
      <c r="N90" s="291"/>
      <c r="O90" s="291"/>
      <c r="P90" s="291"/>
      <c r="Q90" s="291"/>
      <c r="R90" s="292"/>
      <c r="S90" s="831">
        <f>S88/S89</f>
        <v>10036.857871623208</v>
      </c>
    </row>
    <row r="91" spans="1:22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</row>
    <row r="92" spans="1:22" s="538" customFormat="1" ht="46.5" customHeight="1">
      <c r="A92" s="552"/>
      <c r="B92" s="552"/>
      <c r="C92" s="891" t="s">
        <v>727</v>
      </c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552"/>
      <c r="S92" s="879" t="s">
        <v>743</v>
      </c>
    </row>
    <row r="93" spans="1:22" ht="11.1" customHeight="1">
      <c r="B93" s="48"/>
      <c r="C93" s="48"/>
      <c r="E93" s="48"/>
      <c r="F93" s="48"/>
      <c r="G93" s="48"/>
      <c r="H93" s="48"/>
      <c r="I93" s="92"/>
      <c r="J93" s="92"/>
      <c r="K93" s="48"/>
      <c r="L93" s="48"/>
      <c r="M93" s="48"/>
      <c r="N93" s="51"/>
      <c r="O93" s="51"/>
      <c r="Q93" s="51"/>
      <c r="R93" s="51"/>
      <c r="S93" s="51"/>
    </row>
    <row r="94" spans="1:22" ht="15.6" customHeight="1">
      <c r="C94" s="51"/>
      <c r="E94" s="48"/>
      <c r="F94" s="51"/>
      <c r="G94" s="51"/>
      <c r="H94" s="51"/>
      <c r="I94" s="259"/>
      <c r="J94" s="89"/>
      <c r="K94" s="48"/>
      <c r="L94" s="48"/>
      <c r="M94" s="48"/>
      <c r="N94" s="51"/>
      <c r="O94" s="51"/>
      <c r="Q94" s="51"/>
      <c r="R94" s="51"/>
      <c r="S94" s="283"/>
      <c r="U94" s="869" t="s">
        <v>739</v>
      </c>
    </row>
    <row r="95" spans="1:22" ht="11.1" customHeight="1">
      <c r="C95" s="51"/>
      <c r="E95" s="48"/>
      <c r="F95" s="51"/>
      <c r="G95" s="51"/>
      <c r="H95" s="51"/>
      <c r="I95" s="89"/>
      <c r="J95" s="89"/>
      <c r="K95" s="48"/>
      <c r="L95" s="48"/>
      <c r="M95" s="48"/>
      <c r="N95" s="51"/>
      <c r="O95" s="51"/>
      <c r="Q95" s="51"/>
      <c r="R95" s="51"/>
      <c r="S95" s="51"/>
    </row>
    <row r="96" spans="1:22" ht="15.6">
      <c r="C96" s="51"/>
      <c r="E96" s="48"/>
      <c r="F96" s="51"/>
      <c r="G96" s="51"/>
      <c r="H96" s="51"/>
      <c r="I96" s="259"/>
      <c r="J96" s="89"/>
      <c r="K96" s="48"/>
      <c r="L96" s="48"/>
      <c r="M96" s="48"/>
      <c r="N96" s="51"/>
      <c r="O96" s="51"/>
      <c r="Q96" s="51"/>
      <c r="R96" s="51"/>
      <c r="S96" s="51"/>
    </row>
    <row r="97" spans="3:21" ht="15.6">
      <c r="C97" s="51"/>
      <c r="E97" s="48"/>
      <c r="F97" s="51"/>
      <c r="G97" s="51"/>
      <c r="H97" s="51"/>
      <c r="I97" s="500"/>
      <c r="J97" s="89"/>
      <c r="K97" s="48"/>
      <c r="L97" s="48"/>
      <c r="M97" s="48"/>
      <c r="N97" s="51"/>
      <c r="O97" s="51"/>
      <c r="Q97" s="51"/>
      <c r="R97" s="51"/>
      <c r="S97" s="51"/>
    </row>
    <row r="98" spans="3:21" ht="15.6">
      <c r="C98" s="51"/>
      <c r="E98" s="48"/>
      <c r="F98" s="51"/>
      <c r="G98" s="51"/>
      <c r="H98" s="51"/>
      <c r="I98" s="500"/>
      <c r="J98" s="89"/>
      <c r="K98" s="48"/>
      <c r="L98" s="48"/>
      <c r="M98" s="48"/>
      <c r="N98" s="51"/>
      <c r="O98" s="51"/>
      <c r="Q98" s="51"/>
      <c r="R98" s="51"/>
      <c r="S98" s="51"/>
    </row>
    <row r="99" spans="3:21" ht="15.6">
      <c r="C99" s="51"/>
      <c r="E99" s="48"/>
      <c r="F99" s="51"/>
      <c r="G99" s="51"/>
      <c r="H99" s="51"/>
      <c r="I99" s="286"/>
      <c r="J99" s="89"/>
      <c r="K99" s="48"/>
      <c r="L99" s="48"/>
      <c r="M99" s="48"/>
      <c r="N99" s="51"/>
      <c r="O99" s="51"/>
      <c r="Q99" s="51"/>
      <c r="R99" s="51"/>
      <c r="S99" s="51"/>
    </row>
    <row r="100" spans="3:21" ht="15.6">
      <c r="C100" s="51"/>
      <c r="E100" s="48"/>
      <c r="F100" s="51"/>
      <c r="G100" s="51"/>
      <c r="H100" s="51"/>
      <c r="I100" s="500"/>
      <c r="J100" s="89"/>
      <c r="K100" s="48"/>
      <c r="L100" s="48"/>
      <c r="M100" s="48"/>
      <c r="N100" s="51"/>
      <c r="O100" s="51"/>
      <c r="Q100" s="51"/>
      <c r="R100" s="51"/>
      <c r="S100" s="51"/>
    </row>
    <row r="101" spans="3:21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</row>
    <row r="102" spans="3:21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</row>
    <row r="103" spans="3:21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</row>
    <row r="104" spans="3:21" ht="11.1" customHeight="1">
      <c r="C104" s="51"/>
      <c r="E104" s="48"/>
      <c r="F104" s="51"/>
      <c r="G104" s="51"/>
      <c r="H104" s="51"/>
      <c r="I104" s="89"/>
      <c r="J104" s="89"/>
      <c r="K104" s="48"/>
      <c r="L104" s="48"/>
      <c r="M104" s="48"/>
      <c r="N104" s="51"/>
      <c r="O104" s="51"/>
      <c r="Q104" s="51"/>
      <c r="R104" s="51"/>
      <c r="S104" s="51"/>
      <c r="U104" s="869" t="s">
        <v>739</v>
      </c>
    </row>
    <row r="105" spans="3:21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</row>
    <row r="106" spans="3:21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</row>
    <row r="107" spans="3:21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</row>
    <row r="108" spans="3:21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</row>
    <row r="109" spans="3:21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</row>
    <row r="110" spans="3:21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</row>
    <row r="111" spans="3:21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</row>
    <row r="112" spans="3:21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</row>
    <row r="113" spans="3:19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</row>
    <row r="114" spans="3:19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</row>
    <row r="115" spans="3:19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</row>
    <row r="116" spans="3:19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</row>
    <row r="117" spans="3:19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</row>
    <row r="118" spans="3:19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</row>
    <row r="119" spans="3:19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</row>
    <row r="120" spans="3:19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</row>
    <row r="121" spans="3:19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</row>
    <row r="122" spans="3:19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</row>
    <row r="123" spans="3:19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</row>
    <row r="124" spans="3:19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</row>
    <row r="125" spans="3:19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</row>
    <row r="126" spans="3:19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</row>
    <row r="127" spans="3:19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</row>
    <row r="128" spans="3:19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</row>
    <row r="129" spans="3:19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</row>
    <row r="130" spans="3:19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</row>
    <row r="131" spans="3:19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</row>
    <row r="132" spans="3:19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</row>
    <row r="133" spans="3:19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</row>
    <row r="134" spans="3:19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</row>
    <row r="135" spans="3:19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</row>
    <row r="136" spans="3:19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</row>
    <row r="137" spans="3:19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</row>
    <row r="138" spans="3:19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</row>
    <row r="139" spans="3:19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</row>
    <row r="140" spans="3:19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</row>
    <row r="141" spans="3:19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</row>
    <row r="142" spans="3:19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</row>
    <row r="143" spans="3:19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</row>
    <row r="144" spans="3:19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</row>
    <row r="145" spans="3:21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</row>
    <row r="146" spans="3:21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</row>
    <row r="147" spans="3:21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</row>
    <row r="148" spans="3:21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</row>
    <row r="149" spans="3:21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</row>
    <row r="150" spans="3:21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U150" s="869" t="s">
        <v>739</v>
      </c>
    </row>
    <row r="151" spans="3:21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</row>
    <row r="152" spans="3:21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</row>
    <row r="153" spans="3:21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</row>
    <row r="154" spans="3:21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</row>
    <row r="155" spans="3:21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</row>
    <row r="156" spans="3:21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</row>
    <row r="157" spans="3:21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</row>
    <row r="158" spans="3:21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</row>
    <row r="159" spans="3:21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</row>
    <row r="160" spans="3:21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</row>
    <row r="161" spans="3:21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</row>
    <row r="162" spans="3:21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</row>
    <row r="163" spans="3:21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</row>
    <row r="164" spans="3:21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U164" s="869" t="s">
        <v>739</v>
      </c>
    </row>
    <row r="165" spans="3:21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</row>
    <row r="166" spans="3:21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</row>
    <row r="167" spans="3:21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</row>
    <row r="168" spans="3:21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</row>
    <row r="169" spans="3:21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</row>
    <row r="170" spans="3:21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</row>
    <row r="171" spans="3:21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</row>
    <row r="172" spans="3:21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</row>
    <row r="173" spans="3:21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</row>
    <row r="174" spans="3:21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</row>
    <row r="175" spans="3:21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</row>
    <row r="176" spans="3:21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</row>
    <row r="177" spans="3:21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</row>
    <row r="178" spans="3:21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</row>
    <row r="179" spans="3:21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</row>
    <row r="180" spans="3:21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</row>
    <row r="181" spans="3:21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</row>
    <row r="182" spans="3:21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</row>
    <row r="183" spans="3:21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51"/>
      <c r="O183" s="51"/>
      <c r="Q183" s="51"/>
      <c r="R183" s="51"/>
      <c r="S183" s="51"/>
    </row>
    <row r="184" spans="3:21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869"/>
      <c r="O184" s="869"/>
      <c r="P184" s="869"/>
      <c r="Q184" s="869"/>
      <c r="R184" s="869"/>
      <c r="S184" s="869"/>
      <c r="T184" s="869"/>
      <c r="U184" s="869" t="s">
        <v>739</v>
      </c>
    </row>
    <row r="185" spans="3:21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</row>
    <row r="186" spans="3:21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</row>
    <row r="187" spans="3:21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</row>
    <row r="188" spans="3:21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</row>
    <row r="189" spans="3:21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</row>
    <row r="190" spans="3:21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</row>
    <row r="191" spans="3:21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</row>
    <row r="192" spans="3:21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</row>
    <row r="193" spans="3:19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</row>
    <row r="194" spans="3:19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</row>
    <row r="195" spans="3:19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</row>
    <row r="196" spans="3:19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</row>
    <row r="197" spans="3:19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</row>
    <row r="198" spans="3:19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</row>
    <row r="199" spans="3:19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</row>
    <row r="200" spans="3:19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</row>
    <row r="201" spans="3:19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</row>
    <row r="202" spans="3:19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</row>
    <row r="203" spans="3:19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</row>
    <row r="204" spans="3:19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</row>
    <row r="205" spans="3:19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</row>
    <row r="206" spans="3:19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</row>
    <row r="207" spans="3:19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</row>
    <row r="208" spans="3:19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</row>
    <row r="209" spans="3:19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</row>
    <row r="210" spans="3:19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</row>
    <row r="211" spans="3:19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</row>
    <row r="212" spans="3:19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</row>
    <row r="213" spans="3:19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</row>
    <row r="214" spans="3:19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</row>
    <row r="215" spans="3:19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</row>
    <row r="216" spans="3:19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</row>
    <row r="217" spans="3:19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</row>
    <row r="218" spans="3:19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</row>
    <row r="219" spans="3:19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</row>
    <row r="220" spans="3:19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</row>
    <row r="221" spans="3:19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</row>
    <row r="222" spans="3:19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</row>
    <row r="223" spans="3:19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</row>
    <row r="224" spans="3:19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</row>
    <row r="225" spans="3:19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</row>
    <row r="226" spans="3:19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</row>
    <row r="227" spans="3:19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</row>
    <row r="228" spans="3:19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</row>
    <row r="229" spans="3:19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</row>
    <row r="230" spans="3:19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</row>
    <row r="231" spans="3:19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</row>
    <row r="232" spans="3:19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</row>
    <row r="233" spans="3:19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</row>
    <row r="234" spans="3:19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</row>
    <row r="235" spans="3:19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</row>
    <row r="236" spans="3:19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</row>
    <row r="237" spans="3:19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</row>
    <row r="238" spans="3:19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</row>
    <row r="239" spans="3:19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</row>
    <row r="240" spans="3:19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</row>
    <row r="241" spans="3:19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</row>
    <row r="242" spans="3:19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</row>
    <row r="243" spans="3:19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</row>
    <row r="244" spans="3:19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</row>
    <row r="245" spans="3:19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</row>
    <row r="246" spans="3:19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</row>
    <row r="247" spans="3:19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</row>
    <row r="248" spans="3:19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</row>
    <row r="249" spans="3:19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</row>
    <row r="250" spans="3:19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</row>
    <row r="251" spans="3:19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</row>
    <row r="252" spans="3:19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</row>
    <row r="253" spans="3:19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</row>
    <row r="254" spans="3:19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</row>
    <row r="255" spans="3:19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</row>
    <row r="256" spans="3:19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</row>
    <row r="257" spans="3:19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</row>
    <row r="258" spans="3:19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</row>
    <row r="259" spans="3:19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</row>
    <row r="260" spans="3:19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</row>
    <row r="261" spans="3:19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</row>
    <row r="262" spans="3:19" ht="11.1" customHeight="1">
      <c r="C262" s="51"/>
      <c r="E262" s="48"/>
      <c r="G262" s="184"/>
      <c r="H262" s="184"/>
      <c r="I262" s="49"/>
      <c r="J262" s="49"/>
      <c r="K262" s="50"/>
      <c r="L262" s="50"/>
      <c r="M262" s="50"/>
      <c r="N262" s="51"/>
      <c r="O262" s="51"/>
      <c r="Q262" s="51"/>
      <c r="R262" s="51"/>
      <c r="S262" s="51"/>
    </row>
  </sheetData>
  <mergeCells count="8">
    <mergeCell ref="C92:Q92"/>
    <mergeCell ref="E45:I45"/>
    <mergeCell ref="P45:Q45"/>
    <mergeCell ref="B1:S1"/>
    <mergeCell ref="B2:S2"/>
    <mergeCell ref="E3:I3"/>
    <mergeCell ref="P3:Q3"/>
    <mergeCell ref="B44:S44"/>
  </mergeCells>
  <phoneticPr fontId="59" type="noConversion"/>
  <pageMargins left="0.5" right="0.75" top="1" bottom="0.75" header="0.5" footer="0.5"/>
  <pageSetup scale="32" orientation="landscape" r:id="rId1"/>
  <headerFooter scaleWithDoc="0" alignWithMargins="0">
    <oddFooter>&amp;LStaff_DR_130 Revised-Attachment B&amp;RPage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39"/>
  <sheetViews>
    <sheetView view="pageBreakPreview" topLeftCell="A37" zoomScaleNormal="100" zoomScaleSheetLayoutView="100" workbookViewId="0">
      <selection activeCell="I47" sqref="I47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21" width="10.88671875" style="40" customWidth="1"/>
    <col min="22" max="16384" width="12.44140625" style="40"/>
  </cols>
  <sheetData>
    <row r="1" spans="1:22" ht="7.5" customHeight="1">
      <c r="A1" s="897"/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</row>
    <row r="2" spans="1:22" ht="23.25" customHeight="1">
      <c r="A2" s="901" t="s">
        <v>508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</row>
    <row r="3" spans="1:22" ht="10.95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22" ht="12.75" customHeight="1">
      <c r="A4" s="364" t="s">
        <v>94</v>
      </c>
      <c r="E4" s="903" t="s">
        <v>423</v>
      </c>
      <c r="F4" s="903"/>
      <c r="G4" s="903"/>
      <c r="H4" s="903"/>
      <c r="I4" s="904"/>
      <c r="J4" s="903"/>
      <c r="K4" s="903"/>
      <c r="L4" s="903"/>
      <c r="M4" s="903"/>
      <c r="N4" s="903"/>
      <c r="O4" s="903"/>
      <c r="P4" s="903"/>
      <c r="Q4" s="903"/>
      <c r="R4" s="903"/>
    </row>
    <row r="5" spans="1:22" ht="15" customHeight="1">
      <c r="A5" s="364" t="s">
        <v>516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</row>
    <row r="6" spans="1:22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2" ht="13.2">
      <c r="A7" s="364" t="s">
        <v>93</v>
      </c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42"/>
      <c r="T7" s="791" t="s">
        <v>710</v>
      </c>
    </row>
    <row r="8" spans="1:22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55"/>
      <c r="V8" s="193"/>
    </row>
    <row r="9" spans="1:22">
      <c r="A9" s="54" t="s">
        <v>90</v>
      </c>
      <c r="B9" s="40" t="s">
        <v>86</v>
      </c>
      <c r="F9" s="42"/>
      <c r="G9" s="42"/>
      <c r="H9" s="42"/>
      <c r="I9" s="42"/>
      <c r="J9" s="42"/>
      <c r="K9" s="362"/>
      <c r="L9" s="42"/>
      <c r="M9" s="42"/>
      <c r="N9" s="42"/>
      <c r="O9" s="42"/>
      <c r="P9" s="42"/>
      <c r="Q9" s="42"/>
      <c r="S9" s="40"/>
      <c r="T9" s="40"/>
      <c r="U9" s="155"/>
    </row>
    <row r="10" spans="1:22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  <c r="U10" s="155"/>
    </row>
    <row r="11" spans="1:22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  <c r="U11" s="155"/>
    </row>
    <row r="12" spans="1:22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  <c r="U12" s="155"/>
    </row>
    <row r="13" spans="1:22">
      <c r="A13" s="54">
        <v>4</v>
      </c>
      <c r="B13" s="40" t="s">
        <v>82</v>
      </c>
      <c r="F13" s="427">
        <f>SUM(F10:F12)</f>
        <v>380192</v>
      </c>
      <c r="G13" s="427">
        <f t="shared" ref="G13:R13" si="0">SUM(G10:G12)</f>
        <v>350117</v>
      </c>
      <c r="H13" s="427">
        <f t="shared" si="0"/>
        <v>304027</v>
      </c>
      <c r="I13" s="427">
        <f t="shared" si="0"/>
        <v>319360</v>
      </c>
      <c r="J13" s="427">
        <f t="shared" si="0"/>
        <v>326611</v>
      </c>
      <c r="K13" s="427">
        <f t="shared" si="0"/>
        <v>334647</v>
      </c>
      <c r="L13" s="427">
        <f t="shared" si="0"/>
        <v>358042</v>
      </c>
      <c r="M13" s="427">
        <f t="shared" si="0"/>
        <v>362028</v>
      </c>
      <c r="N13" s="427">
        <f t="shared" si="0"/>
        <v>413093</v>
      </c>
      <c r="O13" s="427">
        <f t="shared" si="0"/>
        <v>434980.5491</v>
      </c>
      <c r="P13" s="427">
        <f t="shared" si="0"/>
        <v>550008.97036319994</v>
      </c>
      <c r="Q13" s="427">
        <f t="shared" si="0"/>
        <v>505261</v>
      </c>
      <c r="R13" s="427">
        <f t="shared" si="0"/>
        <v>514631</v>
      </c>
      <c r="S13" s="427">
        <f t="shared" ref="S13:T13" si="1">SUM(S10:S12)</f>
        <v>544239</v>
      </c>
      <c r="T13" s="427">
        <f t="shared" si="1"/>
        <v>550292</v>
      </c>
      <c r="U13" s="155"/>
    </row>
    <row r="14" spans="1:22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  <c r="U14" s="155"/>
    </row>
    <row r="15" spans="1:22">
      <c r="A15" s="54">
        <v>6</v>
      </c>
      <c r="B15" s="40" t="s">
        <v>80</v>
      </c>
      <c r="F15" s="427">
        <f>SUM(F13:F14)</f>
        <v>393254</v>
      </c>
      <c r="G15" s="427">
        <f t="shared" ref="G15:R15" si="2">SUM(G13:G14)</f>
        <v>364422</v>
      </c>
      <c r="H15" s="427">
        <f t="shared" si="2"/>
        <v>338301</v>
      </c>
      <c r="I15" s="427">
        <f t="shared" si="2"/>
        <v>376604</v>
      </c>
      <c r="J15" s="427">
        <f t="shared" si="2"/>
        <v>335198</v>
      </c>
      <c r="K15" s="427">
        <f t="shared" si="2"/>
        <v>344906</v>
      </c>
      <c r="L15" s="427">
        <f t="shared" si="2"/>
        <v>368220</v>
      </c>
      <c r="M15" s="427">
        <f t="shared" si="2"/>
        <v>372198</v>
      </c>
      <c r="N15" s="427">
        <f t="shared" si="2"/>
        <v>424020</v>
      </c>
      <c r="O15" s="427">
        <f t="shared" si="2"/>
        <v>444375.5491</v>
      </c>
      <c r="P15" s="427">
        <f t="shared" si="2"/>
        <v>561794.97036319994</v>
      </c>
      <c r="Q15" s="427">
        <f t="shared" si="2"/>
        <v>518927</v>
      </c>
      <c r="R15" s="427">
        <f t="shared" si="2"/>
        <v>527720</v>
      </c>
      <c r="S15" s="427">
        <f t="shared" ref="S15:T15" si="3">SUM(S13:S14)</f>
        <v>557647</v>
      </c>
      <c r="T15" s="427">
        <f t="shared" si="3"/>
        <v>567455</v>
      </c>
      <c r="U15" s="155"/>
    </row>
    <row r="16" spans="1:22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55"/>
    </row>
    <row r="17" spans="1:21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55"/>
    </row>
    <row r="18" spans="1:21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55"/>
    </row>
    <row r="19" spans="1:21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862">
        <f>'CBR Hist'!T22</f>
        <v>120307</v>
      </c>
      <c r="U19" s="870" t="s">
        <v>736</v>
      </c>
    </row>
    <row r="20" spans="1:21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862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  <c r="U20" s="870" t="s">
        <v>737</v>
      </c>
    </row>
    <row r="21" spans="1:21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  <c r="U21" s="792" t="s">
        <v>740</v>
      </c>
    </row>
    <row r="22" spans="1:21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  <c r="U22" s="155"/>
    </row>
    <row r="23" spans="1:21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  <c r="U23" s="155"/>
    </row>
    <row r="24" spans="1:21">
      <c r="A24" s="54">
        <v>12</v>
      </c>
      <c r="B24" s="40" t="s">
        <v>76</v>
      </c>
      <c r="F24" s="428">
        <f>SUM(F19:F23)</f>
        <v>266142</v>
      </c>
      <c r="G24" s="428">
        <f t="shared" ref="G24:R24" si="4">SUM(G19:G23)</f>
        <v>193607</v>
      </c>
      <c r="H24" s="428">
        <f t="shared" si="4"/>
        <v>173216</v>
      </c>
      <c r="I24" s="428">
        <f t="shared" si="4"/>
        <v>200326</v>
      </c>
      <c r="J24" s="428">
        <f t="shared" si="4"/>
        <v>182749</v>
      </c>
      <c r="K24" s="428">
        <f t="shared" si="4"/>
        <v>184132</v>
      </c>
      <c r="L24" s="428">
        <f t="shared" si="4"/>
        <v>218266</v>
      </c>
      <c r="M24" s="428">
        <f t="shared" si="4"/>
        <v>198644</v>
      </c>
      <c r="N24" s="428">
        <f t="shared" si="4"/>
        <v>219777</v>
      </c>
      <c r="O24" s="428">
        <f t="shared" si="4"/>
        <v>219316</v>
      </c>
      <c r="P24" s="428">
        <f t="shared" si="4"/>
        <v>321388</v>
      </c>
      <c r="Q24" s="428">
        <f t="shared" si="4"/>
        <v>273183</v>
      </c>
      <c r="R24" s="428">
        <f t="shared" si="4"/>
        <v>262470</v>
      </c>
      <c r="S24" s="428">
        <f t="shared" ref="S24:T24" si="5">SUM(S19:S23)</f>
        <v>297764</v>
      </c>
      <c r="T24" s="428">
        <f t="shared" si="5"/>
        <v>281594</v>
      </c>
      <c r="U24" s="155"/>
    </row>
    <row r="25" spans="1:21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84"/>
      <c r="T25" s="584"/>
      <c r="U25" s="155"/>
    </row>
    <row r="26" spans="1:21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155"/>
    </row>
    <row r="27" spans="1:21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  <c r="U27" s="155"/>
    </row>
    <row r="28" spans="1:21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  <c r="U28" s="155"/>
    </row>
    <row r="29" spans="1:21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  <c r="U29" s="155"/>
    </row>
    <row r="30" spans="1:21">
      <c r="A30" s="54">
        <v>16</v>
      </c>
      <c r="B30" s="40" t="s">
        <v>75</v>
      </c>
      <c r="F30" s="428">
        <f>SUM(F27:F29)</f>
        <v>30167</v>
      </c>
      <c r="G30" s="428">
        <f t="shared" ref="G30:R30" si="6">SUM(G27:G29)</f>
        <v>35200</v>
      </c>
      <c r="H30" s="428">
        <f t="shared" si="6"/>
        <v>36054</v>
      </c>
      <c r="I30" s="428">
        <f t="shared" si="6"/>
        <v>37209</v>
      </c>
      <c r="J30" s="428">
        <f t="shared" si="6"/>
        <v>39484</v>
      </c>
      <c r="K30" s="428">
        <f t="shared" si="6"/>
        <v>39650</v>
      </c>
      <c r="L30" s="428">
        <f t="shared" si="6"/>
        <v>42568</v>
      </c>
      <c r="M30" s="428">
        <f t="shared" si="6"/>
        <v>42052</v>
      </c>
      <c r="N30" s="428">
        <f t="shared" si="6"/>
        <v>50356</v>
      </c>
      <c r="O30" s="428">
        <f t="shared" si="6"/>
        <v>52283</v>
      </c>
      <c r="P30" s="428">
        <f t="shared" si="6"/>
        <v>56329</v>
      </c>
      <c r="Q30" s="428">
        <f t="shared" si="6"/>
        <v>60714.453812</v>
      </c>
      <c r="R30" s="428">
        <f t="shared" si="6"/>
        <v>64495.925350000005</v>
      </c>
      <c r="S30" s="428">
        <f t="shared" ref="S30:T30" si="7">SUM(S27:S29)</f>
        <v>66469</v>
      </c>
      <c r="T30" s="428">
        <f t="shared" si="7"/>
        <v>70668</v>
      </c>
      <c r="U30" s="155"/>
    </row>
    <row r="31" spans="1:21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55"/>
    </row>
    <row r="32" spans="1:21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  <c r="U32" s="155"/>
    </row>
    <row r="33" spans="1:21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  <c r="U33" s="155"/>
    </row>
    <row r="34" spans="1:21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  <c r="U34" s="155"/>
    </row>
    <row r="35" spans="1:21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155"/>
    </row>
    <row r="36" spans="1:21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55"/>
    </row>
    <row r="37" spans="1:21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  <c r="U37" s="155"/>
    </row>
    <row r="38" spans="1:21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  <c r="U38" s="155"/>
    </row>
    <row r="39" spans="1:21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  <c r="U39" s="155"/>
    </row>
    <row r="40" spans="1:21">
      <c r="A40" s="54">
        <v>23</v>
      </c>
      <c r="B40" s="40" t="s">
        <v>68</v>
      </c>
      <c r="F40" s="428">
        <f>SUM(F37:F39)</f>
        <v>34353</v>
      </c>
      <c r="G40" s="428">
        <f t="shared" ref="G40:R40" si="8">SUM(G37:G39)</f>
        <v>29518</v>
      </c>
      <c r="H40" s="428">
        <f t="shared" si="8"/>
        <v>36911</v>
      </c>
      <c r="I40" s="428">
        <f t="shared" si="8"/>
        <v>36814</v>
      </c>
      <c r="J40" s="428">
        <f t="shared" si="8"/>
        <v>38002</v>
      </c>
      <c r="K40" s="428">
        <f t="shared" si="8"/>
        <v>39676</v>
      </c>
      <c r="L40" s="428">
        <f t="shared" si="8"/>
        <v>39607</v>
      </c>
      <c r="M40" s="428">
        <f t="shared" si="8"/>
        <v>42574</v>
      </c>
      <c r="N40" s="428">
        <f t="shared" si="8"/>
        <v>43166</v>
      </c>
      <c r="O40" s="428">
        <f t="shared" si="8"/>
        <v>46146</v>
      </c>
      <c r="P40" s="428">
        <f t="shared" si="8"/>
        <v>53941</v>
      </c>
      <c r="Q40" s="428">
        <f t="shared" si="8"/>
        <v>55685.252</v>
      </c>
      <c r="R40" s="428">
        <f t="shared" si="8"/>
        <v>61846.396000000001</v>
      </c>
      <c r="S40" s="428">
        <f t="shared" ref="S40:T40" si="9">SUM(S37:S39)</f>
        <v>58031</v>
      </c>
      <c r="T40" s="428">
        <f t="shared" si="9"/>
        <v>63157</v>
      </c>
      <c r="U40" s="155"/>
    </row>
    <row r="41" spans="1:21">
      <c r="A41" s="54">
        <v>24</v>
      </c>
      <c r="B41" s="40" t="s">
        <v>67</v>
      </c>
      <c r="F41" s="428">
        <f>F24+F30+F32+F33+F34+F40</f>
        <v>343205</v>
      </c>
      <c r="G41" s="428">
        <f t="shared" ref="G41:R41" si="10">G24+G30+G32+G33+G34+G40</f>
        <v>270636</v>
      </c>
      <c r="H41" s="428">
        <f t="shared" si="10"/>
        <v>260183</v>
      </c>
      <c r="I41" s="428">
        <f t="shared" si="10"/>
        <v>288832</v>
      </c>
      <c r="J41" s="428">
        <f t="shared" si="10"/>
        <v>268539</v>
      </c>
      <c r="K41" s="428">
        <f t="shared" si="10"/>
        <v>278171</v>
      </c>
      <c r="L41" s="428">
        <f t="shared" si="10"/>
        <v>309354</v>
      </c>
      <c r="M41" s="428">
        <f t="shared" si="10"/>
        <v>298938</v>
      </c>
      <c r="N41" s="428">
        <f t="shared" si="10"/>
        <v>334636</v>
      </c>
      <c r="O41" s="428">
        <f t="shared" si="10"/>
        <v>347787</v>
      </c>
      <c r="P41" s="428">
        <f t="shared" si="10"/>
        <v>461927</v>
      </c>
      <c r="Q41" s="428">
        <f t="shared" si="10"/>
        <v>421153.40739999997</v>
      </c>
      <c r="R41" s="428">
        <f t="shared" si="10"/>
        <v>417640.11265200004</v>
      </c>
      <c r="S41" s="428">
        <f t="shared" ref="S41:T41" si="11">S24+S30+S32+S33+S34+S40</f>
        <v>435119</v>
      </c>
      <c r="T41" s="428">
        <f t="shared" si="11"/>
        <v>427968</v>
      </c>
      <c r="U41" s="155"/>
    </row>
    <row r="42" spans="1:21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55"/>
    </row>
    <row r="43" spans="1:21">
      <c r="A43" s="54">
        <v>25</v>
      </c>
      <c r="B43" s="40" t="s">
        <v>66</v>
      </c>
      <c r="F43" s="428">
        <f>F15-F41</f>
        <v>50049</v>
      </c>
      <c r="G43" s="428">
        <f t="shared" ref="G43:R43" si="12">G15-G41</f>
        <v>93786</v>
      </c>
      <c r="H43" s="428">
        <f t="shared" si="12"/>
        <v>78118</v>
      </c>
      <c r="I43" s="428">
        <f t="shared" si="12"/>
        <v>87772</v>
      </c>
      <c r="J43" s="428">
        <f t="shared" si="12"/>
        <v>66659</v>
      </c>
      <c r="K43" s="428">
        <f t="shared" si="12"/>
        <v>66735</v>
      </c>
      <c r="L43" s="428">
        <f t="shared" si="12"/>
        <v>58866</v>
      </c>
      <c r="M43" s="428">
        <f t="shared" si="12"/>
        <v>73260</v>
      </c>
      <c r="N43" s="428">
        <f t="shared" si="12"/>
        <v>89384</v>
      </c>
      <c r="O43" s="428">
        <f t="shared" si="12"/>
        <v>96588.549100000004</v>
      </c>
      <c r="P43" s="428">
        <f t="shared" si="12"/>
        <v>99867.970363199944</v>
      </c>
      <c r="Q43" s="428">
        <f t="shared" si="12"/>
        <v>97773.592600000033</v>
      </c>
      <c r="R43" s="428">
        <f t="shared" si="12"/>
        <v>110079.88734799996</v>
      </c>
      <c r="S43" s="428">
        <f t="shared" ref="S43:T43" si="13">S15-S41</f>
        <v>122528</v>
      </c>
      <c r="T43" s="428">
        <f t="shared" si="13"/>
        <v>139487</v>
      </c>
      <c r="U43" s="155"/>
    </row>
    <row r="44" spans="1:21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155"/>
    </row>
    <row r="45" spans="1:21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155"/>
    </row>
    <row r="46" spans="1:21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  <c r="U46" s="155"/>
    </row>
    <row r="47" spans="1:21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  <c r="U47" s="155"/>
    </row>
    <row r="48" spans="1:21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862">
        <f>'CBR Hist'!T51</f>
        <v>46085</v>
      </c>
      <c r="U48" s="870" t="s">
        <v>738</v>
      </c>
    </row>
    <row r="49" spans="1:22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  <c r="U49" s="155"/>
    </row>
    <row r="50" spans="1:22" s="193" customFormat="1">
      <c r="A50" s="54">
        <v>30</v>
      </c>
      <c r="B50" s="193" t="s">
        <v>299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155"/>
      <c r="V50" s="40"/>
    </row>
    <row r="51" spans="1:22" ht="12.6" thickBot="1">
      <c r="A51" s="54">
        <v>31</v>
      </c>
      <c r="B51" s="40" t="s">
        <v>62</v>
      </c>
      <c r="F51" s="429">
        <f>F43-SUM(F46:F50)</f>
        <v>27317</v>
      </c>
      <c r="G51" s="429">
        <f t="shared" ref="G51:R51" si="14">G43-SUM(G46:G50)</f>
        <v>64507.354560008986</v>
      </c>
      <c r="H51" s="429">
        <f t="shared" si="14"/>
        <v>62115.506538557296</v>
      </c>
      <c r="I51" s="429">
        <f t="shared" si="14"/>
        <v>68288.619054480223</v>
      </c>
      <c r="J51" s="429">
        <f t="shared" si="14"/>
        <v>55448.254067891743</v>
      </c>
      <c r="K51" s="429">
        <f t="shared" si="14"/>
        <v>56107.523129622539</v>
      </c>
      <c r="L51" s="429">
        <f t="shared" si="14"/>
        <v>51307.480106379313</v>
      </c>
      <c r="M51" s="429">
        <f t="shared" si="14"/>
        <v>61693.483424999999</v>
      </c>
      <c r="N51" s="429">
        <f t="shared" si="14"/>
        <v>68967.120200000005</v>
      </c>
      <c r="O51" s="429">
        <f t="shared" si="14"/>
        <v>74509.549100000004</v>
      </c>
      <c r="P51" s="429">
        <f t="shared" si="14"/>
        <v>76864.970363199944</v>
      </c>
      <c r="Q51" s="429">
        <f t="shared" si="14"/>
        <v>74694.85639000003</v>
      </c>
      <c r="R51" s="429">
        <f t="shared" si="14"/>
        <v>82954.216226199962</v>
      </c>
      <c r="S51" s="429">
        <f t="shared" ref="S51:T51" si="15">S43-SUM(S46:S50)</f>
        <v>92777</v>
      </c>
      <c r="T51" s="429">
        <f t="shared" si="15"/>
        <v>101349</v>
      </c>
      <c r="U51" s="155"/>
    </row>
    <row r="52" spans="1:22" ht="12.6" thickTop="1">
      <c r="A52" s="54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155"/>
      <c r="T52" s="155"/>
      <c r="U52" s="155"/>
    </row>
    <row r="53" spans="1:22">
      <c r="A53" s="54"/>
      <c r="C53" s="503" t="s">
        <v>469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55"/>
      <c r="V53" s="193"/>
    </row>
    <row r="54" spans="1:22" ht="13.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</row>
    <row r="55" spans="1:22" ht="15.6">
      <c r="A55" s="496" t="str">
        <f>A4</f>
        <v xml:space="preserve">AVISTA UTILITIES  </v>
      </c>
      <c r="E55" s="903" t="str">
        <f>E4</f>
        <v>Commission Basis Results of Operations</v>
      </c>
      <c r="F55" s="903"/>
      <c r="G55" s="903"/>
      <c r="H55" s="903"/>
      <c r="I55" s="903"/>
      <c r="J55" s="903"/>
      <c r="K55" s="903"/>
      <c r="L55" s="903"/>
      <c r="M55" s="903"/>
      <c r="N55" s="903"/>
      <c r="O55" s="903"/>
      <c r="P55" s="903"/>
      <c r="Q55" s="903"/>
      <c r="R55" s="903"/>
      <c r="S55" s="155"/>
      <c r="T55" s="155"/>
      <c r="U55" s="155"/>
      <c r="V55" s="193"/>
    </row>
    <row r="56" spans="1:22">
      <c r="A56" s="496" t="str">
        <f>A5</f>
        <v>Twelve Months Ended December 31, 2013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55"/>
      <c r="V56" s="193"/>
    </row>
    <row r="57" spans="1:22" ht="6" customHeight="1">
      <c r="A57" s="496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55"/>
      <c r="V57" s="193"/>
    </row>
    <row r="58" spans="1:22" ht="13.2">
      <c r="A58" s="496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91" t="s">
        <v>710</v>
      </c>
      <c r="U58" s="155"/>
      <c r="V58" s="193"/>
    </row>
    <row r="59" spans="1:22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55"/>
      <c r="V59" s="193"/>
    </row>
    <row r="60" spans="1:22">
      <c r="A60" s="54" t="s">
        <v>465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  <c r="U60" s="155"/>
    </row>
    <row r="61" spans="1:22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  <c r="U61" s="155"/>
    </row>
    <row r="62" spans="1:22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  <c r="U62" s="155"/>
    </row>
    <row r="63" spans="1:22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  <c r="U63" s="155"/>
    </row>
    <row r="64" spans="1:22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  <c r="U64" s="155"/>
    </row>
    <row r="65" spans="1:22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  <c r="U65" s="155"/>
    </row>
    <row r="66" spans="1:22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2">
      <c r="A67" s="54">
        <v>37</v>
      </c>
      <c r="B67" s="40" t="s">
        <v>54</v>
      </c>
      <c r="F67" s="428">
        <f>SUM(F62:F66)</f>
        <v>1109606</v>
      </c>
      <c r="G67" s="428">
        <f t="shared" ref="G67:R67" si="18">SUM(G62:G66)</f>
        <v>1144909</v>
      </c>
      <c r="H67" s="428">
        <f t="shared" si="18"/>
        <v>1242220</v>
      </c>
      <c r="I67" s="428">
        <f t="shared" si="18"/>
        <v>1278396</v>
      </c>
      <c r="J67" s="428">
        <f t="shared" si="18"/>
        <v>1356075</v>
      </c>
      <c r="K67" s="428">
        <f t="shared" si="18"/>
        <v>1408964</v>
      </c>
      <c r="L67" s="428">
        <f t="shared" si="18"/>
        <v>1500806</v>
      </c>
      <c r="M67" s="428">
        <f t="shared" si="18"/>
        <v>1536175</v>
      </c>
      <c r="N67" s="428">
        <f t="shared" si="18"/>
        <v>1622175</v>
      </c>
      <c r="O67" s="428">
        <f t="shared" si="18"/>
        <v>1736780</v>
      </c>
      <c r="P67" s="428">
        <f t="shared" si="18"/>
        <v>1850288</v>
      </c>
      <c r="Q67" s="428">
        <f t="shared" si="18"/>
        <v>1955287</v>
      </c>
      <c r="R67" s="428">
        <f t="shared" si="18"/>
        <v>2043913</v>
      </c>
      <c r="S67" s="428">
        <f t="shared" ref="S67:T67" si="19">SUM(S62:S66)</f>
        <v>2165496</v>
      </c>
      <c r="T67" s="428">
        <f t="shared" si="19"/>
        <v>2260354</v>
      </c>
    </row>
    <row r="68" spans="1:22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2">
      <c r="A69" s="54">
        <v>38</v>
      </c>
      <c r="C69" s="40" t="s">
        <v>59</v>
      </c>
      <c r="F69" s="196" t="s">
        <v>280</v>
      </c>
      <c r="G69" s="196" t="s">
        <v>280</v>
      </c>
      <c r="H69" s="196" t="s">
        <v>280</v>
      </c>
      <c r="I69" s="196" t="s">
        <v>280</v>
      </c>
      <c r="J69" s="196" t="s">
        <v>280</v>
      </c>
      <c r="K69" s="196" t="s">
        <v>280</v>
      </c>
      <c r="L69" s="196" t="s">
        <v>280</v>
      </c>
      <c r="M69" s="196" t="s">
        <v>280</v>
      </c>
      <c r="N69" s="196" t="s">
        <v>280</v>
      </c>
      <c r="O69" s="196" t="s">
        <v>280</v>
      </c>
      <c r="P69" s="196" t="s">
        <v>280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2" ht="12.75" customHeight="1">
      <c r="A70" s="54">
        <v>39</v>
      </c>
      <c r="C70" s="40" t="s">
        <v>58</v>
      </c>
      <c r="F70" s="196" t="s">
        <v>280</v>
      </c>
      <c r="G70" s="196" t="s">
        <v>280</v>
      </c>
      <c r="H70" s="196" t="s">
        <v>280</v>
      </c>
      <c r="I70" s="196" t="s">
        <v>280</v>
      </c>
      <c r="J70" s="196" t="s">
        <v>280</v>
      </c>
      <c r="K70" s="196" t="s">
        <v>280</v>
      </c>
      <c r="L70" s="196" t="s">
        <v>280</v>
      </c>
      <c r="M70" s="196" t="s">
        <v>280</v>
      </c>
      <c r="N70" s="196" t="s">
        <v>280</v>
      </c>
      <c r="O70" s="196" t="s">
        <v>280</v>
      </c>
      <c r="P70" s="196" t="s">
        <v>280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2" ht="12.75" customHeight="1">
      <c r="A71" s="54">
        <v>40</v>
      </c>
      <c r="C71" s="40" t="s">
        <v>57</v>
      </c>
      <c r="F71" s="196" t="s">
        <v>280</v>
      </c>
      <c r="G71" s="196" t="s">
        <v>280</v>
      </c>
      <c r="H71" s="196" t="s">
        <v>280</v>
      </c>
      <c r="I71" s="196" t="s">
        <v>280</v>
      </c>
      <c r="J71" s="196" t="s">
        <v>280</v>
      </c>
      <c r="K71" s="196" t="s">
        <v>280</v>
      </c>
      <c r="L71" s="196" t="s">
        <v>280</v>
      </c>
      <c r="M71" s="196" t="s">
        <v>280</v>
      </c>
      <c r="N71" s="196" t="s">
        <v>280</v>
      </c>
      <c r="O71" s="196" t="s">
        <v>280</v>
      </c>
      <c r="P71" s="196" t="s">
        <v>280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2" ht="12.75" customHeight="1">
      <c r="A72" s="54">
        <v>41</v>
      </c>
      <c r="C72" s="40" t="s">
        <v>56</v>
      </c>
      <c r="F72" s="196" t="s">
        <v>280</v>
      </c>
      <c r="G72" s="196" t="s">
        <v>280</v>
      </c>
      <c r="H72" s="196" t="s">
        <v>280</v>
      </c>
      <c r="I72" s="196" t="s">
        <v>280</v>
      </c>
      <c r="J72" s="196" t="s">
        <v>280</v>
      </c>
      <c r="K72" s="196" t="s">
        <v>280</v>
      </c>
      <c r="L72" s="196" t="s">
        <v>280</v>
      </c>
      <c r="M72" s="196" t="s">
        <v>280</v>
      </c>
      <c r="N72" s="196" t="s">
        <v>280</v>
      </c>
      <c r="O72" s="196" t="s">
        <v>280</v>
      </c>
      <c r="P72" s="196" t="s">
        <v>280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2" ht="12.75" customHeight="1">
      <c r="A73" s="54">
        <v>42</v>
      </c>
      <c r="C73" s="40" t="s">
        <v>55</v>
      </c>
      <c r="F73" s="196" t="s">
        <v>280</v>
      </c>
      <c r="G73" s="196" t="s">
        <v>280</v>
      </c>
      <c r="H73" s="196" t="s">
        <v>280</v>
      </c>
      <c r="I73" s="196" t="s">
        <v>280</v>
      </c>
      <c r="J73" s="196" t="s">
        <v>280</v>
      </c>
      <c r="K73" s="196" t="s">
        <v>280</v>
      </c>
      <c r="L73" s="196" t="s">
        <v>280</v>
      </c>
      <c r="M73" s="196" t="s">
        <v>280</v>
      </c>
      <c r="N73" s="196" t="s">
        <v>280</v>
      </c>
      <c r="O73" s="196" t="s">
        <v>280</v>
      </c>
      <c r="P73" s="196" t="s">
        <v>280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2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2" ht="12.75" customHeight="1">
      <c r="A75" s="54">
        <v>44</v>
      </c>
      <c r="B75" s="40" t="s">
        <v>144</v>
      </c>
      <c r="F75" s="427">
        <f t="shared" ref="F75:R75" si="20">F67-F74</f>
        <v>754924</v>
      </c>
      <c r="G75" s="427">
        <f t="shared" si="20"/>
        <v>771819</v>
      </c>
      <c r="H75" s="427">
        <f t="shared" si="20"/>
        <v>850869</v>
      </c>
      <c r="I75" s="427">
        <f t="shared" si="20"/>
        <v>856006</v>
      </c>
      <c r="J75" s="427">
        <f t="shared" si="20"/>
        <v>908716</v>
      </c>
      <c r="K75" s="427">
        <f t="shared" si="20"/>
        <v>934058</v>
      </c>
      <c r="L75" s="427">
        <f t="shared" si="20"/>
        <v>994207</v>
      </c>
      <c r="M75" s="427">
        <f t="shared" si="20"/>
        <v>1009868</v>
      </c>
      <c r="N75" s="427">
        <f t="shared" si="20"/>
        <v>1064749</v>
      </c>
      <c r="O75" s="427">
        <f t="shared" si="20"/>
        <v>1150959</v>
      </c>
      <c r="P75" s="427">
        <f t="shared" si="20"/>
        <v>1220889</v>
      </c>
      <c r="Q75" s="427">
        <f>Q67-Q74</f>
        <v>1288304</v>
      </c>
      <c r="R75" s="427">
        <f t="shared" si="20"/>
        <v>1339779</v>
      </c>
      <c r="S75" s="427">
        <f t="shared" ref="S75:T75" si="21">S67-S74</f>
        <v>1416364</v>
      </c>
      <c r="T75" s="427">
        <f t="shared" si="21"/>
        <v>1472270</v>
      </c>
      <c r="V75" s="40" t="s">
        <v>503</v>
      </c>
    </row>
    <row r="76" spans="1:22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2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2">
      <c r="A78" s="54">
        <v>46</v>
      </c>
      <c r="C78" s="364" t="s">
        <v>294</v>
      </c>
      <c r="D78" s="364"/>
      <c r="E78" s="364"/>
      <c r="F78" s="430">
        <f t="shared" ref="F78:P78" si="22">F75+F77</f>
        <v>649149</v>
      </c>
      <c r="G78" s="430">
        <f t="shared" si="22"/>
        <v>662278</v>
      </c>
      <c r="H78" s="430">
        <f t="shared" si="22"/>
        <v>739502</v>
      </c>
      <c r="I78" s="430">
        <f t="shared" si="22"/>
        <v>720602</v>
      </c>
      <c r="J78" s="430">
        <f t="shared" si="22"/>
        <v>757756</v>
      </c>
      <c r="K78" s="430">
        <f t="shared" si="22"/>
        <v>799091</v>
      </c>
      <c r="L78" s="430">
        <f t="shared" si="22"/>
        <v>855712</v>
      </c>
      <c r="M78" s="430">
        <f t="shared" si="22"/>
        <v>870835</v>
      </c>
      <c r="N78" s="430">
        <f t="shared" si="22"/>
        <v>917247</v>
      </c>
      <c r="O78" s="430">
        <f t="shared" si="22"/>
        <v>987243</v>
      </c>
      <c r="P78" s="430">
        <f t="shared" si="22"/>
        <v>1036064</v>
      </c>
      <c r="Q78" s="430">
        <f>Q75+Q77</f>
        <v>1087141</v>
      </c>
      <c r="R78" s="430">
        <f>R75+R77</f>
        <v>1131570</v>
      </c>
      <c r="S78" s="430">
        <f>S75+S77</f>
        <v>1195010</v>
      </c>
      <c r="T78" s="430">
        <f>T75+T77</f>
        <v>1214504</v>
      </c>
    </row>
    <row r="79" spans="1:22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2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1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1" ht="12.6" thickBot="1">
      <c r="A82" s="54">
        <v>49</v>
      </c>
      <c r="B82" s="40" t="s">
        <v>51</v>
      </c>
      <c r="F82" s="429">
        <f>'CBR Hist'!F78</f>
        <v>568492</v>
      </c>
      <c r="G82" s="429">
        <f>'CBR Hist'!G78</f>
        <v>597515</v>
      </c>
      <c r="H82" s="429">
        <f>'CBR Hist'!H78</f>
        <v>761858</v>
      </c>
      <c r="I82" s="429">
        <f>'CBR Hist'!I78</f>
        <v>742443</v>
      </c>
      <c r="J82" s="429">
        <f>'CBR Hist'!J78</f>
        <v>778011</v>
      </c>
      <c r="K82" s="429">
        <f>'CBR Hist'!K78</f>
        <v>819842</v>
      </c>
      <c r="L82" s="429">
        <f>'CBR Hist'!L78</f>
        <v>874511</v>
      </c>
      <c r="M82" s="429">
        <f>'CBR Hist'!M78</f>
        <v>891855</v>
      </c>
      <c r="N82" s="429">
        <f>'CBR Hist'!N78</f>
        <v>936840</v>
      </c>
      <c r="O82" s="429">
        <f>'CBR Hist'!O78</f>
        <v>1005019</v>
      </c>
      <c r="P82" s="429">
        <f>'CBR Hist'!P78</f>
        <v>1072028</v>
      </c>
      <c r="Q82" s="429">
        <f>'CBR Hist'!Q78</f>
        <v>1137863</v>
      </c>
      <c r="R82" s="429">
        <f>'CBR Hist'!R78</f>
        <v>1158975</v>
      </c>
      <c r="S82" s="429">
        <f>'CBR Hist'!S78</f>
        <v>1226052</v>
      </c>
      <c r="T82" s="429">
        <f>'CBR Hist'!T78</f>
        <v>1273157</v>
      </c>
    </row>
    <row r="83" spans="1:21" ht="12.6" thickTop="1">
      <c r="A83" s="54"/>
      <c r="F83" s="499">
        <f>F78+F79+F80-F82</f>
        <v>0</v>
      </c>
      <c r="G83" s="499">
        <f t="shared" ref="G83:P83" si="23">G78+G79+G80-G82</f>
        <v>0</v>
      </c>
      <c r="H83" s="499">
        <f t="shared" si="23"/>
        <v>0</v>
      </c>
      <c r="I83" s="499">
        <f t="shared" si="23"/>
        <v>0</v>
      </c>
      <c r="J83" s="499">
        <f t="shared" si="23"/>
        <v>0</v>
      </c>
      <c r="K83" s="499">
        <f t="shared" si="23"/>
        <v>0</v>
      </c>
      <c r="L83" s="499">
        <f t="shared" si="23"/>
        <v>0</v>
      </c>
      <c r="M83" s="499">
        <f t="shared" si="23"/>
        <v>0</v>
      </c>
      <c r="N83" s="499">
        <f t="shared" si="23"/>
        <v>0</v>
      </c>
      <c r="O83" s="499">
        <f t="shared" si="23"/>
        <v>0</v>
      </c>
      <c r="P83" s="499">
        <f t="shared" si="23"/>
        <v>0</v>
      </c>
      <c r="Q83" s="499">
        <f>Q78+Q79+Q80-Q82</f>
        <v>0</v>
      </c>
      <c r="R83" s="499">
        <f t="shared" ref="R83:S83" si="24">R78+R79+R80-R82</f>
        <v>0</v>
      </c>
      <c r="S83" s="499">
        <f t="shared" si="24"/>
        <v>0</v>
      </c>
      <c r="T83" s="499">
        <f t="shared" ref="T83" si="25">T78+T79+T80-T82</f>
        <v>0</v>
      </c>
    </row>
    <row r="84" spans="1:21">
      <c r="A84" s="54"/>
      <c r="C84" s="503" t="s">
        <v>468</v>
      </c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155"/>
      <c r="T84" s="155"/>
    </row>
    <row r="85" spans="1:21">
      <c r="A85" s="513" t="s">
        <v>94</v>
      </c>
      <c r="B85" s="503"/>
      <c r="C85" s="503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155"/>
      <c r="T85" s="155"/>
    </row>
    <row r="86" spans="1:21">
      <c r="A86" s="513" t="s">
        <v>134</v>
      </c>
      <c r="B86" s="503"/>
      <c r="C86" s="503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155"/>
      <c r="T86" s="155"/>
    </row>
    <row r="87" spans="1:21" ht="4.5" customHeight="1">
      <c r="A87" s="54"/>
      <c r="C87" s="503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155"/>
      <c r="T87" s="155"/>
    </row>
    <row r="88" spans="1:21" ht="15.6">
      <c r="A88" s="514" t="str">
        <f>A58</f>
        <v xml:space="preserve">(000'S OF DOLLARS)  </v>
      </c>
      <c r="E88" s="906" t="s">
        <v>494</v>
      </c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155"/>
      <c r="T88" s="791" t="s">
        <v>710</v>
      </c>
    </row>
    <row r="89" spans="1:21" ht="3" customHeight="1">
      <c r="A89" s="54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155"/>
      <c r="T89" s="155"/>
    </row>
    <row r="90" spans="1:21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1" ht="25.95" customHeight="1">
      <c r="A91" s="542" t="s">
        <v>496</v>
      </c>
      <c r="D91" s="40" t="s">
        <v>466</v>
      </c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548"/>
      <c r="T91" s="735"/>
    </row>
    <row r="92" spans="1:21" ht="12" customHeight="1">
      <c r="A92" s="54">
        <v>1</v>
      </c>
      <c r="B92" s="40" t="s">
        <v>428</v>
      </c>
      <c r="E92" s="355" t="s">
        <v>444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862">
        <f>T19</f>
        <v>120307</v>
      </c>
      <c r="U92" s="860" t="s">
        <v>736</v>
      </c>
    </row>
    <row r="93" spans="1:21" ht="12" customHeight="1">
      <c r="A93" s="54">
        <v>2</v>
      </c>
      <c r="B93" s="40" t="s">
        <v>429</v>
      </c>
      <c r="E93" s="355" t="s">
        <v>445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862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  <c r="U93" s="860" t="s">
        <v>737</v>
      </c>
    </row>
    <row r="94" spans="1:21" ht="12" customHeight="1">
      <c r="A94" s="54">
        <v>3</v>
      </c>
      <c r="B94" s="40" t="s">
        <v>430</v>
      </c>
      <c r="E94" s="355" t="s">
        <v>446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  <c r="U94" s="871" t="s">
        <v>739</v>
      </c>
    </row>
    <row r="95" spans="1:21" ht="12" customHeight="1">
      <c r="A95" s="54">
        <v>4</v>
      </c>
      <c r="B95" s="40" t="s">
        <v>431</v>
      </c>
      <c r="E95" s="355" t="s">
        <v>447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1" ht="12" customHeight="1">
      <c r="A96" s="54">
        <v>5</v>
      </c>
      <c r="B96" s="40" t="s">
        <v>432</v>
      </c>
      <c r="E96" s="355" t="s">
        <v>448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1" ht="12" customHeight="1">
      <c r="A97" s="54">
        <v>6</v>
      </c>
      <c r="B97" s="40" t="s">
        <v>433</v>
      </c>
      <c r="E97" s="355" t="s">
        <v>449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1" ht="12" customHeight="1">
      <c r="A98" s="54">
        <v>7</v>
      </c>
      <c r="B98" s="40" t="s">
        <v>434</v>
      </c>
      <c r="E98" s="355" t="s">
        <v>450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1" ht="12" customHeight="1">
      <c r="A99" s="54">
        <v>8</v>
      </c>
      <c r="B99" s="84" t="s">
        <v>435</v>
      </c>
      <c r="C99" s="54"/>
      <c r="D99" s="54"/>
      <c r="E99" s="54"/>
      <c r="F99" s="427">
        <f>SUM(F92:F98)</f>
        <v>312221</v>
      </c>
      <c r="G99" s="427">
        <f t="shared" ref="G99:R99" si="41">SUM(G92:G98)</f>
        <v>227289</v>
      </c>
      <c r="H99" s="427">
        <f t="shared" si="41"/>
        <v>206181</v>
      </c>
      <c r="I99" s="427">
        <f t="shared" si="41"/>
        <v>233496</v>
      </c>
      <c r="J99" s="427">
        <f t="shared" si="41"/>
        <v>204834</v>
      </c>
      <c r="K99" s="427">
        <f t="shared" si="41"/>
        <v>222539</v>
      </c>
      <c r="L99" s="427">
        <f t="shared" si="41"/>
        <v>240952</v>
      </c>
      <c r="M99" s="427">
        <f t="shared" si="41"/>
        <v>234605</v>
      </c>
      <c r="N99" s="427">
        <f t="shared" si="41"/>
        <v>264279</v>
      </c>
      <c r="O99" s="427">
        <f t="shared" si="41"/>
        <v>273806</v>
      </c>
      <c r="P99" s="427">
        <f t="shared" si="41"/>
        <v>382589</v>
      </c>
      <c r="Q99" s="427">
        <f t="shared" si="41"/>
        <v>332206.95358799997</v>
      </c>
      <c r="R99" s="427">
        <f t="shared" si="41"/>
        <v>332391.18730200001</v>
      </c>
      <c r="S99" s="427">
        <f t="shared" ref="S99:T99" si="42">SUM(S92:S98)</f>
        <v>329981</v>
      </c>
      <c r="T99" s="427">
        <f t="shared" si="42"/>
        <v>317008</v>
      </c>
    </row>
    <row r="100" spans="1:21">
      <c r="A100" s="54">
        <v>9</v>
      </c>
      <c r="B100" s="54"/>
      <c r="C100" s="84" t="s">
        <v>427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1">
      <c r="A101" s="54">
        <v>10</v>
      </c>
      <c r="B101" s="54"/>
      <c r="C101" s="84" t="s">
        <v>424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1">
      <c r="A102" s="54">
        <v>11</v>
      </c>
      <c r="B102" s="54"/>
      <c r="C102" s="84" t="s">
        <v>425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1" ht="12.6" thickBot="1">
      <c r="A103" s="54">
        <v>12</v>
      </c>
      <c r="B103" s="496" t="s">
        <v>426</v>
      </c>
      <c r="C103" s="54"/>
      <c r="D103" s="54"/>
      <c r="E103" s="54"/>
      <c r="F103" s="494">
        <f>SUM(F99:F102)</f>
        <v>74094.475433392028</v>
      </c>
      <c r="G103" s="494">
        <f t="shared" ref="G103:R103" si="43">SUM(G99:G102)</f>
        <v>66001.809338448002</v>
      </c>
      <c r="H103" s="494">
        <f t="shared" si="43"/>
        <v>75749.159124638405</v>
      </c>
      <c r="I103" s="494">
        <f t="shared" si="43"/>
        <v>73085.610674757903</v>
      </c>
      <c r="J103" s="494">
        <f t="shared" si="43"/>
        <v>82035</v>
      </c>
      <c r="K103" s="494">
        <f t="shared" si="43"/>
        <v>82829.326253093925</v>
      </c>
      <c r="L103" s="494">
        <f t="shared" si="43"/>
        <v>88828</v>
      </c>
      <c r="M103" s="494">
        <f t="shared" si="43"/>
        <v>92211.7999895299</v>
      </c>
      <c r="N103" s="494">
        <f t="shared" si="43"/>
        <v>99146.488212752593</v>
      </c>
      <c r="O103" s="867">
        <f t="shared" si="43"/>
        <v>108289.20367903885</v>
      </c>
      <c r="P103" s="494">
        <f t="shared" si="43"/>
        <v>113649.52340035603</v>
      </c>
      <c r="Q103" s="494">
        <f t="shared" si="43"/>
        <v>123418.7529832047</v>
      </c>
      <c r="R103" s="494">
        <f t="shared" si="43"/>
        <v>134594.49114962851</v>
      </c>
      <c r="S103" s="494">
        <f t="shared" ref="S103:T103" si="44">SUM(S99:S102)</f>
        <v>128510</v>
      </c>
      <c r="T103" s="494">
        <f t="shared" si="44"/>
        <v>130891</v>
      </c>
      <c r="U103" s="860" t="s">
        <v>737</v>
      </c>
    </row>
    <row r="104" spans="1:21" ht="12.6" thickTop="1">
      <c r="A104" s="54"/>
      <c r="B104" s="54"/>
      <c r="C104" s="54"/>
      <c r="D104" s="54"/>
      <c r="E104" s="54"/>
      <c r="F104" s="194"/>
      <c r="G104" s="495">
        <f>(G103-F103)/F103</f>
        <v>-0.10922091083860914</v>
      </c>
      <c r="H104" s="495">
        <f t="shared" ref="H104:T104" si="45">(H103-G103)/G103</f>
        <v>0.14768306935658937</v>
      </c>
      <c r="I104" s="495">
        <f t="shared" si="45"/>
        <v>-3.516274610385936E-2</v>
      </c>
      <c r="J104" s="495">
        <f t="shared" si="45"/>
        <v>0.12245077030372288</v>
      </c>
      <c r="K104" s="495">
        <f t="shared" si="45"/>
        <v>9.6827726347769195E-3</v>
      </c>
      <c r="L104" s="495">
        <f t="shared" si="45"/>
        <v>7.242209997672179E-2</v>
      </c>
      <c r="M104" s="495">
        <f t="shared" si="45"/>
        <v>3.809384416546472E-2</v>
      </c>
      <c r="N104" s="495">
        <f t="shared" si="45"/>
        <v>7.5203913425506114E-2</v>
      </c>
      <c r="O104" s="868">
        <f t="shared" si="45"/>
        <v>9.2214213847569129E-2</v>
      </c>
      <c r="P104" s="868">
        <f t="shared" si="45"/>
        <v>4.9500038223614332E-2</v>
      </c>
      <c r="Q104" s="495">
        <f t="shared" si="45"/>
        <v>8.595926573694776E-2</v>
      </c>
      <c r="R104" s="495">
        <f t="shared" si="45"/>
        <v>9.0551378103331207E-2</v>
      </c>
      <c r="S104" s="495">
        <f t="shared" si="45"/>
        <v>-4.5206093486132248E-2</v>
      </c>
      <c r="T104" s="868">
        <f t="shared" si="45"/>
        <v>1.8527741031826316E-2</v>
      </c>
      <c r="U104" s="871" t="s">
        <v>739</v>
      </c>
    </row>
    <row r="105" spans="1:21" ht="5.25" customHeight="1">
      <c r="A105" s="54"/>
      <c r="B105" s="54"/>
      <c r="C105" s="54"/>
      <c r="D105" s="54"/>
      <c r="E105" s="5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</row>
    <row r="106" spans="1:21">
      <c r="A106" s="54"/>
      <c r="B106" s="54"/>
      <c r="C106" s="54"/>
      <c r="D106" s="84" t="s">
        <v>139</v>
      </c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1">
      <c r="A107" s="54">
        <v>13</v>
      </c>
      <c r="B107" s="84" t="s">
        <v>428</v>
      </c>
      <c r="C107" s="54"/>
      <c r="D107" s="54"/>
      <c r="E107" s="355" t="s">
        <v>451</v>
      </c>
      <c r="F107" s="194">
        <f>F21</f>
        <v>14850</v>
      </c>
      <c r="G107" s="194">
        <f t="shared" ref="G107:R107" si="46">G21</f>
        <v>15202</v>
      </c>
      <c r="H107" s="194">
        <f t="shared" si="46"/>
        <v>20157</v>
      </c>
      <c r="I107" s="194">
        <f t="shared" si="46"/>
        <v>20523</v>
      </c>
      <c r="J107" s="194">
        <f t="shared" si="46"/>
        <v>22312</v>
      </c>
      <c r="K107" s="194">
        <f t="shared" si="46"/>
        <v>22629</v>
      </c>
      <c r="L107" s="194">
        <f t="shared" si="46"/>
        <v>24577</v>
      </c>
      <c r="M107" s="194">
        <f t="shared" si="46"/>
        <v>24877</v>
      </c>
      <c r="N107" s="194">
        <f t="shared" si="46"/>
        <v>23076</v>
      </c>
      <c r="O107" s="194">
        <f t="shared" si="46"/>
        <v>23969</v>
      </c>
      <c r="P107" s="194">
        <f t="shared" si="46"/>
        <v>25008</v>
      </c>
      <c r="Q107" s="194">
        <f t="shared" si="46"/>
        <v>25158</v>
      </c>
      <c r="R107" s="194">
        <f t="shared" si="46"/>
        <v>25680</v>
      </c>
      <c r="S107" s="194">
        <f t="shared" ref="S107:T107" si="47">S21</f>
        <v>23284</v>
      </c>
      <c r="T107" s="194">
        <f t="shared" si="47"/>
        <v>23715</v>
      </c>
    </row>
    <row r="108" spans="1:21">
      <c r="A108" s="54">
        <v>14</v>
      </c>
      <c r="B108" s="84" t="s">
        <v>430</v>
      </c>
      <c r="C108" s="54"/>
      <c r="D108" s="54"/>
      <c r="E108" s="355" t="s">
        <v>452</v>
      </c>
      <c r="F108" s="194">
        <f>F28</f>
        <v>9056</v>
      </c>
      <c r="G108" s="194">
        <f t="shared" ref="G108:R108" si="48">G28</f>
        <v>9178</v>
      </c>
      <c r="H108" s="194">
        <f t="shared" si="48"/>
        <v>9427</v>
      </c>
      <c r="I108" s="194">
        <f t="shared" si="48"/>
        <v>9752</v>
      </c>
      <c r="J108" s="194">
        <f t="shared" si="48"/>
        <v>10067</v>
      </c>
      <c r="K108" s="194">
        <f t="shared" si="48"/>
        <v>10399</v>
      </c>
      <c r="L108" s="194">
        <f t="shared" si="48"/>
        <v>10776</v>
      </c>
      <c r="M108" s="194">
        <f t="shared" si="48"/>
        <v>11333</v>
      </c>
      <c r="N108" s="194">
        <f t="shared" si="48"/>
        <v>15611</v>
      </c>
      <c r="O108" s="194">
        <f t="shared" si="48"/>
        <v>16809</v>
      </c>
      <c r="P108" s="194">
        <f t="shared" si="48"/>
        <v>17985</v>
      </c>
      <c r="Q108" s="194">
        <f t="shared" si="48"/>
        <v>19240</v>
      </c>
      <c r="R108" s="194">
        <f t="shared" si="48"/>
        <v>20749</v>
      </c>
      <c r="S108" s="194">
        <f t="shared" ref="S108:T108" si="49">S28</f>
        <v>22303</v>
      </c>
      <c r="T108" s="194">
        <f t="shared" si="49"/>
        <v>23794</v>
      </c>
    </row>
    <row r="109" spans="1:21">
      <c r="A109" s="54">
        <v>15</v>
      </c>
      <c r="B109" s="40" t="s">
        <v>434</v>
      </c>
      <c r="C109" s="54"/>
      <c r="D109" s="54"/>
      <c r="E109" s="355" t="s">
        <v>453</v>
      </c>
      <c r="F109" s="194">
        <f>F38</f>
        <v>3998</v>
      </c>
      <c r="G109" s="194">
        <f t="shared" ref="G109:R109" si="50">G38</f>
        <v>4414</v>
      </c>
      <c r="H109" s="194">
        <f t="shared" si="50"/>
        <v>6606</v>
      </c>
      <c r="I109" s="194">
        <f t="shared" si="50"/>
        <v>6659</v>
      </c>
      <c r="J109" s="194">
        <f t="shared" si="50"/>
        <v>6072</v>
      </c>
      <c r="K109" s="194">
        <f t="shared" si="50"/>
        <v>6537</v>
      </c>
      <c r="L109" s="194">
        <f t="shared" si="50"/>
        <v>6459</v>
      </c>
      <c r="M109" s="194">
        <f t="shared" si="50"/>
        <v>6739</v>
      </c>
      <c r="N109" s="194">
        <f t="shared" si="50"/>
        <v>7187</v>
      </c>
      <c r="O109" s="194">
        <f t="shared" si="50"/>
        <v>7688</v>
      </c>
      <c r="P109" s="194">
        <f t="shared" si="50"/>
        <v>9277</v>
      </c>
      <c r="Q109" s="194">
        <f t="shared" si="50"/>
        <v>10906</v>
      </c>
      <c r="R109" s="194">
        <f t="shared" si="50"/>
        <v>12517</v>
      </c>
      <c r="S109" s="194">
        <f t="shared" ref="S109:T109" si="51">S38</f>
        <v>14721</v>
      </c>
      <c r="T109" s="194">
        <f t="shared" si="51"/>
        <v>16947</v>
      </c>
    </row>
    <row r="110" spans="1:21" ht="12.6" thickBot="1">
      <c r="A110" s="54">
        <v>16</v>
      </c>
      <c r="B110" s="496" t="s">
        <v>436</v>
      </c>
      <c r="C110" s="54"/>
      <c r="D110" s="54"/>
      <c r="E110" s="54"/>
      <c r="F110" s="494">
        <f>SUM(F107:F109)</f>
        <v>27904</v>
      </c>
      <c r="G110" s="494">
        <f t="shared" ref="G110:R110" si="52">SUM(G107:G109)</f>
        <v>28794</v>
      </c>
      <c r="H110" s="494">
        <f t="shared" si="52"/>
        <v>36190</v>
      </c>
      <c r="I110" s="494">
        <f t="shared" si="52"/>
        <v>36934</v>
      </c>
      <c r="J110" s="494">
        <f t="shared" si="52"/>
        <v>38451</v>
      </c>
      <c r="K110" s="494">
        <f t="shared" si="52"/>
        <v>39565</v>
      </c>
      <c r="L110" s="494">
        <f t="shared" si="52"/>
        <v>41812</v>
      </c>
      <c r="M110" s="494">
        <f t="shared" si="52"/>
        <v>42949</v>
      </c>
      <c r="N110" s="494">
        <f t="shared" si="52"/>
        <v>45874</v>
      </c>
      <c r="O110" s="494">
        <f t="shared" si="52"/>
        <v>48466</v>
      </c>
      <c r="P110" s="494">
        <f t="shared" si="52"/>
        <v>52270</v>
      </c>
      <c r="Q110" s="494">
        <f t="shared" si="52"/>
        <v>55304</v>
      </c>
      <c r="R110" s="494">
        <f t="shared" si="52"/>
        <v>58946</v>
      </c>
      <c r="S110" s="494">
        <f t="shared" ref="S110:T110" si="53">SUM(S107:S109)</f>
        <v>60308</v>
      </c>
      <c r="T110" s="494">
        <f t="shared" si="53"/>
        <v>64456</v>
      </c>
    </row>
    <row r="111" spans="1:21" ht="12.6" thickTop="1">
      <c r="A111" s="54"/>
      <c r="B111" s="54"/>
      <c r="C111" s="54"/>
      <c r="D111" s="54"/>
      <c r="E111" s="54"/>
      <c r="F111" s="194"/>
      <c r="G111" s="495">
        <f>(G110-F110)/F110</f>
        <v>3.1895068807339451E-2</v>
      </c>
      <c r="H111" s="495">
        <f t="shared" ref="H111:T111" si="54">(H110-G110)/G110</f>
        <v>0.25685906786135998</v>
      </c>
      <c r="I111" s="495">
        <f t="shared" si="54"/>
        <v>2.0558165239016303E-2</v>
      </c>
      <c r="J111" s="495">
        <f t="shared" si="54"/>
        <v>4.1073265825526617E-2</v>
      </c>
      <c r="K111" s="495">
        <f t="shared" si="54"/>
        <v>2.8971938311097241E-2</v>
      </c>
      <c r="L111" s="495">
        <f t="shared" si="54"/>
        <v>5.6792619739668898E-2</v>
      </c>
      <c r="M111" s="495">
        <f t="shared" si="54"/>
        <v>2.7193150291782264E-2</v>
      </c>
      <c r="N111" s="495">
        <f t="shared" si="54"/>
        <v>6.8104030361591655E-2</v>
      </c>
      <c r="O111" s="495">
        <f t="shared" si="54"/>
        <v>5.6502594061995905E-2</v>
      </c>
      <c r="P111" s="495">
        <f t="shared" si="54"/>
        <v>7.8488012214748479E-2</v>
      </c>
      <c r="Q111" s="495">
        <f t="shared" si="54"/>
        <v>5.8044767553089724E-2</v>
      </c>
      <c r="R111" s="495">
        <f t="shared" si="54"/>
        <v>6.5854187762187183E-2</v>
      </c>
      <c r="S111" s="495">
        <f t="shared" si="54"/>
        <v>2.3105893529671226E-2</v>
      </c>
      <c r="T111" s="495">
        <f t="shared" si="54"/>
        <v>6.8780261325197323E-2</v>
      </c>
    </row>
    <row r="112" spans="1:21">
      <c r="A112" s="54"/>
      <c r="B112" s="54"/>
      <c r="C112" s="54"/>
      <c r="D112" s="54"/>
      <c r="E112" s="5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</row>
    <row r="113" spans="1:20">
      <c r="A113" s="54"/>
      <c r="B113" s="54"/>
      <c r="C113" s="54"/>
      <c r="D113" s="84" t="s">
        <v>467</v>
      </c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>
        <v>17</v>
      </c>
      <c r="B114" s="84" t="s">
        <v>330</v>
      </c>
      <c r="C114" s="54"/>
      <c r="D114" s="54"/>
      <c r="E114" s="355" t="s">
        <v>454</v>
      </c>
      <c r="F114" s="194">
        <f>F22</f>
        <v>-17964</v>
      </c>
      <c r="G114" s="194">
        <f t="shared" ref="G114:R114" si="55">G22</f>
        <v>-6050</v>
      </c>
      <c r="H114" s="194">
        <f t="shared" si="55"/>
        <v>-6349</v>
      </c>
      <c r="I114" s="194">
        <f t="shared" si="55"/>
        <v>-5608</v>
      </c>
      <c r="J114" s="194">
        <f t="shared" si="55"/>
        <v>567</v>
      </c>
      <c r="K114" s="194">
        <f t="shared" si="55"/>
        <v>-8817</v>
      </c>
      <c r="L114" s="194">
        <f t="shared" si="55"/>
        <v>1168</v>
      </c>
      <c r="M114" s="194">
        <f t="shared" si="55"/>
        <v>-3082</v>
      </c>
      <c r="N114" s="194">
        <f t="shared" si="55"/>
        <v>-1076</v>
      </c>
      <c r="O114" s="194">
        <f t="shared" si="55"/>
        <v>-1703</v>
      </c>
      <c r="P114" s="194">
        <f t="shared" si="55"/>
        <v>-2879</v>
      </c>
      <c r="Q114" s="194">
        <f t="shared" si="55"/>
        <v>403</v>
      </c>
      <c r="R114" s="194">
        <f t="shared" si="55"/>
        <v>-7744</v>
      </c>
      <c r="S114" s="194">
        <f t="shared" ref="S114:T114" si="56">S22</f>
        <v>8629</v>
      </c>
      <c r="T114" s="194">
        <f t="shared" si="56"/>
        <v>8101</v>
      </c>
    </row>
    <row r="115" spans="1:20">
      <c r="A115" s="54">
        <v>18</v>
      </c>
      <c r="B115" s="54"/>
      <c r="C115" s="84" t="s">
        <v>470</v>
      </c>
      <c r="D115" s="54"/>
      <c r="E115" s="54"/>
      <c r="F115" s="194">
        <f>ResX!I24</f>
        <v>16644</v>
      </c>
      <c r="G115" s="194">
        <f>ResX!J24</f>
        <v>1416</v>
      </c>
      <c r="H115" s="194">
        <f>ResX!K24</f>
        <v>7512</v>
      </c>
      <c r="I115" s="194">
        <f>ResX!L24</f>
        <v>6339</v>
      </c>
      <c r="J115" s="194">
        <v>0</v>
      </c>
      <c r="K115" s="194">
        <f>ResX!N24</f>
        <v>9388</v>
      </c>
      <c r="L115" s="194">
        <v>0</v>
      </c>
      <c r="M115" s="194">
        <f>ResX!P24</f>
        <v>5582</v>
      </c>
      <c r="N115" s="194">
        <f>ResX!Q24</f>
        <v>3576</v>
      </c>
      <c r="O115" s="194">
        <f>ResX!R24</f>
        <v>4005</v>
      </c>
      <c r="P115" s="194">
        <f>ResX!S24</f>
        <v>6244</v>
      </c>
      <c r="Q115" s="194">
        <f>ResX!T24</f>
        <v>4610</v>
      </c>
      <c r="R115" s="194">
        <f>ResX!U24</f>
        <v>8327</v>
      </c>
      <c r="S115" s="194">
        <f>ResX!V24</f>
        <v>0</v>
      </c>
      <c r="T115" s="194">
        <f>ResX!W24</f>
        <v>0</v>
      </c>
    </row>
    <row r="116" spans="1:20" ht="12.6" thickBot="1">
      <c r="A116" s="54">
        <v>19</v>
      </c>
      <c r="B116" s="496" t="s">
        <v>331</v>
      </c>
      <c r="C116" s="54"/>
      <c r="D116" s="54"/>
      <c r="E116" s="54"/>
      <c r="F116" s="494">
        <f>SUM(F114:F115)</f>
        <v>-1320</v>
      </c>
      <c r="G116" s="494">
        <f t="shared" ref="G116:R116" si="57">SUM(G114:G115)</f>
        <v>-4634</v>
      </c>
      <c r="H116" s="494">
        <f t="shared" si="57"/>
        <v>1163</v>
      </c>
      <c r="I116" s="494">
        <f t="shared" si="57"/>
        <v>731</v>
      </c>
      <c r="J116" s="494">
        <f t="shared" si="57"/>
        <v>567</v>
      </c>
      <c r="K116" s="494">
        <f t="shared" si="57"/>
        <v>571</v>
      </c>
      <c r="L116" s="494">
        <f t="shared" si="57"/>
        <v>1168</v>
      </c>
      <c r="M116" s="494">
        <f t="shared" si="57"/>
        <v>2500</v>
      </c>
      <c r="N116" s="494">
        <f t="shared" si="57"/>
        <v>2500</v>
      </c>
      <c r="O116" s="494">
        <f t="shared" si="57"/>
        <v>2302</v>
      </c>
      <c r="P116" s="494">
        <f t="shared" si="57"/>
        <v>3365</v>
      </c>
      <c r="Q116" s="494">
        <f t="shared" si="57"/>
        <v>5013</v>
      </c>
      <c r="R116" s="494">
        <f t="shared" si="57"/>
        <v>583</v>
      </c>
      <c r="S116" s="494">
        <f t="shared" ref="S116:T116" si="58">SUM(S114:S115)</f>
        <v>8629</v>
      </c>
      <c r="T116" s="494">
        <f t="shared" si="58"/>
        <v>8101</v>
      </c>
    </row>
    <row r="117" spans="1:20" ht="6" customHeight="1" thickTop="1">
      <c r="A117" s="54"/>
      <c r="B117" s="54"/>
      <c r="C117" s="54"/>
      <c r="D117" s="54"/>
      <c r="E117" s="54"/>
      <c r="F117" s="194"/>
      <c r="G117" s="495"/>
      <c r="H117" s="495"/>
      <c r="I117" s="495"/>
      <c r="J117" s="495"/>
      <c r="K117" s="495"/>
      <c r="L117" s="495"/>
      <c r="M117" s="495"/>
      <c r="N117" s="495"/>
      <c r="O117" s="495"/>
      <c r="P117" s="495"/>
      <c r="Q117" s="495"/>
      <c r="R117" s="495"/>
      <c r="S117" s="495"/>
      <c r="T117" s="495"/>
    </row>
    <row r="118" spans="1:20" ht="5.25" customHeight="1">
      <c r="A118" s="54"/>
      <c r="B118" s="54"/>
      <c r="C118" s="54"/>
      <c r="D118" s="54"/>
      <c r="E118" s="5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</row>
    <row r="119" spans="1:20">
      <c r="A119" s="54"/>
      <c r="B119" s="84"/>
      <c r="C119" s="54"/>
      <c r="D119" s="84" t="s">
        <v>497</v>
      </c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>
        <v>20</v>
      </c>
      <c r="B120" s="84" t="s">
        <v>428</v>
      </c>
      <c r="C120" s="54"/>
      <c r="D120" s="54"/>
      <c r="E120" s="355" t="s">
        <v>455</v>
      </c>
      <c r="F120" s="194">
        <f>F23</f>
        <v>9346</v>
      </c>
      <c r="G120" s="194">
        <f t="shared" ref="G120:M120" si="59">G23</f>
        <v>5139</v>
      </c>
      <c r="H120" s="194">
        <f t="shared" si="59"/>
        <v>7164</v>
      </c>
      <c r="I120" s="194">
        <f t="shared" si="59"/>
        <v>6722</v>
      </c>
      <c r="J120" s="194">
        <f t="shared" si="59"/>
        <v>7283</v>
      </c>
      <c r="K120" s="194">
        <f t="shared" si="59"/>
        <v>9900</v>
      </c>
      <c r="L120" s="194">
        <f t="shared" si="59"/>
        <v>9115</v>
      </c>
      <c r="M120" s="194">
        <f t="shared" si="59"/>
        <v>8319</v>
      </c>
      <c r="N120" s="194">
        <f>N23</f>
        <v>8146</v>
      </c>
      <c r="O120" s="194">
        <f t="shared" ref="O120:R120" si="60">O23</f>
        <v>9014</v>
      </c>
      <c r="P120" s="194">
        <f t="shared" si="60"/>
        <v>9955</v>
      </c>
      <c r="Q120" s="194">
        <f t="shared" si="60"/>
        <v>10846</v>
      </c>
      <c r="R120" s="194">
        <f t="shared" si="60"/>
        <v>11456</v>
      </c>
      <c r="S120" s="194">
        <f t="shared" ref="S120" si="61">S23</f>
        <v>12913</v>
      </c>
      <c r="T120" s="194">
        <f>T23</f>
        <v>12828</v>
      </c>
    </row>
    <row r="121" spans="1:20">
      <c r="A121" s="54">
        <v>21</v>
      </c>
      <c r="B121" s="84" t="s">
        <v>430</v>
      </c>
      <c r="C121" s="54"/>
      <c r="D121" s="54"/>
      <c r="E121" s="355" t="s">
        <v>456</v>
      </c>
      <c r="F121" s="194">
        <f>F29</f>
        <v>11693</v>
      </c>
      <c r="G121" s="194">
        <f t="shared" ref="G121:M121" si="62">G29</f>
        <v>15462</v>
      </c>
      <c r="H121" s="194">
        <f t="shared" si="62"/>
        <v>16996</v>
      </c>
      <c r="I121" s="194">
        <f t="shared" si="62"/>
        <v>17286</v>
      </c>
      <c r="J121" s="194">
        <f t="shared" si="62"/>
        <v>17401</v>
      </c>
      <c r="K121" s="194">
        <f t="shared" si="62"/>
        <v>14988</v>
      </c>
      <c r="L121" s="194">
        <f t="shared" si="62"/>
        <v>16307</v>
      </c>
      <c r="M121" s="194">
        <f t="shared" si="62"/>
        <v>16156</v>
      </c>
      <c r="N121" s="194">
        <f>N29</f>
        <v>17416</v>
      </c>
      <c r="O121" s="194">
        <f t="shared" ref="O121:R121" si="63">O29</f>
        <v>18207</v>
      </c>
      <c r="P121" s="194">
        <f t="shared" si="63"/>
        <v>19990</v>
      </c>
      <c r="Q121" s="194">
        <f t="shared" si="63"/>
        <v>22393.453812</v>
      </c>
      <c r="R121" s="194">
        <f t="shared" si="63"/>
        <v>22594.925350000001</v>
      </c>
      <c r="S121" s="194">
        <f t="shared" ref="S121:T121" si="64">S29</f>
        <v>23288</v>
      </c>
      <c r="T121" s="194">
        <f t="shared" si="64"/>
        <v>25575</v>
      </c>
    </row>
    <row r="122" spans="1:20">
      <c r="A122" s="54">
        <v>22</v>
      </c>
      <c r="B122" s="40" t="s">
        <v>434</v>
      </c>
      <c r="C122" s="54"/>
      <c r="D122" s="54"/>
      <c r="E122" s="355" t="s">
        <v>457</v>
      </c>
      <c r="F122" s="194">
        <f>F39</f>
        <v>5</v>
      </c>
      <c r="G122" s="194">
        <f t="shared" ref="G122:M122" si="65">G39</f>
        <v>2</v>
      </c>
      <c r="H122" s="194">
        <f t="shared" si="65"/>
        <v>1</v>
      </c>
      <c r="I122" s="194">
        <f t="shared" si="65"/>
        <v>2</v>
      </c>
      <c r="J122" s="194">
        <f t="shared" si="65"/>
        <v>3</v>
      </c>
      <c r="K122" s="194">
        <f t="shared" si="65"/>
        <v>-4</v>
      </c>
      <c r="L122" s="194">
        <f t="shared" si="65"/>
        <v>0</v>
      </c>
      <c r="M122" s="194">
        <f t="shared" si="65"/>
        <v>-9</v>
      </c>
      <c r="N122" s="194">
        <f>N39</f>
        <v>-3</v>
      </c>
      <c r="O122" s="194">
        <f t="shared" ref="O122:R122" si="66">O39</f>
        <v>-3</v>
      </c>
      <c r="P122" s="194">
        <f t="shared" si="66"/>
        <v>2</v>
      </c>
      <c r="Q122" s="194">
        <f t="shared" si="66"/>
        <v>0</v>
      </c>
      <c r="R122" s="194">
        <f t="shared" si="66"/>
        <v>-4</v>
      </c>
      <c r="S122" s="194">
        <f t="shared" ref="S122:T122" si="67">S39</f>
        <v>0</v>
      </c>
      <c r="T122" s="194">
        <f t="shared" si="67"/>
        <v>0</v>
      </c>
    </row>
    <row r="123" spans="1:20">
      <c r="A123" s="54">
        <v>23</v>
      </c>
      <c r="B123" s="84" t="s">
        <v>437</v>
      </c>
      <c r="C123" s="54"/>
      <c r="D123" s="54"/>
      <c r="E123" s="54"/>
      <c r="F123" s="427">
        <f>SUM(F120:F122)</f>
        <v>21044</v>
      </c>
      <c r="G123" s="427">
        <f t="shared" ref="G123:M123" si="68">SUM(G120:G122)</f>
        <v>20603</v>
      </c>
      <c r="H123" s="427">
        <f t="shared" si="68"/>
        <v>24161</v>
      </c>
      <c r="I123" s="427">
        <f t="shared" si="68"/>
        <v>24010</v>
      </c>
      <c r="J123" s="427">
        <f t="shared" si="68"/>
        <v>24687</v>
      </c>
      <c r="K123" s="427">
        <f t="shared" si="68"/>
        <v>24884</v>
      </c>
      <c r="L123" s="427">
        <f t="shared" si="68"/>
        <v>25422</v>
      </c>
      <c r="M123" s="427">
        <f t="shared" si="68"/>
        <v>24466</v>
      </c>
      <c r="N123" s="427">
        <f>SUM(N120:N122)</f>
        <v>25559</v>
      </c>
      <c r="O123" s="427">
        <f t="shared" ref="O123" si="69">SUM(O120:O122)</f>
        <v>27218</v>
      </c>
      <c r="P123" s="427">
        <f t="shared" ref="P123" si="70">SUM(P120:P122)</f>
        <v>29947</v>
      </c>
      <c r="Q123" s="427">
        <f t="shared" ref="Q123" si="71">SUM(Q120:Q122)</f>
        <v>33239.453812</v>
      </c>
      <c r="R123" s="427">
        <f t="shared" ref="R123:S123" si="72">SUM(R120:R122)</f>
        <v>34046.925350000005</v>
      </c>
      <c r="S123" s="427">
        <f t="shared" si="72"/>
        <v>36201</v>
      </c>
      <c r="T123" s="427">
        <f t="shared" ref="T123" si="73">SUM(T120:T122)</f>
        <v>38403</v>
      </c>
    </row>
    <row r="124" spans="1:20">
      <c r="A124" s="54">
        <v>24</v>
      </c>
      <c r="B124" s="54"/>
      <c r="C124" s="84" t="s">
        <v>438</v>
      </c>
      <c r="D124" s="54"/>
      <c r="E124" s="54"/>
      <c r="F124" s="194">
        <f>DSM!I31</f>
        <v>-139.02702071018319</v>
      </c>
      <c r="G124" s="194">
        <f>DSM!J31</f>
        <v>-204.8861757430931</v>
      </c>
      <c r="H124" s="194">
        <f>DSM!K31</f>
        <v>-244.86199639458349</v>
      </c>
      <c r="I124" s="194">
        <f>DSM!L31</f>
        <v>-247.52705110468284</v>
      </c>
      <c r="J124" s="194">
        <v>0</v>
      </c>
      <c r="K124" s="194">
        <f>DSM!N31</f>
        <v>-266.79687571981992</v>
      </c>
      <c r="L124" s="194">
        <v>0</v>
      </c>
      <c r="M124" s="194">
        <f>DSM!P31</f>
        <v>-269.17899068160403</v>
      </c>
      <c r="N124" s="194">
        <f>DSM!Q31</f>
        <v>-488.21244267615958</v>
      </c>
      <c r="O124" s="194">
        <f>DSM!R31</f>
        <v>-762.2767877709141</v>
      </c>
      <c r="P124" s="194">
        <f>DSM!S31</f>
        <v>-786.62281017694488</v>
      </c>
      <c r="Q124" s="194">
        <f>DSM!T31</f>
        <v>-811.61482986074759</v>
      </c>
      <c r="R124" s="194">
        <f>DSM!U31</f>
        <v>-682.57687362579838</v>
      </c>
      <c r="S124" s="194">
        <f>DSM!V31</f>
        <v>0</v>
      </c>
      <c r="T124" s="194">
        <f>DSM!W31</f>
        <v>0</v>
      </c>
    </row>
    <row r="125" spans="1:20">
      <c r="A125" s="54">
        <v>25</v>
      </c>
      <c r="B125" s="54"/>
      <c r="C125" s="84" t="s">
        <v>439</v>
      </c>
      <c r="D125" s="54"/>
      <c r="E125" s="54"/>
      <c r="F125" s="194">
        <f>ResX!I31</f>
        <v>672.07834234687459</v>
      </c>
      <c r="G125" s="194">
        <f>ResX!J31</f>
        <v>57.177537416677147</v>
      </c>
      <c r="H125" s="194">
        <f>ResX!K31</f>
        <v>303.33168154949061</v>
      </c>
      <c r="I125" s="194">
        <f>ResX!L31</f>
        <v>255.96639101999747</v>
      </c>
      <c r="J125" s="194">
        <v>0</v>
      </c>
      <c r="K125" s="194">
        <f>ResX!N31</f>
        <v>379.03890273269815</v>
      </c>
      <c r="L125" s="194">
        <v>0</v>
      </c>
      <c r="M125" s="194">
        <f>ResX!P31</f>
        <v>225.37230028269292</v>
      </c>
      <c r="N125" s="194">
        <f>ResX!Q31</f>
        <v>144.3803915820333</v>
      </c>
      <c r="O125" s="194">
        <f>ResX!R31</f>
        <v>161.701193592294</v>
      </c>
      <c r="P125" s="194">
        <f>ResX!S31</f>
        <v>252.10043765050779</v>
      </c>
      <c r="Q125" s="194">
        <f>ResX!T31</f>
        <v>186.12796565804626</v>
      </c>
      <c r="R125" s="194">
        <f>ResX!U31</f>
        <v>336.20120825044501</v>
      </c>
      <c r="S125" s="194">
        <f>ResX!V31</f>
        <v>0</v>
      </c>
      <c r="T125" s="194">
        <f>ResX!W31</f>
        <v>0</v>
      </c>
    </row>
    <row r="126" spans="1:20" ht="12.6" thickBot="1">
      <c r="A126" s="54">
        <v>26</v>
      </c>
      <c r="B126" s="496" t="s">
        <v>440</v>
      </c>
      <c r="C126" s="54"/>
      <c r="D126" s="54"/>
      <c r="E126" s="54"/>
      <c r="F126" s="494">
        <f>SUM(F123:F125)</f>
        <v>21577.051321636693</v>
      </c>
      <c r="G126" s="494">
        <f t="shared" ref="G126:R126" si="74">SUM(G123:G125)</f>
        <v>20455.291361673582</v>
      </c>
      <c r="H126" s="494">
        <f t="shared" si="74"/>
        <v>24219.469685154909</v>
      </c>
      <c r="I126" s="494">
        <f t="shared" si="74"/>
        <v>24018.439339915312</v>
      </c>
      <c r="J126" s="494">
        <f t="shared" si="74"/>
        <v>24687</v>
      </c>
      <c r="K126" s="494">
        <f t="shared" si="74"/>
        <v>24996.242027012875</v>
      </c>
      <c r="L126" s="494">
        <f t="shared" si="74"/>
        <v>25422</v>
      </c>
      <c r="M126" s="494">
        <f t="shared" si="74"/>
        <v>24422.193309601087</v>
      </c>
      <c r="N126" s="494">
        <f t="shared" si="74"/>
        <v>25215.167948905873</v>
      </c>
      <c r="O126" s="494">
        <f t="shared" si="74"/>
        <v>26617.424405821377</v>
      </c>
      <c r="P126" s="494">
        <f t="shared" si="74"/>
        <v>29412.477627473563</v>
      </c>
      <c r="Q126" s="494">
        <f t="shared" si="74"/>
        <v>32613.966947797297</v>
      </c>
      <c r="R126" s="494">
        <f t="shared" si="74"/>
        <v>33700.549684624653</v>
      </c>
      <c r="S126" s="494">
        <f t="shared" ref="S126:T126" si="75">SUM(S123:S125)</f>
        <v>36201</v>
      </c>
      <c r="T126" s="494">
        <f t="shared" si="75"/>
        <v>38403</v>
      </c>
    </row>
    <row r="127" spans="1:20" ht="12.6" thickTop="1">
      <c r="A127" s="54"/>
      <c r="B127" s="54"/>
      <c r="C127" s="54"/>
      <c r="D127" s="54"/>
      <c r="E127" s="54"/>
      <c r="F127" s="194"/>
      <c r="G127" s="495">
        <f>(G126-F126)/F126</f>
        <v>-5.1988566150289947E-2</v>
      </c>
      <c r="H127" s="495">
        <f t="shared" ref="H127:T127" si="76">(H126-G126)/G126</f>
        <v>0.18401978524413226</v>
      </c>
      <c r="I127" s="495">
        <f t="shared" si="76"/>
        <v>-8.3003611496421867E-3</v>
      </c>
      <c r="J127" s="495">
        <f t="shared" si="76"/>
        <v>2.7835308140676428E-2</v>
      </c>
      <c r="K127" s="495">
        <f t="shared" si="76"/>
        <v>1.2526513023570099E-2</v>
      </c>
      <c r="L127" s="495">
        <f t="shared" si="76"/>
        <v>1.7032879283494611E-2</v>
      </c>
      <c r="M127" s="495">
        <f t="shared" si="76"/>
        <v>-3.9328404153839702E-2</v>
      </c>
      <c r="N127" s="495">
        <f t="shared" si="76"/>
        <v>3.2469427673928221E-2</v>
      </c>
      <c r="O127" s="495">
        <f t="shared" si="76"/>
        <v>5.5611624707673224E-2</v>
      </c>
      <c r="P127" s="495">
        <f t="shared" si="76"/>
        <v>0.10500840273038936</v>
      </c>
      <c r="Q127" s="495">
        <f t="shared" si="76"/>
        <v>0.10884799848800535</v>
      </c>
      <c r="R127" s="495">
        <f t="shared" si="76"/>
        <v>3.3316484884116281E-2</v>
      </c>
      <c r="S127" s="495">
        <f t="shared" si="76"/>
        <v>7.4196128513480536E-2</v>
      </c>
      <c r="T127" s="495">
        <f t="shared" si="76"/>
        <v>6.0827048976547608E-2</v>
      </c>
    </row>
    <row r="128" spans="1:20">
      <c r="A128" s="54"/>
      <c r="B128" s="84"/>
      <c r="C128" s="54"/>
      <c r="D128" s="54"/>
      <c r="E128" s="5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</row>
    <row r="129" spans="1:21" ht="12.6" thickBot="1">
      <c r="A129" s="54">
        <v>27</v>
      </c>
      <c r="B129" s="496" t="s">
        <v>441</v>
      </c>
      <c r="C129" s="54"/>
      <c r="D129" s="54"/>
      <c r="E129" s="355" t="s">
        <v>458</v>
      </c>
      <c r="F129" s="494">
        <f>F78</f>
        <v>649149</v>
      </c>
      <c r="G129" s="494">
        <f t="shared" ref="G129:R129" si="77">G78</f>
        <v>662278</v>
      </c>
      <c r="H129" s="494">
        <f t="shared" si="77"/>
        <v>739502</v>
      </c>
      <c r="I129" s="494">
        <f t="shared" si="77"/>
        <v>720602</v>
      </c>
      <c r="J129" s="494">
        <f t="shared" si="77"/>
        <v>757756</v>
      </c>
      <c r="K129" s="494">
        <f t="shared" si="77"/>
        <v>799091</v>
      </c>
      <c r="L129" s="494">
        <f t="shared" si="77"/>
        <v>855712</v>
      </c>
      <c r="M129" s="494">
        <f t="shared" si="77"/>
        <v>870835</v>
      </c>
      <c r="N129" s="494">
        <f t="shared" si="77"/>
        <v>917247</v>
      </c>
      <c r="O129" s="494">
        <f t="shared" si="77"/>
        <v>987243</v>
      </c>
      <c r="P129" s="494">
        <f t="shared" si="77"/>
        <v>1036064</v>
      </c>
      <c r="Q129" s="494">
        <f t="shared" si="77"/>
        <v>1087141</v>
      </c>
      <c r="R129" s="494">
        <f t="shared" si="77"/>
        <v>1131570</v>
      </c>
      <c r="S129" s="494">
        <f t="shared" ref="S129:T129" si="78">S78</f>
        <v>1195010</v>
      </c>
      <c r="T129" s="494">
        <f t="shared" si="78"/>
        <v>1214504</v>
      </c>
    </row>
    <row r="130" spans="1:21" ht="12.6" thickTop="1">
      <c r="A130" s="54"/>
      <c r="B130" s="54"/>
      <c r="C130" s="54"/>
      <c r="D130" s="54"/>
      <c r="E130" s="54"/>
      <c r="F130" s="194"/>
      <c r="G130" s="495">
        <f>(G129-F129)/F129</f>
        <v>2.0224940653070404E-2</v>
      </c>
      <c r="H130" s="495">
        <f t="shared" ref="H130:T130" si="79">(H129-G129)/G129</f>
        <v>0.11660360150873199</v>
      </c>
      <c r="I130" s="495">
        <f t="shared" si="79"/>
        <v>-2.5557740208951428E-2</v>
      </c>
      <c r="J130" s="495">
        <f t="shared" si="79"/>
        <v>5.1559668166338703E-2</v>
      </c>
      <c r="K130" s="495">
        <f t="shared" si="79"/>
        <v>5.4549221649185228E-2</v>
      </c>
      <c r="L130" s="495">
        <f t="shared" si="79"/>
        <v>7.0856760994680204E-2</v>
      </c>
      <c r="M130" s="495">
        <f t="shared" si="79"/>
        <v>1.7673002131558282E-2</v>
      </c>
      <c r="N130" s="495">
        <f t="shared" si="79"/>
        <v>5.3295974553158751E-2</v>
      </c>
      <c r="O130" s="495">
        <f t="shared" si="79"/>
        <v>7.6310960951630258E-2</v>
      </c>
      <c r="P130" s="495">
        <f t="shared" si="79"/>
        <v>4.9451857344139184E-2</v>
      </c>
      <c r="Q130" s="495">
        <f t="shared" si="79"/>
        <v>4.9299078049232482E-2</v>
      </c>
      <c r="R130" s="495">
        <f t="shared" si="79"/>
        <v>4.0867743926500798E-2</v>
      </c>
      <c r="S130" s="495">
        <f t="shared" si="79"/>
        <v>5.6063699108318529E-2</v>
      </c>
      <c r="T130" s="495">
        <f t="shared" si="79"/>
        <v>1.631283420222425E-2</v>
      </c>
    </row>
    <row r="131" spans="1:21">
      <c r="A131" s="54"/>
      <c r="B131" s="496"/>
      <c r="C131" s="54"/>
      <c r="D131" s="54"/>
      <c r="E131" s="355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</row>
    <row r="132" spans="1:21" ht="12.6" thickBot="1">
      <c r="A132" s="54">
        <v>28</v>
      </c>
      <c r="B132" s="496" t="s">
        <v>442</v>
      </c>
      <c r="C132" s="54"/>
      <c r="D132" s="54"/>
      <c r="E132" s="355" t="s">
        <v>459</v>
      </c>
      <c r="F132" s="494">
        <f>F82</f>
        <v>568492</v>
      </c>
      <c r="G132" s="494">
        <f t="shared" ref="G132:R132" si="80">G82</f>
        <v>597515</v>
      </c>
      <c r="H132" s="494">
        <f t="shared" si="80"/>
        <v>761858</v>
      </c>
      <c r="I132" s="494">
        <f t="shared" si="80"/>
        <v>742443</v>
      </c>
      <c r="J132" s="494">
        <f t="shared" si="80"/>
        <v>778011</v>
      </c>
      <c r="K132" s="494">
        <f t="shared" si="80"/>
        <v>819842</v>
      </c>
      <c r="L132" s="494">
        <f t="shared" si="80"/>
        <v>874511</v>
      </c>
      <c r="M132" s="494">
        <f t="shared" si="80"/>
        <v>891855</v>
      </c>
      <c r="N132" s="494">
        <f t="shared" si="80"/>
        <v>936840</v>
      </c>
      <c r="O132" s="494">
        <f t="shared" si="80"/>
        <v>1005019</v>
      </c>
      <c r="P132" s="494">
        <f t="shared" si="80"/>
        <v>1072028</v>
      </c>
      <c r="Q132" s="494">
        <f t="shared" si="80"/>
        <v>1137863</v>
      </c>
      <c r="R132" s="494">
        <f t="shared" si="80"/>
        <v>1158975</v>
      </c>
      <c r="S132" s="494">
        <f t="shared" ref="S132:T132" si="81">S82</f>
        <v>1226052</v>
      </c>
      <c r="T132" s="494">
        <f t="shared" si="81"/>
        <v>1273157</v>
      </c>
    </row>
    <row r="133" spans="1:21" ht="12.6" thickTop="1">
      <c r="A133" s="54"/>
      <c r="B133" s="54"/>
      <c r="C133" s="54"/>
      <c r="D133" s="54"/>
      <c r="E133" s="54"/>
      <c r="F133" s="194"/>
      <c r="G133" s="495">
        <f>(G132-F132)/F132</f>
        <v>5.1052609359498465E-2</v>
      </c>
      <c r="H133" s="495">
        <f t="shared" ref="H133:T133" si="82">(H132-G132)/G132</f>
        <v>0.27504414115126818</v>
      </c>
      <c r="I133" s="495">
        <f t="shared" si="82"/>
        <v>-2.5483751565252316E-2</v>
      </c>
      <c r="J133" s="495">
        <f t="shared" si="82"/>
        <v>4.7906707989704263E-2</v>
      </c>
      <c r="K133" s="495">
        <f t="shared" si="82"/>
        <v>5.3766591989059281E-2</v>
      </c>
      <c r="L133" s="495">
        <f t="shared" si="82"/>
        <v>6.6682360747558678E-2</v>
      </c>
      <c r="M133" s="495">
        <f t="shared" si="82"/>
        <v>1.9832797986531901E-2</v>
      </c>
      <c r="N133" s="495">
        <f t="shared" si="82"/>
        <v>5.0439813646837209E-2</v>
      </c>
      <c r="O133" s="495">
        <f t="shared" si="82"/>
        <v>7.2775500619102512E-2</v>
      </c>
      <c r="P133" s="495">
        <f t="shared" si="82"/>
        <v>6.6674361380232611E-2</v>
      </c>
      <c r="Q133" s="495">
        <f t="shared" si="82"/>
        <v>6.1411642233225254E-2</v>
      </c>
      <c r="R133" s="495">
        <f t="shared" si="82"/>
        <v>1.855407900599633E-2</v>
      </c>
      <c r="S133" s="495">
        <f t="shared" si="82"/>
        <v>5.7876140555231992E-2</v>
      </c>
      <c r="T133" s="495">
        <f t="shared" si="82"/>
        <v>3.8420067011839629E-2</v>
      </c>
    </row>
    <row r="134" spans="1:21" ht="8.25" customHeight="1">
      <c r="A134" s="54"/>
      <c r="B134" s="54"/>
      <c r="C134" s="54"/>
      <c r="D134" s="54"/>
      <c r="E134" s="5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</row>
    <row r="135" spans="1:21">
      <c r="A135" s="54"/>
      <c r="B135" s="84" t="s">
        <v>443</v>
      </c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1">
      <c r="A136" s="54">
        <v>29</v>
      </c>
      <c r="B136" s="84" t="s">
        <v>460</v>
      </c>
      <c r="C136" s="54"/>
      <c r="D136" s="54"/>
      <c r="E136" s="355" t="s">
        <v>461</v>
      </c>
      <c r="F136" s="194">
        <f>F14</f>
        <v>13062</v>
      </c>
      <c r="G136" s="194">
        <f t="shared" ref="G136:R136" si="83">G14</f>
        <v>14305</v>
      </c>
      <c r="H136" s="194">
        <f t="shared" si="83"/>
        <v>34274</v>
      </c>
      <c r="I136" s="194">
        <f t="shared" si="83"/>
        <v>57244</v>
      </c>
      <c r="J136" s="194">
        <f t="shared" si="83"/>
        <v>8587</v>
      </c>
      <c r="K136" s="194">
        <f t="shared" si="83"/>
        <v>10259</v>
      </c>
      <c r="L136" s="194">
        <f t="shared" si="83"/>
        <v>10178</v>
      </c>
      <c r="M136" s="194">
        <f t="shared" si="83"/>
        <v>10170</v>
      </c>
      <c r="N136" s="194">
        <f t="shared" si="83"/>
        <v>10927</v>
      </c>
      <c r="O136" s="194">
        <f t="shared" si="83"/>
        <v>9395</v>
      </c>
      <c r="P136" s="194">
        <f t="shared" si="83"/>
        <v>11786</v>
      </c>
      <c r="Q136" s="194">
        <f t="shared" si="83"/>
        <v>13666</v>
      </c>
      <c r="R136" s="194">
        <f t="shared" si="83"/>
        <v>13089</v>
      </c>
      <c r="S136" s="194">
        <f t="shared" ref="S136:T136" si="84">S14</f>
        <v>13408</v>
      </c>
      <c r="T136" s="194">
        <f t="shared" si="84"/>
        <v>17163</v>
      </c>
    </row>
    <row r="137" spans="1:21">
      <c r="A137" s="54">
        <v>30</v>
      </c>
      <c r="B137" s="84"/>
      <c r="C137" s="84" t="s">
        <v>462</v>
      </c>
      <c r="D137" s="54"/>
      <c r="E137" s="54"/>
      <c r="F137" s="194">
        <f>-'Other Rev'!E16</f>
        <v>-7824</v>
      </c>
      <c r="G137" s="194">
        <f>-'Other Rev'!F19</f>
        <v>-2251</v>
      </c>
      <c r="H137" s="194">
        <f>-'Other Rev'!G19</f>
        <v>-25293</v>
      </c>
      <c r="I137" s="194">
        <f>-'Other Rev'!H19</f>
        <v>-47139</v>
      </c>
      <c r="J137" s="194">
        <f>-'Other Rev'!I19</f>
        <v>-285</v>
      </c>
      <c r="K137" s="194">
        <f>-'Other Rev'!J19</f>
        <v>-179.11379999999997</v>
      </c>
      <c r="L137" s="194">
        <f>-'Other Rev'!K19</f>
        <v>-198</v>
      </c>
      <c r="M137" s="194">
        <f>-'Other Rev'!L19</f>
        <v>-221</v>
      </c>
      <c r="N137" s="194">
        <f>-'Other Rev'!M19</f>
        <v>-1839</v>
      </c>
      <c r="O137" s="194">
        <f>-'Other Rev'!N19</f>
        <v>-448.37979999999999</v>
      </c>
      <c r="P137" s="194">
        <f>-'Other Rev'!O19</f>
        <v>-639.87119999999993</v>
      </c>
      <c r="Q137" s="194">
        <f>-'Other Rev'!P19</f>
        <v>-1751.694</v>
      </c>
      <c r="R137" s="194">
        <f>-'Other Rev'!Q19</f>
        <v>-1489.3194000000001</v>
      </c>
      <c r="S137" s="194">
        <f>-'Other Rev'!R19</f>
        <v>-282</v>
      </c>
      <c r="T137" s="194">
        <f>-'Other Rev'!S19</f>
        <v>-3062.3724999999999</v>
      </c>
      <c r="U137" s="40" t="s">
        <v>96</v>
      </c>
    </row>
    <row r="138" spans="1:21">
      <c r="A138" s="54">
        <v>31</v>
      </c>
      <c r="B138" s="84"/>
      <c r="C138" s="84" t="s">
        <v>463</v>
      </c>
      <c r="D138" s="54"/>
      <c r="E138" s="54"/>
      <c r="F138" s="194">
        <f>-'Other Rev'!E19</f>
        <v>-3487.7256000000007</v>
      </c>
      <c r="G138" s="194">
        <f>-'Other Rev'!F16</f>
        <v>-9892</v>
      </c>
      <c r="H138" s="194">
        <f>-'Other Rev'!G16</f>
        <v>-7115</v>
      </c>
      <c r="I138" s="194">
        <f>-'Other Rev'!H16</f>
        <v>-7569</v>
      </c>
      <c r="J138" s="194">
        <f>-'Other Rev'!I16</f>
        <v>-5523</v>
      </c>
      <c r="K138" s="194">
        <f>-'Other Rev'!J16</f>
        <v>-6637</v>
      </c>
      <c r="L138" s="194">
        <f>-'Other Rev'!K16</f>
        <v>-7024</v>
      </c>
      <c r="M138" s="194">
        <f>-'Other Rev'!L16</f>
        <v>-6876</v>
      </c>
      <c r="N138" s="194">
        <f>-'Other Rev'!M16</f>
        <v>-6213</v>
      </c>
      <c r="O138" s="194">
        <f>-'Other Rev'!N16</f>
        <v>-6133</v>
      </c>
      <c r="P138" s="194">
        <f>-'Other Rev'!O16</f>
        <v>-8333</v>
      </c>
      <c r="Q138" s="194">
        <f>-'Other Rev'!P16</f>
        <v>-9102</v>
      </c>
      <c r="R138" s="194">
        <f>-'Other Rev'!Q16</f>
        <v>-8285</v>
      </c>
      <c r="S138" s="194">
        <f>-'Other Rev'!R16</f>
        <v>-9662</v>
      </c>
      <c r="T138" s="194">
        <f>-'Other Rev'!S16</f>
        <v>-10622.4344</v>
      </c>
    </row>
    <row r="139" spans="1:21" ht="12.6" thickBot="1">
      <c r="A139" s="54">
        <v>32</v>
      </c>
      <c r="B139" s="496" t="s">
        <v>378</v>
      </c>
      <c r="C139" s="84"/>
      <c r="D139" s="54"/>
      <c r="E139" s="54"/>
      <c r="F139" s="494">
        <f>SUM(F136:F138)</f>
        <v>1750.2743999999993</v>
      </c>
      <c r="G139" s="494">
        <f t="shared" ref="G139:R139" si="85">SUM(G136:G138)</f>
        <v>2162</v>
      </c>
      <c r="H139" s="494">
        <f t="shared" si="85"/>
        <v>1866</v>
      </c>
      <c r="I139" s="494">
        <f t="shared" si="85"/>
        <v>2536</v>
      </c>
      <c r="J139" s="494">
        <f t="shared" si="85"/>
        <v>2779</v>
      </c>
      <c r="K139" s="494">
        <f t="shared" si="85"/>
        <v>3442.8862000000008</v>
      </c>
      <c r="L139" s="494">
        <f t="shared" si="85"/>
        <v>2956</v>
      </c>
      <c r="M139" s="494">
        <f t="shared" si="85"/>
        <v>3073</v>
      </c>
      <c r="N139" s="494">
        <f t="shared" si="85"/>
        <v>2875</v>
      </c>
      <c r="O139" s="494">
        <f t="shared" si="85"/>
        <v>2813.6201999999994</v>
      </c>
      <c r="P139" s="494">
        <f t="shared" si="85"/>
        <v>2813.1288000000004</v>
      </c>
      <c r="Q139" s="494">
        <f t="shared" si="85"/>
        <v>2812.3060000000005</v>
      </c>
      <c r="R139" s="494">
        <f t="shared" si="85"/>
        <v>3314.6805999999997</v>
      </c>
      <c r="S139" s="494">
        <f t="shared" ref="S139:T139" si="86">SUM(S136:S138)</f>
        <v>3464</v>
      </c>
      <c r="T139" s="494">
        <f t="shared" si="86"/>
        <v>3478.1931000000004</v>
      </c>
    </row>
    <row r="140" spans="1:21" ht="12.6" thickTop="1">
      <c r="A140" s="54"/>
      <c r="F140" s="71"/>
      <c r="G140" s="495">
        <f>(G139-F139)/F139</f>
        <v>0.23523488659835329</v>
      </c>
      <c r="H140" s="495">
        <f t="shared" ref="H140:T140" si="87">(H139-G139)/G139</f>
        <v>-0.13691026827012026</v>
      </c>
      <c r="I140" s="495">
        <f t="shared" si="87"/>
        <v>0.35905680600214362</v>
      </c>
      <c r="J140" s="495">
        <f t="shared" si="87"/>
        <v>9.5820189274447951E-2</v>
      </c>
      <c r="K140" s="495">
        <f t="shared" si="87"/>
        <v>0.23889391867578294</v>
      </c>
      <c r="L140" s="495">
        <f t="shared" si="87"/>
        <v>-0.14141803467102709</v>
      </c>
      <c r="M140" s="495">
        <f t="shared" si="87"/>
        <v>3.9580514208389712E-2</v>
      </c>
      <c r="N140" s="495">
        <f t="shared" si="87"/>
        <v>-6.4432150992515452E-2</v>
      </c>
      <c r="O140" s="495">
        <f t="shared" si="87"/>
        <v>-2.1349495652174127E-2</v>
      </c>
      <c r="P140" s="495">
        <f t="shared" si="87"/>
        <v>-1.7465043789455863E-4</v>
      </c>
      <c r="Q140" s="495">
        <f t="shared" si="87"/>
        <v>-2.9248571910390862E-4</v>
      </c>
      <c r="R140" s="495">
        <f t="shared" si="87"/>
        <v>0.17863440180407078</v>
      </c>
      <c r="S140" s="495">
        <f t="shared" si="87"/>
        <v>4.5047899939439209E-2</v>
      </c>
      <c r="T140" s="495">
        <f t="shared" si="87"/>
        <v>4.0973152424943456E-3</v>
      </c>
    </row>
    <row r="141" spans="1:21" ht="4.5" hidden="1" customHeight="1">
      <c r="A141" s="54"/>
      <c r="F141" s="71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155"/>
      <c r="T141" s="155"/>
    </row>
    <row r="142" spans="1:21" ht="4.95" customHeight="1">
      <c r="A142" s="54"/>
      <c r="F142" s="71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155"/>
      <c r="T142" s="155"/>
    </row>
    <row r="143" spans="1:21">
      <c r="A143" s="541" t="s">
        <v>117</v>
      </c>
      <c r="F143" s="71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155"/>
      <c r="T143" s="155"/>
    </row>
    <row r="144" spans="1:21">
      <c r="A144" s="541" t="s">
        <v>472</v>
      </c>
      <c r="F144" s="71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155"/>
      <c r="T144" s="155"/>
    </row>
    <row r="145" spans="1:21">
      <c r="A145" s="541" t="s">
        <v>471</v>
      </c>
      <c r="F145" s="71"/>
      <c r="G145" s="495"/>
      <c r="H145" s="495"/>
      <c r="I145" s="495"/>
      <c r="J145" s="495"/>
      <c r="K145" s="495"/>
      <c r="L145" s="495"/>
      <c r="M145" s="495"/>
      <c r="N145" s="495"/>
      <c r="O145" s="495"/>
      <c r="P145" s="495"/>
      <c r="Q145" s="495"/>
      <c r="R145" s="495"/>
      <c r="S145" s="155"/>
    </row>
    <row r="146" spans="1:21" ht="0.6" customHeight="1">
      <c r="A146" s="54"/>
      <c r="G146" s="41"/>
      <c r="H146" s="41"/>
      <c r="I146" s="41"/>
      <c r="J146" s="41"/>
      <c r="L146" s="41"/>
      <c r="M146" s="41"/>
      <c r="N146" s="41"/>
      <c r="O146" s="41"/>
      <c r="P146" s="41"/>
      <c r="Q146" s="41"/>
      <c r="R146" s="41"/>
    </row>
    <row r="147" spans="1:21" ht="15.6">
      <c r="A147" s="393" t="s">
        <v>3</v>
      </c>
      <c r="E147" s="906" t="s">
        <v>491</v>
      </c>
      <c r="F147" s="906"/>
      <c r="G147" s="906"/>
      <c r="H147" s="906"/>
      <c r="I147" s="906"/>
      <c r="J147" s="906"/>
      <c r="K147" s="906"/>
      <c r="L147" s="906"/>
      <c r="M147" s="906"/>
      <c r="N147" s="906"/>
      <c r="O147" s="906"/>
      <c r="P147" s="906"/>
      <c r="Q147" s="906"/>
      <c r="R147" s="906"/>
      <c r="T147" s="792" t="s">
        <v>660</v>
      </c>
    </row>
    <row r="148" spans="1:21" ht="13.2">
      <c r="A148" s="395" t="s">
        <v>90</v>
      </c>
      <c r="B148" s="396" t="s">
        <v>365</v>
      </c>
      <c r="C148" s="396"/>
      <c r="D148" s="397"/>
      <c r="E148" s="398"/>
      <c r="F148" s="398"/>
      <c r="G148" s="543"/>
      <c r="H148" s="543" t="s">
        <v>366</v>
      </c>
      <c r="I148" s="543" t="s">
        <v>367</v>
      </c>
      <c r="J148" s="543" t="s">
        <v>368</v>
      </c>
      <c r="K148" s="543" t="s">
        <v>369</v>
      </c>
      <c r="L148" s="543" t="s">
        <v>370</v>
      </c>
      <c r="M148" s="543" t="s">
        <v>371</v>
      </c>
      <c r="N148" s="543" t="s">
        <v>372</v>
      </c>
      <c r="O148" s="543" t="s">
        <v>373</v>
      </c>
      <c r="P148" s="543" t="s">
        <v>374</v>
      </c>
      <c r="Q148" s="543" t="s">
        <v>375</v>
      </c>
      <c r="R148" s="543" t="s">
        <v>376</v>
      </c>
      <c r="S148" s="543" t="s">
        <v>504</v>
      </c>
      <c r="T148" s="783" t="s">
        <v>646</v>
      </c>
      <c r="U148" s="84"/>
    </row>
    <row r="149" spans="1:21" ht="13.2">
      <c r="A149" s="399"/>
      <c r="B149"/>
      <c r="C149"/>
      <c r="D149"/>
      <c r="E149"/>
      <c r="F149"/>
      <c r="G149" s="506"/>
      <c r="H149" s="506"/>
      <c r="I149" s="506"/>
      <c r="J149" s="506"/>
      <c r="K149" s="506"/>
      <c r="L149" s="506"/>
      <c r="M149" s="506"/>
      <c r="N149" s="506"/>
      <c r="O149" s="506"/>
      <c r="P149" s="394"/>
      <c r="Q149" s="394"/>
      <c r="R149" s="394"/>
      <c r="S149" s="394"/>
      <c r="T149" s="784"/>
      <c r="U149" s="84"/>
    </row>
    <row r="150" spans="1:21" ht="13.2">
      <c r="A150" s="399">
        <v>1</v>
      </c>
      <c r="B150" s="731" t="s">
        <v>426</v>
      </c>
      <c r="C150"/>
      <c r="D150"/>
      <c r="E150"/>
      <c r="F150"/>
      <c r="G150" s="507"/>
      <c r="H150" s="507">
        <f t="shared" ref="H150:Q150" si="88">(H103-G103)/G103</f>
        <v>0.14768306935658937</v>
      </c>
      <c r="I150" s="507">
        <f t="shared" si="88"/>
        <v>-3.516274610385936E-2</v>
      </c>
      <c r="J150" s="507">
        <f t="shared" si="88"/>
        <v>0.12245077030372288</v>
      </c>
      <c r="K150" s="507">
        <f t="shared" si="88"/>
        <v>9.6827726347769195E-3</v>
      </c>
      <c r="L150" s="507">
        <f t="shared" si="88"/>
        <v>7.242209997672179E-2</v>
      </c>
      <c r="M150" s="507">
        <f t="shared" si="88"/>
        <v>3.809384416546472E-2</v>
      </c>
      <c r="N150" s="507">
        <f t="shared" si="88"/>
        <v>7.5203913425506114E-2</v>
      </c>
      <c r="O150" s="863">
        <f t="shared" si="88"/>
        <v>9.2214213847569129E-2</v>
      </c>
      <c r="P150" s="863">
        <f t="shared" si="88"/>
        <v>4.9500038223614332E-2</v>
      </c>
      <c r="Q150" s="507">
        <f t="shared" si="88"/>
        <v>8.595926573694776E-2</v>
      </c>
      <c r="R150" s="507">
        <f>(R103-Q103)/Q103</f>
        <v>9.0551378103331207E-2</v>
      </c>
      <c r="S150" s="507">
        <f>(S103-R103)/R103</f>
        <v>-4.5206093486132248E-2</v>
      </c>
      <c r="T150" s="863">
        <f>(T103-S103)/S103</f>
        <v>1.8527741031826316E-2</v>
      </c>
      <c r="U150" s="871" t="s">
        <v>739</v>
      </c>
    </row>
    <row r="151" spans="1:21" ht="13.2">
      <c r="A151" s="399"/>
      <c r="B151" s="648"/>
      <c r="C151"/>
      <c r="D151"/>
      <c r="E151"/>
      <c r="F151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06"/>
      <c r="R151" s="506"/>
      <c r="S151" s="506"/>
      <c r="T151" s="786"/>
      <c r="U151" s="84"/>
    </row>
    <row r="152" spans="1:21" ht="13.2">
      <c r="A152" s="399">
        <v>2</v>
      </c>
      <c r="B152" s="731" t="s">
        <v>436</v>
      </c>
      <c r="C152"/>
      <c r="D152"/>
      <c r="E152"/>
      <c r="F152"/>
      <c r="G152" s="507"/>
      <c r="H152" s="507">
        <f t="shared" ref="H152:R152" si="89">(H110-G110)/G110</f>
        <v>0.25685906786135998</v>
      </c>
      <c r="I152" s="507">
        <f t="shared" si="89"/>
        <v>2.0558165239016303E-2</v>
      </c>
      <c r="J152" s="507">
        <f t="shared" si="89"/>
        <v>4.1073265825526617E-2</v>
      </c>
      <c r="K152" s="507">
        <f t="shared" si="89"/>
        <v>2.8971938311097241E-2</v>
      </c>
      <c r="L152" s="507">
        <f t="shared" si="89"/>
        <v>5.6792619739668898E-2</v>
      </c>
      <c r="M152" s="507">
        <f t="shared" si="89"/>
        <v>2.7193150291782264E-2</v>
      </c>
      <c r="N152" s="507">
        <f t="shared" si="89"/>
        <v>6.8104030361591655E-2</v>
      </c>
      <c r="O152" s="507">
        <f t="shared" si="89"/>
        <v>5.6502594061995905E-2</v>
      </c>
      <c r="P152" s="507">
        <f t="shared" si="89"/>
        <v>7.8488012214748479E-2</v>
      </c>
      <c r="Q152" s="507">
        <f t="shared" si="89"/>
        <v>5.8044767553089724E-2</v>
      </c>
      <c r="R152" s="507">
        <f t="shared" si="89"/>
        <v>6.5854187762187183E-2</v>
      </c>
      <c r="S152" s="507">
        <f>(S110-R110)/R110</f>
        <v>2.3105893529671226E-2</v>
      </c>
      <c r="T152" s="785">
        <f>(T110-S110)/S110</f>
        <v>6.8780261325197323E-2</v>
      </c>
      <c r="U152" s="84"/>
    </row>
    <row r="153" spans="1:21" ht="13.2">
      <c r="A153" s="399"/>
      <c r="B153" s="648"/>
      <c r="C153"/>
      <c r="D153"/>
      <c r="E153"/>
      <c r="F153"/>
      <c r="G153" s="506"/>
      <c r="H153" s="506"/>
      <c r="I153" s="506"/>
      <c r="J153" s="506"/>
      <c r="K153" s="506"/>
      <c r="L153" s="506"/>
      <c r="M153" s="506"/>
      <c r="N153" s="506"/>
      <c r="O153" s="506"/>
      <c r="P153" s="394"/>
      <c r="Q153" s="394"/>
      <c r="R153" s="394"/>
      <c r="S153" s="394"/>
      <c r="T153" s="784"/>
      <c r="U153" s="84"/>
    </row>
    <row r="154" spans="1:21" ht="13.2">
      <c r="A154" s="399">
        <v>3</v>
      </c>
      <c r="B154" s="403" t="s">
        <v>611</v>
      </c>
      <c r="C154"/>
      <c r="D154"/>
      <c r="E154"/>
      <c r="F154"/>
      <c r="G154" s="507"/>
      <c r="H154" s="507">
        <f t="shared" ref="H154:T154" si="90">(H126-G126)/G126</f>
        <v>0.18401978524413226</v>
      </c>
      <c r="I154" s="507">
        <f t="shared" si="90"/>
        <v>-8.3003611496421867E-3</v>
      </c>
      <c r="J154" s="507">
        <f t="shared" si="90"/>
        <v>2.7835308140676428E-2</v>
      </c>
      <c r="K154" s="507">
        <f t="shared" si="90"/>
        <v>1.2526513023570099E-2</v>
      </c>
      <c r="L154" s="507">
        <f>(L126-K126)/K126</f>
        <v>1.7032879283494611E-2</v>
      </c>
      <c r="M154" s="507">
        <f t="shared" si="90"/>
        <v>-3.9328404153839702E-2</v>
      </c>
      <c r="N154" s="507">
        <f t="shared" si="90"/>
        <v>3.2469427673928221E-2</v>
      </c>
      <c r="O154" s="507">
        <f t="shared" si="90"/>
        <v>5.5611624707673224E-2</v>
      </c>
      <c r="P154" s="507">
        <f t="shared" si="90"/>
        <v>0.10500840273038936</v>
      </c>
      <c r="Q154" s="507">
        <f t="shared" si="90"/>
        <v>0.10884799848800535</v>
      </c>
      <c r="R154" s="507">
        <f t="shared" si="90"/>
        <v>3.3316484884116281E-2</v>
      </c>
      <c r="S154" s="507">
        <f t="shared" si="90"/>
        <v>7.4196128513480536E-2</v>
      </c>
      <c r="T154" s="785">
        <f t="shared" si="90"/>
        <v>6.0827048976547608E-2</v>
      </c>
      <c r="U154" s="84"/>
    </row>
    <row r="155" spans="1:21" ht="13.2">
      <c r="A155" s="399"/>
      <c r="B155" s="648"/>
      <c r="C155"/>
      <c r="D155"/>
      <c r="E155"/>
      <c r="F155"/>
      <c r="G155" s="506"/>
      <c r="H155" s="506"/>
      <c r="I155" s="506"/>
      <c r="J155" s="506"/>
      <c r="K155" s="506"/>
      <c r="L155" s="506"/>
      <c r="M155" s="506"/>
      <c r="N155" s="506"/>
      <c r="O155" s="506"/>
      <c r="P155" s="394"/>
      <c r="Q155" s="394"/>
      <c r="R155" s="394"/>
      <c r="S155" s="394"/>
      <c r="T155" s="784"/>
      <c r="U155" s="84"/>
    </row>
    <row r="156" spans="1:21" ht="13.2">
      <c r="A156" s="399">
        <v>4</v>
      </c>
      <c r="B156" s="506" t="s">
        <v>294</v>
      </c>
      <c r="C156"/>
      <c r="D156"/>
      <c r="E156"/>
      <c r="F156"/>
      <c r="G156" s="507"/>
      <c r="H156" s="507">
        <f t="shared" ref="H156:T156" si="91">(H129-G129)/G129</f>
        <v>0.11660360150873199</v>
      </c>
      <c r="I156" s="507">
        <f t="shared" si="91"/>
        <v>-2.5557740208951428E-2</v>
      </c>
      <c r="J156" s="507">
        <f t="shared" si="91"/>
        <v>5.1559668166338703E-2</v>
      </c>
      <c r="K156" s="507">
        <f t="shared" si="91"/>
        <v>5.4549221649185228E-2</v>
      </c>
      <c r="L156" s="507">
        <f t="shared" si="91"/>
        <v>7.0856760994680204E-2</v>
      </c>
      <c r="M156" s="507">
        <f t="shared" si="91"/>
        <v>1.7673002131558282E-2</v>
      </c>
      <c r="N156" s="507">
        <f t="shared" si="91"/>
        <v>5.3295974553158751E-2</v>
      </c>
      <c r="O156" s="507">
        <f t="shared" si="91"/>
        <v>7.6310960951630258E-2</v>
      </c>
      <c r="P156" s="507">
        <f t="shared" si="91"/>
        <v>4.9451857344139184E-2</v>
      </c>
      <c r="Q156" s="507">
        <f t="shared" si="91"/>
        <v>4.9299078049232482E-2</v>
      </c>
      <c r="R156" s="507">
        <f t="shared" si="91"/>
        <v>4.0867743926500798E-2</v>
      </c>
      <c r="S156" s="507">
        <f t="shared" si="91"/>
        <v>5.6063699108318529E-2</v>
      </c>
      <c r="T156" s="785">
        <f t="shared" si="91"/>
        <v>1.631283420222425E-2</v>
      </c>
      <c r="U156" s="84"/>
    </row>
    <row r="157" spans="1:21" ht="13.2">
      <c r="A157" s="399"/>
      <c r="B157" s="648"/>
      <c r="C157"/>
      <c r="D157"/>
      <c r="E157"/>
      <c r="F157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786"/>
      <c r="U157" s="84"/>
    </row>
    <row r="158" spans="1:21" ht="13.2">
      <c r="A158" s="399">
        <v>5</v>
      </c>
      <c r="B158" s="506" t="s">
        <v>442</v>
      </c>
      <c r="C158"/>
      <c r="D158"/>
      <c r="E158"/>
      <c r="F158"/>
      <c r="G158" s="507"/>
      <c r="H158" s="507">
        <f t="shared" ref="H158:T158" si="92">(H132-G132)/G132</f>
        <v>0.27504414115126818</v>
      </c>
      <c r="I158" s="507">
        <f t="shared" si="92"/>
        <v>-2.5483751565252316E-2</v>
      </c>
      <c r="J158" s="507">
        <f t="shared" si="92"/>
        <v>4.7906707989704263E-2</v>
      </c>
      <c r="K158" s="507">
        <f t="shared" si="92"/>
        <v>5.3766591989059281E-2</v>
      </c>
      <c r="L158" s="507">
        <f t="shared" si="92"/>
        <v>6.6682360747558678E-2</v>
      </c>
      <c r="M158" s="507">
        <f t="shared" si="92"/>
        <v>1.9832797986531901E-2</v>
      </c>
      <c r="N158" s="507">
        <f t="shared" si="92"/>
        <v>5.0439813646837209E-2</v>
      </c>
      <c r="O158" s="507">
        <f t="shared" si="92"/>
        <v>7.2775500619102512E-2</v>
      </c>
      <c r="P158" s="507">
        <f t="shared" si="92"/>
        <v>6.6674361380232611E-2</v>
      </c>
      <c r="Q158" s="507">
        <f t="shared" si="92"/>
        <v>6.1411642233225254E-2</v>
      </c>
      <c r="R158" s="507">
        <f t="shared" si="92"/>
        <v>1.855407900599633E-2</v>
      </c>
      <c r="S158" s="507">
        <f t="shared" si="92"/>
        <v>5.7876140555231992E-2</v>
      </c>
      <c r="T158" s="785">
        <f t="shared" si="92"/>
        <v>3.8420067011839629E-2</v>
      </c>
      <c r="U158" s="84"/>
    </row>
    <row r="159" spans="1:21" ht="13.2">
      <c r="A159" s="399"/>
      <c r="B159" s="506"/>
      <c r="C159"/>
      <c r="D159"/>
      <c r="E159"/>
      <c r="F159"/>
      <c r="G159" s="507"/>
      <c r="H159" s="507"/>
      <c r="I159" s="507"/>
      <c r="J159" s="507"/>
      <c r="K159" s="507"/>
      <c r="L159" s="507"/>
      <c r="M159" s="507"/>
      <c r="N159" s="507"/>
      <c r="O159" s="507"/>
      <c r="P159" s="507"/>
      <c r="Q159" s="507"/>
      <c r="R159" s="507"/>
      <c r="S159" s="507"/>
      <c r="T159" s="785"/>
      <c r="U159" s="84"/>
    </row>
    <row r="160" spans="1:21" ht="13.2">
      <c r="A160" s="399">
        <v>6</v>
      </c>
      <c r="B160" s="506" t="s">
        <v>378</v>
      </c>
      <c r="C160"/>
      <c r="D160"/>
      <c r="E160"/>
      <c r="F160"/>
      <c r="G160" s="507"/>
      <c r="H160" s="507">
        <f t="shared" ref="H160:T160" si="93">(H139-G139)/G139</f>
        <v>-0.13691026827012026</v>
      </c>
      <c r="I160" s="507">
        <f t="shared" si="93"/>
        <v>0.35905680600214362</v>
      </c>
      <c r="J160" s="507">
        <f t="shared" si="93"/>
        <v>9.5820189274447951E-2</v>
      </c>
      <c r="K160" s="507">
        <f t="shared" si="93"/>
        <v>0.23889391867578294</v>
      </c>
      <c r="L160" s="507">
        <f t="shared" si="93"/>
        <v>-0.14141803467102709</v>
      </c>
      <c r="M160" s="507">
        <f t="shared" si="93"/>
        <v>3.9580514208389712E-2</v>
      </c>
      <c r="N160" s="507">
        <f t="shared" si="93"/>
        <v>-6.4432150992515452E-2</v>
      </c>
      <c r="O160" s="507">
        <f t="shared" si="93"/>
        <v>-2.1349495652174127E-2</v>
      </c>
      <c r="P160" s="507">
        <f t="shared" si="93"/>
        <v>-1.7465043789455863E-4</v>
      </c>
      <c r="Q160" s="507">
        <f t="shared" si="93"/>
        <v>-2.9248571910390862E-4</v>
      </c>
      <c r="R160" s="507">
        <f t="shared" si="93"/>
        <v>0.17863440180407078</v>
      </c>
      <c r="S160" s="507">
        <f t="shared" si="93"/>
        <v>4.5047899939439209E-2</v>
      </c>
      <c r="T160" s="785">
        <f t="shared" si="93"/>
        <v>4.0973152424943456E-3</v>
      </c>
      <c r="U160" s="84"/>
    </row>
    <row r="161" spans="1:25" ht="13.2">
      <c r="A161" s="399"/>
      <c r="B161"/>
      <c r="C161"/>
      <c r="D161"/>
      <c r="E161"/>
      <c r="F161"/>
      <c r="G161"/>
      <c r="H161"/>
      <c r="I161"/>
      <c r="J161"/>
      <c r="K161"/>
      <c r="L161" s="498"/>
      <c r="M161"/>
      <c r="N161" s="498"/>
      <c r="O161"/>
      <c r="P161" s="498"/>
      <c r="Q161" s="394"/>
      <c r="R161" s="394"/>
      <c r="S161" s="40"/>
      <c r="T161" s="40"/>
      <c r="U161" s="84"/>
    </row>
    <row r="162" spans="1:25" ht="13.2">
      <c r="A162" s="399"/>
      <c r="B162" s="396" t="s">
        <v>505</v>
      </c>
      <c r="C162" s="396"/>
      <c r="D162" s="397"/>
      <c r="E162" s="398"/>
      <c r="F162" s="398"/>
      <c r="G162" s="543"/>
      <c r="H162" s="543" t="s">
        <v>647</v>
      </c>
      <c r="I162" s="543" t="s">
        <v>658</v>
      </c>
      <c r="J162" s="543" t="s">
        <v>648</v>
      </c>
      <c r="K162" s="543" t="s">
        <v>649</v>
      </c>
      <c r="L162" s="543" t="s">
        <v>650</v>
      </c>
      <c r="M162" s="543" t="s">
        <v>651</v>
      </c>
      <c r="N162" s="543" t="s">
        <v>652</v>
      </c>
      <c r="O162" s="543" t="s">
        <v>653</v>
      </c>
      <c r="P162" s="543" t="s">
        <v>654</v>
      </c>
      <c r="Q162" s="543" t="s">
        <v>655</v>
      </c>
      <c r="R162" s="543" t="s">
        <v>656</v>
      </c>
      <c r="S162" s="543" t="s">
        <v>657</v>
      </c>
      <c r="T162" s="783" t="s">
        <v>646</v>
      </c>
      <c r="U162" s="84"/>
      <c r="W162" s="48"/>
      <c r="X162" s="41"/>
      <c r="Y162" s="41"/>
    </row>
    <row r="163" spans="1:25" ht="13.8" thickBot="1">
      <c r="A163" s="399"/>
      <c r="B163"/>
      <c r="C163"/>
      <c r="D163"/>
      <c r="E163"/>
      <c r="F163"/>
      <c r="G163" s="508"/>
      <c r="H163" s="508"/>
      <c r="I163" s="508"/>
      <c r="J163" s="508"/>
      <c r="K163" s="508"/>
      <c r="L163" s="508"/>
      <c r="M163" s="508"/>
      <c r="N163" s="700"/>
      <c r="O163" s="508"/>
      <c r="P163" s="394"/>
      <c r="Q163" s="394"/>
      <c r="R163" s="394"/>
      <c r="S163" s="54"/>
      <c r="T163" s="54"/>
      <c r="U163" s="84"/>
      <c r="W163" s="683"/>
      <c r="X163" s="683"/>
      <c r="Y163" s="41"/>
    </row>
    <row r="164" spans="1:25" ht="13.2">
      <c r="A164" s="399">
        <v>7</v>
      </c>
      <c r="B164" s="731" t="s">
        <v>426</v>
      </c>
      <c r="C164"/>
      <c r="D164"/>
      <c r="E164"/>
      <c r="F164"/>
      <c r="G164" s="509"/>
      <c r="H164" s="509">
        <f>RATE(13,,-G103,$T103)</f>
        <v>5.4079532032045394E-2</v>
      </c>
      <c r="I164" s="509">
        <f>RATE(12,,-H103,$T103)</f>
        <v>4.6632775894920944E-2</v>
      </c>
      <c r="J164" s="509">
        <f>RATE(11,,-I103,$T103)</f>
        <v>5.4404091114978043E-2</v>
      </c>
      <c r="K164" s="509">
        <f>RATE(10,,-J103,$T103)</f>
        <v>4.7830559573585583E-2</v>
      </c>
      <c r="L164" s="509">
        <f>RATE(9,,-K103,$T103)</f>
        <v>5.2157192986189232E-2</v>
      </c>
      <c r="M164" s="509">
        <f>RATE(8,,-L103,$T103)</f>
        <v>4.965115435583739E-2</v>
      </c>
      <c r="N164" s="864">
        <f>RATE(7,,-M103,$T103)</f>
        <v>5.131266909343251E-2</v>
      </c>
      <c r="O164" s="865">
        <f>RATE(6,,-N103,$T103)</f>
        <v>4.7382729073762501E-2</v>
      </c>
      <c r="P164" s="865">
        <f>RATE(5,,-O103,$T103)</f>
        <v>3.8639715498140159E-2</v>
      </c>
      <c r="Q164" s="865">
        <f>RATE(4,,-P103,$T103)</f>
        <v>3.5942240391659691E-2</v>
      </c>
      <c r="R164" s="865">
        <f>RATE(3,,-Q103,$T103)</f>
        <v>1.9787170271239638E-2</v>
      </c>
      <c r="S164" s="865">
        <f>RATE(2,,-R103,$T103)</f>
        <v>-1.385392524610095E-2</v>
      </c>
      <c r="T164" s="865">
        <f>RATE(1,,-S103,$T103)</f>
        <v>1.8527741031826372E-2</v>
      </c>
      <c r="U164" s="871" t="s">
        <v>739</v>
      </c>
      <c r="V164" s="45"/>
    </row>
    <row r="165" spans="1:25" ht="9" customHeight="1">
      <c r="A165" s="399"/>
      <c r="B165" s="731"/>
      <c r="C165"/>
      <c r="D165"/>
      <c r="E165"/>
      <c r="F165"/>
      <c r="G165" s="509"/>
      <c r="H165" s="509"/>
      <c r="I165" s="509"/>
      <c r="J165" s="509"/>
      <c r="K165" s="509"/>
      <c r="L165" s="509"/>
      <c r="M165" s="509"/>
      <c r="N165" s="573"/>
      <c r="O165" s="509"/>
      <c r="P165" s="509"/>
      <c r="Q165" s="509"/>
      <c r="R165" s="509"/>
      <c r="S165" s="509"/>
      <c r="T165" s="686"/>
      <c r="U165" s="405"/>
      <c r="V165" s="45"/>
    </row>
    <row r="166" spans="1:25" ht="13.2">
      <c r="A166" s="701" t="s">
        <v>492</v>
      </c>
      <c r="B166" s="731" t="s">
        <v>612</v>
      </c>
      <c r="C166"/>
      <c r="D166"/>
      <c r="E166"/>
      <c r="F166"/>
      <c r="G166" s="509"/>
      <c r="H166" s="509"/>
      <c r="I166" s="509"/>
      <c r="J166" s="509"/>
      <c r="K166" s="509"/>
      <c r="L166" s="509"/>
      <c r="M166" s="509"/>
      <c r="N166" s="697">
        <v>0.03</v>
      </c>
      <c r="O166" s="509"/>
      <c r="P166" s="509"/>
      <c r="Q166" s="509"/>
      <c r="R166" s="509"/>
      <c r="S166" s="509"/>
      <c r="T166" s="686"/>
      <c r="U166" s="405"/>
      <c r="V166" s="45"/>
    </row>
    <row r="167" spans="1:25" ht="8.25" customHeight="1">
      <c r="A167" s="393"/>
      <c r="B167" s="731"/>
      <c r="C167"/>
      <c r="D167"/>
      <c r="E167"/>
      <c r="F167"/>
      <c r="G167" s="509"/>
      <c r="H167" s="509"/>
      <c r="I167" s="509"/>
      <c r="J167" s="509"/>
      <c r="K167" s="509"/>
      <c r="L167" s="509"/>
      <c r="M167" s="509"/>
      <c r="N167" s="573"/>
      <c r="O167" s="509"/>
      <c r="P167" s="509"/>
      <c r="Q167" s="509"/>
      <c r="R167" s="509"/>
      <c r="S167" s="509"/>
      <c r="T167" s="686"/>
      <c r="U167" s="405"/>
      <c r="V167" s="45"/>
    </row>
    <row r="168" spans="1:25" ht="13.2">
      <c r="A168" s="393">
        <v>8</v>
      </c>
      <c r="B168" s="731" t="s">
        <v>436</v>
      </c>
      <c r="C168"/>
      <c r="D168"/>
      <c r="E168"/>
      <c r="F168"/>
      <c r="G168" s="509"/>
      <c r="H168" s="509">
        <f>RATE(13,,-G110,$T110)</f>
        <v>6.394726835508166E-2</v>
      </c>
      <c r="I168" s="509">
        <f t="shared" ref="I168" si="94">RATE(12,,-H110,$T110)</f>
        <v>4.9275576140767163E-2</v>
      </c>
      <c r="J168" s="509">
        <f>RATE(11,,-I110,$T110)</f>
        <v>5.1925982638870098E-2</v>
      </c>
      <c r="K168" s="509">
        <f>RATE(10,,-J110,$T110)</f>
        <v>5.3017457362145651E-2</v>
      </c>
      <c r="L168" s="509">
        <f>RATE(9,,-K110,$T110)</f>
        <v>5.5723629797216304E-2</v>
      </c>
      <c r="M168" s="509">
        <f>RATE(8,,-L110,$T110)</f>
        <v>5.5590082107730233E-2</v>
      </c>
      <c r="N168" s="573">
        <f>RATE(7,,-M110,$T110)</f>
        <v>5.971037160911416E-2</v>
      </c>
      <c r="O168" s="509">
        <f>RATE(6,,-N110,$T110)</f>
        <v>5.8317855435061468E-2</v>
      </c>
      <c r="P168" s="509">
        <f>RATE(5,,-O110,$T110)</f>
        <v>5.8681281811738033E-2</v>
      </c>
      <c r="Q168" s="509">
        <f>RATE(4,,-P110,$T110)</f>
        <v>5.3786699172580985E-2</v>
      </c>
      <c r="R168" s="509">
        <f>RATE(3,,-Q110,$T110)</f>
        <v>5.2371154560321452E-2</v>
      </c>
      <c r="S168" s="509">
        <f>RATE(2,,-R110,$T110)</f>
        <v>4.5693733485477332E-2</v>
      </c>
      <c r="T168" s="686">
        <f>RATE(1,,-S110,$T110)</f>
        <v>6.8780261325197378E-2</v>
      </c>
      <c r="U168" s="405"/>
      <c r="V168" s="45"/>
    </row>
    <row r="169" spans="1:25" ht="9.75" customHeight="1">
      <c r="A169" s="393"/>
      <c r="B169" s="731"/>
      <c r="C169"/>
      <c r="D169" s="12"/>
      <c r="E169"/>
      <c r="F169"/>
      <c r="G169" s="402"/>
      <c r="H169" s="402"/>
      <c r="I169" s="402"/>
      <c r="J169" s="402"/>
      <c r="K169" s="402"/>
      <c r="L169" s="402"/>
      <c r="M169" s="402"/>
      <c r="N169" s="573"/>
      <c r="O169" s="402"/>
      <c r="P169" s="402"/>
      <c r="Q169" s="402"/>
      <c r="R169" s="402"/>
      <c r="S169" s="402"/>
      <c r="T169" s="787"/>
      <c r="U169" s="84"/>
    </row>
    <row r="170" spans="1:25" ht="13.2">
      <c r="A170" s="701" t="s">
        <v>596</v>
      </c>
      <c r="B170" s="731" t="s">
        <v>634</v>
      </c>
      <c r="C170" s="642"/>
      <c r="D170" s="648"/>
      <c r="E170" s="642"/>
      <c r="F170" s="642"/>
      <c r="G170" s="402"/>
      <c r="H170" s="402"/>
      <c r="I170" s="402"/>
      <c r="J170" s="402"/>
      <c r="K170" s="402"/>
      <c r="L170" s="402"/>
      <c r="M170" s="402"/>
      <c r="N170" s="697">
        <f>G214</f>
        <v>0.10544647772026131</v>
      </c>
      <c r="O170" s="402" t="s">
        <v>633</v>
      </c>
      <c r="P170" s="402"/>
      <c r="Q170" s="402"/>
      <c r="R170" s="402"/>
      <c r="S170" s="402"/>
      <c r="T170" s="787"/>
      <c r="U170" s="84"/>
    </row>
    <row r="171" spans="1:25" ht="9" customHeight="1">
      <c r="A171" s="393"/>
      <c r="B171" s="731"/>
      <c r="C171" s="642"/>
      <c r="D171" s="648"/>
      <c r="E171" s="642"/>
      <c r="F171" s="642"/>
      <c r="G171" s="402"/>
      <c r="H171" s="402"/>
      <c r="I171" s="402"/>
      <c r="J171" s="402"/>
      <c r="K171" s="402"/>
      <c r="L171" s="402"/>
      <c r="M171" s="402"/>
      <c r="N171" s="573"/>
      <c r="O171" s="402"/>
      <c r="P171" s="402"/>
      <c r="Q171" s="402"/>
      <c r="R171" s="402"/>
      <c r="S171" s="402"/>
      <c r="T171" s="787"/>
      <c r="U171" s="84"/>
    </row>
    <row r="172" spans="1:25" ht="13.2">
      <c r="A172" s="701">
        <v>9</v>
      </c>
      <c r="B172" s="403" t="s">
        <v>611</v>
      </c>
      <c r="C172"/>
      <c r="D172"/>
      <c r="E172"/>
      <c r="F172"/>
      <c r="G172" s="509"/>
      <c r="H172" s="509">
        <f>RATE(13,,-G126,$T126)</f>
        <v>4.9646439895592559E-2</v>
      </c>
      <c r="I172" s="509">
        <f t="shared" ref="I172" si="95">RATE(12,,-H126,$T126)</f>
        <v>3.916228663606372E-2</v>
      </c>
      <c r="J172" s="509">
        <f>RATE(11,,-I126,$T126)</f>
        <v>4.358811472317773E-2</v>
      </c>
      <c r="K172" s="509">
        <f>RATE(10,,-J126,$T126)</f>
        <v>4.5176613452509444E-2</v>
      </c>
      <c r="L172" s="509">
        <f>RATE(9,,-K126,$T126)</f>
        <v>4.8868780891212514E-2</v>
      </c>
      <c r="M172" s="509">
        <f>RATE(8,,-L126,$T126)</f>
        <v>5.2917708034977591E-2</v>
      </c>
      <c r="N172" s="573">
        <f>RATE(7,,-M126,$T126)</f>
        <v>6.6799803022223256E-2</v>
      </c>
      <c r="O172" s="509">
        <f>RATE(6,,-N126,$T126)</f>
        <v>7.2631502717645791E-2</v>
      </c>
      <c r="P172" s="509">
        <f>RATE(5,,-O126,$T126)</f>
        <v>7.606826762107971E-2</v>
      </c>
      <c r="Q172" s="509">
        <f>RATE(4,,-P126,$T126)</f>
        <v>6.8952446583131599E-2</v>
      </c>
      <c r="R172" s="509">
        <f>RATE(3,,-Q126,$T126)</f>
        <v>5.5975499354969351E-2</v>
      </c>
      <c r="S172" s="509">
        <f>RATE(2,,-R126,$T126)</f>
        <v>6.749065992775849E-2</v>
      </c>
      <c r="T172" s="686">
        <f>RATE(1,,-S126,$T126)</f>
        <v>6.0827048976547587E-2</v>
      </c>
      <c r="U172" s="405"/>
      <c r="V172" s="45"/>
    </row>
    <row r="173" spans="1:25" ht="9" customHeight="1">
      <c r="A173" s="393"/>
      <c r="B173" s="648"/>
      <c r="C173"/>
      <c r="D173" s="12"/>
      <c r="E173"/>
      <c r="F173"/>
      <c r="G173" s="402"/>
      <c r="H173" s="402"/>
      <c r="I173" s="402"/>
      <c r="J173" s="402"/>
      <c r="K173" s="402"/>
      <c r="L173" s="402"/>
      <c r="M173" s="402"/>
      <c r="N173" s="573"/>
      <c r="O173" s="402"/>
      <c r="P173" s="402"/>
      <c r="Q173" s="402"/>
      <c r="R173" s="402"/>
      <c r="S173" s="402"/>
      <c r="T173" s="787"/>
      <c r="U173" s="84"/>
    </row>
    <row r="174" spans="1:25" ht="13.2">
      <c r="A174" s="393">
        <v>10</v>
      </c>
      <c r="B174" s="506" t="s">
        <v>294</v>
      </c>
      <c r="C174"/>
      <c r="D174"/>
      <c r="E174" s="394"/>
      <c r="F174" s="394"/>
      <c r="G174" s="510"/>
      <c r="H174" s="510">
        <f>RATE(13,,-G129,$T129)</f>
        <v>4.7751654874845346E-2</v>
      </c>
      <c r="I174" s="510">
        <f t="shared" ref="I174" si="96">RATE(12,,-H129,$T129)</f>
        <v>4.2209353212042514E-2</v>
      </c>
      <c r="J174" s="510">
        <f>RATE(11,,-I129,$T129)</f>
        <v>4.8598924277941435E-2</v>
      </c>
      <c r="K174" s="510">
        <f>RATE(10,,-J129,$T129)</f>
        <v>4.830330876750677E-2</v>
      </c>
      <c r="L174" s="510">
        <f>RATE(9,,-K129,$T129)</f>
        <v>4.7611606013095532E-2</v>
      </c>
      <c r="M174" s="510">
        <f>RATE(8,,-L129,$T129)</f>
        <v>4.4741667143021031E-2</v>
      </c>
      <c r="N174" s="573">
        <f>RATE(7,,-M129,$T129)</f>
        <v>4.866695261094222E-2</v>
      </c>
      <c r="O174" s="510">
        <f>RATE(6,,-N129,$T129)</f>
        <v>4.7897429224418503E-2</v>
      </c>
      <c r="P174" s="510">
        <f>RATE(5,,-O129,$T129)</f>
        <v>4.2305374825289573E-2</v>
      </c>
      <c r="Q174" s="510">
        <f>RATE(4,,-P129,$T129)</f>
        <v>4.0526371180795211E-2</v>
      </c>
      <c r="R174" s="510">
        <f>RATE(3,,-Q129,$T129)</f>
        <v>3.7618464737937111E-2</v>
      </c>
      <c r="S174" s="510">
        <f>RATE(2,,-R129,$T129)</f>
        <v>3.599763085581429E-2</v>
      </c>
      <c r="T174" s="788">
        <f>RATE(1,,-S129,$T129)</f>
        <v>1.6312834202224444E-2</v>
      </c>
      <c r="U174" s="84"/>
    </row>
    <row r="175" spans="1:25" ht="8.25" customHeight="1">
      <c r="A175" s="393"/>
      <c r="B175" s="506"/>
      <c r="C175" s="642"/>
      <c r="D175" s="642"/>
      <c r="E175" s="394"/>
      <c r="F175" s="394"/>
      <c r="G175" s="510"/>
      <c r="H175" s="510"/>
      <c r="I175" s="510"/>
      <c r="J175" s="510"/>
      <c r="K175" s="510"/>
      <c r="L175" s="510"/>
      <c r="M175" s="510"/>
      <c r="N175" s="573"/>
      <c r="O175" s="510"/>
      <c r="P175" s="510"/>
      <c r="Q175" s="510"/>
      <c r="R175" s="510"/>
      <c r="S175" s="510"/>
      <c r="T175" s="788"/>
      <c r="U175" s="84"/>
    </row>
    <row r="176" spans="1:25" ht="13.2">
      <c r="A176" s="701" t="s">
        <v>597</v>
      </c>
      <c r="B176" s="506" t="s">
        <v>608</v>
      </c>
      <c r="C176" s="642"/>
      <c r="D176" s="642"/>
      <c r="E176" s="394"/>
      <c r="F176" s="394"/>
      <c r="G176" s="510"/>
      <c r="H176" s="510"/>
      <c r="I176" s="510"/>
      <c r="J176" s="510"/>
      <c r="K176" s="510"/>
      <c r="L176" s="510"/>
      <c r="M176" s="510"/>
      <c r="N176" s="697">
        <f>G220</f>
        <v>6.0364363497597731E-2</v>
      </c>
      <c r="O176" s="402" t="s">
        <v>633</v>
      </c>
      <c r="P176" s="510"/>
      <c r="Q176" s="510"/>
      <c r="R176" s="510"/>
      <c r="S176" s="510"/>
      <c r="T176" s="788"/>
      <c r="U176" s="84"/>
    </row>
    <row r="177" spans="1:26" ht="9" customHeight="1">
      <c r="A177" s="393"/>
      <c r="B177" s="648"/>
      <c r="C177"/>
      <c r="D177" s="12"/>
      <c r="E177"/>
      <c r="F177"/>
      <c r="G177" s="402"/>
      <c r="H177" s="402"/>
      <c r="I177" s="402"/>
      <c r="J177" s="402"/>
      <c r="K177" s="402"/>
      <c r="L177" s="402"/>
      <c r="M177" s="402"/>
      <c r="N177" s="573"/>
      <c r="O177" s="402"/>
      <c r="P177" s="402"/>
      <c r="Q177" s="402"/>
      <c r="R177" s="402"/>
      <c r="S177" s="402"/>
      <c r="T177" s="787"/>
      <c r="U177" s="84"/>
    </row>
    <row r="178" spans="1:26" ht="13.2">
      <c r="A178" s="393">
        <v>11</v>
      </c>
      <c r="B178" s="506" t="s">
        <v>377</v>
      </c>
      <c r="C178"/>
      <c r="D178"/>
      <c r="E178"/>
      <c r="F178"/>
      <c r="G178" s="510"/>
      <c r="H178" s="510">
        <f>RATE(13,,-G132,$T132)</f>
        <v>5.9916811852193413E-2</v>
      </c>
      <c r="I178" s="510">
        <f t="shared" ref="I178" si="97">RATE(12,,-H132,$T132)</f>
        <v>4.3719972514857285E-2</v>
      </c>
      <c r="J178" s="510">
        <f>RATE(11,,-I132,$T132)</f>
        <v>5.0249835767023479E-2</v>
      </c>
      <c r="K178" s="510">
        <f>RATE(10,,-J132,$T132)</f>
        <v>5.0484436510544822E-2</v>
      </c>
      <c r="L178" s="510">
        <f>RATE(9,,-K132,$T132)</f>
        <v>5.01203841945803E-2</v>
      </c>
      <c r="M178" s="510">
        <f>RATE(8,,-L132,$T132)</f>
        <v>4.8068300579560262E-2</v>
      </c>
      <c r="N178" s="573">
        <f>RATE(7,,-M132,$T132)</f>
        <v>5.2165260860669999E-2</v>
      </c>
      <c r="O178" s="510">
        <f>RATE(6,,-N132,$T132)</f>
        <v>5.2453110818970111E-2</v>
      </c>
      <c r="P178" s="510">
        <f>RATE(5,,-O132,$T132)</f>
        <v>4.8435066116128689E-2</v>
      </c>
      <c r="Q178" s="510">
        <f>RATE(4,,-P132,$T132)</f>
        <v>4.3924183070881924E-2</v>
      </c>
      <c r="R178" s="510">
        <f>RATE(3,,-Q132,$T132)</f>
        <v>3.8159292158925127E-2</v>
      </c>
      <c r="S178" s="510">
        <f>RATE(2,,-R132,$T132)</f>
        <v>4.8102959048198828E-2</v>
      </c>
      <c r="T178" s="788">
        <f>RATE(1,,-S132,$T132)</f>
        <v>3.8420067011839663E-2</v>
      </c>
      <c r="U178" s="405"/>
      <c r="V178" s="45"/>
    </row>
    <row r="179" spans="1:26" ht="13.2">
      <c r="A179" s="393"/>
      <c r="B179" s="403"/>
      <c r="C179" s="403"/>
      <c r="D179" s="12"/>
      <c r="E179" s="394"/>
      <c r="F179" s="394"/>
      <c r="G179" s="402"/>
      <c r="H179" s="402"/>
      <c r="I179" s="402"/>
      <c r="J179" s="402"/>
      <c r="K179" s="402"/>
      <c r="L179" s="402"/>
      <c r="M179" s="402"/>
      <c r="N179" s="573"/>
      <c r="O179" s="402"/>
      <c r="P179" s="402"/>
      <c r="Q179" s="402"/>
      <c r="R179" s="402"/>
      <c r="S179" s="402"/>
      <c r="T179" s="787"/>
    </row>
    <row r="180" spans="1:26" ht="13.8" thickBot="1">
      <c r="A180" s="701">
        <v>12</v>
      </c>
      <c r="B180" s="506" t="s">
        <v>378</v>
      </c>
      <c r="C180"/>
      <c r="D180"/>
      <c r="E180" s="394"/>
      <c r="F180" s="394"/>
      <c r="G180" s="510"/>
      <c r="H180" s="510">
        <f>RATE(13,,-G139,$T139)</f>
        <v>3.7252431363684092E-2</v>
      </c>
      <c r="I180" s="510">
        <f t="shared" ref="I180" si="98">RATE(12,,-H139,$T139)</f>
        <v>5.326302262640506E-2</v>
      </c>
      <c r="J180" s="510">
        <f>RATE(11,,-I139,$T139)</f>
        <v>2.913685420849425E-2</v>
      </c>
      <c r="K180" s="510">
        <f>RATE(10,,-J139,$T139)</f>
        <v>2.2695898547999329E-2</v>
      </c>
      <c r="L180" s="510">
        <f>RATE(9,,-K139,$T139)</f>
        <v>1.1342876587779784E-3</v>
      </c>
      <c r="M180" s="510">
        <f>RATE(8,,-L139,$T139)</f>
        <v>2.0542645746224081E-2</v>
      </c>
      <c r="N180" s="741">
        <f>RATE(7,,-M139,$T139)</f>
        <v>1.7851560938176823E-2</v>
      </c>
      <c r="O180" s="510">
        <f>RATE(6,,-N139,$T139)</f>
        <v>3.2252571312358196E-2</v>
      </c>
      <c r="P180" s="510">
        <f>RATE(5,,-O139,$T139)</f>
        <v>4.3320265418828434E-2</v>
      </c>
      <c r="Q180" s="510">
        <f>RATE(4,,-P139,$T139)</f>
        <v>5.4486485399241037E-2</v>
      </c>
      <c r="R180" s="510">
        <f>RATE(3,,-Q139,$T139)</f>
        <v>7.3405225735358168E-2</v>
      </c>
      <c r="S180" s="510">
        <f>RATE(2,,-R139,$T139)</f>
        <v>2.4367995707108125E-2</v>
      </c>
      <c r="T180" s="788">
        <f>RATE(1,,-S139,$T139)</f>
        <v>4.0973152424944653E-3</v>
      </c>
      <c r="U180" s="405"/>
      <c r="V180" s="45"/>
    </row>
    <row r="181" spans="1:26">
      <c r="A181" s="399"/>
      <c r="B181" s="403"/>
      <c r="C181" s="403"/>
      <c r="D181" s="403"/>
      <c r="E181" s="404"/>
      <c r="F181" s="404"/>
      <c r="G181" s="394"/>
      <c r="H181" s="394"/>
      <c r="I181" s="394"/>
      <c r="J181" s="394"/>
      <c r="K181" s="394"/>
      <c r="L181" s="394"/>
      <c r="M181" s="394"/>
      <c r="N181" s="498"/>
      <c r="O181" s="394"/>
      <c r="P181" s="394"/>
      <c r="Q181" s="394"/>
      <c r="R181" s="403"/>
      <c r="S181" s="40"/>
      <c r="T181" s="40"/>
      <c r="U181" s="84"/>
      <c r="W181" s="684"/>
      <c r="X181" s="685"/>
      <c r="Y181" s="43"/>
      <c r="Z181" s="43"/>
    </row>
    <row r="182" spans="1:26" ht="13.2">
      <c r="A182" s="399"/>
      <c r="B182" s="396" t="s">
        <v>422</v>
      </c>
      <c r="C182" s="396"/>
      <c r="D182" s="397"/>
      <c r="E182" s="398"/>
      <c r="F182" s="398"/>
      <c r="G182" s="543"/>
      <c r="H182" s="543" t="s">
        <v>647</v>
      </c>
      <c r="I182" s="543" t="s">
        <v>658</v>
      </c>
      <c r="J182" s="543" t="s">
        <v>648</v>
      </c>
      <c r="K182" s="543" t="s">
        <v>649</v>
      </c>
      <c r="L182" s="543" t="s">
        <v>650</v>
      </c>
      <c r="M182" s="543" t="s">
        <v>651</v>
      </c>
      <c r="N182" s="543" t="s">
        <v>652</v>
      </c>
      <c r="O182" s="543" t="s">
        <v>653</v>
      </c>
      <c r="P182" s="543" t="s">
        <v>654</v>
      </c>
      <c r="Q182" s="543" t="s">
        <v>655</v>
      </c>
      <c r="R182" s="543" t="s">
        <v>656</v>
      </c>
      <c r="S182" s="543" t="s">
        <v>657</v>
      </c>
      <c r="T182" s="783" t="s">
        <v>646</v>
      </c>
      <c r="U182" s="84"/>
      <c r="W182" s="41"/>
      <c r="X182" s="41"/>
      <c r="Y182" s="41"/>
      <c r="Z182" s="41"/>
    </row>
    <row r="183" spans="1:26" ht="6.75" customHeight="1" thickBot="1">
      <c r="A183" s="399"/>
      <c r="B183" s="403"/>
      <c r="C183" s="403"/>
      <c r="D183" s="403"/>
      <c r="E183" s="404"/>
      <c r="F183" s="404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1"/>
      <c r="R183" s="403"/>
      <c r="S183" s="54"/>
      <c r="T183" s="54"/>
      <c r="U183" s="84"/>
      <c r="W183" s="41"/>
      <c r="X183" s="686"/>
      <c r="Y183" s="41"/>
      <c r="Z183" s="41"/>
    </row>
    <row r="184" spans="1:26">
      <c r="A184" s="399">
        <v>13</v>
      </c>
      <c r="B184" s="731" t="s">
        <v>426</v>
      </c>
      <c r="C184" s="403"/>
      <c r="D184" s="403"/>
      <c r="G184" s="404" t="s">
        <v>659</v>
      </c>
      <c r="H184" s="512">
        <f t="shared" ref="H184:T184" si="99">(1+H164)^2-1</f>
        <v>0.11108365984889557</v>
      </c>
      <c r="I184" s="512">
        <f t="shared" si="99"/>
        <v>9.544016757750784E-2</v>
      </c>
      <c r="J184" s="512">
        <f t="shared" si="99"/>
        <v>0.11176798736000304</v>
      </c>
      <c r="K184" s="512">
        <f t="shared" si="99"/>
        <v>9.7948881576293223E-2</v>
      </c>
      <c r="L184" s="512">
        <f t="shared" si="99"/>
        <v>0.10703475875257706</v>
      </c>
      <c r="M184" s="512">
        <f t="shared" si="99"/>
        <v>0.10176754584054182</v>
      </c>
      <c r="N184" s="874">
        <f t="shared" si="99"/>
        <v>0.10525832819635705</v>
      </c>
      <c r="O184" s="875">
        <f t="shared" si="99"/>
        <v>9.7010581162002563E-2</v>
      </c>
      <c r="P184" s="875">
        <f t="shared" si="99"/>
        <v>7.877245861005755E-2</v>
      </c>
      <c r="Q184" s="875">
        <f t="shared" si="99"/>
        <v>7.3176325427691147E-2</v>
      </c>
      <c r="R184" s="875">
        <f t="shared" si="99"/>
        <v>3.9965872649822209E-2</v>
      </c>
      <c r="S184" s="875">
        <f t="shared" si="99"/>
        <v>-2.7515919247477316E-2</v>
      </c>
      <c r="T184" s="875">
        <f t="shared" si="99"/>
        <v>3.7398759251395131E-2</v>
      </c>
      <c r="U184" s="871" t="s">
        <v>739</v>
      </c>
      <c r="V184" s="45"/>
      <c r="W184" s="41"/>
      <c r="X184" s="41"/>
      <c r="Y184" s="41"/>
      <c r="Z184" s="41"/>
    </row>
    <row r="185" spans="1:26">
      <c r="A185" s="399"/>
      <c r="B185" s="400"/>
      <c r="C185" s="403"/>
      <c r="D185" s="403"/>
      <c r="G185" s="404"/>
      <c r="H185" s="512"/>
      <c r="I185" s="512"/>
      <c r="J185" s="512"/>
      <c r="K185" s="512"/>
      <c r="L185" s="512"/>
      <c r="M185" s="512"/>
      <c r="N185" s="573"/>
      <c r="O185" s="512"/>
      <c r="P185" s="512"/>
      <c r="Q185" s="512"/>
      <c r="R185" s="512"/>
      <c r="S185" s="45"/>
      <c r="T185" s="668"/>
      <c r="U185" s="405"/>
      <c r="V185" s="45"/>
    </row>
    <row r="186" spans="1:26">
      <c r="A186" s="699" t="s">
        <v>493</v>
      </c>
      <c r="B186" s="400" t="s">
        <v>612</v>
      </c>
      <c r="C186" s="403"/>
      <c r="D186" s="403"/>
      <c r="G186" s="833" t="s">
        <v>659</v>
      </c>
      <c r="H186" s="512"/>
      <c r="I186" s="512"/>
      <c r="J186" s="512"/>
      <c r="K186" s="512"/>
      <c r="L186" s="512"/>
      <c r="M186" s="512"/>
      <c r="N186" s="698">
        <f>(1+N166)^2-1</f>
        <v>6.0899999999999954E-2</v>
      </c>
      <c r="O186" s="512"/>
      <c r="P186" s="512"/>
      <c r="Q186" s="512"/>
      <c r="R186" s="512"/>
      <c r="S186" s="45"/>
      <c r="T186" s="668"/>
      <c r="U186" s="405"/>
      <c r="V186" s="45"/>
    </row>
    <row r="187" spans="1:26">
      <c r="A187" s="399"/>
      <c r="B187" s="400"/>
      <c r="C187" s="403"/>
      <c r="D187" s="403"/>
      <c r="G187" s="404"/>
      <c r="H187" s="512"/>
      <c r="I187" s="512"/>
      <c r="J187" s="512"/>
      <c r="K187" s="512"/>
      <c r="L187" s="512"/>
      <c r="M187" s="512"/>
      <c r="N187" s="573"/>
      <c r="O187" s="512"/>
      <c r="P187" s="512"/>
      <c r="Q187" s="512"/>
      <c r="R187" s="512"/>
      <c r="S187" s="45"/>
      <c r="T187" s="668"/>
      <c r="U187" s="405"/>
      <c r="V187" s="45"/>
    </row>
    <row r="188" spans="1:26">
      <c r="A188" s="399">
        <v>14</v>
      </c>
      <c r="B188" s="731" t="s">
        <v>610</v>
      </c>
      <c r="C188" s="403"/>
      <c r="D188" s="403"/>
      <c r="G188" s="834" t="s">
        <v>659</v>
      </c>
      <c r="H188" s="512">
        <f>(1+H168)^2-1</f>
        <v>0.13198378984024028</v>
      </c>
      <c r="I188" s="512">
        <f t="shared" ref="I188:T188" si="100">(1+I168)^2-1</f>
        <v>0.10097923468553915</v>
      </c>
      <c r="J188" s="512">
        <f t="shared" si="100"/>
        <v>0.10654827295075231</v>
      </c>
      <c r="K188" s="512">
        <f t="shared" si="100"/>
        <v>0.10884576550943814</v>
      </c>
      <c r="L188" s="512">
        <f t="shared" si="100"/>
        <v>0.11455238251220989</v>
      </c>
      <c r="M188" s="512">
        <f t="shared" si="100"/>
        <v>0.11427042144420452</v>
      </c>
      <c r="N188" s="573">
        <f>(1+N168)^2-1</f>
        <v>0.12298607169592657</v>
      </c>
      <c r="O188" s="512">
        <f t="shared" si="100"/>
        <v>0.12003668313266758</v>
      </c>
      <c r="P188" s="512">
        <f t="shared" si="100"/>
        <v>0.12080605645854448</v>
      </c>
      <c r="Q188" s="512">
        <f t="shared" si="100"/>
        <v>0.11046640735304392</v>
      </c>
      <c r="R188" s="512">
        <f t="shared" si="100"/>
        <v>0.10748504695062389</v>
      </c>
      <c r="S188" s="512">
        <f t="shared" si="100"/>
        <v>9.3475384250796267E-2</v>
      </c>
      <c r="T188" s="512">
        <f t="shared" si="100"/>
        <v>0.14229124699835705</v>
      </c>
      <c r="U188" s="405"/>
      <c r="V188" s="45"/>
    </row>
    <row r="189" spans="1:26">
      <c r="A189" s="399"/>
      <c r="B189" s="400"/>
      <c r="C189" s="403"/>
      <c r="D189" s="403"/>
      <c r="G189" s="404"/>
      <c r="H189" s="512"/>
      <c r="I189" s="512"/>
      <c r="J189" s="512"/>
      <c r="K189" s="512"/>
      <c r="L189" s="512"/>
      <c r="M189" s="512"/>
      <c r="N189" s="573"/>
      <c r="O189" s="512"/>
      <c r="P189" s="512"/>
      <c r="Q189" s="512"/>
      <c r="R189" s="512"/>
      <c r="S189" s="512"/>
      <c r="T189" s="789"/>
      <c r="U189" s="405"/>
      <c r="V189" s="668"/>
    </row>
    <row r="190" spans="1:26">
      <c r="A190" s="699" t="s">
        <v>598</v>
      </c>
      <c r="B190" s="400" t="s">
        <v>634</v>
      </c>
      <c r="C190" s="403"/>
      <c r="D190" s="403"/>
      <c r="G190" s="833" t="s">
        <v>659</v>
      </c>
      <c r="H190" s="512"/>
      <c r="I190" s="512"/>
      <c r="J190" s="512"/>
      <c r="K190" s="512"/>
      <c r="L190" s="512"/>
      <c r="M190" s="512"/>
      <c r="N190" s="698">
        <f>(1+N170)^2-1</f>
        <v>0.22201191510413221</v>
      </c>
      <c r="O190" s="402" t="s">
        <v>633</v>
      </c>
      <c r="P190" s="512"/>
      <c r="Q190" s="512"/>
      <c r="R190" s="512"/>
      <c r="S190" s="512"/>
      <c r="T190" s="789"/>
      <c r="U190" s="405"/>
      <c r="V190" s="668"/>
    </row>
    <row r="191" spans="1:26">
      <c r="A191" s="399"/>
      <c r="B191" s="400"/>
      <c r="C191" s="403"/>
      <c r="D191" s="403"/>
      <c r="G191" s="404"/>
      <c r="H191" s="511"/>
      <c r="I191" s="511"/>
      <c r="J191" s="511"/>
      <c r="K191" s="511"/>
      <c r="L191" s="511"/>
      <c r="M191" s="511"/>
      <c r="N191" s="573"/>
      <c r="O191" s="511"/>
      <c r="P191" s="511"/>
      <c r="Q191" s="511"/>
      <c r="R191" s="511"/>
      <c r="S191" s="511"/>
      <c r="T191" s="790"/>
      <c r="U191" s="84"/>
    </row>
    <row r="192" spans="1:26">
      <c r="A192" s="699">
        <v>15</v>
      </c>
      <c r="B192" s="400" t="s">
        <v>611</v>
      </c>
      <c r="C192" s="403"/>
      <c r="D192" s="403"/>
      <c r="G192" s="833" t="s">
        <v>659</v>
      </c>
      <c r="H192" s="512">
        <f>(1+H172)^2-1</f>
        <v>0.10175764878549165</v>
      </c>
      <c r="I192" s="512">
        <f t="shared" ref="I192:T192" si="101">(1+I172)^2-1</f>
        <v>7.9858257966692658E-2</v>
      </c>
      <c r="J192" s="512">
        <f t="shared" si="101"/>
        <v>8.9076153191476548E-2</v>
      </c>
      <c r="K192" s="512">
        <f t="shared" si="101"/>
        <v>9.2394153308056115E-2</v>
      </c>
      <c r="L192" s="512">
        <f t="shared" si="101"/>
        <v>0.10012571952821836</v>
      </c>
      <c r="M192" s="512">
        <f t="shared" si="101"/>
        <v>0.10863569989363042</v>
      </c>
      <c r="N192" s="698">
        <f t="shared" si="101"/>
        <v>0.13806181972825415</v>
      </c>
      <c r="O192" s="512">
        <f t="shared" si="101"/>
        <v>0.15053834062231508</v>
      </c>
      <c r="P192" s="512">
        <f t="shared" si="101"/>
        <v>0.15792291658103164</v>
      </c>
      <c r="Q192" s="512">
        <f t="shared" si="101"/>
        <v>0.14265933305606304</v>
      </c>
      <c r="R192" s="512">
        <f t="shared" si="101"/>
        <v>0.11508425523797672</v>
      </c>
      <c r="S192" s="512">
        <f t="shared" si="101"/>
        <v>0.13953630903300129</v>
      </c>
      <c r="T192" s="789">
        <f t="shared" si="101"/>
        <v>0.1253540278402907</v>
      </c>
      <c r="U192" s="405"/>
      <c r="V192" s="45"/>
    </row>
    <row r="193" spans="1:22" ht="13.2">
      <c r="A193" s="399"/>
      <c r="B193"/>
      <c r="C193" s="403"/>
      <c r="D193" s="403"/>
      <c r="G193" s="404"/>
      <c r="H193" s="511"/>
      <c r="I193" s="511"/>
      <c r="J193" s="511"/>
      <c r="K193" s="511"/>
      <c r="L193" s="511"/>
      <c r="M193" s="511"/>
      <c r="N193" s="574"/>
      <c r="O193" s="511"/>
      <c r="P193" s="511"/>
      <c r="Q193" s="511"/>
      <c r="R193" s="511"/>
      <c r="S193" s="511"/>
      <c r="T193" s="790"/>
      <c r="U193" s="84"/>
    </row>
    <row r="194" spans="1:22" ht="12" customHeight="1">
      <c r="A194" s="399">
        <v>16</v>
      </c>
      <c r="B194" s="506" t="s">
        <v>294</v>
      </c>
      <c r="C194" s="403"/>
      <c r="D194" s="403"/>
      <c r="G194" s="834" t="s">
        <v>659</v>
      </c>
      <c r="H194" s="512">
        <f>(1+H174)^2-1</f>
        <v>9.7783530292977039E-2</v>
      </c>
      <c r="I194" s="512">
        <f t="shared" ref="I194:M194" si="102">(1+I174)^2-1</f>
        <v>8.620033592266374E-2</v>
      </c>
      <c r="J194" s="512">
        <f t="shared" si="102"/>
        <v>9.9559703996855875E-2</v>
      </c>
      <c r="K194" s="512">
        <f t="shared" si="102"/>
        <v>9.893982717290295E-2</v>
      </c>
      <c r="L194" s="512">
        <f t="shared" si="102"/>
        <v>9.7490077053337343E-2</v>
      </c>
      <c r="M194" s="512">
        <f t="shared" si="102"/>
        <v>9.1485151064778725E-2</v>
      </c>
      <c r="N194" s="573">
        <f>(1+N174)^2-1</f>
        <v>9.9702377498320116E-2</v>
      </c>
      <c r="O194" s="512">
        <f t="shared" ref="O194:T194" si="103">(1+O174)^2-1</f>
        <v>9.8089022175145146E-2</v>
      </c>
      <c r="P194" s="512">
        <f t="shared" si="103"/>
        <v>8.6400494389687221E-2</v>
      </c>
      <c r="Q194" s="512">
        <f t="shared" si="103"/>
        <v>8.2695129122674071E-2</v>
      </c>
      <c r="R194" s="512">
        <f t="shared" si="103"/>
        <v>7.6652078365113674E-2</v>
      </c>
      <c r="S194" s="512">
        <f t="shared" si="103"/>
        <v>7.3291091138860009E-2</v>
      </c>
      <c r="T194" s="512">
        <f t="shared" si="103"/>
        <v>3.2891776964158348E-2</v>
      </c>
      <c r="U194" s="900" t="s">
        <v>713</v>
      </c>
      <c r="V194" s="45"/>
    </row>
    <row r="195" spans="1:22">
      <c r="A195" s="399"/>
      <c r="B195" s="401"/>
      <c r="C195" s="403"/>
      <c r="D195" s="403"/>
      <c r="G195" s="404"/>
      <c r="H195" s="512"/>
      <c r="I195" s="512"/>
      <c r="J195" s="512"/>
      <c r="K195" s="512"/>
      <c r="L195" s="512"/>
      <c r="M195" s="512"/>
      <c r="N195" s="573"/>
      <c r="O195" s="512"/>
      <c r="P195" s="512"/>
      <c r="Q195" s="512"/>
      <c r="R195" s="512"/>
      <c r="S195" s="512"/>
      <c r="T195" s="789"/>
      <c r="U195" s="900"/>
      <c r="V195" s="668"/>
    </row>
    <row r="196" spans="1:22">
      <c r="A196" s="699" t="s">
        <v>599</v>
      </c>
      <c r="B196" s="401" t="s">
        <v>608</v>
      </c>
      <c r="C196" s="403"/>
      <c r="D196" s="403"/>
      <c r="G196" s="833" t="s">
        <v>659</v>
      </c>
      <c r="H196" s="512"/>
      <c r="I196" s="512"/>
      <c r="J196" s="512"/>
      <c r="K196" s="512"/>
      <c r="L196" s="512"/>
      <c r="M196" s="512"/>
      <c r="N196" s="698">
        <f>(1+N176)^2-1</f>
        <v>0.12437258337566548</v>
      </c>
      <c r="O196" s="402" t="s">
        <v>633</v>
      </c>
      <c r="P196" s="512"/>
      <c r="Q196" s="512"/>
      <c r="R196" s="512"/>
      <c r="S196" s="512"/>
      <c r="T196" s="789"/>
      <c r="U196" s="900"/>
      <c r="V196" s="668"/>
    </row>
    <row r="197" spans="1:22" ht="13.2">
      <c r="B197"/>
      <c r="G197" s="41"/>
      <c r="H197" s="40"/>
      <c r="I197" s="40"/>
      <c r="J197" s="40"/>
      <c r="K197" s="40"/>
      <c r="L197" s="40"/>
      <c r="M197" s="40"/>
      <c r="N197" s="573"/>
      <c r="O197" s="40"/>
      <c r="P197" s="40"/>
      <c r="Q197" s="40"/>
      <c r="S197" s="40"/>
      <c r="T197" s="40"/>
    </row>
    <row r="198" spans="1:22">
      <c r="A198" s="399">
        <v>17</v>
      </c>
      <c r="B198" s="506" t="s">
        <v>377</v>
      </c>
      <c r="G198" s="834" t="s">
        <v>659</v>
      </c>
      <c r="H198" s="512">
        <f>(1+H178)^2-1</f>
        <v>0.12342364804691774</v>
      </c>
      <c r="I198" s="512">
        <f t="shared" ref="I198:T198" si="104">(1+I178)^2-1</f>
        <v>8.93513810264146E-2</v>
      </c>
      <c r="J198" s="512">
        <f t="shared" si="104"/>
        <v>0.10302471752866005</v>
      </c>
      <c r="K198" s="512">
        <f t="shared" si="104"/>
        <v>0.10351755135087681</v>
      </c>
      <c r="L198" s="512">
        <f t="shared" si="104"/>
        <v>0.10275282130097296</v>
      </c>
      <c r="M198" s="512">
        <f t="shared" si="104"/>
        <v>9.844716267972764E-2</v>
      </c>
      <c r="N198" s="573">
        <f>(1+N178)^2-1</f>
        <v>0.10705173616200159</v>
      </c>
      <c r="O198" s="512">
        <f t="shared" si="104"/>
        <v>0.10765755047252723</v>
      </c>
      <c r="P198" s="512">
        <f t="shared" si="104"/>
        <v>9.9216087861930813E-2</v>
      </c>
      <c r="Q198" s="512">
        <f t="shared" si="104"/>
        <v>8.9777700000208016E-2</v>
      </c>
      <c r="R198" s="512">
        <f t="shared" si="104"/>
        <v>7.7774715895920332E-2</v>
      </c>
      <c r="S198" s="512">
        <f t="shared" si="104"/>
        <v>9.8519812765590187E-2</v>
      </c>
      <c r="T198" s="512">
        <f t="shared" si="104"/>
        <v>7.8316235572873705E-2</v>
      </c>
      <c r="U198" s="405"/>
      <c r="V198" s="45"/>
    </row>
    <row r="199" spans="1:22" ht="13.2">
      <c r="A199" s="399"/>
      <c r="B199"/>
      <c r="G199" s="41"/>
      <c r="H199" s="40"/>
      <c r="I199" s="40"/>
      <c r="J199" s="40"/>
      <c r="K199" s="40"/>
      <c r="L199" s="40"/>
      <c r="M199" s="40"/>
      <c r="N199" s="574"/>
      <c r="O199" s="40"/>
      <c r="P199" s="40"/>
      <c r="Q199" s="40"/>
      <c r="S199" s="40"/>
      <c r="T199" s="40"/>
    </row>
    <row r="200" spans="1:22" ht="12.6" thickBot="1">
      <c r="A200" s="699">
        <v>18</v>
      </c>
      <c r="B200" s="401" t="s">
        <v>378</v>
      </c>
      <c r="G200" s="833" t="s">
        <v>659</v>
      </c>
      <c r="H200" s="512">
        <f t="shared" ref="H200:T200" si="105">(1+H180)^2-1</f>
        <v>7.5892606369874382E-2</v>
      </c>
      <c r="I200" s="512">
        <f t="shared" si="105"/>
        <v>0.10936299483211109</v>
      </c>
      <c r="J200" s="512">
        <f t="shared" si="105"/>
        <v>5.912266469015548E-2</v>
      </c>
      <c r="K200" s="512">
        <f t="shared" si="105"/>
        <v>4.5906900906899528E-2</v>
      </c>
      <c r="L200" s="512">
        <f t="shared" si="105"/>
        <v>2.2698619260486108E-3</v>
      </c>
      <c r="M200" s="512">
        <f t="shared" si="105"/>
        <v>4.1507291786702982E-2</v>
      </c>
      <c r="N200" s="742">
        <f t="shared" si="105"/>
        <v>3.602180010428313E-2</v>
      </c>
      <c r="O200" s="512">
        <f t="shared" si="105"/>
        <v>6.5545370980975237E-2</v>
      </c>
      <c r="P200" s="512">
        <f t="shared" si="105"/>
        <v>8.8517176233614769E-2</v>
      </c>
      <c r="Q200" s="512">
        <f t="shared" si="105"/>
        <v>0.11194174788964384</v>
      </c>
      <c r="R200" s="512">
        <f t="shared" si="105"/>
        <v>0.15219877863597508</v>
      </c>
      <c r="S200" s="512">
        <f t="shared" si="105"/>
        <v>4.9329790628997783E-2</v>
      </c>
      <c r="T200" s="789">
        <f t="shared" si="105"/>
        <v>8.2114184771855392E-3</v>
      </c>
      <c r="U200" s="405"/>
      <c r="V200" s="45"/>
    </row>
    <row r="201" spans="1:22" ht="6" customHeight="1">
      <c r="A201" s="399"/>
      <c r="B201" s="401"/>
      <c r="E201" s="404"/>
      <c r="G201" s="512"/>
      <c r="H201" s="512"/>
      <c r="I201" s="512"/>
      <c r="J201" s="512"/>
      <c r="K201" s="512"/>
      <c r="L201" s="512"/>
      <c r="M201" s="512"/>
      <c r="N201" s="509"/>
      <c r="O201" s="512"/>
      <c r="P201" s="512"/>
      <c r="Q201" s="512"/>
      <c r="R201" s="512"/>
      <c r="S201" s="512"/>
      <c r="T201" s="512"/>
      <c r="U201" s="405"/>
      <c r="V201" s="668"/>
    </row>
    <row r="202" spans="1:22" ht="15.6">
      <c r="A202" s="541" t="s">
        <v>117</v>
      </c>
      <c r="E202" s="906" t="s">
        <v>491</v>
      </c>
      <c r="F202" s="906"/>
      <c r="G202" s="906"/>
      <c r="H202" s="906"/>
      <c r="I202" s="906"/>
      <c r="J202" s="906"/>
      <c r="K202" s="906"/>
      <c r="L202" s="906"/>
      <c r="M202" s="906"/>
      <c r="N202" s="906"/>
      <c r="O202" s="906"/>
      <c r="P202" s="906"/>
      <c r="Q202" s="906"/>
      <c r="R202" s="906"/>
      <c r="S202" s="155"/>
      <c r="T202" s="155"/>
    </row>
    <row r="203" spans="1:22" ht="15.6">
      <c r="A203" s="541" t="s">
        <v>472</v>
      </c>
      <c r="E203" s="696"/>
      <c r="F203" s="696"/>
      <c r="G203" s="696"/>
      <c r="H203" s="696"/>
      <c r="I203" s="696"/>
      <c r="J203" s="696"/>
      <c r="K203" s="696"/>
      <c r="L203" s="696"/>
      <c r="M203" s="696"/>
      <c r="N203" s="696"/>
      <c r="O203" s="696"/>
      <c r="P203" s="696"/>
      <c r="Q203" s="696"/>
      <c r="R203" s="696"/>
      <c r="S203" s="155"/>
      <c r="T203" s="155"/>
    </row>
    <row r="204" spans="1:22" ht="12.75" customHeight="1">
      <c r="A204" s="541" t="s">
        <v>471</v>
      </c>
      <c r="F204" s="71"/>
      <c r="G204" s="495"/>
      <c r="H204" s="41"/>
      <c r="I204" s="718"/>
      <c r="J204" s="718"/>
      <c r="K204" s="718"/>
      <c r="L204" s="40"/>
      <c r="M204" s="40"/>
      <c r="N204" s="495"/>
      <c r="O204" s="718"/>
      <c r="P204" s="718"/>
      <c r="Q204" s="718"/>
      <c r="R204" s="718"/>
      <c r="S204" s="155"/>
      <c r="T204" s="155"/>
    </row>
    <row r="205" spans="1:22" ht="12.75" customHeight="1">
      <c r="F205" s="71"/>
      <c r="G205" s="495"/>
      <c r="H205" s="733" t="s">
        <v>733</v>
      </c>
      <c r="I205" s="734"/>
      <c r="J205" s="734"/>
      <c r="K205" s="734"/>
      <c r="L205" s="723"/>
      <c r="M205" s="723"/>
      <c r="N205" s="495"/>
      <c r="O205" s="718"/>
      <c r="P205" s="718"/>
      <c r="Q205" s="718"/>
      <c r="R205" s="718"/>
      <c r="S205" s="155"/>
      <c r="T205" s="155"/>
    </row>
    <row r="206" spans="1:22">
      <c r="F206" s="40"/>
      <c r="G206" s="40"/>
      <c r="H206" s="40"/>
      <c r="I206" s="717" t="s">
        <v>602</v>
      </c>
      <c r="J206" s="40"/>
      <c r="K206" s="716"/>
      <c r="L206" s="717"/>
      <c r="M206" s="716"/>
      <c r="N206" s="40"/>
      <c r="O206" s="710"/>
      <c r="P206" s="709"/>
      <c r="Q206" s="710"/>
      <c r="R206" s="709"/>
    </row>
    <row r="207" spans="1:22" ht="5.25" customHeight="1">
      <c r="E207" s="696"/>
      <c r="F207" s="696"/>
      <c r="G207" s="696"/>
      <c r="H207" s="696"/>
      <c r="I207" s="40"/>
      <c r="J207" s="40"/>
      <c r="K207" s="40"/>
      <c r="L207" s="40"/>
      <c r="M207" s="716"/>
      <c r="N207" s="696"/>
      <c r="O207" s="708"/>
      <c r="P207" s="709"/>
      <c r="Q207" s="710"/>
      <c r="R207" s="709"/>
    </row>
    <row r="208" spans="1:22">
      <c r="D208" s="724" t="s">
        <v>600</v>
      </c>
      <c r="E208" s="905" t="s">
        <v>660</v>
      </c>
      <c r="F208" s="905"/>
      <c r="G208" s="905"/>
      <c r="H208" s="40"/>
      <c r="I208" s="715">
        <v>2007</v>
      </c>
      <c r="J208" s="716">
        <v>870835</v>
      </c>
      <c r="K208" s="719" t="s">
        <v>604</v>
      </c>
      <c r="L208" s="717"/>
      <c r="M208" s="716"/>
      <c r="N208" s="40"/>
      <c r="O208" s="707"/>
      <c r="P208" s="709"/>
      <c r="Q208" s="709"/>
      <c r="R208" s="709"/>
    </row>
    <row r="209" spans="4:18">
      <c r="E209" s="682">
        <v>42004</v>
      </c>
      <c r="G209" s="682">
        <v>42735</v>
      </c>
      <c r="H209" s="40"/>
      <c r="I209" s="714">
        <v>2008</v>
      </c>
      <c r="J209" s="716">
        <v>917247</v>
      </c>
      <c r="K209" s="716">
        <f t="shared" ref="K209:K216" si="106">J209-J208</f>
        <v>46412</v>
      </c>
      <c r="L209" s="40"/>
      <c r="M209" s="716"/>
      <c r="N209" s="40"/>
      <c r="O209" s="707"/>
      <c r="P209" s="709"/>
      <c r="Q209" s="709"/>
      <c r="R209" s="709"/>
    </row>
    <row r="210" spans="4:18">
      <c r="E210" s="184">
        <f>'Attrition 09.2014 to 2016'!I18</f>
        <v>23715</v>
      </c>
      <c r="G210" s="40">
        <f>18186+7526</f>
        <v>25712</v>
      </c>
      <c r="H210" s="40"/>
      <c r="I210" s="714">
        <v>2009</v>
      </c>
      <c r="J210" s="716">
        <v>987243</v>
      </c>
      <c r="K210" s="716">
        <f t="shared" si="106"/>
        <v>69996</v>
      </c>
      <c r="L210" s="40"/>
      <c r="M210" s="716"/>
      <c r="N210" s="40"/>
      <c r="O210" s="707"/>
      <c r="P210" s="709"/>
      <c r="Q210" s="709"/>
      <c r="R210" s="709"/>
    </row>
    <row r="211" spans="4:18">
      <c r="E211" s="184">
        <f>'Attrition 09.2014 to 2016'!I25</f>
        <v>23794</v>
      </c>
      <c r="G211" s="40">
        <v>25940</v>
      </c>
      <c r="H211" s="40"/>
      <c r="I211" s="714">
        <v>2010</v>
      </c>
      <c r="J211" s="716">
        <v>1036064</v>
      </c>
      <c r="K211" s="716">
        <f t="shared" si="106"/>
        <v>48821</v>
      </c>
      <c r="L211" s="40"/>
      <c r="M211" s="716"/>
      <c r="N211" s="40"/>
      <c r="O211" s="707"/>
      <c r="P211" s="709"/>
      <c r="Q211" s="709"/>
      <c r="R211" s="709"/>
    </row>
    <row r="212" spans="4:18">
      <c r="E212" s="679">
        <f>'Attrition 09.2014 to 2016'!I36</f>
        <v>16947</v>
      </c>
      <c r="G212" s="679">
        <f>15466+11648</f>
        <v>27114</v>
      </c>
      <c r="H212" s="40"/>
      <c r="I212" s="714">
        <v>2011</v>
      </c>
      <c r="J212" s="716">
        <v>1087141</v>
      </c>
      <c r="K212" s="716">
        <f t="shared" si="106"/>
        <v>51077</v>
      </c>
      <c r="L212" s="40"/>
      <c r="M212" s="716"/>
      <c r="N212" s="40"/>
      <c r="O212" s="707"/>
      <c r="P212" s="709"/>
      <c r="Q212" s="709"/>
      <c r="R212" s="709"/>
    </row>
    <row r="213" spans="4:18">
      <c r="E213" s="184">
        <f>SUM(E210:E212)</f>
        <v>64456</v>
      </c>
      <c r="G213" s="184">
        <f>SUM(G210:G212)</f>
        <v>78766</v>
      </c>
      <c r="H213" s="40"/>
      <c r="I213" s="714">
        <v>2012</v>
      </c>
      <c r="J213" s="716">
        <v>1131570</v>
      </c>
      <c r="K213" s="716">
        <f t="shared" si="106"/>
        <v>44429</v>
      </c>
      <c r="L213" s="40"/>
      <c r="M213" s="716"/>
      <c r="N213" s="40"/>
      <c r="O213" s="707"/>
      <c r="P213" s="709"/>
      <c r="Q213" s="709"/>
      <c r="R213" s="709"/>
    </row>
    <row r="214" spans="4:18">
      <c r="D214" s="355" t="s">
        <v>635</v>
      </c>
      <c r="G214" s="703">
        <f>RATE(2,,-E213,$G213)</f>
        <v>0.10544647772026131</v>
      </c>
      <c r="H214" s="40"/>
      <c r="I214" s="714">
        <v>2013</v>
      </c>
      <c r="J214" s="716">
        <v>1195010</v>
      </c>
      <c r="K214" s="716">
        <f t="shared" si="106"/>
        <v>63440</v>
      </c>
      <c r="L214" s="723" t="s">
        <v>603</v>
      </c>
      <c r="M214" s="40"/>
      <c r="N214" s="40"/>
      <c r="O214" s="706"/>
      <c r="P214" s="709"/>
      <c r="Q214" s="709"/>
      <c r="R214" s="705"/>
    </row>
    <row r="215" spans="4:18">
      <c r="D215" s="355" t="s">
        <v>636</v>
      </c>
      <c r="G215" s="702">
        <f>(G213-E213)/E213</f>
        <v>0.22201191510487775</v>
      </c>
      <c r="H215" s="40"/>
      <c r="I215" s="739">
        <v>2014</v>
      </c>
      <c r="J215" s="716">
        <f>E219</f>
        <v>1214504</v>
      </c>
      <c r="K215" s="716">
        <f t="shared" si="106"/>
        <v>19494</v>
      </c>
      <c r="L215" s="713">
        <f>SUM(K209:K215)/7</f>
        <v>49095.571428571428</v>
      </c>
      <c r="M215" s="716"/>
      <c r="N215" s="40"/>
      <c r="O215" s="704"/>
      <c r="P215" s="709"/>
      <c r="Q215" s="709"/>
      <c r="R215" s="709"/>
    </row>
    <row r="216" spans="4:18">
      <c r="G216" s="40"/>
      <c r="H216" s="40"/>
      <c r="I216" s="712">
        <v>2016</v>
      </c>
      <c r="J216" s="716">
        <f>G219</f>
        <v>1365555</v>
      </c>
      <c r="K216" s="716">
        <f t="shared" si="106"/>
        <v>151051</v>
      </c>
      <c r="L216" s="40"/>
      <c r="M216" s="40"/>
      <c r="N216" s="40"/>
      <c r="O216" s="40"/>
      <c r="P216" s="40"/>
      <c r="Q216" s="40"/>
    </row>
    <row r="217" spans="4:18">
      <c r="D217" s="722" t="s">
        <v>601</v>
      </c>
      <c r="E217" s="721"/>
      <c r="F217" s="720"/>
      <c r="G217" s="721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4:18">
      <c r="E218" s="682">
        <v>42004</v>
      </c>
      <c r="G218" s="682">
        <v>42735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4:18">
      <c r="E219" s="835">
        <f>1214504+'Attrition 09.2014 to 2016'!G74</f>
        <v>1214504</v>
      </c>
      <c r="F219" s="744"/>
      <c r="G219" s="743">
        <f>1365555</f>
        <v>1365555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4:18">
      <c r="D220" s="355" t="s">
        <v>635</v>
      </c>
      <c r="G220" s="703">
        <f>RATE(2,,-E219,$G219)</f>
        <v>6.0364363497597731E-2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4:18">
      <c r="D221" s="355" t="s">
        <v>636</v>
      </c>
      <c r="G221" s="702">
        <f>(G219-E219)/E219</f>
        <v>0.12437258337560024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4:18">
      <c r="D222" s="40" t="s">
        <v>605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4:18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4:18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725" t="s">
        <v>661</v>
      </c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725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  <row r="1088" spans="7:17"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</row>
    <row r="1089" spans="7:17"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</row>
    <row r="1090" spans="7:17"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</row>
    <row r="1091" spans="7:17"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</row>
    <row r="1092" spans="7:17"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</row>
    <row r="1093" spans="7:17"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</row>
    <row r="1094" spans="7:17"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</row>
    <row r="1095" spans="7:17"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</row>
    <row r="1096" spans="7:17"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</row>
    <row r="1097" spans="7:17"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</row>
    <row r="1098" spans="7:17"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</row>
    <row r="1099" spans="7:17"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</row>
    <row r="1100" spans="7:17"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</row>
    <row r="1101" spans="7:17"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</row>
    <row r="1102" spans="7:17"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</row>
    <row r="1103" spans="7:17"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</row>
    <row r="1104" spans="7:17"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</row>
    <row r="1105" spans="7:17"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</row>
    <row r="1106" spans="7:17"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</row>
    <row r="1107" spans="7:17"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</row>
    <row r="1108" spans="7:17"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</row>
    <row r="1109" spans="7:17"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</row>
    <row r="1110" spans="7:17"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</row>
    <row r="1111" spans="7:17"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</row>
    <row r="1112" spans="7:17"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</row>
    <row r="1113" spans="7:17"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</row>
    <row r="1114" spans="7:17"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</row>
    <row r="1115" spans="7:17"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</row>
    <row r="1116" spans="7:17"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</row>
    <row r="1117" spans="7:17"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</row>
    <row r="1118" spans="7:17"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</row>
    <row r="1119" spans="7:17"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</row>
    <row r="1120" spans="7:17"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</row>
    <row r="1121" spans="7:17"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</row>
    <row r="1122" spans="7:17"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</row>
    <row r="1123" spans="7:17"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</row>
    <row r="1124" spans="7:17"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</row>
    <row r="1125" spans="7:17"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</row>
    <row r="1126" spans="7:17"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</row>
    <row r="1127" spans="7:17"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</row>
    <row r="1128" spans="7:17"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</row>
    <row r="1129" spans="7:17"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</row>
    <row r="1130" spans="7:17"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</row>
    <row r="1131" spans="7:17"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</row>
    <row r="1132" spans="7:17"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</row>
    <row r="1133" spans="7:17"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</row>
    <row r="1134" spans="7:17"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</row>
    <row r="1135" spans="7:17"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</row>
    <row r="1136" spans="7:17"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</row>
    <row r="1137" spans="7:17"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</row>
    <row r="1138" spans="7:17"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</row>
    <row r="1139" spans="7:17"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</row>
  </sheetData>
  <mergeCells count="11">
    <mergeCell ref="E208:G208"/>
    <mergeCell ref="E202:R202"/>
    <mergeCell ref="E147:R147"/>
    <mergeCell ref="F7:P7"/>
    <mergeCell ref="E88:R88"/>
    <mergeCell ref="U194:U196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19" orientation="landscape" r:id="rId1"/>
  <headerFooter scaleWithDoc="0" alignWithMargins="0">
    <oddFooter>&amp;LStaff_DR_130 Revised-Attachment B&amp;RPage &amp;P of &amp;N</oddFooter>
  </headerFooter>
  <rowBreaks count="4" manualBreakCount="4">
    <brk id="53" max="20" man="1"/>
    <brk id="84" max="20" man="1"/>
    <brk id="141" max="20" man="1"/>
    <brk id="200" max="16383" man="1"/>
  </rowBreaks>
  <ignoredErrors>
    <ignoredError sqref="F75:I75 G60:I60 N60:P60 F25:F26 F45 G61:P61 F16:F18 F36 K75:P75 F31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D36" sqref="D36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44"/>
      <c r="B1" s="897" t="s">
        <v>499</v>
      </c>
      <c r="C1" s="897"/>
      <c r="D1" s="897"/>
      <c r="E1" s="897"/>
      <c r="F1" s="897"/>
      <c r="G1" s="897"/>
      <c r="H1" s="897"/>
      <c r="I1" s="897"/>
      <c r="J1" s="897"/>
      <c r="K1" s="544"/>
      <c r="L1" s="544"/>
      <c r="M1" s="544"/>
      <c r="N1" s="544"/>
      <c r="P1" s="41"/>
      <c r="Q1" s="84"/>
    </row>
    <row r="2" spans="1:30" ht="21" thickBot="1">
      <c r="B2" s="908" t="s">
        <v>525</v>
      </c>
      <c r="C2" s="908"/>
      <c r="D2" s="908"/>
      <c r="E2" s="908"/>
      <c r="F2" s="908"/>
      <c r="G2" s="908"/>
      <c r="H2" s="908"/>
      <c r="I2" s="908"/>
      <c r="J2" s="908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42" t="s">
        <v>3</v>
      </c>
      <c r="B4" s="301"/>
      <c r="C4" s="301"/>
      <c r="D4" s="301"/>
      <c r="E4" s="302" t="s">
        <v>231</v>
      </c>
      <c r="F4" s="302" t="s">
        <v>30</v>
      </c>
      <c r="G4" s="303" t="s">
        <v>113</v>
      </c>
      <c r="H4" s="302" t="s">
        <v>48</v>
      </c>
      <c r="I4" s="303"/>
      <c r="J4" s="304" t="s">
        <v>125</v>
      </c>
      <c r="U4" s="488"/>
      <c r="V4" s="487"/>
      <c r="W4" s="186"/>
    </row>
    <row r="5" spans="1:30" ht="14.4" customHeight="1">
      <c r="A5" s="342" t="s">
        <v>516</v>
      </c>
      <c r="B5" s="305" t="s">
        <v>99</v>
      </c>
      <c r="C5" s="305"/>
      <c r="D5" s="305" t="s">
        <v>100</v>
      </c>
      <c r="E5" s="302" t="s">
        <v>526</v>
      </c>
      <c r="F5" s="302">
        <v>2016</v>
      </c>
      <c r="G5" s="302" t="s">
        <v>119</v>
      </c>
      <c r="H5" s="302" t="s">
        <v>526</v>
      </c>
      <c r="I5" s="303" t="s">
        <v>517</v>
      </c>
      <c r="J5" s="307"/>
      <c r="U5" s="488"/>
      <c r="V5" s="488"/>
      <c r="W5" s="186"/>
      <c r="AB5" s="186"/>
    </row>
    <row r="6" spans="1:30">
      <c r="A6" s="188"/>
      <c r="B6" s="308"/>
      <c r="C6" s="308"/>
      <c r="D6" s="308"/>
      <c r="E6" s="309" t="s">
        <v>121</v>
      </c>
      <c r="F6" s="309" t="s">
        <v>122</v>
      </c>
      <c r="G6" s="309" t="s">
        <v>421</v>
      </c>
      <c r="H6" s="309" t="s">
        <v>123</v>
      </c>
      <c r="I6" s="310" t="s">
        <v>124</v>
      </c>
      <c r="J6" s="309" t="s">
        <v>255</v>
      </c>
      <c r="K6" s="180" t="s">
        <v>258</v>
      </c>
      <c r="L6" s="180" t="s">
        <v>133</v>
      </c>
      <c r="M6" s="181" t="s">
        <v>259</v>
      </c>
      <c r="U6" s="486"/>
      <c r="V6" s="188"/>
      <c r="W6" s="188"/>
      <c r="X6" s="188"/>
      <c r="Y6" s="188"/>
      <c r="Z6" s="186"/>
    </row>
    <row r="7" spans="1:30">
      <c r="A7" s="188">
        <v>1</v>
      </c>
      <c r="B7" s="311" t="s">
        <v>101</v>
      </c>
      <c r="C7" s="311" t="s">
        <v>120</v>
      </c>
      <c r="D7" s="312" t="s">
        <v>102</v>
      </c>
      <c r="E7" s="313">
        <f>'09.2014 Rev Model'!D25</f>
        <v>2462067</v>
      </c>
      <c r="F7" s="313">
        <f>'2016 Customers and Demand'!H6</f>
        <v>2512732</v>
      </c>
      <c r="G7" s="315">
        <f>(F7-E7)/E7</f>
        <v>2.0578237716520308E-2</v>
      </c>
      <c r="H7" s="313">
        <f>'09.2014 Rev Model'!D111</f>
        <v>20927569.5</v>
      </c>
      <c r="I7" s="315">
        <f>H7/$H$25</f>
        <v>4.1856674749836911E-2</v>
      </c>
      <c r="J7" s="31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256</v>
      </c>
      <c r="P7" s="172" t="s">
        <v>257</v>
      </c>
      <c r="Q7" s="173"/>
      <c r="T7" s="391"/>
      <c r="U7" s="485"/>
      <c r="V7" s="189"/>
      <c r="W7" s="187"/>
      <c r="X7" s="187"/>
      <c r="Y7" s="187"/>
      <c r="AB7" s="187"/>
      <c r="AC7" s="187"/>
    </row>
    <row r="8" spans="1:30">
      <c r="A8" s="188">
        <v>2</v>
      </c>
      <c r="B8" s="311" t="s">
        <v>103</v>
      </c>
      <c r="C8" s="311" t="s">
        <v>120</v>
      </c>
      <c r="D8" s="312" t="s">
        <v>104</v>
      </c>
      <c r="E8" s="313">
        <f>'09.2014 Rev Model'!E25</f>
        <v>364551.99999999994</v>
      </c>
      <c r="F8" s="313">
        <f>'2016 Customers and Demand'!H7+'2016 Customers and Demand'!H8</f>
        <v>379313.78865559708</v>
      </c>
      <c r="G8" s="315">
        <f t="shared" ref="G8:G22" si="0">(F8-E8)/E8</f>
        <v>4.0492957535816942E-2</v>
      </c>
      <c r="H8" s="313">
        <f>'09.2014 Rev Model'!E111</f>
        <v>6561935.9999999991</v>
      </c>
      <c r="I8" s="315">
        <f>H8/$H$25</f>
        <v>1.3124353541449033E-2</v>
      </c>
      <c r="J8" s="31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91"/>
      <c r="U8" s="485"/>
      <c r="V8" s="189"/>
      <c r="W8" s="187"/>
      <c r="X8" s="187"/>
      <c r="Y8" s="187"/>
      <c r="AB8" s="187"/>
      <c r="AC8" s="187"/>
    </row>
    <row r="9" spans="1:30">
      <c r="A9" s="188">
        <v>3</v>
      </c>
      <c r="B9" s="311" t="s">
        <v>105</v>
      </c>
      <c r="C9" s="311" t="s">
        <v>364</v>
      </c>
      <c r="D9" s="312" t="s">
        <v>106</v>
      </c>
      <c r="E9" s="313">
        <f>'09.2014 Rev Model'!F25</f>
        <v>24110</v>
      </c>
      <c r="F9" s="313">
        <f>'2016 Customers and Demand'!H9+'2016 Customers and Demand'!H10</f>
        <v>24225.282700404532</v>
      </c>
      <c r="G9" s="315">
        <f t="shared" si="0"/>
        <v>4.7815305020544206E-3</v>
      </c>
      <c r="H9" s="313">
        <f>'09.2014 Rev Model'!F117</f>
        <v>12055000</v>
      </c>
      <c r="I9" s="315">
        <f t="shared" ref="I9:I10" si="1">H9/$H$25</f>
        <v>2.4110884644740229E-2</v>
      </c>
      <c r="J9" s="31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91"/>
      <c r="U9" s="485"/>
      <c r="V9" s="189"/>
      <c r="W9" s="187"/>
      <c r="X9" s="187"/>
      <c r="Y9" s="187"/>
      <c r="AB9" s="187"/>
      <c r="AC9" s="187"/>
    </row>
    <row r="10" spans="1:30">
      <c r="A10" s="188">
        <v>4</v>
      </c>
      <c r="B10" s="311" t="s">
        <v>107</v>
      </c>
      <c r="C10" s="311" t="s">
        <v>364</v>
      </c>
      <c r="D10" s="312" t="s">
        <v>108</v>
      </c>
      <c r="E10" s="313">
        <f>'09.2014 Rev Model'!G25</f>
        <v>252</v>
      </c>
      <c r="F10" s="313">
        <f>'2016 Customers and Demand'!H11</f>
        <v>251.68890808275614</v>
      </c>
      <c r="G10" s="315">
        <f t="shared" si="0"/>
        <v>-1.234491735094671E-3</v>
      </c>
      <c r="H10" s="313">
        <f>'09.2014 Rev Model'!G117</f>
        <v>5292000</v>
      </c>
      <c r="I10" s="315">
        <f t="shared" si="1"/>
        <v>1.0584388348400272E-2</v>
      </c>
      <c r="J10" s="315">
        <f t="shared" si="2"/>
        <v>-1.3066339937132471E-5</v>
      </c>
      <c r="K10" s="175"/>
      <c r="L10" s="173"/>
      <c r="M10" s="173"/>
      <c r="N10" s="173"/>
      <c r="O10" s="173"/>
      <c r="P10" s="173"/>
      <c r="T10" s="391"/>
      <c r="U10" s="485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11" t="s">
        <v>109</v>
      </c>
      <c r="C11" s="311" t="s">
        <v>120</v>
      </c>
      <c r="D11" s="312" t="s">
        <v>110</v>
      </c>
      <c r="E11" s="313">
        <f>'09.2014 Rev Model'!H25</f>
        <v>29215.99999999996</v>
      </c>
      <c r="F11" s="313">
        <f>'2016 Customers and Demand'!H13+'2016 Customers and Demand'!H14+'2016 Customers and Demand'!H15</f>
        <v>34477.714392681184</v>
      </c>
      <c r="G11" s="315">
        <f t="shared" si="0"/>
        <v>0.18009701508355802</v>
      </c>
      <c r="H11" s="313">
        <f>'09.2014 Rev Model'!H111</f>
        <v>525887.9999999993</v>
      </c>
      <c r="I11" s="315">
        <f t="shared" ref="I11:I22" si="3">H11/$H$25</f>
        <v>1.0518145917920475E-3</v>
      </c>
      <c r="J11" s="31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91"/>
      <c r="U11" s="485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17" t="s">
        <v>111</v>
      </c>
      <c r="C12" s="317" t="s">
        <v>120</v>
      </c>
      <c r="D12" s="317" t="s">
        <v>112</v>
      </c>
      <c r="E12" s="318"/>
      <c r="F12" s="318"/>
      <c r="G12" s="319"/>
      <c r="H12" s="318"/>
      <c r="I12" s="319"/>
      <c r="J12" s="31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11" t="s">
        <v>101</v>
      </c>
      <c r="C13" s="311" t="s">
        <v>114</v>
      </c>
      <c r="D13" s="312" t="s">
        <v>102</v>
      </c>
      <c r="E13" s="313">
        <f>'09.2014 Rev Model'!D23</f>
        <v>2378478031</v>
      </c>
      <c r="F13" s="313">
        <f>'2016 Forecast Energy'!D5</f>
        <v>2447894612.94909</v>
      </c>
      <c r="G13" s="315">
        <f t="shared" si="0"/>
        <v>2.9185294564148111E-2</v>
      </c>
      <c r="H13" s="313">
        <f>'09.2014 Rev Model'!D152-H7</f>
        <v>193913529.98999998</v>
      </c>
      <c r="I13" s="315">
        <f t="shared" si="3"/>
        <v>0.38784129014046159</v>
      </c>
      <c r="J13" s="31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85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11" t="s">
        <v>103</v>
      </c>
      <c r="C14" s="311" t="s">
        <v>114</v>
      </c>
      <c r="D14" s="312" t="s">
        <v>104</v>
      </c>
      <c r="E14" s="313">
        <f>'09.2014 Rev Model'!E23</f>
        <v>588401236</v>
      </c>
      <c r="F14" s="313">
        <f>'2016 Forecast Energy'!D6+'2016 Forecast Energy'!D7</f>
        <v>591388923.24195552</v>
      </c>
      <c r="G14" s="315">
        <f t="shared" si="0"/>
        <v>5.0776359041426605E-3</v>
      </c>
      <c r="H14" s="313">
        <f>'09.2014 Rev Model'!E152-H8-H20</f>
        <v>62328506.609999999</v>
      </c>
      <c r="I14" s="315">
        <f t="shared" si="3"/>
        <v>0.12466158713833586</v>
      </c>
      <c r="J14" s="31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85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11" t="s">
        <v>105</v>
      </c>
      <c r="C15" s="311" t="s">
        <v>114</v>
      </c>
      <c r="D15" s="312" t="s">
        <v>106</v>
      </c>
      <c r="E15" s="313">
        <f>'09.2014 Rev Model'!F23</f>
        <v>1419228270.9999998</v>
      </c>
      <c r="F15" s="313">
        <f>'2016 Forecast Energy'!D8+'2016 Forecast Energy'!D9+'2016 Forecast Energy'!D11</f>
        <v>1431149605.8904219</v>
      </c>
      <c r="G15" s="315">
        <f t="shared" si="0"/>
        <v>8.3998713484070026E-3</v>
      </c>
      <c r="H15" s="313">
        <f>'09.2014 Rev Model'!F152-H9-H21</f>
        <v>101678503.13000001</v>
      </c>
      <c r="I15" s="315">
        <f t="shared" si="3"/>
        <v>0.20336446784050505</v>
      </c>
      <c r="J15" s="31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85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11" t="s">
        <v>107</v>
      </c>
      <c r="C16" s="311" t="s">
        <v>114</v>
      </c>
      <c r="D16" s="312" t="s">
        <v>108</v>
      </c>
      <c r="E16" s="313">
        <f>'09.2014 Rev Model'!G23</f>
        <v>1105372136</v>
      </c>
      <c r="F16" s="313">
        <f>'2016 Forecast Energy'!D10</f>
        <v>1114987712.0720894</v>
      </c>
      <c r="G16" s="315">
        <f t="shared" si="0"/>
        <v>8.6989492126020394E-3</v>
      </c>
      <c r="H16" s="313">
        <f>'09.2014 Rev Model'!G152-H10-H22</f>
        <v>53481705.540000007</v>
      </c>
      <c r="I16" s="315">
        <f t="shared" si="3"/>
        <v>0.10696733578423098</v>
      </c>
      <c r="J16" s="31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85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11" t="s">
        <v>109</v>
      </c>
      <c r="C17" s="311" t="s">
        <v>114</v>
      </c>
      <c r="D17" s="312" t="s">
        <v>110</v>
      </c>
      <c r="E17" s="313">
        <f>'09.2014 Rev Model'!H23</f>
        <v>137227044</v>
      </c>
      <c r="F17" s="313">
        <f>'2016 Forecast Energy'!D12+'2016 Forecast Energy'!D13</f>
        <v>131725347.36303267</v>
      </c>
      <c r="G17" s="315">
        <f t="shared" si="0"/>
        <v>-4.0091927047319703E-2</v>
      </c>
      <c r="H17" s="313">
        <f>'09.2014 Rev Model'!H152-H11-H23</f>
        <v>10944582.789999997</v>
      </c>
      <c r="I17" s="315">
        <f>H17/$H$25</f>
        <v>2.1889968737826553E-2</v>
      </c>
      <c r="J17" s="31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85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17" t="s">
        <v>111</v>
      </c>
      <c r="C18" s="317" t="s">
        <v>114</v>
      </c>
      <c r="D18" s="317" t="s">
        <v>112</v>
      </c>
      <c r="E18" s="318">
        <f>'09.2014 Rev Model'!I23</f>
        <v>25127765</v>
      </c>
      <c r="F18" s="318">
        <f>'2016 Forecast Energy'!D14</f>
        <v>24890112.090452805</v>
      </c>
      <c r="G18" s="319">
        <f t="shared" si="0"/>
        <v>-9.4577814440398832E-3</v>
      </c>
      <c r="H18" s="318">
        <f>'09.2014 Rev Model'!I152</f>
        <v>7019745.6002651993</v>
      </c>
      <c r="I18" s="319">
        <f t="shared" si="3"/>
        <v>1.4040006337902694E-2</v>
      </c>
      <c r="J18" s="31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85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11" t="s">
        <v>101</v>
      </c>
      <c r="C19" s="311" t="s">
        <v>115</v>
      </c>
      <c r="D19" s="312" t="s">
        <v>102</v>
      </c>
      <c r="E19" s="313"/>
      <c r="F19" s="320"/>
      <c r="G19" s="315"/>
      <c r="H19" s="313">
        <v>0</v>
      </c>
      <c r="I19" s="315"/>
      <c r="J19" s="31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11" t="s">
        <v>103</v>
      </c>
      <c r="C20" s="311" t="s">
        <v>115</v>
      </c>
      <c r="D20" s="312" t="s">
        <v>104</v>
      </c>
      <c r="E20" s="313">
        <f>'09.2014 Rev Model'!E27</f>
        <v>402284</v>
      </c>
      <c r="F20" s="313">
        <f>'2016 Customers and Demand'!G42+'2016 Customers and Demand'!G43</f>
        <v>364641</v>
      </c>
      <c r="G20" s="315">
        <f t="shared" si="0"/>
        <v>-9.3573197044873768E-2</v>
      </c>
      <c r="H20" s="313">
        <f>'09.2014 Rev Model'!E118</f>
        <v>2413704</v>
      </c>
      <c r="I20" s="315">
        <f t="shared" si="3"/>
        <v>4.8275851273785206E-3</v>
      </c>
      <c r="J20" s="31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85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11" t="s">
        <v>105</v>
      </c>
      <c r="C21" s="311" t="s">
        <v>115</v>
      </c>
      <c r="D21" s="312" t="s">
        <v>106</v>
      </c>
      <c r="E21" s="313">
        <f>'09.2014 Rev Model'!F27</f>
        <v>2748136</v>
      </c>
      <c r="F21" s="313">
        <f>'2016 Customers and Demand'!G44+'2016 Customers and Demand'!G45</f>
        <v>2697553.041666667</v>
      </c>
      <c r="G21" s="315">
        <f t="shared" si="0"/>
        <v>-1.8406279140964283E-2</v>
      </c>
      <c r="H21" s="313">
        <f>'09.2014 Rev Model'!F118+'09.2014 Rev Model'!F120</f>
        <v>16418326</v>
      </c>
      <c r="I21" s="315">
        <f t="shared" si="3"/>
        <v>3.2837856843279903E-2</v>
      </c>
      <c r="J21" s="31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876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11" t="s">
        <v>107</v>
      </c>
      <c r="C22" s="311" t="s">
        <v>115</v>
      </c>
      <c r="D22" s="312" t="s">
        <v>108</v>
      </c>
      <c r="E22" s="313">
        <f>'09.2014 Rev Model'!G27</f>
        <v>1276783</v>
      </c>
      <c r="F22" s="313">
        <f>'2016 Customers and Demand'!G46</f>
        <v>1168073</v>
      </c>
      <c r="G22" s="315">
        <f t="shared" si="0"/>
        <v>-8.5143677508237495E-2</v>
      </c>
      <c r="H22" s="313">
        <f>'09.2014 Rev Model'!G118+'09.2014 Rev Model'!G120</f>
        <v>6420657.5</v>
      </c>
      <c r="I22" s="315">
        <f t="shared" si="3"/>
        <v>1.2841786173860323E-2</v>
      </c>
      <c r="J22" s="31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85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11" t="s">
        <v>109</v>
      </c>
      <c r="C23" s="311" t="s">
        <v>115</v>
      </c>
      <c r="D23" s="312" t="s">
        <v>110</v>
      </c>
      <c r="E23" s="313"/>
      <c r="F23" s="321"/>
      <c r="G23" s="322"/>
      <c r="H23" s="313"/>
      <c r="I23" s="315"/>
      <c r="J23" s="31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23" t="s">
        <v>111</v>
      </c>
      <c r="C24" s="323" t="s">
        <v>115</v>
      </c>
      <c r="D24" s="323" t="s">
        <v>112</v>
      </c>
      <c r="E24" s="406"/>
      <c r="F24" s="324"/>
      <c r="G24" s="325"/>
      <c r="H24" s="406"/>
      <c r="I24" s="326"/>
      <c r="J24" s="316"/>
      <c r="M24" s="547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301" t="s">
        <v>8</v>
      </c>
      <c r="C25" s="301"/>
      <c r="D25" s="301"/>
      <c r="E25" s="313"/>
      <c r="F25" s="327"/>
      <c r="G25" s="304"/>
      <c r="H25" s="432">
        <f>SUM(H7:H24)</f>
        <v>499981654.66026521</v>
      </c>
      <c r="I25" s="315">
        <f>SUM(I7:I24)</f>
        <v>1</v>
      </c>
      <c r="J25" s="490">
        <f>SUM(J7:J24)</f>
        <v>1.3115466412629643E-2</v>
      </c>
      <c r="K25" s="182"/>
      <c r="L25" s="182"/>
      <c r="M25" s="182"/>
      <c r="P25" s="174">
        <f>J25-P24</f>
        <v>1.4629338875140539E-2</v>
      </c>
      <c r="V25" s="328"/>
    </row>
    <row r="26" spans="1:30" ht="15.6" thickTop="1" thickBot="1">
      <c r="A26" s="188"/>
      <c r="B26" s="301"/>
      <c r="C26" s="301"/>
      <c r="D26" s="301"/>
      <c r="E26" s="313"/>
      <c r="F26" s="327"/>
      <c r="G26" s="329"/>
      <c r="H26" s="432"/>
      <c r="I26" s="314"/>
      <c r="J26" s="328"/>
    </row>
    <row r="27" spans="1:30">
      <c r="A27" s="188"/>
      <c r="B27" s="438" t="s">
        <v>130</v>
      </c>
      <c r="C27" s="439"/>
      <c r="D27" s="439"/>
      <c r="E27" s="407">
        <f>SUM(E7:E12)</f>
        <v>2880197</v>
      </c>
      <c r="F27" s="407">
        <f>SUM(F7:F12)</f>
        <v>2951000.4746567658</v>
      </c>
      <c r="G27" s="440">
        <f t="shared" ref="G27:G29" si="8">(F27-E27)/E27</f>
        <v>2.4582858275585252E-2</v>
      </c>
      <c r="H27" s="441"/>
      <c r="I27" s="440"/>
      <c r="J27" s="442"/>
    </row>
    <row r="28" spans="1:30">
      <c r="A28" s="188"/>
      <c r="B28" s="443" t="s">
        <v>131</v>
      </c>
      <c r="C28" s="306"/>
      <c r="D28" s="306"/>
      <c r="E28" s="408">
        <f>SUM(E13:E18)</f>
        <v>5653834483</v>
      </c>
      <c r="F28" s="408">
        <f>SUM(F13:F18)</f>
        <v>5742036313.6070423</v>
      </c>
      <c r="G28" s="315">
        <f t="shared" si="8"/>
        <v>1.5600355983580411E-2</v>
      </c>
      <c r="H28" s="444"/>
      <c r="I28" s="316"/>
      <c r="J28" s="445"/>
    </row>
    <row r="29" spans="1:30">
      <c r="A29" s="188"/>
      <c r="B29" s="443" t="s">
        <v>132</v>
      </c>
      <c r="C29" s="306"/>
      <c r="D29" s="306"/>
      <c r="E29" s="408">
        <f>SUM(E19:E24)</f>
        <v>4427203</v>
      </c>
      <c r="F29" s="408">
        <f>SUM(F19:F24)</f>
        <v>4230267.041666667</v>
      </c>
      <c r="G29" s="315">
        <f t="shared" si="8"/>
        <v>-4.4483155241206024E-2</v>
      </c>
      <c r="H29" s="444"/>
      <c r="I29" s="316"/>
      <c r="J29" s="445"/>
    </row>
    <row r="30" spans="1:30" ht="15" thickBot="1">
      <c r="A30" s="188"/>
      <c r="B30" s="446"/>
      <c r="C30" s="447"/>
      <c r="D30" s="447"/>
      <c r="E30" s="409"/>
      <c r="F30" s="409"/>
      <c r="G30" s="448"/>
      <c r="H30" s="409"/>
      <c r="I30" s="448"/>
      <c r="J30" s="449"/>
    </row>
    <row r="31" spans="1:30">
      <c r="A31" s="188"/>
      <c r="B31" s="307"/>
      <c r="C31" s="307"/>
      <c r="D31" s="307"/>
      <c r="E31" s="307"/>
      <c r="F31" s="307"/>
      <c r="G31" s="307"/>
      <c r="H31" s="307"/>
      <c r="I31" s="307"/>
      <c r="J31" s="307"/>
    </row>
    <row r="32" spans="1:30">
      <c r="A32" s="188"/>
      <c r="B32" s="330"/>
      <c r="C32" s="330"/>
      <c r="D32" s="330"/>
      <c r="E32" s="307"/>
      <c r="F32" s="307"/>
      <c r="G32" s="330"/>
      <c r="H32" s="450"/>
      <c r="I32" s="451"/>
      <c r="J32" s="31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Footer>&amp;LStaff_DR_130 Revised-Attachment B&amp;RPage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B53" sqref="B53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09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09"/>
      <c r="R6" s="909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09"/>
      <c r="Q7" s="909"/>
      <c r="R7" s="909"/>
    </row>
    <row r="8" spans="1:18">
      <c r="A8" s="93" t="s">
        <v>155</v>
      </c>
      <c r="B8" s="95" t="s">
        <v>156</v>
      </c>
      <c r="C8" s="103"/>
      <c r="D8" s="600">
        <v>1562090323.9480615</v>
      </c>
      <c r="E8" s="600">
        <v>411760124.95869529</v>
      </c>
      <c r="F8" s="600">
        <v>1262061453.0310712</v>
      </c>
      <c r="G8" s="600">
        <v>126000000</v>
      </c>
      <c r="H8" s="600">
        <v>51176200.546248734</v>
      </c>
      <c r="I8" s="600"/>
      <c r="L8" s="96" t="s">
        <v>157</v>
      </c>
      <c r="N8" s="104">
        <v>1</v>
      </c>
      <c r="P8" s="909"/>
      <c r="Q8" s="909"/>
      <c r="R8" s="909"/>
    </row>
    <row r="9" spans="1:18">
      <c r="A9" s="93" t="s">
        <v>155</v>
      </c>
      <c r="B9" s="95" t="s">
        <v>158</v>
      </c>
      <c r="C9" s="103"/>
      <c r="D9" s="600">
        <v>532041223.03140402</v>
      </c>
      <c r="E9" s="600">
        <v>184890135.04130465</v>
      </c>
      <c r="F9" s="600">
        <v>166633499.96892866</v>
      </c>
      <c r="G9" s="600">
        <v>558890760</v>
      </c>
      <c r="H9" s="600">
        <v>85950103.453751266</v>
      </c>
      <c r="I9" s="600"/>
      <c r="K9" s="102" t="s">
        <v>159</v>
      </c>
      <c r="L9" s="95" t="s">
        <v>160</v>
      </c>
      <c r="N9" s="95" t="str">
        <f>CHOOSE(Base1_Billing2,L7,L9)</f>
        <v>BASE TARIFF</v>
      </c>
      <c r="P9" s="909"/>
      <c r="Q9" s="909"/>
      <c r="R9" s="909"/>
    </row>
    <row r="10" spans="1:18">
      <c r="A10" s="93" t="s">
        <v>155</v>
      </c>
      <c r="B10" s="95" t="s">
        <v>161</v>
      </c>
      <c r="C10" s="103"/>
      <c r="D10" s="600">
        <v>349561635.02053469</v>
      </c>
      <c r="E10" s="600"/>
      <c r="F10" s="600"/>
      <c r="G10" s="600">
        <v>420481376</v>
      </c>
      <c r="H10" s="600"/>
      <c r="I10" s="600"/>
      <c r="N10" s="95" t="str">
        <f>CHOOSE(Base1_Billing2,"Base","Billing")</f>
        <v>Base</v>
      </c>
      <c r="P10" s="909"/>
      <c r="Q10" s="909"/>
      <c r="R10" s="909"/>
    </row>
    <row r="11" spans="1:18">
      <c r="B11" s="95" t="s">
        <v>162</v>
      </c>
      <c r="C11" s="103"/>
      <c r="D11" s="600"/>
      <c r="E11" s="600"/>
      <c r="F11" s="600"/>
      <c r="G11" s="600"/>
      <c r="H11" s="600"/>
      <c r="I11" s="600"/>
      <c r="P11" s="909"/>
      <c r="Q11" s="909"/>
      <c r="R11" s="909"/>
    </row>
    <row r="12" spans="1:18">
      <c r="A12" s="93" t="s">
        <v>176</v>
      </c>
      <c r="B12" s="95" t="s">
        <v>163</v>
      </c>
      <c r="C12" s="105"/>
      <c r="D12" s="601"/>
      <c r="E12" s="601"/>
      <c r="F12" s="601"/>
      <c r="G12" s="601"/>
      <c r="H12" s="601"/>
      <c r="I12" s="602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36">
        <v>2462067</v>
      </c>
      <c r="E25" s="636">
        <v>364551.99999999994</v>
      </c>
      <c r="F25" s="636">
        <v>24110</v>
      </c>
      <c r="G25" s="636">
        <v>252</v>
      </c>
      <c r="H25" s="636">
        <v>29215.99999999996</v>
      </c>
      <c r="I25" s="636"/>
    </row>
    <row r="26" spans="1:9">
      <c r="B26" s="95" t="s">
        <v>171</v>
      </c>
      <c r="C26" s="103"/>
      <c r="D26" s="636"/>
      <c r="E26" s="636"/>
      <c r="F26" s="636"/>
      <c r="G26" s="636"/>
      <c r="H26" s="636"/>
      <c r="I26" s="636"/>
    </row>
    <row r="27" spans="1:9">
      <c r="A27" s="93" t="s">
        <v>155</v>
      </c>
      <c r="B27" s="95" t="s">
        <v>172</v>
      </c>
      <c r="C27" s="103"/>
      <c r="D27" s="636"/>
      <c r="E27" s="636">
        <v>402284</v>
      </c>
      <c r="F27" s="636">
        <v>2748136</v>
      </c>
      <c r="G27" s="636">
        <v>1276783</v>
      </c>
      <c r="H27" s="636"/>
      <c r="I27" s="636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379</v>
      </c>
      <c r="B59" s="95" t="s">
        <v>177</v>
      </c>
      <c r="D59" s="640">
        <v>8.5</v>
      </c>
      <c r="E59" s="640">
        <v>18</v>
      </c>
      <c r="F59" s="640">
        <v>0</v>
      </c>
      <c r="G59" s="640">
        <v>0</v>
      </c>
      <c r="H59" s="640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38"/>
      <c r="E60" s="637"/>
      <c r="F60" s="637"/>
      <c r="G60" s="637"/>
      <c r="H60" s="637"/>
    </row>
    <row r="62" spans="1:14">
      <c r="A62" s="93" t="s">
        <v>379</v>
      </c>
      <c r="B62" s="95" t="s">
        <v>180</v>
      </c>
      <c r="D62" s="641">
        <v>7.5250000000000004</v>
      </c>
      <c r="E62" s="641">
        <v>11.507</v>
      </c>
      <c r="F62" s="641">
        <v>7.24</v>
      </c>
      <c r="G62" s="641">
        <v>5.6159999999999997</v>
      </c>
      <c r="H62" s="641">
        <v>9.7119999999999997</v>
      </c>
      <c r="I62" s="123">
        <v>0</v>
      </c>
      <c r="K62" s="121">
        <v>2</v>
      </c>
    </row>
    <row r="63" spans="1:14">
      <c r="A63" s="93" t="s">
        <v>379</v>
      </c>
      <c r="B63" s="95" t="s">
        <v>181</v>
      </c>
      <c r="D63" s="641">
        <v>8.7550000000000008</v>
      </c>
      <c r="E63" s="641">
        <v>8.4550000000000001</v>
      </c>
      <c r="F63" s="641">
        <v>6.4749999999999996</v>
      </c>
      <c r="G63" s="641">
        <v>5.0529999999999999</v>
      </c>
      <c r="H63" s="641">
        <v>6.9359999999999999</v>
      </c>
      <c r="I63" s="123">
        <v>0</v>
      </c>
      <c r="K63" s="121">
        <v>3</v>
      </c>
    </row>
    <row r="64" spans="1:14">
      <c r="A64" s="93" t="s">
        <v>379</v>
      </c>
      <c r="B64" s="95" t="s">
        <v>182</v>
      </c>
      <c r="D64" s="641">
        <v>10.263999999999999</v>
      </c>
      <c r="E64" s="641">
        <v>0</v>
      </c>
      <c r="F64" s="641">
        <v>0</v>
      </c>
      <c r="G64" s="641">
        <v>4.32</v>
      </c>
      <c r="H64" s="641">
        <v>0</v>
      </c>
      <c r="I64" s="123">
        <v>0</v>
      </c>
      <c r="K64" s="121">
        <v>4</v>
      </c>
    </row>
    <row r="65" spans="1:12">
      <c r="B65" s="95" t="s">
        <v>183</v>
      </c>
      <c r="D65" s="639"/>
      <c r="E65" s="639"/>
      <c r="F65" s="639"/>
      <c r="G65" s="639"/>
      <c r="H65" s="639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47">
        <v>8.1846000002466752</v>
      </c>
      <c r="E67" s="647">
        <v>10.561245460615403</v>
      </c>
      <c r="F67" s="647">
        <v>7.1507754755818773</v>
      </c>
      <c r="G67" s="647"/>
      <c r="H67" s="647">
        <v>7.9720166453257555</v>
      </c>
      <c r="I67" s="123"/>
    </row>
    <row r="68" spans="1:12">
      <c r="D68" s="645"/>
      <c r="E68" s="645"/>
      <c r="F68" s="645"/>
      <c r="G68" s="645"/>
      <c r="H68" s="645"/>
      <c r="I68" s="124"/>
    </row>
    <row r="69" spans="1:12" s="122" customFormat="1">
      <c r="A69" s="93" t="s">
        <v>379</v>
      </c>
      <c r="B69" s="122" t="s">
        <v>185</v>
      </c>
      <c r="D69" s="646">
        <v>0</v>
      </c>
      <c r="E69" s="646">
        <v>0</v>
      </c>
      <c r="F69" s="646">
        <v>500</v>
      </c>
      <c r="G69" s="646">
        <v>21000</v>
      </c>
      <c r="H69" s="646">
        <v>0</v>
      </c>
      <c r="I69" s="120">
        <v>0</v>
      </c>
      <c r="K69" s="121">
        <v>6</v>
      </c>
    </row>
    <row r="70" spans="1:12" s="122" customFormat="1">
      <c r="A70" s="93" t="s">
        <v>379</v>
      </c>
      <c r="B70" s="122" t="s">
        <v>186</v>
      </c>
      <c r="D70" s="646">
        <v>0</v>
      </c>
      <c r="E70" s="646">
        <v>6</v>
      </c>
      <c r="F70" s="646">
        <v>6</v>
      </c>
      <c r="G70" s="646">
        <v>6</v>
      </c>
      <c r="H70" s="646">
        <v>0</v>
      </c>
      <c r="I70" s="120">
        <v>0</v>
      </c>
      <c r="K70" s="121">
        <v>7</v>
      </c>
    </row>
    <row r="71" spans="1:12">
      <c r="D71" s="645"/>
      <c r="E71" s="645"/>
      <c r="F71" s="645"/>
      <c r="G71" s="645"/>
      <c r="H71" s="645"/>
      <c r="I71" s="124"/>
    </row>
    <row r="72" spans="1:12">
      <c r="D72" s="645"/>
      <c r="E72" s="645"/>
      <c r="F72" s="645"/>
      <c r="G72" s="645"/>
      <c r="H72" s="645"/>
      <c r="I72" s="124"/>
    </row>
    <row r="73" spans="1:12">
      <c r="D73" s="645"/>
      <c r="E73" s="645"/>
      <c r="F73" s="645"/>
      <c r="G73" s="645"/>
      <c r="H73" s="645"/>
      <c r="I73" s="124"/>
    </row>
    <row r="74" spans="1:12">
      <c r="D74" s="645"/>
      <c r="E74" s="645"/>
      <c r="F74" s="645"/>
      <c r="G74" s="645"/>
      <c r="H74" s="645"/>
      <c r="I74" s="124"/>
    </row>
    <row r="75" spans="1:12" ht="13.2">
      <c r="B75" s="99" t="s">
        <v>187</v>
      </c>
      <c r="D75" s="642"/>
      <c r="E75" s="642"/>
      <c r="F75" s="642"/>
      <c r="G75" s="642"/>
      <c r="H75" s="642"/>
    </row>
    <row r="76" spans="1:12">
      <c r="B76" s="95" t="s">
        <v>177</v>
      </c>
      <c r="D76" s="646">
        <v>8.5</v>
      </c>
      <c r="E76" s="646">
        <v>18</v>
      </c>
      <c r="F76" s="646"/>
      <c r="G76" s="646"/>
      <c r="H76" s="646">
        <v>18</v>
      </c>
      <c r="I76" s="120"/>
      <c r="K76" s="121">
        <v>1</v>
      </c>
      <c r="L76" s="125"/>
    </row>
    <row r="77" spans="1:12" ht="13.2">
      <c r="B77" s="95" t="s">
        <v>179</v>
      </c>
      <c r="D77" s="644"/>
      <c r="E77" s="642"/>
      <c r="F77" s="642"/>
      <c r="G77" s="642"/>
      <c r="H77" s="642"/>
    </row>
    <row r="79" spans="1:12">
      <c r="B79" s="95" t="s">
        <v>180</v>
      </c>
      <c r="C79" s="126"/>
      <c r="D79" s="647">
        <v>7.5250000000000004</v>
      </c>
      <c r="E79" s="647">
        <v>11.507</v>
      </c>
      <c r="F79" s="647">
        <v>7.24</v>
      </c>
      <c r="G79" s="647">
        <v>5.6159999999999997</v>
      </c>
      <c r="H79" s="647">
        <v>9.7119999999999997</v>
      </c>
      <c r="I79" s="123"/>
      <c r="K79" s="121">
        <v>2</v>
      </c>
    </row>
    <row r="80" spans="1:12">
      <c r="B80" s="95" t="s">
        <v>181</v>
      </c>
      <c r="C80" s="126"/>
      <c r="D80" s="647">
        <v>8.7550000000000008</v>
      </c>
      <c r="E80" s="647">
        <v>8.4550000000000001</v>
      </c>
      <c r="F80" s="647">
        <v>6.4749999999999996</v>
      </c>
      <c r="G80" s="647">
        <v>5.0529999999999999</v>
      </c>
      <c r="H80" s="647">
        <v>6.9359999999999999</v>
      </c>
      <c r="I80" s="123"/>
      <c r="K80" s="121">
        <v>3</v>
      </c>
    </row>
    <row r="81" spans="1:11">
      <c r="B81" s="95" t="s">
        <v>182</v>
      </c>
      <c r="C81" s="126"/>
      <c r="D81" s="647">
        <v>10.263999999999999</v>
      </c>
      <c r="E81" s="647"/>
      <c r="F81" s="647"/>
      <c r="G81" s="647">
        <v>4.32</v>
      </c>
      <c r="H81" s="647"/>
      <c r="I81" s="123"/>
      <c r="K81" s="121">
        <v>4</v>
      </c>
    </row>
    <row r="82" spans="1:11">
      <c r="B82" s="95" t="s">
        <v>183</v>
      </c>
      <c r="D82" s="645"/>
      <c r="E82" s="645"/>
      <c r="F82" s="645"/>
      <c r="G82" s="645"/>
      <c r="H82" s="645"/>
      <c r="I82" s="124"/>
      <c r="K82" s="121">
        <v>5</v>
      </c>
    </row>
    <row r="83" spans="1:11">
      <c r="D83" s="645"/>
      <c r="E83" s="645"/>
      <c r="F83" s="645"/>
      <c r="G83" s="645"/>
      <c r="H83" s="645"/>
      <c r="I83" s="124"/>
    </row>
    <row r="84" spans="1:11">
      <c r="B84" s="95" t="s">
        <v>184</v>
      </c>
      <c r="D84" s="647">
        <v>8.1846000002466752</v>
      </c>
      <c r="E84" s="647">
        <v>10.561245460615403</v>
      </c>
      <c r="F84" s="647">
        <v>7.1507754755818773</v>
      </c>
      <c r="G84" s="647"/>
      <c r="H84" s="647">
        <v>7.9720166453257555</v>
      </c>
      <c r="I84" s="123"/>
    </row>
    <row r="85" spans="1:11">
      <c r="D85" s="645"/>
      <c r="E85" s="645"/>
      <c r="F85" s="645"/>
      <c r="G85" s="645"/>
      <c r="H85" s="645"/>
      <c r="I85" s="124"/>
    </row>
    <row r="86" spans="1:11" s="122" customFormat="1">
      <c r="A86" s="93"/>
      <c r="B86" s="122" t="s">
        <v>185</v>
      </c>
      <c r="D86" s="646"/>
      <c r="E86" s="646"/>
      <c r="F86" s="646">
        <v>500</v>
      </c>
      <c r="G86" s="646">
        <v>21000</v>
      </c>
      <c r="H86" s="646"/>
      <c r="I86" s="120"/>
      <c r="K86" s="121">
        <v>6</v>
      </c>
    </row>
    <row r="87" spans="1:11" s="122" customFormat="1">
      <c r="A87" s="93"/>
      <c r="B87" s="122" t="s">
        <v>186</v>
      </c>
      <c r="D87" s="646"/>
      <c r="E87" s="646">
        <v>6</v>
      </c>
      <c r="F87" s="646">
        <v>6</v>
      </c>
      <c r="G87" s="646">
        <v>6</v>
      </c>
      <c r="H87" s="646"/>
      <c r="I87" s="120"/>
      <c r="K87" s="121">
        <v>7</v>
      </c>
    </row>
    <row r="88" spans="1:11" s="122" customFormat="1">
      <c r="A88" s="93"/>
      <c r="D88" s="643"/>
      <c r="E88" s="644"/>
      <c r="F88" s="644"/>
      <c r="G88" s="644"/>
      <c r="H88" s="644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10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11"/>
      <c r="D95" s="911"/>
      <c r="E95" s="911"/>
      <c r="F95" s="911"/>
      <c r="G95" s="911"/>
      <c r="H95" s="911"/>
    </row>
    <row r="96" spans="1:11" s="122" customFormat="1">
      <c r="A96" s="93"/>
      <c r="B96" s="911"/>
      <c r="C96" s="911"/>
      <c r="D96" s="911"/>
      <c r="E96" s="911"/>
      <c r="F96" s="911"/>
      <c r="G96" s="911"/>
      <c r="H96" s="911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380</v>
      </c>
      <c r="B119" s="127" t="s">
        <v>189</v>
      </c>
      <c r="C119" s="103">
        <f t="shared" si="15"/>
        <v>139528</v>
      </c>
      <c r="D119" s="103"/>
      <c r="E119" s="653">
        <v>7411.5</v>
      </c>
      <c r="F119" s="653">
        <v>127296.5</v>
      </c>
      <c r="G119" s="653"/>
      <c r="H119" s="653">
        <v>4820</v>
      </c>
      <c r="I119" s="650"/>
    </row>
    <row r="120" spans="1:9">
      <c r="A120" s="93" t="s">
        <v>381</v>
      </c>
      <c r="B120" s="127" t="s">
        <v>190</v>
      </c>
      <c r="C120" s="103">
        <f t="shared" si="15"/>
        <v>-1310530.5</v>
      </c>
      <c r="D120" s="103"/>
      <c r="E120" s="650"/>
      <c r="F120" s="654">
        <v>-70490</v>
      </c>
      <c r="G120" s="650">
        <v>-1240040.5</v>
      </c>
      <c r="H120" s="650"/>
      <c r="I120" s="650"/>
    </row>
    <row r="121" spans="1:9" ht="13.2">
      <c r="A121" s="392"/>
      <c r="B121" s="127" t="s">
        <v>191</v>
      </c>
      <c r="C121" s="103">
        <f t="shared" si="15"/>
        <v>0</v>
      </c>
      <c r="D121" s="103"/>
      <c r="E121" s="650"/>
      <c r="F121" s="650"/>
      <c r="G121" s="650"/>
      <c r="H121" s="650"/>
      <c r="I121" s="650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51"/>
      <c r="F122" s="651"/>
      <c r="G122" s="651"/>
      <c r="H122" s="651"/>
      <c r="I122" s="652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382</v>
      </c>
      <c r="B134" s="133" t="s">
        <v>197</v>
      </c>
      <c r="C134" s="103">
        <f>SUM(D134:I134)</f>
        <v>-2786906</v>
      </c>
      <c r="D134" s="655">
        <v>-3326043</v>
      </c>
      <c r="E134" s="655">
        <v>230343</v>
      </c>
      <c r="F134" s="655">
        <v>208054</v>
      </c>
      <c r="G134" s="655"/>
      <c r="H134" s="655">
        <v>100740</v>
      </c>
      <c r="I134" s="410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411">
        <v>0</v>
      </c>
      <c r="E138" s="411">
        <v>0</v>
      </c>
      <c r="F138" s="411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382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92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383</v>
      </c>
      <c r="B145" s="134" t="s">
        <v>202</v>
      </c>
      <c r="C145" s="108">
        <f>SUM(D145:I145)</f>
        <v>-80043211</v>
      </c>
      <c r="D145" s="657">
        <v>-61889108</v>
      </c>
      <c r="E145" s="657">
        <v>-8479367</v>
      </c>
      <c r="F145" s="658">
        <v>-9674736</v>
      </c>
      <c r="G145" s="657"/>
      <c r="H145" s="656"/>
      <c r="I145" s="656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426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611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426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607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609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611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60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59">
        <v>7019745.6005999986</v>
      </c>
    </row>
    <row r="176" spans="1:9">
      <c r="B176" s="95" t="s">
        <v>608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607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610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609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730" t="s">
        <v>611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608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92" t="str">
        <f>C4</f>
        <v xml:space="preserve"> </v>
      </c>
      <c r="D210" s="392"/>
      <c r="E210" s="143"/>
      <c r="F210" s="149"/>
      <c r="G210" s="149"/>
      <c r="H210" s="149"/>
      <c r="I210" s="149"/>
    </row>
    <row r="211" spans="1:9" s="96" customFormat="1" ht="13.2">
      <c r="A211" s="93"/>
      <c r="C211" s="392"/>
      <c r="D211" s="392"/>
      <c r="E211" s="143"/>
      <c r="F211" s="149"/>
      <c r="G211" s="149"/>
      <c r="H211" s="149"/>
      <c r="I211" s="149"/>
    </row>
    <row r="212" spans="1:9" s="96" customFormat="1" ht="13.2">
      <c r="A212" s="93"/>
      <c r="C212" s="392"/>
      <c r="D212" s="392"/>
      <c r="E212" s="143"/>
      <c r="F212" s="149"/>
      <c r="G212" s="149"/>
      <c r="H212" s="149"/>
      <c r="I212" s="149"/>
    </row>
    <row r="213" spans="1:9" s="96" customFormat="1" ht="13.2">
      <c r="A213" s="93"/>
      <c r="C213" s="392"/>
      <c r="D213" s="392"/>
      <c r="E213" s="143"/>
      <c r="F213" s="149"/>
      <c r="G213" s="149"/>
      <c r="H213" s="149"/>
      <c r="I213" s="149"/>
    </row>
    <row r="214" spans="1:9" s="96" customFormat="1" ht="13.2">
      <c r="A214" s="93"/>
      <c r="C214" s="392"/>
      <c r="D214" s="392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727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384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92"/>
      <c r="E264" s="392"/>
      <c r="F264" s="392"/>
      <c r="G264" s="392"/>
      <c r="H264" s="392"/>
      <c r="I264" s="392"/>
    </row>
    <row r="265" spans="1:9" s="96" customFormat="1" ht="13.2">
      <c r="A265" s="93"/>
      <c r="C265" s="392"/>
      <c r="D265" s="392"/>
      <c r="E265" s="143"/>
      <c r="F265" s="149"/>
      <c r="G265" s="149"/>
      <c r="H265" s="149"/>
      <c r="I265" s="149"/>
    </row>
    <row r="266" spans="1:9" s="96" customFormat="1" ht="13.2">
      <c r="A266" s="93"/>
      <c r="C266" s="392"/>
      <c r="D266" s="392"/>
      <c r="E266" s="143"/>
      <c r="F266" s="149"/>
      <c r="G266" s="149"/>
      <c r="H266" s="149"/>
      <c r="I266" s="149"/>
    </row>
    <row r="267" spans="1:9" s="96" customFormat="1" ht="13.2">
      <c r="A267" s="93"/>
      <c r="C267" s="392"/>
      <c r="D267" s="392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385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/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31" customWidth="1"/>
    <col min="8" max="8" width="16.109375" style="331" customWidth="1"/>
    <col min="9" max="9" width="19.109375" style="4" bestFit="1" customWidth="1"/>
    <col min="10" max="16384" width="9.109375" style="4"/>
  </cols>
  <sheetData>
    <row r="1" spans="1:10">
      <c r="A1" s="648" t="s">
        <v>527</v>
      </c>
      <c r="J1" s="4" t="s">
        <v>534</v>
      </c>
    </row>
    <row r="2" spans="1:10" ht="13.8">
      <c r="A2" s="3" t="s">
        <v>2</v>
      </c>
    </row>
    <row r="3" spans="1:10">
      <c r="G3" s="388" t="s">
        <v>31</v>
      </c>
      <c r="H3" s="388" t="s">
        <v>360</v>
      </c>
    </row>
    <row r="4" spans="1:10">
      <c r="G4" s="332">
        <v>2016</v>
      </c>
      <c r="H4" s="332">
        <v>2016</v>
      </c>
    </row>
    <row r="5" spans="1:10">
      <c r="A5" s="604" t="s">
        <v>43</v>
      </c>
      <c r="G5" s="332"/>
      <c r="H5" s="332"/>
    </row>
    <row r="6" spans="1:10">
      <c r="A6" s="620" t="s">
        <v>33</v>
      </c>
      <c r="B6" s="7"/>
      <c r="C6" s="7"/>
      <c r="D6" s="7"/>
      <c r="E6" s="7"/>
      <c r="F6" s="7"/>
      <c r="G6" s="614">
        <v>209394.33333333334</v>
      </c>
      <c r="H6" s="333">
        <f>G6*12</f>
        <v>2512732</v>
      </c>
      <c r="J6" s="4" t="s">
        <v>535</v>
      </c>
    </row>
    <row r="7" spans="1:10">
      <c r="A7" s="620" t="s">
        <v>37</v>
      </c>
      <c r="B7" s="7"/>
      <c r="C7" s="7"/>
      <c r="D7" s="7"/>
      <c r="E7" s="7"/>
      <c r="F7" s="7"/>
      <c r="G7" s="614">
        <v>22339.232387966422</v>
      </c>
      <c r="H7" s="333">
        <f t="shared" ref="H7:H25" si="0">G7*12</f>
        <v>268070.78865559708</v>
      </c>
      <c r="J7" s="4" t="s">
        <v>536</v>
      </c>
    </row>
    <row r="8" spans="1:10">
      <c r="A8" s="620" t="s">
        <v>34</v>
      </c>
      <c r="B8" s="7"/>
      <c r="C8" s="7"/>
      <c r="D8" s="7"/>
      <c r="E8" s="7"/>
      <c r="F8" s="7"/>
      <c r="G8" s="614">
        <v>9270.25</v>
      </c>
      <c r="H8" s="333">
        <f t="shared" si="0"/>
        <v>111243</v>
      </c>
      <c r="J8" s="4" t="s">
        <v>537</v>
      </c>
    </row>
    <row r="9" spans="1:10">
      <c r="A9" s="620" t="s">
        <v>38</v>
      </c>
      <c r="B9" s="7"/>
      <c r="C9" s="7"/>
      <c r="D9" s="7"/>
      <c r="E9" s="7"/>
      <c r="F9" s="7"/>
      <c r="G9" s="614">
        <v>1964.1555167003778</v>
      </c>
      <c r="H9" s="333">
        <f t="shared" si="0"/>
        <v>23569.866200404533</v>
      </c>
      <c r="J9" s="4" t="s">
        <v>538</v>
      </c>
    </row>
    <row r="10" spans="1:10">
      <c r="A10" s="620" t="s">
        <v>35</v>
      </c>
      <c r="B10" s="7"/>
      <c r="C10" s="7"/>
      <c r="D10" s="7"/>
      <c r="E10" s="7"/>
      <c r="F10" s="7"/>
      <c r="G10" s="614">
        <v>54.618041666666663</v>
      </c>
      <c r="H10" s="333">
        <f t="shared" si="0"/>
        <v>655.41649999999993</v>
      </c>
      <c r="J10" s="4" t="s">
        <v>539</v>
      </c>
    </row>
    <row r="11" spans="1:10">
      <c r="A11" s="620" t="s">
        <v>39</v>
      </c>
      <c r="B11" s="7"/>
      <c r="C11" s="7"/>
      <c r="D11" s="7"/>
      <c r="E11" s="7"/>
      <c r="F11" s="7"/>
      <c r="G11" s="614">
        <v>20.974075673563011</v>
      </c>
      <c r="H11" s="333">
        <f t="shared" si="0"/>
        <v>251.68890808275614</v>
      </c>
      <c r="J11" s="4" t="s">
        <v>540</v>
      </c>
    </row>
    <row r="12" spans="1:10">
      <c r="A12" s="620" t="s">
        <v>41</v>
      </c>
      <c r="B12" s="7"/>
      <c r="C12" s="7"/>
      <c r="D12" s="7"/>
      <c r="E12" s="7"/>
      <c r="F12" s="7"/>
      <c r="G12" s="614">
        <v>0</v>
      </c>
      <c r="H12" s="333">
        <f t="shared" si="0"/>
        <v>0</v>
      </c>
      <c r="J12" s="4" t="s">
        <v>541</v>
      </c>
    </row>
    <row r="13" spans="1:10">
      <c r="A13" s="620" t="s">
        <v>40</v>
      </c>
      <c r="B13" s="7"/>
      <c r="C13" s="7"/>
      <c r="D13" s="7"/>
      <c r="E13" s="7"/>
      <c r="F13" s="7"/>
      <c r="G13" s="614">
        <v>1256.8935910567657</v>
      </c>
      <c r="H13" s="333">
        <f t="shared" si="0"/>
        <v>15082.723092681188</v>
      </c>
      <c r="J13" s="4" t="s">
        <v>542</v>
      </c>
    </row>
    <row r="14" spans="1:10">
      <c r="A14" s="620" t="s">
        <v>36</v>
      </c>
      <c r="B14" s="7"/>
      <c r="C14" s="7"/>
      <c r="D14" s="7"/>
      <c r="E14" s="7"/>
      <c r="F14" s="7"/>
      <c r="G14" s="614">
        <v>1218.806325</v>
      </c>
      <c r="H14" s="333">
        <f t="shared" si="0"/>
        <v>14625.6759</v>
      </c>
      <c r="J14" s="4" t="s">
        <v>543</v>
      </c>
    </row>
    <row r="15" spans="1:10">
      <c r="A15" s="620" t="s">
        <v>42</v>
      </c>
      <c r="B15" s="7"/>
      <c r="C15" s="7"/>
      <c r="D15" s="7"/>
      <c r="E15" s="7"/>
      <c r="F15" s="7"/>
      <c r="G15" s="614">
        <v>397.44294999999994</v>
      </c>
      <c r="H15" s="333">
        <f t="shared" si="0"/>
        <v>4769.3153999999995</v>
      </c>
      <c r="J15" s="4" t="s">
        <v>544</v>
      </c>
    </row>
    <row r="16" spans="1:10">
      <c r="A16" s="620" t="s">
        <v>261</v>
      </c>
      <c r="B16" s="7"/>
      <c r="C16" s="7"/>
      <c r="D16" s="7"/>
      <c r="E16" s="7"/>
      <c r="F16" s="7"/>
      <c r="G16" s="614">
        <v>105892.70273403819</v>
      </c>
      <c r="H16" s="333">
        <f t="shared" si="0"/>
        <v>1270712.4328084583</v>
      </c>
      <c r="J16" s="4" t="s">
        <v>545</v>
      </c>
    </row>
    <row r="17" spans="1:10">
      <c r="A17" s="620" t="s">
        <v>266</v>
      </c>
      <c r="B17" s="7"/>
      <c r="C17" s="7"/>
      <c r="D17" s="7"/>
      <c r="E17" s="7"/>
      <c r="F17" s="7"/>
      <c r="G17" s="614">
        <v>16007.131658333334</v>
      </c>
      <c r="H17" s="333">
        <f t="shared" si="0"/>
        <v>192085.57990000001</v>
      </c>
      <c r="J17" s="4" t="s">
        <v>546</v>
      </c>
    </row>
    <row r="18" spans="1:10">
      <c r="A18" s="620" t="s">
        <v>262</v>
      </c>
      <c r="B18" s="7"/>
      <c r="C18" s="7"/>
      <c r="D18" s="7"/>
      <c r="E18" s="7"/>
      <c r="F18" s="7"/>
      <c r="G18" s="614">
        <v>5277.75</v>
      </c>
      <c r="H18" s="333">
        <f t="shared" si="0"/>
        <v>63333</v>
      </c>
      <c r="J18" s="4" t="s">
        <v>547</v>
      </c>
    </row>
    <row r="19" spans="1:10">
      <c r="A19" s="620" t="s">
        <v>267</v>
      </c>
      <c r="B19" s="7"/>
      <c r="C19" s="8"/>
      <c r="D19" s="7"/>
      <c r="E19" s="7"/>
      <c r="F19" s="7"/>
      <c r="G19" s="614">
        <v>1133.5452936413924</v>
      </c>
      <c r="H19" s="333">
        <f t="shared" si="0"/>
        <v>13602.54352369671</v>
      </c>
      <c r="J19" s="4" t="s">
        <v>548</v>
      </c>
    </row>
    <row r="20" spans="1:10">
      <c r="A20" s="620" t="s">
        <v>263</v>
      </c>
      <c r="B20" s="7"/>
      <c r="C20" s="7"/>
      <c r="D20" s="7"/>
      <c r="E20" s="7"/>
      <c r="F20" s="7"/>
      <c r="G20" s="614">
        <v>21.445034499375708</v>
      </c>
      <c r="H20" s="333">
        <f t="shared" si="0"/>
        <v>257.3404139925085</v>
      </c>
      <c r="J20" s="4" t="s">
        <v>549</v>
      </c>
    </row>
    <row r="21" spans="1:10">
      <c r="A21" s="620" t="s">
        <v>268</v>
      </c>
      <c r="B21" s="7"/>
      <c r="C21" s="7"/>
      <c r="D21" s="7"/>
      <c r="E21" s="7"/>
      <c r="F21" s="7"/>
      <c r="G21" s="614">
        <v>9</v>
      </c>
      <c r="H21" s="333">
        <f t="shared" si="0"/>
        <v>108</v>
      </c>
      <c r="J21" s="4" t="s">
        <v>550</v>
      </c>
    </row>
    <row r="22" spans="1:10">
      <c r="A22" s="620" t="s">
        <v>270</v>
      </c>
      <c r="B22" s="7"/>
      <c r="C22" s="7"/>
      <c r="D22" s="7"/>
      <c r="E22" s="7"/>
      <c r="F22" s="7"/>
      <c r="G22" s="614">
        <v>1</v>
      </c>
      <c r="H22" s="333">
        <f t="shared" si="0"/>
        <v>12</v>
      </c>
      <c r="J22" s="4" t="s">
        <v>551</v>
      </c>
    </row>
    <row r="23" spans="1:10">
      <c r="A23" s="620" t="s">
        <v>269</v>
      </c>
      <c r="G23" s="614">
        <v>729.54100833333325</v>
      </c>
      <c r="H23" s="333">
        <f t="shared" si="0"/>
        <v>8754.4920999999995</v>
      </c>
      <c r="J23" s="4" t="s">
        <v>552</v>
      </c>
    </row>
    <row r="24" spans="1:10">
      <c r="A24" s="620" t="s">
        <v>264</v>
      </c>
      <c r="G24" s="614">
        <v>685.10282500000005</v>
      </c>
      <c r="H24" s="333">
        <f t="shared" si="0"/>
        <v>8221.2339000000011</v>
      </c>
      <c r="J24" s="4" t="s">
        <v>553</v>
      </c>
    </row>
    <row r="25" spans="1:10">
      <c r="A25" s="620" t="s">
        <v>265</v>
      </c>
      <c r="B25" s="7"/>
      <c r="C25" s="7"/>
      <c r="G25" s="614">
        <v>147</v>
      </c>
      <c r="H25" s="333">
        <f t="shared" si="0"/>
        <v>1764</v>
      </c>
      <c r="J25" s="4" t="s">
        <v>554</v>
      </c>
    </row>
    <row r="26" spans="1:10">
      <c r="A26" s="617"/>
      <c r="B26" s="7"/>
      <c r="C26" s="7"/>
      <c r="G26" s="333"/>
      <c r="H26" s="333"/>
    </row>
    <row r="27" spans="1:10">
      <c r="A27" s="604" t="s">
        <v>359</v>
      </c>
      <c r="B27" s="7"/>
      <c r="C27" s="7"/>
      <c r="G27" s="333"/>
      <c r="H27" s="333"/>
    </row>
    <row r="28" spans="1:10" s="9" customFormat="1">
      <c r="A28" s="629" t="s">
        <v>32</v>
      </c>
      <c r="B28" s="10"/>
      <c r="C28" s="10"/>
      <c r="G28" s="504">
        <f>SUM(G6:G15)</f>
        <v>245916.70622139712</v>
      </c>
      <c r="H28" s="334">
        <f>SUM(H6:H15)</f>
        <v>2951000.4746567663</v>
      </c>
      <c r="J28" s="4" t="s">
        <v>557</v>
      </c>
    </row>
    <row r="29" spans="1:10" s="9" customFormat="1">
      <c r="A29" s="610" t="s">
        <v>260</v>
      </c>
      <c r="B29" s="10"/>
      <c r="C29" s="10"/>
      <c r="G29" s="504">
        <f>SUM(G16:G25)</f>
        <v>129904.21855384563</v>
      </c>
      <c r="H29" s="334">
        <f>SUM(H16:H25)</f>
        <v>1558850.6226461476</v>
      </c>
      <c r="J29" s="4" t="s">
        <v>558</v>
      </c>
    </row>
    <row r="30" spans="1:10" s="9" customFormat="1">
      <c r="A30" s="622"/>
      <c r="B30" s="10"/>
      <c r="C30" s="10"/>
      <c r="G30" s="504"/>
      <c r="H30" s="334"/>
      <c r="J30" s="4"/>
    </row>
    <row r="31" spans="1:10">
      <c r="A31" s="632" t="s">
        <v>358</v>
      </c>
      <c r="B31" s="5"/>
      <c r="C31" s="7"/>
      <c r="G31" s="505">
        <f>SUM(G6:G25)</f>
        <v>375820.92477524281</v>
      </c>
      <c r="H31" s="333">
        <f>SUM(H6:H25)</f>
        <v>4509851.0973029146</v>
      </c>
      <c r="J31" s="4" t="s">
        <v>560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89" t="s">
        <v>8</v>
      </c>
      <c r="H34"/>
    </row>
    <row r="35" spans="1:10">
      <c r="B35" s="10"/>
      <c r="C35" s="10"/>
      <c r="D35" s="11"/>
      <c r="E35" s="9"/>
      <c r="F35" s="9"/>
      <c r="G35" s="489">
        <v>2016</v>
      </c>
      <c r="H35" s="333"/>
    </row>
    <row r="36" spans="1:10" hidden="1">
      <c r="A36" s="6" t="s">
        <v>44</v>
      </c>
      <c r="G36" s="335"/>
      <c r="H36" s="333"/>
    </row>
    <row r="37" spans="1:10" hidden="1">
      <c r="B37" s="7" t="s">
        <v>32</v>
      </c>
      <c r="G37" s="335">
        <v>5752629623.1252184</v>
      </c>
      <c r="H37" s="333"/>
    </row>
    <row r="38" spans="1:10" hidden="1">
      <c r="G38" s="336"/>
      <c r="H38" s="333"/>
    </row>
    <row r="39" spans="1:10">
      <c r="H39" s="333"/>
    </row>
    <row r="40" spans="1:10" ht="13.8">
      <c r="A40" s="628" t="s">
        <v>45</v>
      </c>
      <c r="B40" s="624"/>
      <c r="C40"/>
      <c r="D40"/>
      <c r="E40"/>
      <c r="F40"/>
      <c r="G40" s="332"/>
      <c r="H40" s="333"/>
    </row>
    <row r="41" spans="1:10">
      <c r="A41" s="631" t="s">
        <v>46</v>
      </c>
      <c r="B41" s="624"/>
      <c r="C41"/>
      <c r="D41"/>
      <c r="E41"/>
      <c r="F41"/>
      <c r="G41" s="333"/>
      <c r="H41" s="333"/>
    </row>
    <row r="42" spans="1:10">
      <c r="A42" s="613" t="s">
        <v>37</v>
      </c>
      <c r="B42" s="621" t="s">
        <v>361</v>
      </c>
      <c r="C42"/>
      <c r="D42"/>
      <c r="E42"/>
      <c r="F42"/>
      <c r="G42" s="635">
        <v>356508.5</v>
      </c>
      <c r="H42" s="333"/>
      <c r="J42" s="4" t="s">
        <v>561</v>
      </c>
    </row>
    <row r="43" spans="1:10">
      <c r="A43" s="613" t="s">
        <v>34</v>
      </c>
      <c r="B43" s="621" t="s">
        <v>361</v>
      </c>
      <c r="C43"/>
      <c r="D43"/>
      <c r="E43"/>
      <c r="F43"/>
      <c r="G43" s="635">
        <v>8132.5</v>
      </c>
      <c r="H43" s="333"/>
      <c r="J43" s="4" t="s">
        <v>562</v>
      </c>
    </row>
    <row r="44" spans="1:10">
      <c r="A44" s="613" t="s">
        <v>38</v>
      </c>
      <c r="B44" s="621" t="s">
        <v>362</v>
      </c>
      <c r="C44"/>
      <c r="D44"/>
      <c r="E44"/>
      <c r="F44"/>
      <c r="G44" s="635">
        <v>2643570.541666667</v>
      </c>
      <c r="H44" s="333"/>
      <c r="J44" s="4" t="s">
        <v>563</v>
      </c>
    </row>
    <row r="45" spans="1:10">
      <c r="A45" s="613" t="s">
        <v>35</v>
      </c>
      <c r="B45" s="621" t="s">
        <v>362</v>
      </c>
      <c r="C45"/>
      <c r="D45"/>
      <c r="E45"/>
      <c r="F45"/>
      <c r="G45" s="635">
        <v>53982.5</v>
      </c>
      <c r="H45" s="333"/>
      <c r="J45" s="4" t="s">
        <v>564</v>
      </c>
    </row>
    <row r="46" spans="1:10">
      <c r="A46" s="613" t="s">
        <v>39</v>
      </c>
      <c r="B46" s="621" t="s">
        <v>363</v>
      </c>
      <c r="C46"/>
      <c r="D46"/>
      <c r="E46"/>
      <c r="F46"/>
      <c r="G46" s="635">
        <v>1168073</v>
      </c>
      <c r="H46" s="333"/>
      <c r="J46" s="4" t="s">
        <v>565</v>
      </c>
    </row>
    <row r="47" spans="1:10">
      <c r="A47" s="613" t="s">
        <v>266</v>
      </c>
      <c r="B47" s="621" t="s">
        <v>361</v>
      </c>
      <c r="C47"/>
      <c r="D47"/>
      <c r="E47"/>
      <c r="F47"/>
      <c r="G47" s="635">
        <v>227091.75</v>
      </c>
      <c r="H47" s="333"/>
      <c r="J47" s="4" t="s">
        <v>566</v>
      </c>
    </row>
    <row r="48" spans="1:10">
      <c r="A48" s="613" t="s">
        <v>262</v>
      </c>
      <c r="B48" s="621" t="s">
        <v>361</v>
      </c>
      <c r="C48"/>
      <c r="D48"/>
      <c r="E48"/>
      <c r="F48"/>
      <c r="G48" s="635">
        <v>8132.5</v>
      </c>
      <c r="H48" s="333"/>
      <c r="J48" s="4" t="s">
        <v>567</v>
      </c>
    </row>
    <row r="49" spans="1:10">
      <c r="A49" s="613" t="s">
        <v>267</v>
      </c>
      <c r="B49" s="621" t="s">
        <v>362</v>
      </c>
      <c r="C49"/>
      <c r="D49"/>
      <c r="E49"/>
      <c r="F49"/>
      <c r="G49" s="635">
        <v>1286037.25</v>
      </c>
      <c r="H49" s="333"/>
      <c r="J49" s="4" t="s">
        <v>568</v>
      </c>
    </row>
    <row r="50" spans="1:10">
      <c r="A50" s="613" t="s">
        <v>263</v>
      </c>
      <c r="B50" s="621" t="s">
        <v>362</v>
      </c>
      <c r="C50"/>
      <c r="D50"/>
      <c r="E50"/>
      <c r="F50"/>
      <c r="G50" s="635">
        <v>15704.958333333334</v>
      </c>
      <c r="H50" s="333"/>
      <c r="J50" s="4" t="s">
        <v>569</v>
      </c>
    </row>
    <row r="51" spans="1:10">
      <c r="A51" s="613" t="s">
        <v>268</v>
      </c>
      <c r="B51" s="621" t="s">
        <v>363</v>
      </c>
      <c r="C51"/>
      <c r="D51"/>
      <c r="E51"/>
      <c r="F51"/>
      <c r="G51" s="635">
        <v>270260.5</v>
      </c>
      <c r="H51" s="333"/>
      <c r="J51" s="4" t="s">
        <v>570</v>
      </c>
    </row>
    <row r="52" spans="1:10">
      <c r="A52" s="613" t="s">
        <v>270</v>
      </c>
      <c r="B52" s="621" t="s">
        <v>363</v>
      </c>
      <c r="C52"/>
      <c r="D52"/>
      <c r="E52"/>
      <c r="F52"/>
      <c r="G52" s="635">
        <v>649540</v>
      </c>
      <c r="H52" s="333"/>
      <c r="J52" s="4" t="s">
        <v>571</v>
      </c>
    </row>
    <row r="53" spans="1:10">
      <c r="A53" s="331"/>
      <c r="B53" s="390"/>
      <c r="C53" s="236"/>
      <c r="D53" s="236"/>
      <c r="E53" s="236"/>
      <c r="F53" s="236"/>
      <c r="G53" s="333"/>
      <c r="H53" s="333"/>
    </row>
    <row r="54" spans="1:10">
      <c r="A54"/>
      <c r="B54"/>
      <c r="C54"/>
      <c r="D54"/>
      <c r="E54"/>
      <c r="F54"/>
      <c r="G54"/>
      <c r="H54" s="333"/>
    </row>
    <row r="55" spans="1:10">
      <c r="A55" s="383" t="s">
        <v>47</v>
      </c>
      <c r="B55"/>
      <c r="C55"/>
      <c r="D55"/>
      <c r="E55"/>
      <c r="F55"/>
      <c r="G55"/>
      <c r="H55" s="333"/>
    </row>
    <row r="56" spans="1:10" s="9" customFormat="1">
      <c r="A56" s="384" t="s">
        <v>32</v>
      </c>
      <c r="B56"/>
      <c r="C56"/>
      <c r="D56"/>
      <c r="E56"/>
      <c r="F56"/>
      <c r="G56" s="2">
        <f>SUM(G42:G46)</f>
        <v>4230267.041666667</v>
      </c>
      <c r="H56" s="333"/>
      <c r="J56" s="4" t="s">
        <v>572</v>
      </c>
    </row>
    <row r="57" spans="1:10" s="9" customFormat="1">
      <c r="A57" s="385" t="s">
        <v>260</v>
      </c>
      <c r="B57"/>
      <c r="C57"/>
      <c r="D57"/>
      <c r="E57"/>
      <c r="F57"/>
      <c r="G57" s="2">
        <f>SUM(G47:G52)</f>
        <v>2456766.958333333</v>
      </c>
      <c r="H57" s="333"/>
      <c r="J57" s="4" t="s">
        <v>573</v>
      </c>
    </row>
    <row r="58" spans="1:10">
      <c r="A58" s="386"/>
      <c r="B58"/>
      <c r="C58"/>
      <c r="D58"/>
      <c r="E58"/>
      <c r="F58"/>
      <c r="G58"/>
      <c r="H58" s="333"/>
    </row>
    <row r="59" spans="1:10">
      <c r="A59" s="387" t="s">
        <v>358</v>
      </c>
      <c r="B59"/>
      <c r="C59"/>
      <c r="D59"/>
      <c r="E59"/>
      <c r="F59"/>
      <c r="G59" s="2">
        <f>SUM(G42:G52)</f>
        <v>6687034</v>
      </c>
      <c r="H59" s="333"/>
      <c r="J59" s="4" t="s">
        <v>574</v>
      </c>
    </row>
    <row r="192" spans="2:2" ht="14.4">
      <c r="B192" s="729"/>
    </row>
    <row r="242" spans="9:9">
      <c r="I242" s="726"/>
    </row>
    <row r="243" spans="9:9">
      <c r="I243" s="726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243"/>
  <sheetViews>
    <sheetView workbookViewId="0"/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48" t="s">
        <v>527</v>
      </c>
      <c r="I1" s="642"/>
      <c r="J1" s="642"/>
      <c r="K1" s="642"/>
      <c r="L1" s="642"/>
      <c r="M1" s="642"/>
      <c r="N1" s="642"/>
    </row>
    <row r="2" spans="1:14">
      <c r="F2" s="648" t="s">
        <v>528</v>
      </c>
      <c r="I2" s="642"/>
      <c r="J2" s="642"/>
      <c r="K2" s="642"/>
      <c r="L2" s="642"/>
      <c r="M2" s="642"/>
      <c r="N2" s="642"/>
    </row>
    <row r="3" spans="1:14">
      <c r="I3" s="642"/>
      <c r="J3" s="642"/>
      <c r="K3" s="642"/>
      <c r="L3" s="642"/>
      <c r="M3" s="642"/>
      <c r="N3" s="642"/>
    </row>
    <row r="4" spans="1:14">
      <c r="A4" s="619" t="s">
        <v>271</v>
      </c>
      <c r="D4" s="649">
        <v>2016</v>
      </c>
      <c r="I4" s="642"/>
      <c r="J4" s="642"/>
      <c r="K4" s="642"/>
      <c r="L4" s="642"/>
      <c r="M4" s="642"/>
      <c r="N4" s="642"/>
    </row>
    <row r="5" spans="1:14">
      <c r="A5" s="612" t="s">
        <v>33</v>
      </c>
      <c r="D5" s="618">
        <v>2447894612.94909</v>
      </c>
      <c r="F5" s="648" t="s">
        <v>541</v>
      </c>
      <c r="G5" s="648"/>
      <c r="I5" s="642"/>
      <c r="J5" s="642"/>
      <c r="K5" s="642"/>
      <c r="L5" s="642"/>
      <c r="M5" s="642"/>
      <c r="N5" s="642"/>
    </row>
    <row r="6" spans="1:14">
      <c r="A6" s="612" t="s">
        <v>37</v>
      </c>
      <c r="D6" s="611">
        <v>533190763.92359316</v>
      </c>
      <c r="F6" s="648" t="s">
        <v>542</v>
      </c>
      <c r="G6" s="648"/>
      <c r="I6" s="642"/>
      <c r="J6" s="642"/>
      <c r="K6" s="642"/>
      <c r="L6" s="642"/>
      <c r="M6" s="642"/>
      <c r="N6" s="642"/>
    </row>
    <row r="7" spans="1:14">
      <c r="A7" s="612" t="s">
        <v>34</v>
      </c>
      <c r="D7" s="611">
        <v>58198159.318362407</v>
      </c>
      <c r="F7" s="648" t="s">
        <v>543</v>
      </c>
      <c r="G7" s="648"/>
      <c r="I7" s="642"/>
      <c r="J7" s="642"/>
      <c r="K7" s="642"/>
      <c r="L7" s="642"/>
      <c r="M7" s="642"/>
      <c r="N7" s="642"/>
    </row>
    <row r="8" spans="1:14">
      <c r="A8" s="612" t="s">
        <v>38</v>
      </c>
      <c r="D8" s="611">
        <v>1394199937.4331989</v>
      </c>
      <c r="F8" s="648" t="s">
        <v>544</v>
      </c>
      <c r="G8" s="648"/>
      <c r="I8" s="642"/>
      <c r="J8" s="642"/>
      <c r="K8" s="642"/>
      <c r="L8" s="642"/>
      <c r="M8" s="642"/>
      <c r="N8" s="642"/>
    </row>
    <row r="9" spans="1:14">
      <c r="A9" s="612" t="s">
        <v>35</v>
      </c>
      <c r="D9" s="611">
        <v>36949668.457222924</v>
      </c>
      <c r="F9" s="648" t="s">
        <v>545</v>
      </c>
      <c r="G9" s="648"/>
      <c r="I9" s="642"/>
      <c r="J9" s="642"/>
      <c r="K9" s="642"/>
      <c r="L9" s="642"/>
      <c r="M9" s="642"/>
      <c r="N9" s="642"/>
    </row>
    <row r="10" spans="1:14">
      <c r="A10" s="612" t="s">
        <v>39</v>
      </c>
      <c r="D10" s="611">
        <v>1114987712.0720894</v>
      </c>
      <c r="F10" s="648" t="s">
        <v>546</v>
      </c>
      <c r="G10" s="648"/>
      <c r="I10" s="642"/>
      <c r="J10" s="642"/>
      <c r="K10" s="642"/>
      <c r="L10" s="642"/>
      <c r="M10" s="642"/>
      <c r="N10" s="642"/>
    </row>
    <row r="11" spans="1:14">
      <c r="A11" s="612" t="s">
        <v>41</v>
      </c>
      <c r="D11" s="611">
        <v>0</v>
      </c>
      <c r="F11" s="648" t="s">
        <v>547</v>
      </c>
      <c r="G11" s="648"/>
      <c r="I11" s="642"/>
      <c r="J11" s="642"/>
      <c r="K11" s="642"/>
      <c r="L11" s="642"/>
      <c r="M11" s="642"/>
      <c r="N11" s="642"/>
    </row>
    <row r="12" spans="1:14">
      <c r="A12" s="612" t="s">
        <v>40</v>
      </c>
      <c r="D12" s="611">
        <v>123625944.32330225</v>
      </c>
      <c r="F12" s="648" t="s">
        <v>548</v>
      </c>
      <c r="G12" s="648"/>
      <c r="I12" s="642"/>
      <c r="J12" s="642"/>
      <c r="K12" s="642"/>
      <c r="L12" s="642"/>
      <c r="M12" s="642"/>
      <c r="N12" s="642"/>
    </row>
    <row r="13" spans="1:14">
      <c r="A13" s="612" t="s">
        <v>36</v>
      </c>
      <c r="D13" s="611">
        <v>8099403.0397304203</v>
      </c>
      <c r="F13" s="648" t="s">
        <v>549</v>
      </c>
      <c r="G13" s="648"/>
      <c r="I13" s="642"/>
      <c r="J13" s="642"/>
      <c r="K13" s="642"/>
      <c r="L13" s="642"/>
      <c r="M13" s="642"/>
      <c r="N13" s="642"/>
    </row>
    <row r="14" spans="1:14">
      <c r="A14" s="634" t="s">
        <v>42</v>
      </c>
      <c r="D14" s="611">
        <v>24890112.090452805</v>
      </c>
      <c r="F14" s="648" t="s">
        <v>550</v>
      </c>
      <c r="G14" s="648"/>
      <c r="I14" s="642"/>
      <c r="J14" s="642"/>
      <c r="K14" s="642"/>
      <c r="L14" s="642"/>
      <c r="M14" s="642"/>
      <c r="N14" s="642"/>
    </row>
    <row r="15" spans="1:14">
      <c r="A15" s="612" t="s">
        <v>261</v>
      </c>
      <c r="D15" s="611">
        <v>1202461977.0101345</v>
      </c>
      <c r="F15" s="648" t="s">
        <v>551</v>
      </c>
      <c r="G15" s="648"/>
      <c r="I15" s="642"/>
      <c r="J15" s="642"/>
      <c r="K15" s="642"/>
      <c r="L15" s="642"/>
      <c r="M15" s="642"/>
      <c r="N15" s="642"/>
    </row>
    <row r="16" spans="1:14">
      <c r="A16" s="612" t="s">
        <v>266</v>
      </c>
      <c r="D16" s="611">
        <v>338210070.58827966</v>
      </c>
      <c r="F16" s="648" t="s">
        <v>552</v>
      </c>
      <c r="G16" s="648"/>
      <c r="I16" s="642"/>
      <c r="J16" s="642"/>
      <c r="K16" s="642"/>
      <c r="L16" s="642"/>
      <c r="M16" s="642"/>
      <c r="N16" s="642"/>
    </row>
    <row r="17" spans="1:14">
      <c r="A17" s="612" t="s">
        <v>262</v>
      </c>
      <c r="D17" s="611">
        <v>25811535.578046337</v>
      </c>
      <c r="F17" s="648" t="s">
        <v>553</v>
      </c>
      <c r="G17" s="648"/>
      <c r="I17" s="642"/>
      <c r="J17" s="642"/>
      <c r="K17" s="642"/>
      <c r="L17" s="642"/>
      <c r="M17" s="642"/>
      <c r="N17" s="642"/>
    </row>
    <row r="18" spans="1:14">
      <c r="A18" s="612" t="s">
        <v>267</v>
      </c>
      <c r="D18" s="611">
        <v>675583052.13072968</v>
      </c>
      <c r="F18" s="648" t="s">
        <v>554</v>
      </c>
      <c r="G18" s="648"/>
      <c r="I18" s="642"/>
      <c r="J18" s="642"/>
      <c r="K18" s="642"/>
      <c r="L18" s="642"/>
      <c r="M18" s="642"/>
      <c r="N18" s="642"/>
    </row>
    <row r="19" spans="1:14">
      <c r="A19" s="612" t="s">
        <v>263</v>
      </c>
      <c r="D19" s="611">
        <v>10480484.077333149</v>
      </c>
      <c r="F19" s="648" t="s">
        <v>555</v>
      </c>
      <c r="G19" s="648"/>
      <c r="I19" s="642"/>
      <c r="J19" s="642"/>
      <c r="K19" s="642"/>
      <c r="L19" s="642"/>
      <c r="M19" s="642"/>
      <c r="N19" s="642"/>
    </row>
    <row r="20" spans="1:14">
      <c r="A20" s="612" t="s">
        <v>268</v>
      </c>
      <c r="D20" s="611">
        <v>331839388</v>
      </c>
      <c r="F20" s="648" t="s">
        <v>556</v>
      </c>
      <c r="G20" s="648"/>
      <c r="I20" s="642"/>
      <c r="J20" s="642"/>
      <c r="K20" s="642"/>
      <c r="L20" s="642"/>
      <c r="M20" s="642"/>
      <c r="N20" s="642"/>
    </row>
    <row r="21" spans="1:14">
      <c r="A21" s="612" t="s">
        <v>270</v>
      </c>
      <c r="D21" s="611">
        <v>452814683</v>
      </c>
      <c r="F21" s="648" t="s">
        <v>557</v>
      </c>
      <c r="G21" s="648"/>
      <c r="I21" s="642"/>
      <c r="J21" s="642"/>
      <c r="K21" s="642"/>
      <c r="L21" s="642"/>
      <c r="M21" s="642"/>
      <c r="N21" s="642"/>
    </row>
    <row r="22" spans="1:14">
      <c r="A22" s="612" t="s">
        <v>269</v>
      </c>
      <c r="D22" s="611">
        <v>50391402.280106425</v>
      </c>
      <c r="F22" s="648" t="s">
        <v>558</v>
      </c>
      <c r="G22" s="648"/>
      <c r="I22" s="642"/>
      <c r="J22" s="642"/>
      <c r="K22" s="642"/>
      <c r="L22" s="642"/>
      <c r="M22" s="642"/>
      <c r="N22" s="642"/>
    </row>
    <row r="23" spans="1:14">
      <c r="A23" s="612" t="s">
        <v>264</v>
      </c>
      <c r="D23" s="611">
        <v>5213090.2355687255</v>
      </c>
      <c r="F23" s="648" t="s">
        <v>559</v>
      </c>
      <c r="G23" s="648"/>
      <c r="I23" s="642"/>
      <c r="J23" s="642"/>
      <c r="K23" s="642"/>
      <c r="L23" s="642"/>
      <c r="M23" s="642"/>
      <c r="N23" s="642"/>
    </row>
    <row r="24" spans="1:14">
      <c r="A24" s="634" t="s">
        <v>265</v>
      </c>
      <c r="D24" s="611">
        <v>13880887</v>
      </c>
      <c r="F24" s="648" t="s">
        <v>560</v>
      </c>
      <c r="G24" s="648"/>
      <c r="I24" s="642"/>
      <c r="J24" s="642"/>
      <c r="K24" s="642"/>
      <c r="L24" s="642"/>
      <c r="M24" s="642"/>
      <c r="N24" s="642"/>
    </row>
    <row r="25" spans="1:14">
      <c r="A25" s="606"/>
      <c r="D25" s="616"/>
      <c r="F25" s="648"/>
      <c r="G25" s="648"/>
      <c r="I25" s="642"/>
      <c r="J25" s="642"/>
      <c r="K25" s="642"/>
      <c r="L25" s="642"/>
      <c r="M25" s="642"/>
      <c r="N25" s="642"/>
    </row>
    <row r="26" spans="1:14">
      <c r="A26" s="619" t="s">
        <v>272</v>
      </c>
      <c r="D26" s="633"/>
      <c r="F26" s="648"/>
      <c r="G26" s="648"/>
      <c r="I26" s="642"/>
      <c r="J26" s="642"/>
      <c r="K26" s="642"/>
      <c r="L26" s="642"/>
      <c r="M26" s="642"/>
      <c r="N26" s="642"/>
    </row>
    <row r="27" spans="1:14">
      <c r="A27" s="605" t="s">
        <v>32</v>
      </c>
      <c r="D27" s="611">
        <f>SUM(D5:D14)</f>
        <v>5742036313.6070423</v>
      </c>
      <c r="F27" s="648" t="s">
        <v>575</v>
      </c>
      <c r="G27" s="648"/>
      <c r="I27" s="642"/>
      <c r="J27" s="642"/>
      <c r="K27" s="642"/>
      <c r="L27" s="642"/>
      <c r="M27" s="642"/>
      <c r="N27" s="642"/>
    </row>
    <row r="28" spans="1:14">
      <c r="A28" s="603" t="s">
        <v>260</v>
      </c>
      <c r="D28" s="611">
        <f>SUM(D15:D24)</f>
        <v>3106686569.900198</v>
      </c>
      <c r="F28" s="648" t="s">
        <v>576</v>
      </c>
      <c r="G28" s="648"/>
      <c r="I28" s="642"/>
      <c r="J28" s="642"/>
      <c r="K28" s="642"/>
      <c r="L28" s="642"/>
      <c r="M28" s="642"/>
      <c r="N28" s="642"/>
    </row>
    <row r="29" spans="1:14">
      <c r="A29" s="627"/>
      <c r="D29" s="616"/>
      <c r="F29" s="648"/>
      <c r="G29" s="648"/>
      <c r="I29" s="642"/>
      <c r="J29" s="642"/>
      <c r="K29" s="642"/>
      <c r="L29" s="642"/>
      <c r="M29" s="642"/>
      <c r="N29" s="642"/>
    </row>
    <row r="30" spans="1:14">
      <c r="A30" s="615" t="s">
        <v>358</v>
      </c>
      <c r="D30" s="611">
        <f>D27+D28</f>
        <v>8848722883.5072403</v>
      </c>
      <c r="F30" s="648" t="s">
        <v>577</v>
      </c>
      <c r="G30" s="648"/>
      <c r="I30" s="642"/>
      <c r="J30" s="642"/>
      <c r="K30" s="642"/>
      <c r="L30" s="642"/>
      <c r="M30" s="642"/>
      <c r="N30" s="642"/>
    </row>
    <row r="31" spans="1:14">
      <c r="A31" s="627"/>
      <c r="D31" s="608">
        <v>8.3914183815001694E-3</v>
      </c>
      <c r="F31" s="648" t="s">
        <v>578</v>
      </c>
      <c r="G31" s="648"/>
      <c r="I31" s="642"/>
      <c r="J31" s="642"/>
      <c r="K31" s="642"/>
      <c r="L31" s="642"/>
      <c r="M31" s="642"/>
      <c r="N31" s="642"/>
    </row>
    <row r="32" spans="1:14">
      <c r="A32" s="627"/>
      <c r="D32" s="630"/>
      <c r="F32" s="648"/>
      <c r="G32" s="648"/>
      <c r="I32" s="642"/>
      <c r="J32" s="642"/>
      <c r="K32" s="642"/>
      <c r="L32" s="642"/>
      <c r="M32" s="642"/>
      <c r="N32" s="642"/>
    </row>
    <row r="33" spans="1:14">
      <c r="A33" s="627"/>
      <c r="D33" s="630"/>
      <c r="F33" s="648"/>
      <c r="G33" s="648"/>
      <c r="I33" s="642"/>
      <c r="J33" s="642"/>
      <c r="K33" s="642"/>
      <c r="L33" s="642"/>
      <c r="M33" s="642"/>
      <c r="N33" s="642"/>
    </row>
    <row r="34" spans="1:14">
      <c r="A34" s="626" t="s">
        <v>529</v>
      </c>
      <c r="D34" s="630"/>
      <c r="F34" s="648"/>
      <c r="G34" s="648"/>
      <c r="I34" s="642"/>
      <c r="J34" s="642"/>
      <c r="K34" s="642"/>
      <c r="L34" s="642"/>
      <c r="M34" s="642"/>
      <c r="N34" s="642"/>
    </row>
    <row r="35" spans="1:14">
      <c r="A35" s="627" t="s">
        <v>530</v>
      </c>
      <c r="D35" s="611">
        <v>9434612307.8230515</v>
      </c>
      <c r="F35" s="648" t="s">
        <v>579</v>
      </c>
      <c r="G35" s="648"/>
    </row>
    <row r="36" spans="1:14">
      <c r="A36" s="627" t="s">
        <v>531</v>
      </c>
      <c r="D36" s="611">
        <v>585889424.31581163</v>
      </c>
      <c r="F36" s="648" t="s">
        <v>580</v>
      </c>
      <c r="G36" s="648"/>
    </row>
    <row r="37" spans="1:14">
      <c r="F37" s="648"/>
      <c r="G37" s="648"/>
    </row>
    <row r="38" spans="1:14">
      <c r="A38" s="627" t="s">
        <v>532</v>
      </c>
      <c r="D38" s="611">
        <f>D35-D36</f>
        <v>8848722883.5072403</v>
      </c>
      <c r="F38" s="648" t="s">
        <v>581</v>
      </c>
      <c r="G38" s="648"/>
    </row>
    <row r="39" spans="1:14">
      <c r="F39" s="648"/>
      <c r="G39" s="648"/>
    </row>
    <row r="40" spans="1:14">
      <c r="A40" s="609" t="s">
        <v>533</v>
      </c>
      <c r="D40" s="623">
        <f>D38-D30</f>
        <v>0</v>
      </c>
      <c r="F40" s="648" t="s">
        <v>582</v>
      </c>
      <c r="G40" s="648"/>
    </row>
    <row r="150" spans="2:2">
      <c r="B150" s="642"/>
    </row>
    <row r="152" spans="2:2">
      <c r="B152" s="642"/>
    </row>
    <row r="154" spans="2:2">
      <c r="B154" s="642"/>
    </row>
    <row r="164" spans="2:2">
      <c r="B164" s="642"/>
    </row>
    <row r="166" spans="2:2">
      <c r="B166" s="642"/>
    </row>
    <row r="170" spans="2:2">
      <c r="B170" s="642"/>
    </row>
    <row r="172" spans="2:2">
      <c r="B172" s="642"/>
    </row>
    <row r="176" spans="2:2">
      <c r="B176" s="642"/>
    </row>
    <row r="186" spans="2:2">
      <c r="B186" s="642"/>
    </row>
    <row r="188" spans="2:2">
      <c r="B188" s="642"/>
    </row>
    <row r="190" spans="2:2">
      <c r="B190" s="642"/>
    </row>
    <row r="192" spans="2:2" ht="14.4">
      <c r="B192" s="728"/>
    </row>
    <row r="196" spans="2:2">
      <c r="B196" s="642"/>
    </row>
    <row r="242" spans="9:9">
      <c r="I242" s="725"/>
    </row>
    <row r="243" spans="9:9">
      <c r="I243" s="725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16" zoomScaleNormal="100" workbookViewId="0">
      <selection activeCell="C49" sqref="C49"/>
    </sheetView>
  </sheetViews>
  <sheetFormatPr defaultColWidth="9.109375" defaultRowHeight="13.2"/>
  <cols>
    <col min="1" max="1" width="22.109375" style="458" customWidth="1"/>
    <col min="2" max="2" width="9.109375" style="458"/>
    <col min="3" max="3" width="9.44140625" style="458" customWidth="1"/>
    <col min="4" max="4" width="9.88671875" style="458" customWidth="1"/>
    <col min="5" max="5" width="8" style="458" customWidth="1"/>
    <col min="6" max="6" width="12.109375" style="458" customWidth="1"/>
    <col min="7" max="7" width="3.6640625" style="458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58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96"/>
    </row>
    <row r="2" spans="1:17">
      <c r="A2" s="55" t="s">
        <v>126</v>
      </c>
      <c r="B2" s="55"/>
      <c r="C2" s="55"/>
      <c r="D2" s="55"/>
      <c r="E2" s="55"/>
      <c r="F2" s="55"/>
      <c r="G2" s="55"/>
      <c r="H2" s="796"/>
    </row>
    <row r="3" spans="1:17">
      <c r="A3" s="56" t="s">
        <v>645</v>
      </c>
      <c r="B3" s="55"/>
      <c r="C3" s="55"/>
      <c r="D3" s="55"/>
      <c r="E3" s="55"/>
      <c r="F3" s="55"/>
      <c r="G3" s="55"/>
      <c r="H3" s="796"/>
    </row>
    <row r="4" spans="1:17">
      <c r="G4" s="72"/>
      <c r="L4" s="797"/>
      <c r="M4" s="797"/>
      <c r="N4" s="797"/>
      <c r="O4" s="797"/>
    </row>
    <row r="5" spans="1:17">
      <c r="D5" s="792" t="s">
        <v>660</v>
      </c>
      <c r="G5" s="72"/>
      <c r="L5" s="797"/>
      <c r="M5" s="797"/>
      <c r="N5" s="797"/>
      <c r="O5" s="797"/>
    </row>
    <row r="6" spans="1:17">
      <c r="D6" s="459" t="s">
        <v>89</v>
      </c>
      <c r="E6" s="459"/>
      <c r="F6" s="459" t="s">
        <v>8</v>
      </c>
      <c r="G6" s="72"/>
      <c r="L6" s="793"/>
      <c r="M6" s="793"/>
      <c r="N6" s="793"/>
      <c r="O6" s="797"/>
    </row>
    <row r="7" spans="1:17">
      <c r="D7" s="459" t="s">
        <v>88</v>
      </c>
      <c r="E7" s="459"/>
      <c r="F7" s="459" t="s">
        <v>5</v>
      </c>
      <c r="G7" s="72"/>
      <c r="L7" s="793"/>
      <c r="M7" s="793"/>
      <c r="N7" s="793"/>
      <c r="O7" s="797"/>
    </row>
    <row r="8" spans="1:17">
      <c r="D8" s="58" t="s">
        <v>98</v>
      </c>
      <c r="E8" s="58"/>
      <c r="F8" s="58" t="s">
        <v>127</v>
      </c>
      <c r="G8" s="73"/>
      <c r="L8" s="553"/>
      <c r="M8" s="553"/>
      <c r="N8" s="553"/>
      <c r="O8" s="797"/>
    </row>
    <row r="9" spans="1:17">
      <c r="A9" s="458" t="s">
        <v>9</v>
      </c>
      <c r="E9" s="1"/>
      <c r="F9" s="836">
        <v>0.64710000000000001</v>
      </c>
      <c r="G9" s="74"/>
      <c r="L9" s="797"/>
      <c r="M9" s="798"/>
      <c r="N9" s="798"/>
      <c r="O9" s="797"/>
    </row>
    <row r="10" spans="1:17">
      <c r="G10" s="72"/>
      <c r="L10" s="797"/>
      <c r="M10" s="797"/>
      <c r="N10" s="797"/>
      <c r="O10" s="797"/>
    </row>
    <row r="11" spans="1:17">
      <c r="A11" s="458" t="s">
        <v>10</v>
      </c>
      <c r="D11" s="59">
        <v>94264</v>
      </c>
      <c r="E11" s="59"/>
      <c r="F11" s="59">
        <f>ROUND(F$9*D11,0)</f>
        <v>60998</v>
      </c>
      <c r="G11" s="65"/>
      <c r="H11" s="799"/>
      <c r="L11" s="800"/>
      <c r="M11" s="800"/>
      <c r="N11" s="800"/>
      <c r="O11" s="797"/>
    </row>
    <row r="12" spans="1:17">
      <c r="A12" s="458" t="s">
        <v>11</v>
      </c>
      <c r="D12" s="60">
        <v>475</v>
      </c>
      <c r="E12" s="60"/>
      <c r="F12" s="60">
        <f>ROUND(F$9*D12,0)</f>
        <v>307</v>
      </c>
      <c r="G12" s="62"/>
      <c r="H12" s="799"/>
      <c r="L12" s="801"/>
      <c r="M12" s="801"/>
      <c r="N12" s="801"/>
      <c r="O12" s="797"/>
    </row>
    <row r="13" spans="1:17">
      <c r="A13" s="458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99"/>
      <c r="L13" s="801"/>
      <c r="M13" s="801"/>
      <c r="N13" s="801"/>
      <c r="O13" s="797"/>
    </row>
    <row r="14" spans="1:17">
      <c r="A14" s="458" t="s">
        <v>404</v>
      </c>
      <c r="C14" s="595" t="s">
        <v>98</v>
      </c>
      <c r="D14" s="352">
        <f>16406-D15-D16</f>
        <v>16264</v>
      </c>
      <c r="E14" s="60"/>
      <c r="F14" s="60">
        <f t="shared" si="0"/>
        <v>10524</v>
      </c>
      <c r="G14" s="62"/>
      <c r="H14" s="799"/>
      <c r="I14" s="802"/>
      <c r="J14" s="802"/>
      <c r="K14" s="803"/>
      <c r="L14" s="803"/>
      <c r="N14" s="801"/>
      <c r="O14" s="797"/>
    </row>
    <row r="15" spans="1:17" s="595" customFormat="1">
      <c r="A15" s="595" t="s">
        <v>404</v>
      </c>
      <c r="C15" s="595" t="s">
        <v>522</v>
      </c>
      <c r="D15" s="352">
        <v>98</v>
      </c>
      <c r="E15" s="60"/>
      <c r="F15" s="60">
        <f>D15</f>
        <v>98</v>
      </c>
      <c r="G15" s="62"/>
      <c r="H15" s="804"/>
      <c r="I15" s="38"/>
      <c r="J15" s="38"/>
      <c r="K15" s="38"/>
      <c r="L15" s="801"/>
      <c r="M15" s="801"/>
      <c r="N15" s="801"/>
      <c r="O15" s="797"/>
      <c r="P15" s="75"/>
      <c r="Q15" s="75"/>
    </row>
    <row r="16" spans="1:17" s="595" customFormat="1">
      <c r="A16" s="595" t="s">
        <v>404</v>
      </c>
      <c r="C16" s="595" t="s">
        <v>523</v>
      </c>
      <c r="D16" s="352">
        <v>44</v>
      </c>
      <c r="E16" s="60"/>
      <c r="F16" s="60">
        <v>0</v>
      </c>
      <c r="G16" s="62"/>
      <c r="H16" s="804"/>
      <c r="I16" s="38"/>
      <c r="J16" s="38"/>
      <c r="K16" s="38"/>
      <c r="L16" s="801"/>
      <c r="M16" s="801"/>
      <c r="N16" s="801"/>
      <c r="O16" s="797"/>
      <c r="P16" s="75"/>
      <c r="Q16" s="75"/>
    </row>
    <row r="17" spans="1:15">
      <c r="A17" s="458" t="s">
        <v>13</v>
      </c>
      <c r="D17" s="779">
        <f>4169-D18</f>
        <v>4006</v>
      </c>
      <c r="E17" s="60"/>
      <c r="F17" s="60">
        <f t="shared" si="0"/>
        <v>2592</v>
      </c>
      <c r="G17" s="62"/>
      <c r="H17" s="799"/>
      <c r="L17" s="801"/>
      <c r="M17" s="801"/>
      <c r="N17" s="801"/>
      <c r="O17" s="797"/>
    </row>
    <row r="18" spans="1:15">
      <c r="A18" s="458" t="s">
        <v>128</v>
      </c>
      <c r="D18" s="353">
        <v>163</v>
      </c>
      <c r="E18" s="62"/>
      <c r="F18" s="60">
        <f>D18</f>
        <v>163</v>
      </c>
      <c r="G18" s="62"/>
      <c r="H18" s="799"/>
      <c r="L18" s="801"/>
      <c r="M18" s="801"/>
      <c r="N18" s="801"/>
      <c r="O18" s="797"/>
    </row>
    <row r="19" spans="1:15">
      <c r="A19" s="458" t="s">
        <v>14</v>
      </c>
      <c r="D19" s="60">
        <f>SUM(D11:D18)</f>
        <v>115314</v>
      </c>
      <c r="E19" s="62"/>
      <c r="F19" s="466">
        <f>SUM(F11:F18)</f>
        <v>74682</v>
      </c>
      <c r="G19" s="62"/>
      <c r="H19" s="799"/>
      <c r="L19" s="801"/>
      <c r="M19" s="801"/>
      <c r="N19" s="801"/>
      <c r="O19" s="797"/>
    </row>
    <row r="20" spans="1:15">
      <c r="D20" s="60"/>
      <c r="E20" s="62"/>
      <c r="F20" s="60"/>
      <c r="G20" s="62"/>
      <c r="H20" s="799"/>
      <c r="L20" s="801"/>
      <c r="M20" s="801"/>
      <c r="N20" s="801"/>
      <c r="O20" s="797"/>
    </row>
    <row r="21" spans="1:15">
      <c r="D21" s="60"/>
      <c r="E21" s="62"/>
      <c r="F21" s="60"/>
      <c r="G21" s="62"/>
      <c r="H21" s="799"/>
      <c r="L21" s="801"/>
      <c r="M21" s="801"/>
      <c r="N21" s="801"/>
      <c r="O21" s="797"/>
    </row>
    <row r="22" spans="1:15">
      <c r="A22" s="458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99"/>
      <c r="L22" s="801"/>
      <c r="M22" s="801"/>
      <c r="N22" s="801"/>
      <c r="O22" s="797"/>
    </row>
    <row r="23" spans="1:15">
      <c r="A23" s="458" t="s">
        <v>16</v>
      </c>
      <c r="D23" s="60">
        <v>0</v>
      </c>
      <c r="E23" s="62"/>
      <c r="F23" s="60">
        <f t="shared" si="1"/>
        <v>0</v>
      </c>
      <c r="G23" s="62"/>
      <c r="H23" s="799"/>
      <c r="L23" s="801"/>
      <c r="M23" s="801"/>
      <c r="N23" s="801"/>
      <c r="O23" s="797"/>
    </row>
    <row r="24" spans="1:15">
      <c r="A24" s="458" t="s">
        <v>17</v>
      </c>
      <c r="D24" s="60">
        <v>55782</v>
      </c>
      <c r="E24" s="62"/>
      <c r="F24" s="60">
        <f t="shared" si="1"/>
        <v>36097</v>
      </c>
      <c r="G24" s="62"/>
      <c r="H24" s="799"/>
      <c r="L24" s="801"/>
      <c r="M24" s="801"/>
      <c r="N24" s="801"/>
      <c r="O24" s="797"/>
    </row>
    <row r="25" spans="1:15">
      <c r="A25" s="458" t="s">
        <v>18</v>
      </c>
      <c r="D25" s="60">
        <v>983</v>
      </c>
      <c r="E25" s="62"/>
      <c r="F25" s="60">
        <f t="shared" si="1"/>
        <v>636</v>
      </c>
      <c r="G25" s="62"/>
      <c r="H25" s="799"/>
      <c r="L25" s="801"/>
      <c r="M25" s="801"/>
      <c r="N25" s="801"/>
      <c r="O25" s="797"/>
    </row>
    <row r="26" spans="1:15">
      <c r="A26" s="458" t="s">
        <v>19</v>
      </c>
      <c r="D26" s="60">
        <v>180254</v>
      </c>
      <c r="E26" s="62"/>
      <c r="F26" s="60">
        <f>ROUND(F$9*D26,0)-1</f>
        <v>116641</v>
      </c>
      <c r="G26" s="62"/>
      <c r="H26" s="799"/>
      <c r="L26" s="801"/>
      <c r="M26" s="801"/>
      <c r="N26" s="801"/>
      <c r="O26" s="797"/>
    </row>
    <row r="27" spans="1:15">
      <c r="A27" s="458" t="s">
        <v>20</v>
      </c>
      <c r="D27" s="60">
        <v>0</v>
      </c>
      <c r="E27" s="62"/>
      <c r="F27" s="60">
        <f t="shared" si="1"/>
        <v>0</v>
      </c>
      <c r="G27" s="62"/>
      <c r="H27" s="799"/>
      <c r="I27" s="38"/>
      <c r="J27" s="38"/>
      <c r="K27" s="38"/>
      <c r="L27" s="801"/>
      <c r="M27" s="801"/>
      <c r="N27" s="801"/>
      <c r="O27" s="797"/>
    </row>
    <row r="28" spans="1:15">
      <c r="A28" s="458" t="s">
        <v>21</v>
      </c>
      <c r="D28" s="60">
        <v>0</v>
      </c>
      <c r="E28" s="62"/>
      <c r="F28" s="60">
        <f t="shared" si="1"/>
        <v>0</v>
      </c>
      <c r="G28" s="62"/>
      <c r="H28" s="799"/>
      <c r="I28" s="38"/>
      <c r="J28" s="38"/>
      <c r="K28" s="38"/>
      <c r="L28" s="801"/>
      <c r="M28" s="801"/>
      <c r="N28" s="801"/>
      <c r="O28" s="797"/>
    </row>
    <row r="29" spans="1:15">
      <c r="A29" s="458" t="s">
        <v>22</v>
      </c>
      <c r="D29" s="60">
        <v>0</v>
      </c>
      <c r="E29" s="62"/>
      <c r="F29" s="60">
        <f t="shared" si="1"/>
        <v>0</v>
      </c>
      <c r="G29" s="62"/>
      <c r="H29" s="799"/>
      <c r="I29" s="38"/>
      <c r="J29" s="38"/>
      <c r="K29" s="38"/>
      <c r="L29" s="801"/>
      <c r="M29" s="801"/>
      <c r="N29" s="801"/>
      <c r="O29" s="797"/>
    </row>
    <row r="30" spans="1:15">
      <c r="A30" s="458" t="s">
        <v>23</v>
      </c>
      <c r="D30" s="352">
        <f>2977-D31</f>
        <v>581</v>
      </c>
      <c r="E30" s="62"/>
      <c r="F30" s="60">
        <f t="shared" si="1"/>
        <v>376</v>
      </c>
      <c r="G30" s="62"/>
      <c r="H30" s="805"/>
      <c r="I30" s="807"/>
      <c r="J30" s="807"/>
      <c r="K30" s="807"/>
      <c r="L30" s="807"/>
      <c r="M30" s="801"/>
      <c r="N30" s="801"/>
      <c r="O30" s="797"/>
    </row>
    <row r="31" spans="1:15">
      <c r="A31" s="458" t="s">
        <v>129</v>
      </c>
      <c r="D31" s="352">
        <f>735+1661</f>
        <v>2396</v>
      </c>
      <c r="E31" s="62"/>
      <c r="F31" s="60">
        <f>D31</f>
        <v>2396</v>
      </c>
      <c r="G31" s="62"/>
      <c r="H31" s="805"/>
      <c r="I31" s="807"/>
      <c r="J31" s="807"/>
      <c r="K31" s="807"/>
      <c r="L31" s="807"/>
      <c r="M31" s="801"/>
      <c r="N31" s="801"/>
      <c r="O31" s="797"/>
    </row>
    <row r="32" spans="1:15">
      <c r="A32" s="458" t="s">
        <v>24</v>
      </c>
      <c r="D32" s="60">
        <v>18896</v>
      </c>
      <c r="E32" s="62"/>
      <c r="F32" s="60">
        <f t="shared" si="1"/>
        <v>12228</v>
      </c>
      <c r="G32" s="62"/>
      <c r="H32" s="799"/>
      <c r="I32" s="38"/>
      <c r="J32" s="38"/>
      <c r="K32" s="38"/>
      <c r="L32" s="801"/>
      <c r="M32" s="801"/>
      <c r="N32" s="801"/>
      <c r="O32" s="797"/>
    </row>
    <row r="33" spans="1:17" s="669" customFormat="1" ht="12.75" customHeight="1">
      <c r="A33" s="837" t="s">
        <v>591</v>
      </c>
      <c r="B33" s="837"/>
      <c r="C33" s="837"/>
      <c r="D33" s="838">
        <v>0</v>
      </c>
      <c r="E33" s="839"/>
      <c r="F33" s="838">
        <f>F$9*D33</f>
        <v>0</v>
      </c>
      <c r="G33" s="839"/>
      <c r="H33" s="840" t="s">
        <v>711</v>
      </c>
      <c r="I33" s="808"/>
      <c r="J33" s="808"/>
      <c r="K33" s="808"/>
      <c r="L33" s="808"/>
      <c r="M33" s="38"/>
      <c r="N33" s="75"/>
      <c r="O33" s="75"/>
      <c r="P33" s="75"/>
      <c r="Q33" s="75"/>
    </row>
    <row r="34" spans="1:17" s="669" customFormat="1" ht="12.75" customHeight="1">
      <c r="A34" s="837" t="s">
        <v>592</v>
      </c>
      <c r="B34" s="837"/>
      <c r="C34" s="837"/>
      <c r="D34" s="838">
        <v>0</v>
      </c>
      <c r="E34" s="839"/>
      <c r="F34" s="838">
        <f>F$9*D34</f>
        <v>0</v>
      </c>
      <c r="G34" s="839"/>
      <c r="H34" s="840" t="s">
        <v>711</v>
      </c>
      <c r="I34" s="808"/>
      <c r="J34" s="808"/>
      <c r="K34" s="808"/>
      <c r="L34" s="808"/>
      <c r="M34" s="38"/>
      <c r="N34" s="75"/>
      <c r="O34" s="75"/>
      <c r="P34" s="75"/>
      <c r="Q34" s="75"/>
    </row>
    <row r="35" spans="1:17">
      <c r="A35" s="458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99"/>
      <c r="I35" s="38"/>
      <c r="J35" s="38"/>
      <c r="K35" s="38"/>
      <c r="L35" s="801"/>
      <c r="M35" s="801"/>
      <c r="N35" s="801"/>
      <c r="O35" s="797"/>
    </row>
    <row r="36" spans="1:17">
      <c r="G36" s="72"/>
      <c r="H36" s="799"/>
      <c r="I36" s="38"/>
      <c r="J36" s="38"/>
      <c r="K36" s="38"/>
      <c r="L36" s="797"/>
      <c r="M36" s="797"/>
      <c r="N36" s="797"/>
      <c r="O36" s="797"/>
    </row>
    <row r="37" spans="1:17">
      <c r="A37" s="458" t="s">
        <v>26</v>
      </c>
      <c r="D37" s="60">
        <f>D19-D35</f>
        <v>-170998</v>
      </c>
      <c r="E37" s="60"/>
      <c r="F37" s="60">
        <f>F19-F35</f>
        <v>-111435</v>
      </c>
      <c r="G37" s="62"/>
      <c r="H37" s="799"/>
      <c r="L37" s="801"/>
      <c r="M37" s="801"/>
      <c r="N37" s="801"/>
      <c r="O37" s="797"/>
    </row>
    <row r="38" spans="1:17">
      <c r="E38" s="60"/>
      <c r="F38" s="60"/>
      <c r="G38" s="60"/>
      <c r="L38" s="797"/>
      <c r="M38" s="801"/>
      <c r="N38" s="801"/>
      <c r="O38" s="797"/>
    </row>
    <row r="39" spans="1:17">
      <c r="A39" s="458" t="s">
        <v>27</v>
      </c>
      <c r="C39" s="64">
        <v>0.35</v>
      </c>
      <c r="E39" s="65"/>
      <c r="F39" s="61">
        <f>C39*F37</f>
        <v>-39002.25</v>
      </c>
      <c r="G39" s="59"/>
      <c r="L39" s="797"/>
      <c r="M39" s="800"/>
      <c r="N39" s="801"/>
      <c r="O39" s="797"/>
    </row>
    <row r="40" spans="1:17">
      <c r="E40" s="65"/>
      <c r="F40" s="59"/>
      <c r="G40" s="59"/>
      <c r="L40" s="797"/>
      <c r="M40" s="800"/>
      <c r="N40" s="800"/>
      <c r="O40" s="797"/>
    </row>
    <row r="41" spans="1:17">
      <c r="A41" s="458" t="s">
        <v>28</v>
      </c>
      <c r="E41" s="60"/>
      <c r="F41" s="59">
        <f>F37-F39</f>
        <v>-72432.75</v>
      </c>
      <c r="G41" s="60"/>
      <c r="L41" s="797"/>
      <c r="M41" s="801"/>
      <c r="N41" s="800"/>
      <c r="O41" s="797"/>
    </row>
    <row r="42" spans="1:17">
      <c r="E42" s="60"/>
      <c r="F42" s="60"/>
      <c r="G42" s="60"/>
      <c r="L42" s="797"/>
      <c r="M42" s="797"/>
      <c r="N42" s="797"/>
      <c r="O42" s="797"/>
    </row>
    <row r="43" spans="1:17">
      <c r="A43" s="75"/>
      <c r="L43" s="797"/>
      <c r="M43" s="797"/>
      <c r="N43" s="797"/>
      <c r="O43" s="797"/>
    </row>
    <row r="44" spans="1:17">
      <c r="A44" s="75"/>
      <c r="L44" s="797"/>
      <c r="M44" s="797"/>
      <c r="N44" s="797"/>
      <c r="O44" s="797"/>
    </row>
    <row r="45" spans="1:17">
      <c r="A45" s="75"/>
      <c r="L45" s="797"/>
      <c r="M45" s="797"/>
      <c r="N45" s="797"/>
      <c r="O45" s="797"/>
    </row>
    <row r="46" spans="1:17">
      <c r="A46" s="837" t="s">
        <v>591</v>
      </c>
      <c r="B46" s="837"/>
      <c r="C46" s="837"/>
      <c r="D46" s="838">
        <v>5764</v>
      </c>
      <c r="E46" s="839"/>
      <c r="F46" s="838">
        <f>F$9*D46</f>
        <v>3729.8843999999999</v>
      </c>
      <c r="G46" s="839"/>
      <c r="H46" s="840" t="s">
        <v>711</v>
      </c>
      <c r="L46" s="797"/>
      <c r="M46" s="797"/>
      <c r="N46" s="797"/>
      <c r="O46" s="797"/>
    </row>
    <row r="47" spans="1:17">
      <c r="A47" s="837" t="s">
        <v>592</v>
      </c>
      <c r="B47" s="837"/>
      <c r="C47" s="837"/>
      <c r="D47" s="838">
        <v>12979</v>
      </c>
      <c r="E47" s="839"/>
      <c r="F47" s="838">
        <f>F$9*D47</f>
        <v>8398.7109</v>
      </c>
      <c r="G47" s="839"/>
      <c r="H47" s="840" t="s">
        <v>711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B158A58-B4E6-443C-BE7D-71DE28450850}"/>
</file>

<file path=customXml/itemProps2.xml><?xml version="1.0" encoding="utf-8"?>
<ds:datastoreItem xmlns:ds="http://schemas.openxmlformats.org/officeDocument/2006/customXml" ds:itemID="{2656D5F4-FF90-4C73-B879-6DEF89E81CD1}"/>
</file>

<file path=customXml/itemProps3.xml><?xml version="1.0" encoding="utf-8"?>
<ds:datastoreItem xmlns:ds="http://schemas.openxmlformats.org/officeDocument/2006/customXml" ds:itemID="{7AA07D2E-C350-4487-8610-366FAB7E48C1}"/>
</file>

<file path=customXml/itemProps4.xml><?xml version="1.0" encoding="utf-8"?>
<ds:datastoreItem xmlns:ds="http://schemas.openxmlformats.org/officeDocument/2006/customXml" ds:itemID="{7E8B984D-5F47-449A-ADFD-677A668BE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Summary</vt:lpstr>
      <vt:lpstr>ROR</vt:lpstr>
      <vt:lpstr>Attrition 09.2014 to 2016</vt:lpstr>
      <vt:lpstr>Cost Trends</vt:lpstr>
      <vt:lpstr>Weighted Revenue Growth</vt:lpstr>
      <vt:lpstr>09.2014 Rev Model</vt:lpstr>
      <vt:lpstr>2016 Customers and Demand</vt:lpstr>
      <vt:lpstr>2016 Forecast Energy</vt:lpstr>
      <vt:lpstr>12.2014 CB Power Supply</vt:lpstr>
      <vt:lpstr>456 Revenue</vt:lpstr>
      <vt:lpstr>incremental load expense</vt:lpstr>
      <vt:lpstr>CS2-Colstrip 2016 Incrmntl Exp</vt:lpstr>
      <vt:lpstr>PF Power Supply 09.2014 load</vt:lpstr>
      <vt:lpstr>PF Power Supply 2016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'Attrition 09.2014 to 2016'!Print_Area</vt:lpstr>
      <vt:lpstr>'CBR Hist'!Print_Area</vt:lpstr>
      <vt:lpstr>'Cost Trends'!Print_Area</vt:lpstr>
      <vt:lpstr>'incremental load expense'!Print_Area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Fenrick</dc:creator>
  <cp:lastModifiedBy>carolw</cp:lastModifiedBy>
  <cp:lastPrinted>2015-07-17T16:36:09Z</cp:lastPrinted>
  <dcterms:created xsi:type="dcterms:W3CDTF">2012-01-25T16:30:38Z</dcterms:created>
  <dcterms:modified xsi:type="dcterms:W3CDTF">2015-07-17T16:36:22Z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