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worksheets/sheet7.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055" yWindow="885" windowWidth="11610" windowHeight="9690"/>
  </bookViews>
  <sheets>
    <sheet name="Summary" sheetId="9" r:id="rId1"/>
    <sheet name="ROR" sheetId="7" r:id="rId2"/>
    <sheet name="Attrition 09.2014 to 2016" sheetId="5" r:id="rId3"/>
    <sheet name="Cost Trends" sheetId="1" r:id="rId4"/>
    <sheet name="Weighted Revenue Growth" sheetId="4" r:id="rId5"/>
    <sheet name="09.2014 Revenue Model" sheetId="11" r:id="rId6"/>
    <sheet name="Forecast Bill Determinants" sheetId="8" r:id="rId7"/>
    <sheet name="Riders and Gas Cost Revenue" sheetId="2" r:id="rId8"/>
    <sheet name="Reg Amort and Other RB" sheetId="6" r:id="rId9"/>
  </sheets>
  <definedNames>
    <definedName name="Base1_Billing2">#REF!</definedName>
    <definedName name="ID_Elec">#REF!</definedName>
    <definedName name="ID_Gas">#REF!</definedName>
    <definedName name="_xlnm.Print_Area" localSheetId="5">'09.2014 Revenue Model'!$A$1:$J$277</definedName>
    <definedName name="_xlnm.Print_Area" localSheetId="2">'Attrition 09.2014 to 2016'!$A$1:$Q$100</definedName>
    <definedName name="_xlnm.Print_Area" localSheetId="3">'Cost Trends'!$A$2:$T$263</definedName>
    <definedName name="_xlnm.Print_Area" localSheetId="7">'Riders and Gas Cost Revenue'!$A$1:$AO$65</definedName>
    <definedName name="_xlnm.Print_Area" localSheetId="1">ROR!$A$1:$O$26</definedName>
    <definedName name="_xlnm.Print_Area" localSheetId="0">Summary!$A$1:$M$34</definedName>
    <definedName name="_xlnm.Print_Area" localSheetId="4">'Weighted Revenue Growth'!$A$1:$M$46</definedName>
    <definedName name="Print_for_CBReport">#REF!</definedName>
    <definedName name="Print_for_Checking">#REF!</definedName>
    <definedName name="_xlnm.Print_Titles" localSheetId="3">'Cost Trends'!$2:$2</definedName>
    <definedName name="_xlnm.Print_Titles" localSheetId="7">'Riders and Gas Cost Revenue'!$A:$F,'Riders and Gas Cost Revenue'!$5:$9</definedName>
    <definedName name="Summary">#REF!</definedName>
    <definedName name="WA_Elec">#REF!</definedName>
    <definedName name="WA_Gas">#REF!</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25725"/>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J24" i="9"/>
  <c r="H24"/>
  <c r="I24"/>
  <c r="Q98" i="5"/>
  <c r="S87"/>
  <c r="G227" i="1"/>
  <c r="O33" i="5"/>
  <c r="G221" i="1" l="1"/>
  <c r="H228" l="1"/>
  <c r="H222"/>
  <c r="N179" s="1"/>
  <c r="N199" s="1"/>
  <c r="I203"/>
  <c r="J203"/>
  <c r="K203"/>
  <c r="L203"/>
  <c r="M203"/>
  <c r="N203"/>
  <c r="O203"/>
  <c r="P203"/>
  <c r="Q203"/>
  <c r="R203"/>
  <c r="S203"/>
  <c r="T203"/>
  <c r="H203"/>
  <c r="I197"/>
  <c r="J197"/>
  <c r="K197"/>
  <c r="L197"/>
  <c r="M197"/>
  <c r="N197"/>
  <c r="O197"/>
  <c r="P197"/>
  <c r="Q197"/>
  <c r="R197"/>
  <c r="S197"/>
  <c r="T197"/>
  <c r="H197"/>
  <c r="F11" i="7" l="1"/>
  <c r="L226" i="1"/>
  <c r="L225"/>
  <c r="H220"/>
  <c r="H219"/>
  <c r="H218"/>
  <c r="G219"/>
  <c r="G218"/>
  <c r="P207" l="1"/>
  <c r="Q207"/>
  <c r="R207"/>
  <c r="S207"/>
  <c r="T207"/>
  <c r="O207"/>
  <c r="I207"/>
  <c r="J207"/>
  <c r="K207"/>
  <c r="L207"/>
  <c r="M207"/>
  <c r="H207"/>
  <c r="P201"/>
  <c r="Q201"/>
  <c r="R201"/>
  <c r="S201"/>
  <c r="T201"/>
  <c r="O201"/>
  <c r="I201"/>
  <c r="J201"/>
  <c r="K201"/>
  <c r="L201"/>
  <c r="M201"/>
  <c r="H201"/>
  <c r="N207"/>
  <c r="N201"/>
  <c r="N195"/>
  <c r="P193"/>
  <c r="Q193"/>
  <c r="R193"/>
  <c r="S193"/>
  <c r="T193"/>
  <c r="O193"/>
  <c r="N193"/>
  <c r="I193"/>
  <c r="J193"/>
  <c r="K193"/>
  <c r="L193"/>
  <c r="M193"/>
  <c r="H193"/>
  <c r="O187"/>
  <c r="O183"/>
  <c r="O181"/>
  <c r="O177"/>
  <c r="P177"/>
  <c r="Q177"/>
  <c r="R177"/>
  <c r="S177"/>
  <c r="P181"/>
  <c r="Q181"/>
  <c r="R181"/>
  <c r="S181"/>
  <c r="P183"/>
  <c r="Q183"/>
  <c r="R183"/>
  <c r="S183"/>
  <c r="P187"/>
  <c r="Q187"/>
  <c r="R187"/>
  <c r="S187"/>
  <c r="N187"/>
  <c r="N183"/>
  <c r="N181"/>
  <c r="N177"/>
  <c r="I187"/>
  <c r="I183"/>
  <c r="I181"/>
  <c r="I177"/>
  <c r="J177"/>
  <c r="K177"/>
  <c r="L177"/>
  <c r="M177"/>
  <c r="J181"/>
  <c r="K181"/>
  <c r="L181"/>
  <c r="M181"/>
  <c r="J183"/>
  <c r="K183"/>
  <c r="L183"/>
  <c r="M183"/>
  <c r="J187"/>
  <c r="K187"/>
  <c r="L187"/>
  <c r="M187"/>
  <c r="H187"/>
  <c r="H183"/>
  <c r="H181"/>
  <c r="H177"/>
  <c r="H173"/>
  <c r="I173"/>
  <c r="J173"/>
  <c r="K173"/>
  <c r="L173"/>
  <c r="M173"/>
  <c r="N173"/>
  <c r="O173"/>
  <c r="P173"/>
  <c r="Q173"/>
  <c r="R173"/>
  <c r="S173"/>
  <c r="T187"/>
  <c r="T183"/>
  <c r="T181"/>
  <c r="T177"/>
  <c r="T173"/>
  <c r="T73"/>
  <c r="T83"/>
  <c r="T87"/>
  <c r="S27" i="6" l="1"/>
  <c r="S14"/>
  <c r="S17" s="1"/>
  <c r="AR11" i="2"/>
  <c r="AR65"/>
  <c r="AR20"/>
  <c r="AO20"/>
  <c r="AR19"/>
  <c r="AR18"/>
  <c r="T147" i="1"/>
  <c r="T149" s="1"/>
  <c r="T150" s="1"/>
  <c r="T135"/>
  <c r="T134"/>
  <c r="T112"/>
  <c r="T111"/>
  <c r="T109"/>
  <c r="T54"/>
  <c r="T15"/>
  <c r="T22"/>
  <c r="T28"/>
  <c r="T34"/>
  <c r="T45"/>
  <c r="T75"/>
  <c r="T81"/>
  <c r="T100"/>
  <c r="T102"/>
  <c r="T103"/>
  <c r="T104"/>
  <c r="T105"/>
  <c r="T106"/>
  <c r="T107"/>
  <c r="T117"/>
  <c r="T118"/>
  <c r="T119"/>
  <c r="T120" s="1"/>
  <c r="T121" s="1"/>
  <c r="T124"/>
  <c r="T126" s="1"/>
  <c r="T125"/>
  <c r="T129"/>
  <c r="T130"/>
  <c r="T131"/>
  <c r="T132"/>
  <c r="T146"/>
  <c r="S25" i="6"/>
  <c r="S30" s="1"/>
  <c r="S38"/>
  <c r="S44"/>
  <c r="S64"/>
  <c r="S68"/>
  <c r="AR27" i="2"/>
  <c r="AQ27"/>
  <c r="AP27"/>
  <c r="AQ21"/>
  <c r="AP21"/>
  <c r="AR13"/>
  <c r="AQ11"/>
  <c r="AQ32" s="1"/>
  <c r="AQ33" s="1"/>
  <c r="AP11"/>
  <c r="AP40" s="1"/>
  <c r="AP44" s="1"/>
  <c r="AI11"/>
  <c r="AH11"/>
  <c r="AG11"/>
  <c r="AF11"/>
  <c r="AE11"/>
  <c r="AD11"/>
  <c r="AC11"/>
  <c r="AA11"/>
  <c r="Y11"/>
  <c r="T11"/>
  <c r="R11"/>
  <c r="N11"/>
  <c r="L11"/>
  <c r="H12" i="5"/>
  <c r="S45" i="6" l="1"/>
  <c r="S47" s="1"/>
  <c r="S54" s="1"/>
  <c r="S28"/>
  <c r="AR21" i="2"/>
  <c r="T82" i="1"/>
  <c r="T84" s="1"/>
  <c r="T165" s="1"/>
  <c r="T46"/>
  <c r="T108"/>
  <c r="T48"/>
  <c r="T56" s="1"/>
  <c r="T161"/>
  <c r="AQ45" i="2"/>
  <c r="AQ14"/>
  <c r="AP14"/>
  <c r="AP32"/>
  <c r="AP33" s="1"/>
  <c r="AP45" s="1"/>
  <c r="AQ35"/>
  <c r="AP35"/>
  <c r="AQ40"/>
  <c r="AQ44" s="1"/>
  <c r="E63" i="5"/>
  <c r="B97" i="11"/>
  <c r="H221" i="1"/>
  <c r="M220"/>
  <c r="M221"/>
  <c r="M222"/>
  <c r="M223"/>
  <c r="M224"/>
  <c r="M225"/>
  <c r="M226"/>
  <c r="M219"/>
  <c r="R68" i="6"/>
  <c r="Q68"/>
  <c r="P68"/>
  <c r="O67"/>
  <c r="N67"/>
  <c r="M67"/>
  <c r="L67"/>
  <c r="K67"/>
  <c r="J67"/>
  <c r="I67"/>
  <c r="H67"/>
  <c r="G67"/>
  <c r="F67"/>
  <c r="E67"/>
  <c r="O66"/>
  <c r="N66"/>
  <c r="M66"/>
  <c r="L66"/>
  <c r="K66"/>
  <c r="J66"/>
  <c r="I66"/>
  <c r="H66"/>
  <c r="G66"/>
  <c r="F66"/>
  <c r="E66"/>
  <c r="R64"/>
  <c r="Q64"/>
  <c r="P64"/>
  <c r="O64"/>
  <c r="N64"/>
  <c r="M64"/>
  <c r="L64"/>
  <c r="K64"/>
  <c r="J64"/>
  <c r="I64"/>
  <c r="H64"/>
  <c r="G64"/>
  <c r="F64"/>
  <c r="E64"/>
  <c r="R50"/>
  <c r="R48"/>
  <c r="R47" s="1"/>
  <c r="Q47" s="1"/>
  <c r="P47" s="1"/>
  <c r="O47" s="1"/>
  <c r="N47" s="1"/>
  <c r="M47" s="1"/>
  <c r="L47" s="1"/>
  <c r="K47" s="1"/>
  <c r="J47" s="1"/>
  <c r="I47" s="1"/>
  <c r="H47" s="1"/>
  <c r="G47" s="1"/>
  <c r="F47" s="1"/>
  <c r="E47" s="1"/>
  <c r="R46"/>
  <c r="R45"/>
  <c r="Q45"/>
  <c r="P45"/>
  <c r="O45"/>
  <c r="N45"/>
  <c r="M45"/>
  <c r="L45"/>
  <c r="K45"/>
  <c r="J45"/>
  <c r="I45"/>
  <c r="H45"/>
  <c r="G45"/>
  <c r="F45"/>
  <c r="E45"/>
  <c r="R44"/>
  <c r="Q44"/>
  <c r="P44"/>
  <c r="O44"/>
  <c r="N44"/>
  <c r="M44"/>
  <c r="L44"/>
  <c r="K44"/>
  <c r="J44"/>
  <c r="I44"/>
  <c r="H44"/>
  <c r="G44"/>
  <c r="F44"/>
  <c r="E44"/>
  <c r="R43"/>
  <c r="R41"/>
  <c r="R38"/>
  <c r="Q38"/>
  <c r="P38"/>
  <c r="O38"/>
  <c r="N38"/>
  <c r="M38"/>
  <c r="L38"/>
  <c r="K38"/>
  <c r="J38"/>
  <c r="I38"/>
  <c r="H38"/>
  <c r="G38"/>
  <c r="F38"/>
  <c r="E38"/>
  <c r="R30"/>
  <c r="Q30" s="1"/>
  <c r="P30" s="1"/>
  <c r="O30" s="1"/>
  <c r="N30" s="1"/>
  <c r="M30" s="1"/>
  <c r="L30" s="1"/>
  <c r="K30" s="1"/>
  <c r="J30" s="1"/>
  <c r="I30" s="1"/>
  <c r="H30" s="1"/>
  <c r="G30" s="1"/>
  <c r="F30" s="1"/>
  <c r="E30" s="1"/>
  <c r="O28"/>
  <c r="N28" s="1"/>
  <c r="M28" s="1"/>
  <c r="L28" s="1"/>
  <c r="K28" s="1"/>
  <c r="J28" s="1"/>
  <c r="I28" s="1"/>
  <c r="H28" s="1"/>
  <c r="G28" s="1"/>
  <c r="F28" s="1"/>
  <c r="E28" s="1"/>
  <c r="T91" i="1" l="1"/>
  <c r="T167" s="1"/>
  <c r="T139"/>
  <c r="T140" s="1"/>
  <c r="AR32" i="2"/>
  <c r="AR14"/>
  <c r="AR40"/>
  <c r="AR44" s="1"/>
  <c r="AR35"/>
  <c r="AQ47"/>
  <c r="AQ55" s="1"/>
  <c r="AP47"/>
  <c r="AP55" s="1"/>
  <c r="N225" i="1"/>
  <c r="Q27" i="6"/>
  <c r="P27"/>
  <c r="O27"/>
  <c r="N27"/>
  <c r="M27"/>
  <c r="L27"/>
  <c r="K27"/>
  <c r="J27"/>
  <c r="I27"/>
  <c r="H27"/>
  <c r="G27"/>
  <c r="F27"/>
  <c r="E27"/>
  <c r="R25"/>
  <c r="Q25"/>
  <c r="P25"/>
  <c r="O25"/>
  <c r="N25"/>
  <c r="M25"/>
  <c r="L25"/>
  <c r="K25"/>
  <c r="J25"/>
  <c r="I25"/>
  <c r="H25"/>
  <c r="G25"/>
  <c r="F25"/>
  <c r="E25"/>
  <c r="AR33" i="2" l="1"/>
  <c r="AR45" s="1"/>
  <c r="T133" i="1"/>
  <c r="T136" s="1"/>
  <c r="T110"/>
  <c r="T113" s="1"/>
  <c r="T142"/>
  <c r="T143" s="1"/>
  <c r="AR47" i="2"/>
  <c r="AR55" s="1"/>
  <c r="R17" i="6"/>
  <c r="R27" s="1"/>
  <c r="R28" s="1"/>
  <c r="Q28" s="1"/>
  <c r="P28" s="1"/>
  <c r="Q17"/>
  <c r="P17"/>
  <c r="O17"/>
  <c r="N17"/>
  <c r="M17" s="1"/>
  <c r="L17" s="1"/>
  <c r="K17"/>
  <c r="J17" s="1"/>
  <c r="I17" s="1"/>
  <c r="H17"/>
  <c r="G17" s="1"/>
  <c r="F17" s="1"/>
  <c r="E17" s="1"/>
  <c r="J16"/>
  <c r="I16"/>
  <c r="Q15"/>
  <c r="P15"/>
  <c r="O15"/>
  <c r="N15"/>
  <c r="M15"/>
  <c r="L15"/>
  <c r="K15"/>
  <c r="J15"/>
  <c r="I15"/>
  <c r="H15"/>
  <c r="G15"/>
  <c r="F15"/>
  <c r="E15"/>
  <c r="R14"/>
  <c r="J14"/>
  <c r="I14"/>
  <c r="AL63" i="2"/>
  <c r="AI63"/>
  <c r="AF63"/>
  <c r="R63"/>
  <c r="P63"/>
  <c r="N63"/>
  <c r="L63"/>
  <c r="J63"/>
  <c r="H63"/>
  <c r="AL61"/>
  <c r="AI61"/>
  <c r="AF61"/>
  <c r="AC61"/>
  <c r="Z61"/>
  <c r="W61"/>
  <c r="T61"/>
  <c r="R61"/>
  <c r="AK41"/>
  <c r="E40" l="1"/>
  <c r="AJ36"/>
  <c r="E35"/>
  <c r="E32" l="1"/>
  <c r="AO27"/>
  <c r="AN27"/>
  <c r="AM27"/>
  <c r="AL27"/>
  <c r="AK27"/>
  <c r="AJ27"/>
  <c r="AI27"/>
  <c r="AH27"/>
  <c r="AG27"/>
  <c r="AF27"/>
  <c r="AE27"/>
  <c r="AD27"/>
  <c r="AC27"/>
  <c r="AB27"/>
  <c r="AA27"/>
  <c r="Z27"/>
  <c r="Y27"/>
  <c r="X27"/>
  <c r="W27"/>
  <c r="V27"/>
  <c r="U27"/>
  <c r="T27"/>
  <c r="S27"/>
  <c r="R27"/>
  <c r="Q27"/>
  <c r="P27"/>
  <c r="O27"/>
  <c r="N27"/>
  <c r="M27"/>
  <c r="L27"/>
  <c r="K27"/>
  <c r="J27"/>
  <c r="I27"/>
  <c r="H27"/>
  <c r="G27"/>
  <c r="AN21" l="1"/>
  <c r="AM21"/>
  <c r="AK21"/>
  <c r="AJ21"/>
  <c r="AH21"/>
  <c r="AG21"/>
  <c r="AE21"/>
  <c r="AD21"/>
  <c r="AB21"/>
  <c r="AA21"/>
  <c r="Y21"/>
  <c r="X21"/>
  <c r="V21"/>
  <c r="U21"/>
  <c r="S21"/>
  <c r="Q21"/>
  <c r="O21"/>
  <c r="M21"/>
  <c r="K21"/>
  <c r="I21"/>
  <c r="G21"/>
  <c r="AL20"/>
  <c r="AI20"/>
  <c r="AF20"/>
  <c r="AC20"/>
  <c r="Z20"/>
  <c r="W20"/>
  <c r="T20"/>
  <c r="R20"/>
  <c r="P20"/>
  <c r="N20"/>
  <c r="L20"/>
  <c r="J20"/>
  <c r="H20"/>
  <c r="AO19"/>
  <c r="AL19"/>
  <c r="AI19"/>
  <c r="AF19"/>
  <c r="AC19"/>
  <c r="Z19"/>
  <c r="W19"/>
  <c r="T19"/>
  <c r="R19"/>
  <c r="P19"/>
  <c r="N19"/>
  <c r="L19"/>
  <c r="J19"/>
  <c r="H19"/>
  <c r="AO18"/>
  <c r="AL18"/>
  <c r="AI18"/>
  <c r="AF18"/>
  <c r="AC18"/>
  <c r="Z18"/>
  <c r="W18"/>
  <c r="T18"/>
  <c r="R18"/>
  <c r="P18"/>
  <c r="N18"/>
  <c r="L18"/>
  <c r="J18"/>
  <c r="H18"/>
  <c r="AO13"/>
  <c r="AL13"/>
  <c r="AI13"/>
  <c r="AF13"/>
  <c r="AC13"/>
  <c r="Z13"/>
  <c r="W13"/>
  <c r="R13"/>
  <c r="P13"/>
  <c r="N13"/>
  <c r="L13"/>
  <c r="J13"/>
  <c r="H13"/>
  <c r="W21" l="1"/>
  <c r="AC21"/>
  <c r="N21"/>
  <c r="AI21"/>
  <c r="AO21"/>
  <c r="H21"/>
  <c r="P21"/>
  <c r="Z21"/>
  <c r="AL21"/>
  <c r="L21"/>
  <c r="T21"/>
  <c r="AF21"/>
  <c r="J21"/>
  <c r="R21"/>
  <c r="F60" i="8" l="1"/>
  <c r="D60" l="1"/>
  <c r="F59"/>
  <c r="F58"/>
  <c r="D58"/>
  <c r="F57"/>
  <c r="D57"/>
  <c r="F56"/>
  <c r="D56"/>
  <c r="F53"/>
  <c r="F52"/>
  <c r="F51"/>
  <c r="F50"/>
  <c r="F49"/>
  <c r="F48"/>
  <c r="F47"/>
  <c r="F46"/>
  <c r="F45"/>
  <c r="F44"/>
  <c r="F43"/>
  <c r="F42"/>
  <c r="F41"/>
  <c r="F40"/>
  <c r="F39"/>
  <c r="F38"/>
  <c r="F37"/>
  <c r="F36"/>
  <c r="F35"/>
  <c r="D30"/>
  <c r="D28"/>
  <c r="D27"/>
  <c r="D26"/>
  <c r="H277" i="11" s="1"/>
  <c r="G277" s="1"/>
  <c r="F277" s="1"/>
  <c r="E277" s="1"/>
  <c r="D277" s="1"/>
  <c r="H276"/>
  <c r="G276"/>
  <c r="B273"/>
  <c r="F269" l="1"/>
  <c r="D269"/>
  <c r="D267"/>
  <c r="C267"/>
  <c r="E266"/>
  <c r="D266"/>
  <c r="C266"/>
  <c r="D265"/>
  <c r="C265"/>
  <c r="D264"/>
  <c r="C264"/>
  <c r="F263"/>
  <c r="E263" s="1"/>
  <c r="D263"/>
  <c r="C263"/>
  <c r="I258" s="1"/>
  <c r="G258" s="1"/>
  <c r="E258" s="1"/>
  <c r="I257" s="1"/>
  <c r="H257"/>
  <c r="G257" s="1"/>
  <c r="F257"/>
  <c r="E257" s="1"/>
  <c r="D257" s="1"/>
  <c r="I255" s="1"/>
  <c r="H255"/>
  <c r="G255"/>
  <c r="F255"/>
  <c r="E255" s="1"/>
  <c r="D255"/>
  <c r="C255"/>
  <c r="I254" s="1"/>
  <c r="H254"/>
  <c r="G254" s="1"/>
  <c r="F254" s="1"/>
  <c r="E254"/>
  <c r="D254"/>
  <c r="C254"/>
  <c r="I253" s="1"/>
  <c r="H253"/>
  <c r="G253"/>
  <c r="F253"/>
  <c r="E253" s="1"/>
  <c r="D253"/>
  <c r="C253"/>
  <c r="I252" s="1"/>
  <c r="H252"/>
  <c r="G252"/>
  <c r="F252" s="1"/>
  <c r="E252" s="1"/>
  <c r="D252"/>
  <c r="C252"/>
  <c r="I251" s="1"/>
  <c r="H251"/>
  <c r="G251"/>
  <c r="F251"/>
  <c r="E251" s="1"/>
  <c r="D251"/>
  <c r="C251"/>
  <c r="B244"/>
  <c r="H263" l="1"/>
  <c r="F264"/>
  <c r="G263"/>
  <c r="F239"/>
  <c r="D239"/>
  <c r="E237"/>
  <c r="D237"/>
  <c r="C237"/>
  <c r="D236"/>
  <c r="C236"/>
  <c r="F235"/>
  <c r="E235" s="1"/>
  <c r="D235"/>
  <c r="C235"/>
  <c r="I230" s="1"/>
  <c r="G230" s="1"/>
  <c r="E230" s="1"/>
  <c r="I229"/>
  <c r="H229"/>
  <c r="G229" s="1"/>
  <c r="F229"/>
  <c r="E229"/>
  <c r="D229"/>
  <c r="I227" s="1"/>
  <c r="H227"/>
  <c r="G227"/>
  <c r="I263" l="1"/>
  <c r="E264"/>
  <c r="G264"/>
  <c r="H264"/>
  <c r="I264" s="1"/>
  <c r="F265"/>
  <c r="H235"/>
  <c r="G235"/>
  <c r="F227"/>
  <c r="E227" s="1"/>
  <c r="D227"/>
  <c r="C227"/>
  <c r="I226" s="1"/>
  <c r="H226"/>
  <c r="G226" s="1"/>
  <c r="F226"/>
  <c r="E226" s="1"/>
  <c r="D226"/>
  <c r="C226"/>
  <c r="I225"/>
  <c r="H225"/>
  <c r="G225"/>
  <c r="F225"/>
  <c r="E225" s="1"/>
  <c r="D225"/>
  <c r="C225"/>
  <c r="B221" s="1"/>
  <c r="F216"/>
  <c r="D216"/>
  <c r="G214"/>
  <c r="F214"/>
  <c r="E214" s="1"/>
  <c r="D214"/>
  <c r="C214"/>
  <c r="I213"/>
  <c r="H213"/>
  <c r="G213"/>
  <c r="F213"/>
  <c r="E213" s="1"/>
  <c r="D213"/>
  <c r="C213"/>
  <c r="I208"/>
  <c r="G208" s="1"/>
  <c r="E208"/>
  <c r="I207" s="1"/>
  <c r="H207"/>
  <c r="G207" s="1"/>
  <c r="F207"/>
  <c r="E207" s="1"/>
  <c r="D207"/>
  <c r="K205"/>
  <c r="I205"/>
  <c r="H205"/>
  <c r="G205"/>
  <c r="F205"/>
  <c r="E205" s="1"/>
  <c r="D205"/>
  <c r="C205"/>
  <c r="K204" s="1"/>
  <c r="I204"/>
  <c r="H204"/>
  <c r="G204"/>
  <c r="F204"/>
  <c r="E204" s="1"/>
  <c r="D204"/>
  <c r="C204"/>
  <c r="J196" s="1"/>
  <c r="I196" s="1"/>
  <c r="H196" s="1"/>
  <c r="G196"/>
  <c r="E216" l="1"/>
  <c r="E217" s="1"/>
  <c r="I214"/>
  <c r="I216" s="1"/>
  <c r="I217" s="1"/>
  <c r="G217" s="1"/>
  <c r="H214"/>
  <c r="H216" s="1"/>
  <c r="G216" s="1"/>
  <c r="E265"/>
  <c r="H265"/>
  <c r="I265" s="1"/>
  <c r="G265"/>
  <c r="I235"/>
  <c r="J195" l="1"/>
  <c r="I195" s="1"/>
  <c r="H195" s="1"/>
  <c r="G195"/>
  <c r="D193" l="1"/>
  <c r="C193"/>
  <c r="J192" s="1"/>
  <c r="I192" s="1"/>
  <c r="H192" s="1"/>
  <c r="G192" s="1"/>
  <c r="D191" l="1"/>
  <c r="C191" s="1"/>
  <c r="J190"/>
  <c r="I190"/>
  <c r="H190"/>
  <c r="G190"/>
  <c r="F185"/>
  <c r="E185"/>
  <c r="D185"/>
  <c r="C185"/>
  <c r="F183"/>
  <c r="D183"/>
  <c r="F182" l="1"/>
  <c r="E182" s="1"/>
  <c r="D182" s="1"/>
  <c r="C182" s="1"/>
  <c r="F180" s="1"/>
  <c r="F179"/>
  <c r="D179"/>
  <c r="F178"/>
  <c r="E178"/>
  <c r="D178"/>
  <c r="C178" s="1"/>
  <c r="F176" s="1"/>
  <c r="E176" s="1"/>
  <c r="D176" s="1"/>
  <c r="C176"/>
  <c r="F175"/>
  <c r="E175"/>
  <c r="D175"/>
  <c r="F174"/>
  <c r="E174"/>
  <c r="D174"/>
  <c r="C174"/>
  <c r="J170" s="1"/>
  <c r="I170" s="1"/>
  <c r="H170" s="1"/>
  <c r="G170" s="1"/>
  <c r="F170" s="1"/>
  <c r="E170" s="1"/>
  <c r="D170"/>
  <c r="C170"/>
  <c r="J168" s="1"/>
  <c r="I168" s="1"/>
  <c r="H168" s="1"/>
  <c r="G168"/>
  <c r="F168"/>
  <c r="E168"/>
  <c r="D168"/>
  <c r="C168"/>
  <c r="J167" s="1"/>
  <c r="I167" s="1"/>
  <c r="H167" s="1"/>
  <c r="G167" s="1"/>
  <c r="F167" s="1"/>
  <c r="E167" s="1"/>
  <c r="D167"/>
  <c r="C167"/>
  <c r="J164" s="1"/>
  <c r="I164"/>
  <c r="H164" s="1"/>
  <c r="G164" s="1"/>
  <c r="F164"/>
  <c r="E164" l="1"/>
  <c r="D164"/>
  <c r="C164"/>
  <c r="C162"/>
  <c r="J161"/>
  <c r="I161"/>
  <c r="H161"/>
  <c r="G161"/>
  <c r="F161"/>
  <c r="E161"/>
  <c r="D161"/>
  <c r="C161"/>
  <c r="J160"/>
  <c r="I160"/>
  <c r="H160"/>
  <c r="G160"/>
  <c r="F160"/>
  <c r="E160"/>
  <c r="D160"/>
  <c r="C160"/>
  <c r="J159"/>
  <c r="I159"/>
  <c r="H159"/>
  <c r="G159"/>
  <c r="F159"/>
  <c r="E159"/>
  <c r="D159"/>
  <c r="C159"/>
  <c r="J158"/>
  <c r="I158"/>
  <c r="H158"/>
  <c r="G158"/>
  <c r="F158"/>
  <c r="E158"/>
  <c r="D158"/>
  <c r="C158"/>
  <c r="J157"/>
  <c r="I157"/>
  <c r="H157"/>
  <c r="G157"/>
  <c r="F157"/>
  <c r="E157"/>
  <c r="D157"/>
  <c r="C157"/>
  <c r="J156"/>
  <c r="I156"/>
  <c r="G156"/>
  <c r="F156"/>
  <c r="E156"/>
  <c r="D156"/>
  <c r="C156"/>
  <c r="J155" s="1"/>
  <c r="I155" s="1"/>
  <c r="H155"/>
  <c r="G155"/>
  <c r="F155"/>
  <c r="E155"/>
  <c r="D155"/>
  <c r="C155"/>
  <c r="J145" s="1"/>
  <c r="I145" s="1"/>
  <c r="H145" s="1"/>
  <c r="G145" s="1"/>
  <c r="F145" s="1"/>
  <c r="E145" s="1"/>
  <c r="D145"/>
  <c r="C145"/>
  <c r="J143" s="1"/>
  <c r="I143" s="1"/>
  <c r="H143" s="1"/>
  <c r="G143" s="1"/>
  <c r="F143" s="1"/>
  <c r="E143" s="1"/>
  <c r="D143" s="1"/>
  <c r="C143" s="1"/>
  <c r="J142"/>
  <c r="I142"/>
  <c r="H142"/>
  <c r="G142"/>
  <c r="F142" s="1"/>
  <c r="E142" s="1"/>
  <c r="D142"/>
  <c r="C142"/>
  <c r="F139" s="1"/>
  <c r="E139" s="1"/>
  <c r="D139" s="1"/>
  <c r="C139" s="1"/>
  <c r="F138" s="1"/>
  <c r="E138"/>
  <c r="D138" s="1"/>
  <c r="C137"/>
  <c r="F135" s="1"/>
  <c r="E135" l="1"/>
  <c r="D135"/>
  <c r="C135"/>
  <c r="F134"/>
  <c r="E134"/>
  <c r="D134"/>
  <c r="C134" s="1"/>
  <c r="E132" s="1"/>
  <c r="D132" s="1"/>
  <c r="C132"/>
  <c r="E131"/>
  <c r="D131"/>
  <c r="C130"/>
  <c r="F128" s="1"/>
  <c r="E128" s="1"/>
  <c r="D128" s="1"/>
  <c r="C128"/>
  <c r="F127"/>
  <c r="E127"/>
  <c r="D127"/>
  <c r="C126"/>
  <c r="J121" s="1"/>
  <c r="I121" s="1"/>
  <c r="H121" s="1"/>
  <c r="G121" s="1"/>
  <c r="F121" s="1"/>
  <c r="E121" s="1"/>
  <c r="D121"/>
  <c r="C121"/>
  <c r="J119"/>
  <c r="I119"/>
  <c r="H119"/>
  <c r="G119"/>
  <c r="F119"/>
  <c r="E119"/>
  <c r="D119"/>
  <c r="C119"/>
  <c r="J118" s="1"/>
  <c r="I118" s="1"/>
  <c r="H118" s="1"/>
  <c r="G118" s="1"/>
  <c r="F118" s="1"/>
  <c r="E118" s="1"/>
  <c r="D118"/>
  <c r="C118"/>
  <c r="J115"/>
  <c r="I115"/>
  <c r="H115"/>
  <c r="G115"/>
  <c r="F115"/>
  <c r="E115" s="1"/>
  <c r="D115"/>
  <c r="C115"/>
  <c r="C113"/>
  <c r="J112"/>
  <c r="I112"/>
  <c r="H112"/>
  <c r="G112"/>
  <c r="F112"/>
  <c r="E112"/>
  <c r="D112"/>
  <c r="C112"/>
  <c r="J111"/>
  <c r="I111"/>
  <c r="H111"/>
  <c r="G111"/>
  <c r="F111"/>
  <c r="E111"/>
  <c r="D111"/>
  <c r="C111" s="1"/>
  <c r="J110"/>
  <c r="I110"/>
  <c r="H110"/>
  <c r="G110"/>
  <c r="F110"/>
  <c r="E110"/>
  <c r="D110"/>
  <c r="C110"/>
  <c r="J109"/>
  <c r="I109"/>
  <c r="H109"/>
  <c r="G109"/>
  <c r="F109"/>
  <c r="E109"/>
  <c r="D109"/>
  <c r="C109"/>
  <c r="J108"/>
  <c r="I108"/>
  <c r="H108"/>
  <c r="G108"/>
  <c r="F108"/>
  <c r="E108"/>
  <c r="D108"/>
  <c r="C108" s="1"/>
  <c r="J107"/>
  <c r="I107"/>
  <c r="G107"/>
  <c r="F107"/>
  <c r="E107"/>
  <c r="D107"/>
  <c r="C107" s="1"/>
  <c r="J106"/>
  <c r="I106"/>
  <c r="H106"/>
  <c r="G106"/>
  <c r="F106"/>
  <c r="E106"/>
  <c r="D106"/>
  <c r="C106"/>
  <c r="M56"/>
  <c r="M55"/>
  <c r="M54"/>
  <c r="M53"/>
  <c r="F49"/>
  <c r="E49"/>
  <c r="D49"/>
  <c r="J48"/>
  <c r="I48"/>
  <c r="H48"/>
  <c r="G48"/>
  <c r="F48"/>
  <c r="E48"/>
  <c r="D48"/>
  <c r="J46" s="1"/>
  <c r="I46" s="1"/>
  <c r="H46" s="1"/>
  <c r="G46" s="1"/>
  <c r="F46" s="1"/>
  <c r="E46" s="1"/>
  <c r="D46"/>
  <c r="C46"/>
  <c r="J44"/>
  <c r="I44"/>
  <c r="H44" s="1"/>
  <c r="G44" s="1"/>
  <c r="F44"/>
  <c r="E44"/>
  <c r="D44" s="1"/>
  <c r="C44" s="1"/>
  <c r="J43" s="1"/>
  <c r="I43" s="1"/>
  <c r="H43" s="1"/>
  <c r="G43" s="1"/>
  <c r="F43" s="1"/>
  <c r="E43" s="1"/>
  <c r="D43"/>
  <c r="C43"/>
  <c r="J41"/>
  <c r="I41"/>
  <c r="H41"/>
  <c r="G41"/>
  <c r="F41"/>
  <c r="E41"/>
  <c r="D41"/>
  <c r="C41"/>
  <c r="J40" s="1"/>
  <c r="I40" s="1"/>
  <c r="H40" s="1"/>
  <c r="G40" s="1"/>
  <c r="F40" s="1"/>
  <c r="E40" s="1"/>
  <c r="D40"/>
  <c r="C40"/>
  <c r="J38"/>
  <c r="I38"/>
  <c r="H38"/>
  <c r="G38"/>
  <c r="F38"/>
  <c r="E38"/>
  <c r="D38"/>
  <c r="C38" s="1"/>
  <c r="J37"/>
  <c r="I37"/>
  <c r="H37"/>
  <c r="G37"/>
  <c r="F37"/>
  <c r="E37"/>
  <c r="D37"/>
  <c r="C37"/>
  <c r="J23" s="1"/>
  <c r="I23" s="1"/>
  <c r="H23" s="1"/>
  <c r="G23" s="1"/>
  <c r="F23" s="1"/>
  <c r="E23" s="1"/>
  <c r="D23"/>
  <c r="C23" l="1"/>
  <c r="J21"/>
  <c r="I21"/>
  <c r="H21"/>
  <c r="G21"/>
  <c r="F21"/>
  <c r="E21"/>
  <c r="D21"/>
  <c r="C21"/>
  <c r="J20" s="1"/>
  <c r="I20" s="1"/>
  <c r="H20" s="1"/>
  <c r="G20" s="1"/>
  <c r="F20" s="1"/>
  <c r="E20" s="1"/>
  <c r="D20"/>
  <c r="C20"/>
  <c r="C18" l="1"/>
  <c r="J17" s="1"/>
  <c r="I17" s="1"/>
  <c r="H17" s="1"/>
  <c r="G17" s="1"/>
  <c r="F17" s="1"/>
  <c r="E17" s="1"/>
  <c r="D17"/>
  <c r="C17"/>
  <c r="J14"/>
  <c r="I14"/>
  <c r="H14"/>
  <c r="G14"/>
  <c r="F14"/>
  <c r="E14"/>
  <c r="D14"/>
  <c r="C14"/>
  <c r="Q6"/>
  <c r="F36" i="4" l="1"/>
  <c r="E36"/>
  <c r="H32"/>
  <c r="H31"/>
  <c r="H30"/>
  <c r="H29"/>
  <c r="H28"/>
  <c r="H27"/>
  <c r="H33" l="1"/>
  <c r="F24"/>
  <c r="F43" s="1"/>
  <c r="E24"/>
  <c r="F23"/>
  <c r="E23"/>
  <c r="G23" s="1"/>
  <c r="H22"/>
  <c r="E22"/>
  <c r="F42" l="1"/>
  <c r="F44" s="1"/>
  <c r="F25"/>
  <c r="E43"/>
  <c r="G43" s="1"/>
  <c r="E42"/>
  <c r="E25"/>
  <c r="H24"/>
  <c r="G24"/>
  <c r="H21"/>
  <c r="E21"/>
  <c r="F18"/>
  <c r="F40" s="1"/>
  <c r="E18"/>
  <c r="F17"/>
  <c r="F39" s="1"/>
  <c r="E17"/>
  <c r="F16"/>
  <c r="F38" s="1"/>
  <c r="E16"/>
  <c r="G15"/>
  <c r="F15"/>
  <c r="F37" s="1"/>
  <c r="E15"/>
  <c r="H14"/>
  <c r="H18" s="1"/>
  <c r="E14"/>
  <c r="H13"/>
  <c r="H17" s="1"/>
  <c r="E13"/>
  <c r="H12"/>
  <c r="E12"/>
  <c r="H11"/>
  <c r="H15" s="1"/>
  <c r="E11"/>
  <c r="G17" l="1"/>
  <c r="E38"/>
  <c r="I37" s="1"/>
  <c r="G37"/>
  <c r="F41"/>
  <c r="E40"/>
  <c r="H16"/>
  <c r="H19" s="1"/>
  <c r="E37"/>
  <c r="G16"/>
  <c r="F19"/>
  <c r="E44"/>
  <c r="E39"/>
  <c r="H23"/>
  <c r="H25" s="1"/>
  <c r="I24" s="1"/>
  <c r="G18"/>
  <c r="E19"/>
  <c r="H229" i="1"/>
  <c r="I11" i="4" l="1"/>
  <c r="I14"/>
  <c r="I13"/>
  <c r="I18"/>
  <c r="I12"/>
  <c r="I15"/>
  <c r="J15" s="1"/>
  <c r="I17"/>
  <c r="J17" s="1"/>
  <c r="J18"/>
  <c r="I22"/>
  <c r="I21"/>
  <c r="I39"/>
  <c r="G39"/>
  <c r="I23"/>
  <c r="E41"/>
  <c r="E46" l="1"/>
  <c r="I25"/>
  <c r="G189" i="1" l="1"/>
  <c r="G209" s="1"/>
  <c r="S147" l="1"/>
  <c r="R147"/>
  <c r="Q147"/>
  <c r="P147"/>
  <c r="O147"/>
  <c r="N147"/>
  <c r="M147" s="1"/>
  <c r="L147"/>
  <c r="K147" s="1"/>
  <c r="J147"/>
  <c r="I147"/>
  <c r="H147"/>
  <c r="G147"/>
  <c r="F147"/>
  <c r="S146"/>
  <c r="S149" s="1"/>
  <c r="R146"/>
  <c r="Q146"/>
  <c r="P146"/>
  <c r="O146"/>
  <c r="N146"/>
  <c r="M146"/>
  <c r="K146"/>
  <c r="J146"/>
  <c r="H146"/>
  <c r="G146"/>
  <c r="F146"/>
  <c r="H149" l="1"/>
  <c r="G149"/>
  <c r="Q149"/>
  <c r="O149"/>
  <c r="R149"/>
  <c r="F149"/>
  <c r="J149"/>
  <c r="P149"/>
  <c r="N149"/>
  <c r="O150" l="1"/>
  <c r="G150"/>
  <c r="R150"/>
  <c r="H150"/>
  <c r="P150"/>
  <c r="Q150"/>
  <c r="M149"/>
  <c r="K149"/>
  <c r="K150" s="1"/>
  <c r="N150" l="1"/>
  <c r="S132"/>
  <c r="R132"/>
  <c r="Q132"/>
  <c r="P132"/>
  <c r="O132"/>
  <c r="N132"/>
  <c r="M132"/>
  <c r="L132"/>
  <c r="K132"/>
  <c r="J132"/>
  <c r="I132"/>
  <c r="H132"/>
  <c r="G132"/>
  <c r="F132"/>
  <c r="S131"/>
  <c r="R131"/>
  <c r="Q131"/>
  <c r="P131"/>
  <c r="O131"/>
  <c r="N131"/>
  <c r="M131"/>
  <c r="L131"/>
  <c r="K131"/>
  <c r="J131"/>
  <c r="I131"/>
  <c r="H131"/>
  <c r="G131"/>
  <c r="F131"/>
  <c r="S130"/>
  <c r="R130"/>
  <c r="Q130"/>
  <c r="P130"/>
  <c r="O130"/>
  <c r="N130"/>
  <c r="M130"/>
  <c r="L130"/>
  <c r="K130"/>
  <c r="J130"/>
  <c r="I130"/>
  <c r="H130"/>
  <c r="G130"/>
  <c r="F130"/>
  <c r="S129"/>
  <c r="R129"/>
  <c r="Q129"/>
  <c r="P129"/>
  <c r="O129"/>
  <c r="N129"/>
  <c r="M129"/>
  <c r="L129"/>
  <c r="K129"/>
  <c r="J129"/>
  <c r="I129"/>
  <c r="H129"/>
  <c r="G129"/>
  <c r="F129"/>
  <c r="S125"/>
  <c r="R125"/>
  <c r="Q125"/>
  <c r="P125"/>
  <c r="O125"/>
  <c r="N125"/>
  <c r="M125"/>
  <c r="L125"/>
  <c r="K125"/>
  <c r="J125"/>
  <c r="I125"/>
  <c r="H125"/>
  <c r="G125"/>
  <c r="F125" l="1"/>
  <c r="C125"/>
  <c r="S124"/>
  <c r="S126" s="1"/>
  <c r="R124"/>
  <c r="R126" s="1"/>
  <c r="Q124"/>
  <c r="Q126" l="1"/>
  <c r="S119" l="1"/>
  <c r="R119"/>
  <c r="Q119"/>
  <c r="S118"/>
  <c r="R118"/>
  <c r="Q118"/>
  <c r="P118"/>
  <c r="O118"/>
  <c r="N118"/>
  <c r="M118"/>
  <c r="L118"/>
  <c r="K118"/>
  <c r="J118"/>
  <c r="I118"/>
  <c r="H118"/>
  <c r="G118"/>
  <c r="F118"/>
  <c r="S117"/>
  <c r="R117"/>
  <c r="Q117"/>
  <c r="P117"/>
  <c r="O117"/>
  <c r="N117"/>
  <c r="M117"/>
  <c r="L117"/>
  <c r="K117"/>
  <c r="J117"/>
  <c r="I117"/>
  <c r="H117"/>
  <c r="G117"/>
  <c r="F117"/>
  <c r="S109"/>
  <c r="R109"/>
  <c r="Q109"/>
  <c r="P109"/>
  <c r="O109"/>
  <c r="N109"/>
  <c r="M109"/>
  <c r="L109"/>
  <c r="K109"/>
  <c r="J109"/>
  <c r="I109"/>
  <c r="H109"/>
  <c r="G109"/>
  <c r="F109"/>
  <c r="S107"/>
  <c r="R107"/>
  <c r="Q107"/>
  <c r="P107"/>
  <c r="O107"/>
  <c r="N107"/>
  <c r="M107"/>
  <c r="L107"/>
  <c r="K107"/>
  <c r="J107"/>
  <c r="I107"/>
  <c r="H107"/>
  <c r="G107"/>
  <c r="F107"/>
  <c r="S106"/>
  <c r="R106"/>
  <c r="Q106"/>
  <c r="P106"/>
  <c r="O106"/>
  <c r="N106"/>
  <c r="M106"/>
  <c r="L106"/>
  <c r="K106"/>
  <c r="J106"/>
  <c r="I106"/>
  <c r="H106"/>
  <c r="G106"/>
  <c r="F106"/>
  <c r="S105"/>
  <c r="R105"/>
  <c r="Q105"/>
  <c r="P105"/>
  <c r="O105"/>
  <c r="N105"/>
  <c r="M105"/>
  <c r="L105"/>
  <c r="K105"/>
  <c r="J105"/>
  <c r="I105"/>
  <c r="H105"/>
  <c r="G105"/>
  <c r="F105"/>
  <c r="S104"/>
  <c r="R104"/>
  <c r="Q104"/>
  <c r="P104"/>
  <c r="O104"/>
  <c r="N104"/>
  <c r="M104"/>
  <c r="L104"/>
  <c r="K104"/>
  <c r="J104"/>
  <c r="I104"/>
  <c r="H104"/>
  <c r="G104"/>
  <c r="F104"/>
  <c r="S103"/>
  <c r="R103"/>
  <c r="Q103"/>
  <c r="P103"/>
  <c r="O103"/>
  <c r="N103"/>
  <c r="M103"/>
  <c r="L103"/>
  <c r="K103"/>
  <c r="J103"/>
  <c r="I103"/>
  <c r="H103"/>
  <c r="G103"/>
  <c r="F103"/>
  <c r="S102"/>
  <c r="R102"/>
  <c r="Q102"/>
  <c r="Q108" s="1"/>
  <c r="P102"/>
  <c r="P108" s="1"/>
  <c r="O102"/>
  <c r="N102"/>
  <c r="M102"/>
  <c r="M108" s="1"/>
  <c r="L102"/>
  <c r="L108" s="1"/>
  <c r="K102"/>
  <c r="J102"/>
  <c r="I102"/>
  <c r="I108" s="1"/>
  <c r="H102"/>
  <c r="H108" s="1"/>
  <c r="G102"/>
  <c r="F102"/>
  <c r="S100"/>
  <c r="R100"/>
  <c r="Q100"/>
  <c r="P100"/>
  <c r="O100"/>
  <c r="N100"/>
  <c r="M100"/>
  <c r="L100"/>
  <c r="K100"/>
  <c r="J100"/>
  <c r="I100"/>
  <c r="H100"/>
  <c r="G100"/>
  <c r="F100"/>
  <c r="S87"/>
  <c r="R87" s="1"/>
  <c r="Q87" s="1"/>
  <c r="P87"/>
  <c r="O87"/>
  <c r="N87"/>
  <c r="M87"/>
  <c r="L87"/>
  <c r="K87"/>
  <c r="J87"/>
  <c r="I87"/>
  <c r="H87"/>
  <c r="G87"/>
  <c r="F87"/>
  <c r="R83"/>
  <c r="Q83"/>
  <c r="P83"/>
  <c r="O83"/>
  <c r="N83"/>
  <c r="M83"/>
  <c r="L83"/>
  <c r="K83"/>
  <c r="J83"/>
  <c r="I83"/>
  <c r="H83"/>
  <c r="G83"/>
  <c r="F83"/>
  <c r="G108" l="1"/>
  <c r="K108"/>
  <c r="O108"/>
  <c r="S108"/>
  <c r="Q120"/>
  <c r="F108"/>
  <c r="J108"/>
  <c r="N108"/>
  <c r="R108"/>
  <c r="S120"/>
  <c r="S121" s="1"/>
  <c r="R120"/>
  <c r="R161" s="1"/>
  <c r="R121" l="1"/>
  <c r="S161"/>
  <c r="S81"/>
  <c r="R81"/>
  <c r="Q81"/>
  <c r="P81"/>
  <c r="O81"/>
  <c r="N81"/>
  <c r="M81"/>
  <c r="L81"/>
  <c r="K81"/>
  <c r="J81"/>
  <c r="I81"/>
  <c r="H81"/>
  <c r="G81"/>
  <c r="F81"/>
  <c r="S73"/>
  <c r="R73"/>
  <c r="R75" s="1"/>
  <c r="Q73"/>
  <c r="Q75" s="1"/>
  <c r="Q82" s="1"/>
  <c r="P73"/>
  <c r="P75" s="1"/>
  <c r="O73"/>
  <c r="O75" s="1"/>
  <c r="N73"/>
  <c r="N75" s="1"/>
  <c r="M73"/>
  <c r="M75" s="1"/>
  <c r="M82" s="1"/>
  <c r="L73"/>
  <c r="L75" s="1"/>
  <c r="K73"/>
  <c r="K75" s="1"/>
  <c r="J73"/>
  <c r="J75" s="1"/>
  <c r="I73"/>
  <c r="I75" s="1"/>
  <c r="I82" s="1"/>
  <c r="H73"/>
  <c r="H75" s="1"/>
  <c r="G73"/>
  <c r="G75" s="1"/>
  <c r="F73"/>
  <c r="F75" s="1"/>
  <c r="E61"/>
  <c r="S45"/>
  <c r="R45"/>
  <c r="Q45"/>
  <c r="P43"/>
  <c r="P124" s="1"/>
  <c r="O43"/>
  <c r="N43"/>
  <c r="M43"/>
  <c r="L43"/>
  <c r="K43"/>
  <c r="J43"/>
  <c r="I43"/>
  <c r="H43"/>
  <c r="G43"/>
  <c r="F43"/>
  <c r="P42"/>
  <c r="P119" s="1"/>
  <c r="O42"/>
  <c r="N42"/>
  <c r="M42"/>
  <c r="L42"/>
  <c r="K42"/>
  <c r="J42"/>
  <c r="I42"/>
  <c r="H42"/>
  <c r="G42"/>
  <c r="F42"/>
  <c r="S34"/>
  <c r="R34"/>
  <c r="Q34"/>
  <c r="P34"/>
  <c r="O34"/>
  <c r="N34"/>
  <c r="M34"/>
  <c r="L34"/>
  <c r="K34"/>
  <c r="J34"/>
  <c r="I34"/>
  <c r="H34"/>
  <c r="G34"/>
  <c r="F34"/>
  <c r="S28"/>
  <c r="S46" s="1"/>
  <c r="R28"/>
  <c r="Q28"/>
  <c r="P28"/>
  <c r="O28"/>
  <c r="N28"/>
  <c r="M28"/>
  <c r="L28"/>
  <c r="K28"/>
  <c r="J28"/>
  <c r="I28"/>
  <c r="H28"/>
  <c r="G28"/>
  <c r="F28"/>
  <c r="S22"/>
  <c r="AO65" i="2" s="1"/>
  <c r="R22" i="1"/>
  <c r="AL65" i="2" s="1"/>
  <c r="Q22" i="1"/>
  <c r="AI65" i="2" s="1"/>
  <c r="AF65" s="1"/>
  <c r="AC65" s="1"/>
  <c r="P22" i="1"/>
  <c r="O22"/>
  <c r="N22"/>
  <c r="M22"/>
  <c r="L22"/>
  <c r="K22"/>
  <c r="J22"/>
  <c r="I22"/>
  <c r="H22"/>
  <c r="G22"/>
  <c r="F22"/>
  <c r="S15"/>
  <c r="R15"/>
  <c r="Q15"/>
  <c r="P15"/>
  <c r="O15"/>
  <c r="N15"/>
  <c r="M15"/>
  <c r="K15"/>
  <c r="J15"/>
  <c r="H15"/>
  <c r="G15"/>
  <c r="F15"/>
  <c r="L14"/>
  <c r="L146" s="1"/>
  <c r="L149" s="1"/>
  <c r="I14"/>
  <c r="I146" s="1"/>
  <c r="I149" s="1"/>
  <c r="J150" s="1"/>
  <c r="I150" s="1"/>
  <c r="L13"/>
  <c r="I13"/>
  <c r="L85" i="5"/>
  <c r="I85"/>
  <c r="I84"/>
  <c r="L84" s="1"/>
  <c r="I83"/>
  <c r="I82"/>
  <c r="I80"/>
  <c r="M82" l="1"/>
  <c r="Q82" s="1"/>
  <c r="L82"/>
  <c r="L83"/>
  <c r="M83" s="1"/>
  <c r="Q83" s="1"/>
  <c r="M84"/>
  <c r="Q84" s="1"/>
  <c r="G45" i="1"/>
  <c r="G46" s="1"/>
  <c r="K45"/>
  <c r="K46" s="1"/>
  <c r="O45"/>
  <c r="O46" s="1"/>
  <c r="L82"/>
  <c r="L15"/>
  <c r="H82"/>
  <c r="P82"/>
  <c r="H45"/>
  <c r="H46" s="1"/>
  <c r="L45"/>
  <c r="L46" s="1"/>
  <c r="Z65" i="2"/>
  <c r="W65" s="1"/>
  <c r="T65" s="1"/>
  <c r="R65" s="1"/>
  <c r="P65" s="1"/>
  <c r="N65" s="1"/>
  <c r="L65" s="1"/>
  <c r="J65" s="1"/>
  <c r="H65" s="1"/>
  <c r="R46" i="1"/>
  <c r="F45"/>
  <c r="F46" s="1"/>
  <c r="F48" s="1"/>
  <c r="J45"/>
  <c r="J46" s="1"/>
  <c r="N45"/>
  <c r="N46" s="1"/>
  <c r="P45"/>
  <c r="P46" s="1"/>
  <c r="Q46"/>
  <c r="F82"/>
  <c r="J82"/>
  <c r="N82"/>
  <c r="R82"/>
  <c r="M150"/>
  <c r="L150"/>
  <c r="G82"/>
  <c r="K82"/>
  <c r="O82"/>
  <c r="I15"/>
  <c r="I45"/>
  <c r="I46" s="1"/>
  <c r="M45"/>
  <c r="M46" s="1"/>
  <c r="S75"/>
  <c r="S82" s="1"/>
  <c r="O119"/>
  <c r="P120"/>
  <c r="O124"/>
  <c r="P126"/>
  <c r="N119" l="1"/>
  <c r="O120"/>
  <c r="P161" s="1"/>
  <c r="N124"/>
  <c r="O126"/>
  <c r="Q161"/>
  <c r="Q121"/>
  <c r="N78" i="5"/>
  <c r="H78"/>
  <c r="G78"/>
  <c r="F78"/>
  <c r="E78"/>
  <c r="I77"/>
  <c r="I76"/>
  <c r="I75"/>
  <c r="J72"/>
  <c r="H72"/>
  <c r="H79" s="1"/>
  <c r="G72"/>
  <c r="E72"/>
  <c r="I78" l="1"/>
  <c r="G79"/>
  <c r="E79"/>
  <c r="M119" i="1"/>
  <c r="N120"/>
  <c r="O161" s="1"/>
  <c r="P121"/>
  <c r="M124"/>
  <c r="N126"/>
  <c r="I70" i="5"/>
  <c r="I69"/>
  <c r="F72" l="1"/>
  <c r="F79" s="1"/>
  <c r="F81" s="1"/>
  <c r="E81" s="1"/>
  <c r="I71"/>
  <c r="I72" s="1"/>
  <c r="I79" s="1"/>
  <c r="O121" i="1"/>
  <c r="L124"/>
  <c r="M126"/>
  <c r="L119"/>
  <c r="M120"/>
  <c r="N161" s="1"/>
  <c r="N121" l="1"/>
  <c r="K124"/>
  <c r="L126"/>
  <c r="K119"/>
  <c r="L120"/>
  <c r="M161" s="1"/>
  <c r="M121" l="1"/>
  <c r="J124"/>
  <c r="K126"/>
  <c r="J119"/>
  <c r="K120"/>
  <c r="L161" s="1"/>
  <c r="I63" i="5"/>
  <c r="I62"/>
  <c r="L121" i="1" l="1"/>
  <c r="I124"/>
  <c r="J126"/>
  <c r="I119"/>
  <c r="J120"/>
  <c r="H124" l="1"/>
  <c r="I126"/>
  <c r="H119"/>
  <c r="I120"/>
  <c r="J161" s="1"/>
  <c r="K161"/>
  <c r="K121"/>
  <c r="Q58" i="5"/>
  <c r="P58"/>
  <c r="O58"/>
  <c r="M58"/>
  <c r="L58"/>
  <c r="K58"/>
  <c r="I58"/>
  <c r="H58"/>
  <c r="G58"/>
  <c r="F58"/>
  <c r="E58"/>
  <c r="Q54"/>
  <c r="P54"/>
  <c r="O54"/>
  <c r="M54"/>
  <c r="L54"/>
  <c r="K54"/>
  <c r="I54"/>
  <c r="H54"/>
  <c r="G54"/>
  <c r="F54"/>
  <c r="E54"/>
  <c r="A50"/>
  <c r="J121" i="1" l="1"/>
  <c r="G119"/>
  <c r="H120"/>
  <c r="G124"/>
  <c r="H126"/>
  <c r="I161"/>
  <c r="I121"/>
  <c r="F119" l="1"/>
  <c r="F120" s="1"/>
  <c r="G120"/>
  <c r="H121" s="1"/>
  <c r="F124"/>
  <c r="F126" s="1"/>
  <c r="G126"/>
  <c r="H161" l="1"/>
  <c r="G121"/>
  <c r="N45" i="5" l="1"/>
  <c r="J45"/>
  <c r="E45"/>
  <c r="I44"/>
  <c r="I43"/>
  <c r="L43" s="1"/>
  <c r="I42"/>
  <c r="G220" i="1" s="1"/>
  <c r="F45" i="5"/>
  <c r="H223" i="1" l="1"/>
  <c r="M43" i="5"/>
  <c r="Q43" s="1"/>
  <c r="I38"/>
  <c r="I37"/>
  <c r="N34" l="1"/>
  <c r="F34"/>
  <c r="E34"/>
  <c r="I32" l="1"/>
  <c r="I31"/>
  <c r="P28"/>
  <c r="O28"/>
  <c r="N28"/>
  <c r="H28"/>
  <c r="G28"/>
  <c r="F28"/>
  <c r="E28"/>
  <c r="I27"/>
  <c r="I26"/>
  <c r="I25"/>
  <c r="I28" l="1"/>
  <c r="N22"/>
  <c r="N46" s="1"/>
  <c r="H22"/>
  <c r="G22"/>
  <c r="F22"/>
  <c r="F46" s="1"/>
  <c r="E22"/>
  <c r="M21"/>
  <c r="L21"/>
  <c r="I21"/>
  <c r="Q21" l="1"/>
  <c r="E46"/>
  <c r="K20"/>
  <c r="I20"/>
  <c r="O19"/>
  <c r="M19"/>
  <c r="I19"/>
  <c r="N15"/>
  <c r="L15"/>
  <c r="G15"/>
  <c r="F15"/>
  <c r="E15"/>
  <c r="I22" l="1"/>
  <c r="G41"/>
  <c r="G36"/>
  <c r="G33"/>
  <c r="K41"/>
  <c r="K37"/>
  <c r="K38"/>
  <c r="K36"/>
  <c r="K25"/>
  <c r="K31"/>
  <c r="L20"/>
  <c r="I14"/>
  <c r="I13"/>
  <c r="M20" l="1"/>
  <c r="L22"/>
  <c r="F40" i="7"/>
  <c r="F38"/>
  <c r="F42" s="1"/>
  <c r="D38"/>
  <c r="D42" l="1"/>
  <c r="M22" i="5"/>
  <c r="Q20"/>
  <c r="N18" i="7"/>
  <c r="F13" l="1"/>
  <c r="D11"/>
  <c r="D15" s="1"/>
  <c r="F15" l="1"/>
  <c r="E91" i="5" s="1"/>
  <c r="Q91" s="1"/>
  <c r="I16" i="9"/>
  <c r="F11" i="4"/>
  <c r="G11"/>
  <c r="J11" s="1"/>
  <c r="F12"/>
  <c r="G12" s="1"/>
  <c r="J12" s="1"/>
  <c r="L12" s="1"/>
  <c r="M12" s="1"/>
  <c r="F13"/>
  <c r="G13" s="1"/>
  <c r="J13" s="1"/>
  <c r="L13" s="1"/>
  <c r="M13" s="1"/>
  <c r="F14"/>
  <c r="G14" s="1"/>
  <c r="J14" s="1"/>
  <c r="L14" s="1"/>
  <c r="M14" s="1"/>
  <c r="I16"/>
  <c r="J16"/>
  <c r="L16" s="1"/>
  <c r="M16" s="1"/>
  <c r="F21"/>
  <c r="G21" s="1"/>
  <c r="J21" s="1"/>
  <c r="F22"/>
  <c r="G22" s="1"/>
  <c r="J22" s="1"/>
  <c r="L22" s="1"/>
  <c r="M22" s="1"/>
  <c r="J23"/>
  <c r="J24"/>
  <c r="L24" s="1"/>
  <c r="M24" s="1"/>
  <c r="G38"/>
  <c r="I38" s="1"/>
  <c r="G40"/>
  <c r="I40"/>
  <c r="G42"/>
  <c r="I42" s="1"/>
  <c r="M23" s="1"/>
  <c r="L25" i="5"/>
  <c r="M25" s="1"/>
  <c r="L31"/>
  <c r="M31" s="1"/>
  <c r="L37"/>
  <c r="M37" s="1"/>
  <c r="Q37" s="1"/>
  <c r="L38"/>
  <c r="M38" s="1"/>
  <c r="Q38" s="1"/>
  <c r="G34"/>
  <c r="G45"/>
  <c r="H61"/>
  <c r="I20" i="9"/>
  <c r="J46" i="5"/>
  <c r="M13"/>
  <c r="O22"/>
  <c r="N48"/>
  <c r="F48"/>
  <c r="F60" s="1"/>
  <c r="E48"/>
  <c r="J48"/>
  <c r="S83" i="1"/>
  <c r="S84" s="1"/>
  <c r="P48"/>
  <c r="P56" s="1"/>
  <c r="O48"/>
  <c r="O56" s="1"/>
  <c r="N48"/>
  <c r="N56" s="1"/>
  <c r="M48"/>
  <c r="M56" s="1"/>
  <c r="L48"/>
  <c r="L56" s="1"/>
  <c r="K48"/>
  <c r="K56" s="1"/>
  <c r="J48"/>
  <c r="J56" s="1"/>
  <c r="I48"/>
  <c r="I56" s="1"/>
  <c r="H48"/>
  <c r="H56" s="1"/>
  <c r="G48"/>
  <c r="G56" s="1"/>
  <c r="F56"/>
  <c r="S48"/>
  <c r="S56" s="1"/>
  <c r="R48"/>
  <c r="Q48"/>
  <c r="I81" i="5"/>
  <c r="I86" s="1"/>
  <c r="H86" s="1"/>
  <c r="H81"/>
  <c r="G81"/>
  <c r="N79"/>
  <c r="N65"/>
  <c r="G84" i="1"/>
  <c r="G91" s="1"/>
  <c r="F84"/>
  <c r="F91" s="1"/>
  <c r="L84"/>
  <c r="L139" s="1"/>
  <c r="K84"/>
  <c r="K139" s="1"/>
  <c r="K140" s="1"/>
  <c r="J84"/>
  <c r="J139" s="1"/>
  <c r="I84"/>
  <c r="I91" s="1"/>
  <c r="I142" s="1"/>
  <c r="H84"/>
  <c r="H139" s="1"/>
  <c r="R84"/>
  <c r="N84"/>
  <c r="N139" s="1"/>
  <c r="M84"/>
  <c r="Q84"/>
  <c r="O84"/>
  <c r="O139" s="1"/>
  <c r="P84"/>
  <c r="P91" s="1"/>
  <c r="S150"/>
  <c r="N185"/>
  <c r="L18" i="4"/>
  <c r="M18" s="1"/>
  <c r="I19"/>
  <c r="L15"/>
  <c r="M15"/>
  <c r="L17"/>
  <c r="M17"/>
  <c r="L23"/>
  <c r="G44"/>
  <c r="F46"/>
  <c r="R54" i="6"/>
  <c r="Q54"/>
  <c r="P54"/>
  <c r="O54"/>
  <c r="N54"/>
  <c r="M54"/>
  <c r="L54"/>
  <c r="K54"/>
  <c r="J54"/>
  <c r="I54"/>
  <c r="H54"/>
  <c r="G54"/>
  <c r="F54"/>
  <c r="E54"/>
  <c r="F56"/>
  <c r="N205" i="1" l="1"/>
  <c r="K69" i="5" s="1"/>
  <c r="K26"/>
  <c r="K32" s="1"/>
  <c r="L32" s="1"/>
  <c r="M32" s="1"/>
  <c r="Q32" s="1"/>
  <c r="H14" i="9"/>
  <c r="J14" s="1"/>
  <c r="G46" i="5"/>
  <c r="G48" s="1"/>
  <c r="G60" s="1"/>
  <c r="J25" i="4"/>
  <c r="K13" i="5" s="1"/>
  <c r="L21" i="4"/>
  <c r="J19"/>
  <c r="K12" i="5" s="1"/>
  <c r="L11" i="4"/>
  <c r="P13" i="5"/>
  <c r="Q13" s="1"/>
  <c r="I44" i="4"/>
  <c r="P19" i="5" s="1"/>
  <c r="G41" i="4"/>
  <c r="G46" s="1"/>
  <c r="G86" i="5"/>
  <c r="R56" i="1"/>
  <c r="N165"/>
  <c r="L91"/>
  <c r="M165"/>
  <c r="P165"/>
  <c r="P139"/>
  <c r="P140" s="1"/>
  <c r="O91"/>
  <c r="N56" i="6" s="1"/>
  <c r="I139" i="1"/>
  <c r="J140" s="1"/>
  <c r="M91"/>
  <c r="G139"/>
  <c r="H140" s="1"/>
  <c r="R139"/>
  <c r="L165"/>
  <c r="K91"/>
  <c r="K142" s="1"/>
  <c r="H91"/>
  <c r="H142" s="1"/>
  <c r="I143" s="1"/>
  <c r="M139"/>
  <c r="M140" s="1"/>
  <c r="Q165"/>
  <c r="H56" i="6"/>
  <c r="J91" i="1"/>
  <c r="J167" s="1"/>
  <c r="Q139"/>
  <c r="I165"/>
  <c r="H165"/>
  <c r="O140"/>
  <c r="Q91"/>
  <c r="Q167" s="1"/>
  <c r="O165"/>
  <c r="E56" i="6"/>
  <c r="F142" i="1"/>
  <c r="S91"/>
  <c r="S165"/>
  <c r="S139"/>
  <c r="O56" i="6"/>
  <c r="P142" i="1"/>
  <c r="G142"/>
  <c r="Q25" i="5"/>
  <c r="L140" i="1"/>
  <c r="R165"/>
  <c r="R91"/>
  <c r="J165"/>
  <c r="F139"/>
  <c r="K165"/>
  <c r="N91"/>
  <c r="Q31" i="5"/>
  <c r="Q56" i="1"/>
  <c r="K80" i="5" l="1"/>
  <c r="L80" s="1"/>
  <c r="M80" s="1"/>
  <c r="Q80" s="1"/>
  <c r="K70"/>
  <c r="L70" s="1"/>
  <c r="M70" s="1"/>
  <c r="Q70" s="1"/>
  <c r="L69"/>
  <c r="K71"/>
  <c r="L71" s="1"/>
  <c r="M71" s="1"/>
  <c r="Q71" s="1"/>
  <c r="K75"/>
  <c r="L75" s="1"/>
  <c r="K76"/>
  <c r="L76" s="1"/>
  <c r="M76" s="1"/>
  <c r="Q76" s="1"/>
  <c r="K77"/>
  <c r="L77" s="1"/>
  <c r="M77" s="1"/>
  <c r="Q77" s="1"/>
  <c r="L26"/>
  <c r="M26" s="1"/>
  <c r="Q26" s="1"/>
  <c r="K42"/>
  <c r="L42" s="1"/>
  <c r="P22"/>
  <c r="Q19"/>
  <c r="Q22" s="1"/>
  <c r="M167" i="1"/>
  <c r="F86" i="5"/>
  <c r="E86" s="1"/>
  <c r="G61"/>
  <c r="M11" i="4"/>
  <c r="M19" s="1"/>
  <c r="L19"/>
  <c r="M21"/>
  <c r="M25" s="1"/>
  <c r="L25"/>
  <c r="P167" i="1"/>
  <c r="G56" i="6"/>
  <c r="M142" i="1"/>
  <c r="H167"/>
  <c r="L142"/>
  <c r="L143" s="1"/>
  <c r="K56" i="6"/>
  <c r="J56"/>
  <c r="K167" i="1"/>
  <c r="L167"/>
  <c r="I56" i="6"/>
  <c r="J142" i="1"/>
  <c r="J143" s="1"/>
  <c r="Q140"/>
  <c r="G140"/>
  <c r="O142"/>
  <c r="I167"/>
  <c r="N140"/>
  <c r="L56" i="6"/>
  <c r="I140" i="1"/>
  <c r="R140"/>
  <c r="G143"/>
  <c r="S140"/>
  <c r="Q142"/>
  <c r="Q143" s="1"/>
  <c r="P56" i="6"/>
  <c r="H143" i="1"/>
  <c r="R142"/>
  <c r="Q56" i="6"/>
  <c r="R167" i="1"/>
  <c r="S142"/>
  <c r="S167"/>
  <c r="M75" i="5"/>
  <c r="N142" i="1"/>
  <c r="N167"/>
  <c r="M56" i="6"/>
  <c r="M42" i="5"/>
  <c r="M69"/>
  <c r="O167" i="1"/>
  <c r="P143"/>
  <c r="L78" i="5" l="1"/>
  <c r="L72"/>
  <c r="F61"/>
  <c r="G65"/>
  <c r="E92"/>
  <c r="N143" i="1"/>
  <c r="R143"/>
  <c r="O143"/>
  <c r="K143"/>
  <c r="M143"/>
  <c r="M78" i="5"/>
  <c r="Q75"/>
  <c r="Q78" s="1"/>
  <c r="Q69"/>
  <c r="Q72" s="1"/>
  <c r="M72"/>
  <c r="Q42"/>
  <c r="S143" i="1"/>
  <c r="L79" i="5" l="1"/>
  <c r="L81" s="1"/>
  <c r="L86" s="1"/>
  <c r="L61" s="1"/>
  <c r="I61"/>
  <c r="M61" s="1"/>
  <c r="Q61" s="1"/>
  <c r="F65"/>
  <c r="E65" s="1"/>
  <c r="M79"/>
  <c r="M81" s="1"/>
  <c r="Q79"/>
  <c r="Q81" s="1"/>
  <c r="E88" l="1"/>
  <c r="E93"/>
  <c r="E94" s="1"/>
  <c r="M85"/>
  <c r="Q85"/>
  <c r="Q86"/>
  <c r="F12" i="9" s="1"/>
  <c r="N20" i="7"/>
  <c r="E11" i="2" s="1"/>
  <c r="M14" i="5"/>
  <c r="P14"/>
  <c r="Q14" s="1"/>
  <c r="M62"/>
  <c r="Q62" s="1"/>
  <c r="M63"/>
  <c r="Q63" s="1"/>
  <c r="M86"/>
  <c r="N22" i="7" l="1"/>
  <c r="N24" s="1"/>
  <c r="E95" i="5" s="1"/>
  <c r="Q95" s="1"/>
  <c r="H22" i="9" s="1"/>
  <c r="J22" s="1"/>
  <c r="U11" i="2"/>
  <c r="AL11"/>
  <c r="AJ11"/>
  <c r="AK11"/>
  <c r="AB11"/>
  <c r="Z11"/>
  <c r="K11"/>
  <c r="W11"/>
  <c r="AN11"/>
  <c r="V11"/>
  <c r="AO11"/>
  <c r="M11"/>
  <c r="X11"/>
  <c r="H11"/>
  <c r="P11"/>
  <c r="O11"/>
  <c r="AM11"/>
  <c r="J11"/>
  <c r="G11"/>
  <c r="Q11"/>
  <c r="S11"/>
  <c r="I11"/>
  <c r="Q92" i="5"/>
  <c r="F236" i="11"/>
  <c r="H236"/>
  <c r="I236"/>
  <c r="F237"/>
  <c r="H237"/>
  <c r="I237"/>
  <c r="I239"/>
  <c r="H239"/>
  <c r="I240"/>
  <c r="E179"/>
  <c r="E180"/>
  <c r="C180"/>
  <c r="C183"/>
  <c r="G236"/>
  <c r="G237"/>
  <c r="G239"/>
  <c r="G240"/>
  <c r="E236"/>
  <c r="E239"/>
  <c r="E240"/>
  <c r="E186"/>
  <c r="E187"/>
  <c r="E183"/>
  <c r="E190"/>
  <c r="D186"/>
  <c r="D187" s="1"/>
  <c r="D180"/>
  <c r="E192"/>
  <c r="J191"/>
  <c r="I191"/>
  <c r="H191"/>
  <c r="G191"/>
  <c r="F191"/>
  <c r="E191"/>
  <c r="E195"/>
  <c r="J193"/>
  <c r="I193"/>
  <c r="H193"/>
  <c r="G193"/>
  <c r="F193"/>
  <c r="E193"/>
  <c r="E196"/>
  <c r="E276"/>
  <c r="F266"/>
  <c r="H266"/>
  <c r="I266"/>
  <c r="F267"/>
  <c r="H267"/>
  <c r="I267"/>
  <c r="I269"/>
  <c r="H269"/>
  <c r="I270"/>
  <c r="F186"/>
  <c r="G266"/>
  <c r="G267"/>
  <c r="G269"/>
  <c r="G270"/>
  <c r="F187"/>
  <c r="F190"/>
  <c r="F192"/>
  <c r="F195"/>
  <c r="E267"/>
  <c r="E269"/>
  <c r="E270"/>
  <c r="F196"/>
  <c r="F276"/>
  <c r="I22" i="9" l="1"/>
  <c r="E96" i="5"/>
  <c r="I35" i="2"/>
  <c r="I32"/>
  <c r="I40"/>
  <c r="I44" s="1"/>
  <c r="I14"/>
  <c r="AD32"/>
  <c r="AD40"/>
  <c r="AD44" s="1"/>
  <c r="AD14"/>
  <c r="AD35"/>
  <c r="AO32"/>
  <c r="AO35"/>
  <c r="AO40"/>
  <c r="AO44" s="1"/>
  <c r="AO14"/>
  <c r="AH40"/>
  <c r="AH44" s="1"/>
  <c r="AH35"/>
  <c r="AH14"/>
  <c r="AH32"/>
  <c r="AL35"/>
  <c r="AL32"/>
  <c r="AL14"/>
  <c r="AL40"/>
  <c r="AL44" s="1"/>
  <c r="L40"/>
  <c r="L44" s="1"/>
  <c r="L32"/>
  <c r="L35"/>
  <c r="H110" i="1" s="1"/>
  <c r="L14" i="2"/>
  <c r="AM40"/>
  <c r="AM44" s="1"/>
  <c r="AM14"/>
  <c r="AM32"/>
  <c r="AM35"/>
  <c r="S111" i="1" s="1"/>
  <c r="N35" i="2"/>
  <c r="N32"/>
  <c r="N40"/>
  <c r="N44" s="1"/>
  <c r="N14"/>
  <c r="K35"/>
  <c r="K14"/>
  <c r="K32"/>
  <c r="K40"/>
  <c r="K44" s="1"/>
  <c r="T35"/>
  <c r="T40"/>
  <c r="T44" s="1"/>
  <c r="T32"/>
  <c r="T14"/>
  <c r="Y40"/>
  <c r="Y44" s="1"/>
  <c r="Y14"/>
  <c r="Y32"/>
  <c r="Y35"/>
  <c r="N112" i="1" s="1"/>
  <c r="O35" i="2"/>
  <c r="O32"/>
  <c r="O40"/>
  <c r="O44" s="1"/>
  <c r="O14"/>
  <c r="M35"/>
  <c r="M32"/>
  <c r="M14"/>
  <c r="M40"/>
  <c r="M44" s="1"/>
  <c r="AA40"/>
  <c r="AA44" s="1"/>
  <c r="AA14"/>
  <c r="AA35"/>
  <c r="AA32"/>
  <c r="AC35"/>
  <c r="AC32"/>
  <c r="AC14"/>
  <c r="AC40"/>
  <c r="AC44" s="1"/>
  <c r="AI14"/>
  <c r="AI40"/>
  <c r="AI44" s="1"/>
  <c r="AI35"/>
  <c r="AI32"/>
  <c r="AK40"/>
  <c r="AK44" s="1"/>
  <c r="AK14"/>
  <c r="AK35"/>
  <c r="R112" i="1" s="1"/>
  <c r="AK32" i="2"/>
  <c r="H36" i="5"/>
  <c r="H33"/>
  <c r="O12"/>
  <c r="O15" s="1"/>
  <c r="I12"/>
  <c r="H41"/>
  <c r="H15"/>
  <c r="G40" i="2"/>
  <c r="G44" s="1"/>
  <c r="G32"/>
  <c r="G35"/>
  <c r="G14"/>
  <c r="H32"/>
  <c r="H35"/>
  <c r="H14"/>
  <c r="H40"/>
  <c r="H44" s="1"/>
  <c r="W40"/>
  <c r="W44" s="1"/>
  <c r="W35"/>
  <c r="W14"/>
  <c r="W32"/>
  <c r="Z40"/>
  <c r="Z44" s="1"/>
  <c r="Z14"/>
  <c r="Z35"/>
  <c r="Z32"/>
  <c r="Q14"/>
  <c r="Q40"/>
  <c r="Q44" s="1"/>
  <c r="Q32"/>
  <c r="Q35"/>
  <c r="P35"/>
  <c r="P14"/>
  <c r="P32"/>
  <c r="P40"/>
  <c r="P44" s="1"/>
  <c r="AN14"/>
  <c r="AN40"/>
  <c r="AN44" s="1"/>
  <c r="AN32"/>
  <c r="AN35"/>
  <c r="AF35"/>
  <c r="P110" i="1" s="1"/>
  <c r="AF40" i="2"/>
  <c r="AF44" s="1"/>
  <c r="AF32"/>
  <c r="AF14"/>
  <c r="AJ32"/>
  <c r="AJ40"/>
  <c r="AJ44" s="1"/>
  <c r="AJ14"/>
  <c r="AJ35"/>
  <c r="S35"/>
  <c r="L111" i="1" s="1"/>
  <c r="S40" i="2"/>
  <c r="S44" s="1"/>
  <c r="S32"/>
  <c r="S14"/>
  <c r="J14"/>
  <c r="J40"/>
  <c r="J44" s="1"/>
  <c r="J32"/>
  <c r="J35"/>
  <c r="R32"/>
  <c r="R35"/>
  <c r="K110" i="1" s="1"/>
  <c r="R40" i="2"/>
  <c r="R44" s="1"/>
  <c r="R14"/>
  <c r="X32"/>
  <c r="X14"/>
  <c r="X40"/>
  <c r="X44" s="1"/>
  <c r="X35"/>
  <c r="N111" i="1" s="1"/>
  <c r="V32" i="2"/>
  <c r="V40"/>
  <c r="V44" s="1"/>
  <c r="V14"/>
  <c r="V35"/>
  <c r="AE35"/>
  <c r="AE32"/>
  <c r="AE14"/>
  <c r="AE40"/>
  <c r="AE44" s="1"/>
  <c r="AG32"/>
  <c r="AG40"/>
  <c r="AG44" s="1"/>
  <c r="AG35"/>
  <c r="AG14"/>
  <c r="AB14"/>
  <c r="AB35"/>
  <c r="O112" i="1" s="1"/>
  <c r="AB40" i="2"/>
  <c r="AB44" s="1"/>
  <c r="AB32"/>
  <c r="U35"/>
  <c r="M111" i="1" s="1"/>
  <c r="U40" i="2"/>
  <c r="U44" s="1"/>
  <c r="U32"/>
  <c r="U14"/>
  <c r="D190" i="11"/>
  <c r="C187"/>
  <c r="Q112" i="1" l="1"/>
  <c r="O111"/>
  <c r="M112"/>
  <c r="G110"/>
  <c r="R111"/>
  <c r="S112"/>
  <c r="K111"/>
  <c r="S110"/>
  <c r="N133"/>
  <c r="Z33" i="2"/>
  <c r="Z45" s="1"/>
  <c r="Z47" s="1"/>
  <c r="Z55" s="1"/>
  <c r="W33"/>
  <c r="W45" s="1"/>
  <c r="W47" s="1"/>
  <c r="W55" s="1"/>
  <c r="M133" i="1"/>
  <c r="O34" i="5"/>
  <c r="I33"/>
  <c r="H34"/>
  <c r="O133" i="1"/>
  <c r="AC33" i="2"/>
  <c r="AC45" s="1"/>
  <c r="AC47" s="1"/>
  <c r="AC55" s="1"/>
  <c r="O33"/>
  <c r="O45" s="1"/>
  <c r="O47" s="1"/>
  <c r="O55" s="1"/>
  <c r="J134" i="1"/>
  <c r="AL33" i="2"/>
  <c r="AL45" s="1"/>
  <c r="AL47" s="1"/>
  <c r="AL55" s="1"/>
  <c r="R133" i="1"/>
  <c r="I33" i="2"/>
  <c r="I45" s="1"/>
  <c r="I47" s="1"/>
  <c r="I55" s="1"/>
  <c r="G134" i="1"/>
  <c r="N134"/>
  <c r="X33" i="2"/>
  <c r="X45" s="1"/>
  <c r="X47" s="1"/>
  <c r="X55" s="1"/>
  <c r="H33"/>
  <c r="H45" s="1"/>
  <c r="F133" i="1"/>
  <c r="N135"/>
  <c r="Y33" i="2"/>
  <c r="Y45" s="1"/>
  <c r="Y47" s="1"/>
  <c r="Y55" s="1"/>
  <c r="T33"/>
  <c r="T45" s="1"/>
  <c r="L133" i="1"/>
  <c r="S134"/>
  <c r="AM33" i="2"/>
  <c r="AM45" s="1"/>
  <c r="AM47" s="1"/>
  <c r="AM55" s="1"/>
  <c r="P135" i="1"/>
  <c r="AE33" i="2"/>
  <c r="AE45" s="1"/>
  <c r="AE47" s="1"/>
  <c r="AE55" s="1"/>
  <c r="U33"/>
  <c r="U45" s="1"/>
  <c r="U47" s="1"/>
  <c r="U55" s="1"/>
  <c r="M134" i="1"/>
  <c r="G133"/>
  <c r="G136" s="1"/>
  <c r="J33" i="2"/>
  <c r="J45" s="1"/>
  <c r="J47" s="1"/>
  <c r="J55" s="1"/>
  <c r="L134" i="1"/>
  <c r="S33" i="2"/>
  <c r="S45" s="1"/>
  <c r="AF33"/>
  <c r="AF45" s="1"/>
  <c r="AF47" s="1"/>
  <c r="AF55" s="1"/>
  <c r="P133" i="1"/>
  <c r="S135"/>
  <c r="AN33" i="2"/>
  <c r="AN45" s="1"/>
  <c r="AN47" s="1"/>
  <c r="AN55" s="1"/>
  <c r="J133" i="1"/>
  <c r="J136" s="1"/>
  <c r="P33" i="2"/>
  <c r="P45" s="1"/>
  <c r="K134" i="1"/>
  <c r="Q33" i="2"/>
  <c r="Q45" s="1"/>
  <c r="Q47" s="1"/>
  <c r="Q55" s="1"/>
  <c r="O41" i="5"/>
  <c r="O45" s="1"/>
  <c r="H45"/>
  <c r="I41"/>
  <c r="O36"/>
  <c r="I36"/>
  <c r="L36" s="1"/>
  <c r="M36" s="1"/>
  <c r="AO33" i="2"/>
  <c r="AO45" s="1"/>
  <c r="AO47" s="1"/>
  <c r="AO55" s="1"/>
  <c r="S133" i="1"/>
  <c r="S136" s="1"/>
  <c r="AD33" i="2"/>
  <c r="AD45" s="1"/>
  <c r="AD47" s="1"/>
  <c r="AD55" s="1"/>
  <c r="P134" i="1"/>
  <c r="S47" i="2"/>
  <c r="S55" s="1"/>
  <c r="S113" i="1"/>
  <c r="P112"/>
  <c r="Q110"/>
  <c r="P47" i="2"/>
  <c r="P55" s="1"/>
  <c r="Q111" i="1"/>
  <c r="N110"/>
  <c r="N113" s="1"/>
  <c r="H47" i="2"/>
  <c r="H55" s="1"/>
  <c r="F111" i="1"/>
  <c r="O110"/>
  <c r="I111"/>
  <c r="J111"/>
  <c r="L110"/>
  <c r="L113" s="1"/>
  <c r="H111"/>
  <c r="H113" s="1"/>
  <c r="I110"/>
  <c r="I113" s="1"/>
  <c r="R110"/>
  <c r="R113" s="1"/>
  <c r="G111"/>
  <c r="O135"/>
  <c r="AB33" i="2"/>
  <c r="AB45" s="1"/>
  <c r="AB47" s="1"/>
  <c r="AB55" s="1"/>
  <c r="M33"/>
  <c r="M45" s="1"/>
  <c r="M47" s="1"/>
  <c r="M55" s="1"/>
  <c r="I134" i="1"/>
  <c r="I133"/>
  <c r="N33" i="2"/>
  <c r="N45" s="1"/>
  <c r="N47" s="1"/>
  <c r="N55" s="1"/>
  <c r="H133" i="1"/>
  <c r="H136" s="1"/>
  <c r="L33" i="2"/>
  <c r="L45" s="1"/>
  <c r="Q134" i="1"/>
  <c r="AG33" i="2"/>
  <c r="AG45" s="1"/>
  <c r="AG47" s="1"/>
  <c r="AG55" s="1"/>
  <c r="M135" i="1"/>
  <c r="V33" i="2"/>
  <c r="V45" s="1"/>
  <c r="V47" s="1"/>
  <c r="V55" s="1"/>
  <c r="R33"/>
  <c r="R45" s="1"/>
  <c r="K133" i="1"/>
  <c r="R134"/>
  <c r="AJ33" i="2"/>
  <c r="AJ45" s="1"/>
  <c r="AJ47" s="1"/>
  <c r="AJ55" s="1"/>
  <c r="H134" i="1"/>
  <c r="K33" i="2"/>
  <c r="K45" s="1"/>
  <c r="K47" s="1"/>
  <c r="K55" s="1"/>
  <c r="F134" i="1"/>
  <c r="G33" i="2"/>
  <c r="G45" s="1"/>
  <c r="G47" s="1"/>
  <c r="G55" s="1"/>
  <c r="M12" i="5"/>
  <c r="I15"/>
  <c r="R135" i="1"/>
  <c r="AK33" i="2"/>
  <c r="AK45" s="1"/>
  <c r="AK47" s="1"/>
  <c r="AK55" s="1"/>
  <c r="Q133" i="1"/>
  <c r="AI33" i="2"/>
  <c r="AI45" s="1"/>
  <c r="AI47" s="1"/>
  <c r="AI55" s="1"/>
  <c r="O134" i="1"/>
  <c r="AA33" i="2"/>
  <c r="AA45" s="1"/>
  <c r="AA47" s="1"/>
  <c r="AA55" s="1"/>
  <c r="Q135" i="1"/>
  <c r="AH33" i="2"/>
  <c r="AH45" s="1"/>
  <c r="AH47" s="1"/>
  <c r="AH55" s="1"/>
  <c r="R47"/>
  <c r="R55" s="1"/>
  <c r="J110" i="1"/>
  <c r="K113"/>
  <c r="M110"/>
  <c r="M113" s="1"/>
  <c r="F110"/>
  <c r="T47" i="2"/>
  <c r="T55" s="1"/>
  <c r="L47"/>
  <c r="L55" s="1"/>
  <c r="P111" i="1"/>
  <c r="D192" i="11"/>
  <c r="C190"/>
  <c r="S159" i="1" l="1"/>
  <c r="T159"/>
  <c r="T114"/>
  <c r="T137"/>
  <c r="T163"/>
  <c r="O113"/>
  <c r="G113"/>
  <c r="G114" s="1"/>
  <c r="P113"/>
  <c r="K136"/>
  <c r="K163" s="1"/>
  <c r="L136"/>
  <c r="K137"/>
  <c r="I159"/>
  <c r="I114"/>
  <c r="I34" i="5"/>
  <c r="M159" i="1"/>
  <c r="M114"/>
  <c r="P12" i="5"/>
  <c r="Q12" s="1"/>
  <c r="M15"/>
  <c r="J26" i="9"/>
  <c r="O159" i="1"/>
  <c r="F113"/>
  <c r="J113"/>
  <c r="K114" s="1"/>
  <c r="Q136"/>
  <c r="I136"/>
  <c r="J163" s="1"/>
  <c r="Q113"/>
  <c r="R114" s="1"/>
  <c r="R136"/>
  <c r="S163" s="1"/>
  <c r="O46" i="5"/>
  <c r="O48" s="1"/>
  <c r="N136" i="1"/>
  <c r="K159"/>
  <c r="S114"/>
  <c r="H114"/>
  <c r="H163"/>
  <c r="H137"/>
  <c r="L137"/>
  <c r="L163"/>
  <c r="L159"/>
  <c r="L114"/>
  <c r="N114"/>
  <c r="N159"/>
  <c r="S137"/>
  <c r="I45" i="5"/>
  <c r="L41"/>
  <c r="M41" s="1"/>
  <c r="P136" i="1"/>
  <c r="F136"/>
  <c r="G137" s="1"/>
  <c r="H46" i="5"/>
  <c r="H48" s="1"/>
  <c r="O136" i="1"/>
  <c r="M136"/>
  <c r="D195" i="11"/>
  <c r="C192"/>
  <c r="O114" i="1" l="1"/>
  <c r="P159"/>
  <c r="J137"/>
  <c r="H159"/>
  <c r="I46" i="5"/>
  <c r="I48" s="1"/>
  <c r="P114" i="1"/>
  <c r="O60" i="5"/>
  <c r="O65" s="1"/>
  <c r="Q137" i="1"/>
  <c r="Q163"/>
  <c r="N163"/>
  <c r="N137"/>
  <c r="Q114"/>
  <c r="Q159"/>
  <c r="Q97" i="5"/>
  <c r="Q15"/>
  <c r="O163" i="1"/>
  <c r="O137"/>
  <c r="R163"/>
  <c r="R137"/>
  <c r="J114"/>
  <c r="J159"/>
  <c r="P36" i="5"/>
  <c r="Q36" s="1"/>
  <c r="P41"/>
  <c r="P45" s="1"/>
  <c r="P15"/>
  <c r="P33"/>
  <c r="P34" s="1"/>
  <c r="R159" i="1"/>
  <c r="M163"/>
  <c r="M137"/>
  <c r="K27" i="5"/>
  <c r="P137" i="1"/>
  <c r="P163"/>
  <c r="I137"/>
  <c r="I163"/>
  <c r="H60" i="5"/>
  <c r="I60" s="1"/>
  <c r="D276" i="11"/>
  <c r="D196"/>
  <c r="C195"/>
  <c r="C196" s="1"/>
  <c r="Q41" i="5" l="1"/>
  <c r="I65"/>
  <c r="P46"/>
  <c r="G12" i="9"/>
  <c r="R86" i="5"/>
  <c r="H65"/>
  <c r="L27"/>
  <c r="K44"/>
  <c r="L44" s="1"/>
  <c r="K33"/>
  <c r="L33" s="1"/>
  <c r="P48"/>
  <c r="P60" s="1"/>
  <c r="P65" l="1"/>
  <c r="M44"/>
  <c r="L45"/>
  <c r="M33"/>
  <c r="L34"/>
  <c r="L28"/>
  <c r="M27"/>
  <c r="H12" i="9"/>
  <c r="G18"/>
  <c r="Q27" i="5" l="1"/>
  <c r="Q28" s="1"/>
  <c r="M28"/>
  <c r="J12" i="9"/>
  <c r="J16" s="1"/>
  <c r="H16"/>
  <c r="M34" i="5"/>
  <c r="Q33"/>
  <c r="Q34" s="1"/>
  <c r="Q44"/>
  <c r="Q45" s="1"/>
  <c r="M45"/>
  <c r="L46"/>
  <c r="L48" s="1"/>
  <c r="Q46" l="1"/>
  <c r="Q48" s="1"/>
  <c r="L60"/>
  <c r="M60" s="1"/>
  <c r="Q60" s="1"/>
  <c r="M46"/>
  <c r="M48" s="1"/>
  <c r="Q65" l="1"/>
  <c r="R65" s="1"/>
  <c r="L65"/>
  <c r="M65"/>
  <c r="Q93" l="1"/>
  <c r="Q94" s="1"/>
  <c r="Q96" s="1"/>
  <c r="F18" i="9"/>
  <c r="H18" s="1"/>
  <c r="H20" s="1"/>
  <c r="Q88" i="5"/>
  <c r="J18" i="9" l="1"/>
  <c r="J20" s="1"/>
  <c r="J28" s="1"/>
</calcChain>
</file>

<file path=xl/comments1.xml><?xml version="1.0" encoding="utf-8"?>
<comments xmlns="http://schemas.openxmlformats.org/spreadsheetml/2006/main">
  <authors>
    <author>gzhkw6</author>
  </authors>
  <commentList>
    <comment ref="I13" author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text>
        <r>
          <rPr>
            <sz val="9"/>
            <color indexed="81"/>
            <rFont val="Tahoma"/>
            <family val="2"/>
          </rPr>
          <t>WSU, 8 million annual minimum</t>
        </r>
      </text>
    </comment>
    <comment ref="J56" authorId="0">
      <text>
        <r>
          <rPr>
            <sz val="9"/>
            <color indexed="81"/>
            <rFont val="Tahoma"/>
            <family val="2"/>
          </rPr>
          <t>WSU
Fixed Charge - $200/mo.
Capital Charge - $26,132/mo.
Total - $26,332/mo.
Collected over 20 yrs; effective 8/1/2003</t>
        </r>
      </text>
    </comment>
    <comment ref="J59" authorId="1">
      <text>
        <r>
          <rPr>
            <b/>
            <sz val="8"/>
            <color indexed="81"/>
            <rFont val="Tahoma"/>
            <family val="2"/>
          </rPr>
          <t>Joe Miller:</t>
        </r>
        <r>
          <rPr>
            <sz val="8"/>
            <color indexed="81"/>
            <rFont val="Tahoma"/>
            <family val="2"/>
          </rPr>
          <t xml:space="preserve">
$.01 for first 10 million therms/year; $.005 for all therms over 10 million</t>
        </r>
      </text>
    </comment>
    <comment ref="B90" authorId="1">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<sst xmlns="http://schemas.openxmlformats.org/spreadsheetml/2006/main" count="1241" uniqueCount="555">
  <si>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</si>
  <si>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</si>
  <si>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</si>
  <si>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</si>
  <si>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</si>
  <si>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</si>
  <si>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</si>
  <si>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</si>
  <si>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</si>
  <si>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</si>
  <si>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</si>
  <si>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</si>
  <si>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</si>
  <si>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</si>
  <si>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</si>
  <si>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</si>
  <si>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</si>
  <si>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</si>
  <si>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</si>
  <si>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</si>
  <si>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</si>
  <si>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</si>
  <si>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</si>
  <si>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</si>
  <si>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</si>
  <si>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</si>
  <si>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</si>
  <si>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</si>
  <si>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</si>
  <si>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</si>
  <si>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</si>
  <si>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</si>
  <si>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</si>
  <si>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</si>
  <si>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</si>
  <si>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</si>
  <si>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</si>
  <si>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</si>
  <si>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</si>
  <si>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</si>
  <si>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</si>
  <si>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</si>
  <si>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</si>
  <si>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</si>
  <si>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</si>
  <si>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</si>
  <si>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</si>
  <si>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</si>
  <si>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</si>
  <si>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</si>
  <si>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</si>
  <si>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</si>
  <si>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</si>
  <si>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</si>
  <si>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</si>
  <si>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</si>
  <si>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</si>
  <si>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</si>
  <si>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</si>
  <si>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</si>
  <si>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</si>
  <si>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</si>
  <si>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</si>
  <si>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</si>
  <si>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</si>
  <si>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</si>
  <si>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</si>
  <si>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</si>
  <si>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</si>
  <si>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</si>
  <si>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</si>
  <si>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</si>
  <si>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</si>
  <si>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</si>
  <si>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</si>
  <si>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</si>
  <si>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</si>
  <si>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</si>
  <si>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</si>
  <si>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</si>
  <si>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</si>
  <si>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</si>
  <si>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</si>
  <si>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</si>
  <si>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</si>
  <si>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</si>
  <si>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</si>
  <si>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</si>
  <si>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</si>
  <si>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</si>
  <si>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</si>
  <si>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</si>
  <si>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</si>
  <si>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</si>
  <si>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</si>
  <si>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</si>
  <si>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</si>
  <si>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</si>
  <si>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</si>
  <si>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</si>
  <si>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</si>
  <si>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</si>
  <si>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</si>
  <si>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</si>
  <si>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</si>
  <si>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</si>
  <si>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</si>
  <si>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</si>
  <si>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</si>
  <si>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</si>
  <si>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</si>
  <si>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</si>
  <si>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</si>
  <si>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</si>
  <si>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</si>
  <si>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</si>
  <si>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</si>
  <si>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</si>
  <si>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</si>
  <si>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</si>
  <si>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</si>
  <si>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</si>
  <si>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</si>
  <si>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</si>
  <si>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</si>
  <si>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</si>
  <si>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</si>
  <si>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</si>
  <si>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</si>
  <si>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</si>
  <si>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</si>
  <si>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</si>
  <si>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</si>
  <si>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</si>
  <si>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</si>
  <si>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Compound Growth Rates to 2012</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</si>
  <si>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</si>
  <si>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</si>
  <si>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</si>
  <si>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</si>
  <si>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</si>
  <si>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</si>
  <si>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</si>
  <si>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</si>
  <si>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</si>
  <si>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</si>
  <si>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</si>
  <si>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</si>
  <si>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</si>
  <si>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</si>
  <si>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</si>
  <si>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</si>
  <si>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</si>
  <si>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</si>
  <si>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</si>
  <si>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</si>
  <si>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</si>
  <si>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</si>
  <si>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</si>
  <si>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</si>
  <si>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</si>
  <si>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</si>
  <si>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</si>
  <si>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</si>
  <si>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</si>
  <si>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</si>
  <si>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</si>
  <si>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</si>
  <si>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</si>
  <si>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</si>
  <si>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</si>
  <si>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</si>
  <si>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</si>
  <si>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</si>
  <si>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</si>
  <si>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</si>
  <si>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</si>
  <si>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</si>
  <si>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</si>
  <si>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</si>
  <si>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</si>
  <si>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</si>
  <si>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</si>
  <si>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</si>
  <si>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</si>
  <si>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</si>
  <si>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</si>
  <si>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</si>
  <si>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</si>
  <si>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</si>
  <si>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</si>
  <si>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</si>
  <si>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</si>
  <si>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</si>
  <si>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</si>
  <si>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</si>
  <si>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</si>
  <si>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</si>
  <si>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</si>
  <si>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</si>
  <si>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</si>
  <si>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</si>
  <si>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</si>
  <si>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</si>
  <si>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</si>
  <si>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</si>
  <si>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</si>
  <si>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</si>
  <si>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</si>
  <si>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</si>
  <si>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</si>
  <si>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</si>
  <si>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</si>
  <si>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</si>
  <si>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</si>
  <si>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</si>
  <si>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</si>
  <si>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</si>
  <si>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</si>
  <si>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</si>
  <si>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</si>
  <si>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</si>
  <si>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</si>
  <si>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</si>
  <si>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</si>
  <si>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</si>
  <si>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</si>
  <si>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</si>
  <si>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</si>
  <si>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</si>
  <si>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</si>
  <si>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</si>
  <si>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</si>
  <si>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</si>
  <si>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</si>
  <si>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</si>
  <si>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Calculation of General Revenue Requirement</t>
  </si>
  <si>
    <t>(000's of Dollars)</t>
  </si>
  <si>
    <t>(a)</t>
  </si>
  <si>
    <t>(b)</t>
  </si>
  <si>
    <t xml:space="preserve">(c) </t>
  </si>
  <si>
    <t>(e)</t>
  </si>
  <si>
    <t>Attrition</t>
  </si>
  <si>
    <t xml:space="preserve">Revenue </t>
  </si>
  <si>
    <t>Attrition Adjusted</t>
  </si>
  <si>
    <t>Balances</t>
  </si>
  <si>
    <t>Growth Factor</t>
  </si>
  <si>
    <t>Attrition Rate Base</t>
  </si>
  <si>
    <t>Attrition Net Operating Income</t>
  </si>
  <si>
    <t>Attrition Revenue Requirement</t>
  </si>
  <si>
    <t>Total General Business Revenues</t>
  </si>
  <si>
    <t>Percentage Revenue Increase</t>
  </si>
  <si>
    <t xml:space="preserve">Notes: </t>
  </si>
  <si>
    <t>(i)</t>
  </si>
  <si>
    <t>Natural Gas Data for Escalators</t>
  </si>
  <si>
    <t>Natural Gas Growth  Rate Analysis and Escalation Factor Calculation</t>
  </si>
  <si>
    <t>7A</t>
  </si>
  <si>
    <t>14A</t>
  </si>
  <si>
    <t xml:space="preserve">Requirement </t>
  </si>
  <si>
    <t>Other Cost &amp; Revenue Adjustments</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</si>
  <si>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</si>
  <si>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</si>
  <si>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</si>
  <si>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</si>
  <si>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</si>
  <si>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</si>
  <si>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</si>
  <si>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</si>
  <si>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</si>
  <si>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</si>
  <si>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</si>
  <si>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</si>
  <si>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</si>
  <si>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</si>
  <si>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</si>
  <si>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</si>
  <si>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</si>
  <si>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</si>
  <si>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</si>
  <si>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</si>
  <si>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</si>
  <si>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</si>
  <si>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</si>
  <si>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</si>
  <si>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</si>
  <si>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</si>
  <si>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</si>
  <si>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</si>
  <si>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</si>
  <si>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</si>
  <si>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</si>
  <si>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</si>
  <si>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</si>
  <si>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</si>
  <si>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</si>
  <si>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</si>
  <si>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</si>
  <si>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</si>
  <si>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</si>
  <si>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</si>
  <si>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</si>
  <si>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</si>
  <si>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</si>
  <si>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</si>
  <si>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</si>
  <si>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</si>
  <si>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</si>
  <si>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</si>
  <si>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</si>
  <si>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</si>
  <si>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</si>
  <si>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</si>
  <si>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</si>
  <si>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</si>
  <si>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</si>
  <si>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</si>
  <si>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</si>
  <si>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</si>
  <si>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</si>
  <si>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</si>
  <si>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</si>
  <si>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</si>
  <si>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</si>
  <si>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</si>
  <si>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</si>
  <si>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</si>
  <si>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</si>
  <si>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</si>
  <si>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</si>
  <si>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</si>
  <si>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</si>
  <si>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</si>
  <si>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</si>
  <si>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</si>
  <si>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</si>
  <si>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</si>
  <si>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</si>
  <si>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</si>
  <si>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</si>
  <si>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</si>
  <si>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</si>
  <si>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</si>
  <si>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</si>
  <si>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</si>
  <si>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</si>
  <si>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</si>
  <si>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</si>
  <si>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</si>
  <si>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</si>
  <si>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</si>
  <si>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</si>
  <si>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</si>
  <si>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</si>
  <si>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</si>
  <si>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</si>
  <si>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</si>
  <si>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</si>
  <si>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</si>
  <si>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</si>
  <si>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</si>
  <si>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</si>
  <si>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</si>
  <si>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</si>
  <si>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</si>
  <si>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</si>
  <si>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</si>
  <si>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</si>
  <si>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</si>
  <si>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</si>
  <si>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</si>
  <si>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</si>
  <si>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</si>
  <si>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</si>
  <si>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</si>
  <si>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</si>
  <si>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</si>
  <si>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</si>
  <si>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</si>
  <si>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</si>
  <si>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</si>
  <si>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</si>
  <si>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</si>
  <si>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</si>
  <si>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</si>
  <si>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</si>
  <si>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</si>
  <si>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</si>
  <si>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</si>
  <si>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</si>
  <si>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</si>
  <si>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</si>
  <si>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</si>
  <si>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</si>
  <si>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</si>
  <si>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</si>
  <si>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</si>
  <si>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</si>
  <si>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</si>
  <si>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</si>
  <si>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</si>
  <si>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</si>
  <si>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</si>
  <si>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</si>
  <si>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</si>
  <si>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</si>
  <si>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</si>
  <si>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</si>
  <si>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NATURAL GAS COST AND REVENUE TREND CALCULATIONS 2001-2013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</si>
  <si>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</si>
  <si>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</si>
  <si>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</si>
  <si>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</si>
  <si>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</si>
  <si>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(d)</t>
  </si>
  <si>
    <t>After Attrition</t>
  </si>
  <si>
    <t>Adjustments (i)</t>
  </si>
  <si>
    <t>2016 NATURAL GAS ATTRITION STUDY</t>
  </si>
  <si>
    <t>2016 Revenue</t>
  </si>
  <si>
    <t>AVISTA'S 2016 NATURAL GAS ATTRITION REVENUE REQUIREMENT</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</si>
  <si>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</si>
  <si>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</si>
  <si>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</si>
  <si>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</si>
  <si>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</si>
  <si>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</si>
  <si>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</si>
  <si>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</si>
  <si>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</si>
  <si>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</si>
  <si>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</si>
  <si>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</si>
  <si>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</si>
  <si>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</si>
  <si>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</si>
  <si>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</si>
  <si>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</si>
  <si>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</si>
  <si>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</si>
  <si>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</si>
  <si>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</si>
  <si>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</si>
  <si>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</si>
  <si>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</si>
  <si>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</si>
  <si>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</si>
  <si>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</si>
  <si>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</si>
  <si>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</si>
  <si>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</si>
  <si>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</si>
  <si>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</si>
  <si>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</si>
  <si>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</si>
  <si>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</si>
  <si>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</si>
  <si>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</si>
  <si>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</si>
  <si>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</si>
  <si>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</si>
  <si>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</si>
  <si>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</si>
  <si>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</si>
  <si>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</si>
  <si>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</si>
  <si>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</si>
  <si>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</si>
  <si>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</si>
  <si>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</si>
  <si>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</si>
  <si>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</si>
  <si>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</si>
  <si>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</si>
  <si>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</si>
  <si>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</si>
  <si>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</si>
  <si>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</si>
  <si>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</si>
  <si>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</si>
  <si>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</si>
  <si>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</si>
  <si>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</si>
  <si>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</si>
  <si>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</si>
  <si>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</si>
  <si>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</si>
  <si>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</si>
  <si>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</si>
  <si>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</si>
  <si>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</si>
  <si>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</si>
  <si>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</si>
  <si>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</si>
  <si>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</si>
  <si>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t>Pro Forma</t>
  </si>
  <si>
    <r>
      <t xml:space="preserve">Escalation Amount      </t>
    </r>
    <r>
      <rPr>
        <sz val="8"/>
        <color theme="1"/>
        <rFont val="Times New Roman"/>
        <family val="1"/>
      </rPr>
      <t>[E] *[F]=[G]</t>
    </r>
  </si>
  <si>
    <t xml:space="preserve">*Note: Adjustment in Column [B] includes the Regulatory Amortization associated with the deferral of the Natural Gas portion of the Project Compass Customer Information System (CIS) project as this amount is not inlucded in the 09.2014 Commission Basis. This amount is not escalated as shown in column [F]. Also adjusted Net Plant and depreciation to EOP 12.31.2014 in Column [B] to reflect appropirate level necessary prior to 1.5-year escalation. See Andrews Workpapers for details.  </t>
  </si>
  <si>
    <r>
      <t xml:space="preserve">Trended 2016 Non-Energy Cost </t>
    </r>
    <r>
      <rPr>
        <sz val="8"/>
        <color theme="1"/>
        <rFont val="Times New Roman"/>
        <family val="1"/>
      </rPr>
      <t>[E]+[G]=[H]</t>
    </r>
  </si>
  <si>
    <r>
      <t>2016 Revenue and Cost</t>
    </r>
    <r>
      <rPr>
        <sz val="8"/>
        <color theme="1"/>
        <rFont val="Times New Roman"/>
        <family val="1"/>
      </rPr>
      <t xml:space="preserve"> [H]+[I]+[J]=[K]</t>
    </r>
  </si>
  <si>
    <t>Net Plant before DFIT</t>
  </si>
  <si>
    <t>2007</t>
  </si>
  <si>
    <t>2008</t>
  </si>
  <si>
    <t>2009</t>
  </si>
  <si>
    <t>2010</t>
  </si>
  <si>
    <t>2011</t>
  </si>
  <si>
    <t>2012</t>
  </si>
  <si>
    <t>2013</t>
  </si>
  <si>
    <t>Net Change</t>
  </si>
  <si>
    <t>Depreciation Expense*</t>
  </si>
  <si>
    <t>Net Plant After DFIT*</t>
  </si>
  <si>
    <t>*Per 09.2014 Commission Basis Report data, See page 5, line 42</t>
  </si>
  <si>
    <t>**Per Pro Forma Cross Check Study - See Exhibit No. _(JSS-3)</t>
  </si>
  <si>
    <t>Adjusted Depreciation/Amortization</t>
  </si>
  <si>
    <t>9A</t>
  </si>
  <si>
    <t>11A</t>
  </si>
  <si>
    <t>16A</t>
  </si>
  <si>
    <t>18A</t>
  </si>
  <si>
    <t>*Excludes growth plant between 12/31/2014 and 12/31/2016.</t>
  </si>
  <si>
    <t>Net Plant After Deferred Income Taxes</t>
  </si>
  <si>
    <t>Adjusted Taxes Other than Income</t>
  </si>
  <si>
    <t>Adopted Operating Expense</t>
  </si>
  <si>
    <t>Adopted Depreciation/Amortization</t>
  </si>
  <si>
    <t>Adopted Net Plant After Deferred Income Taxes</t>
  </si>
  <si>
    <t>(See page 10)</t>
  </si>
  <si>
    <t>Adopted Compound Growth Rate</t>
  </si>
  <si>
    <t>Adopted Escalation Factor</t>
  </si>
  <si>
    <t xml:space="preserve"> Natural Gas Growth  Rate Analysis and Escalation Factor Calculation</t>
  </si>
  <si>
    <t>12.2014 Commission Basis Report Restated Totals</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</si>
  <si>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</si>
  <si>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</si>
  <si>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</si>
  <si>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</si>
  <si>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</si>
  <si>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</si>
  <si>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</si>
  <si>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</si>
  <si>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</si>
  <si>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</si>
  <si>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</si>
  <si>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</si>
  <si>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</si>
  <si>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</si>
  <si>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</si>
  <si>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</si>
  <si>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</si>
  <si>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</si>
  <si>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2014</t>
  </si>
  <si>
    <t>2016</t>
  </si>
  <si>
    <t>ADDED</t>
  </si>
  <si>
    <t>UPDATED</t>
  </si>
  <si>
    <t>2007-2014 Avg</t>
  </si>
  <si>
    <t xml:space="preserve">Washington Natural Gas - AMA ROO 2007 to AMA 2016 </t>
  </si>
  <si>
    <t>Regulatory Amorts Adjs</t>
  </si>
  <si>
    <t>December 2014 Escalation Base</t>
  </si>
  <si>
    <t>Multiparty Settlement -  Cost of Capital</t>
  </si>
  <si>
    <t xml:space="preserve">The Adjustment included after the attrition calculated revenue requirement of $8.97 million shown above was deemed necessary in order to account for atmospheric testing expenses (or $707,000).  This adjustment represents amounts not included in the December 31, 2014 normalized Commission Basis Results used as the starting point of the Company's updated Attrition Analysis.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</si>
</sst>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00000_);_(* \(#,##0.00000\);_(* &quot;-&quot;?????_);_(@_)"/>
    <numFmt numFmtId="168" formatCode="_(* #,##0_);_(* \(#,##0\);_(* &quot;-&quot;??_);_(@_)"/>
    <numFmt numFmtId="169" formatCode="#,##0.0000"/>
    <numFmt numFmtId="170" formatCode="0.0000"/>
    <numFmt numFmtId="171" formatCode="0.000000"/>
    <numFmt numFmtId="172" formatCode="0.000%"/>
    <numFmt numFmtId="173" formatCode="0.00000"/>
    <numFmt numFmtId="174" formatCode="_(* #,##0.000000_);_(* \(#,##0.000000\);_(* &quot;-&quot;??_);_(@_)"/>
    <numFmt numFmtId="175" formatCode="#,##0_);\(#,##0\);"/>
    <numFmt numFmtId="176" formatCode=";;;"/>
    <numFmt numFmtId="177" formatCode="0_);\(0\)"/>
    <numFmt numFmtId="178" formatCode="&quot;$&quot;#,##0.00;\-&quot;$&quot;#,##0.00;"/>
    <numFmt numFmtId="179" formatCode="#,##0.000\¢\ ;\(#,##0.000\¢\);"/>
    <numFmt numFmtId="180" formatCode="#,##0.000\¢\ ;\(#,##0.000\¢\)"/>
    <numFmt numFmtId="181" formatCode="&quot;$&quot;#,##0_);\(&quot;$&quot;#,##0\);"/>
    <numFmt numFmtId="182" formatCode="#,##0.000"/>
    <numFmt numFmtId="183" formatCode="&quot;$&quot;#,##0.0;\-&quot;$&quot;#,##0;"/>
    <numFmt numFmtId="184" formatCode="[$-409]mmm\-yy;@"/>
    <numFmt numFmtId="185" formatCode="0.0%"/>
    <numFmt numFmtId="186" formatCode="[$-F800]dddd\,\ mmmm\ dd\,\ yyyy"/>
    <numFmt numFmtId="187" formatCode="mmmm\ d\,\ yyyy"/>
    <numFmt numFmtId="188" formatCode="[$-409]mmmm\-yy;@"/>
    <numFmt numFmtId="189" formatCode="#,##0_%_);\(#,##0\)_%;#,##0_%_);@_%_)"/>
    <numFmt numFmtId="190" formatCode="_._.* #,##0.0_)_%;_._.* \(#,##0.0\)_%"/>
    <numFmt numFmtId="191" formatCode="_._.* #,##0.00_)_%;_._.* \(#,##0.00\)_%"/>
    <numFmt numFmtId="192" formatCode="_._.* #,##0.000_)_%;_._.* \(#,##0.000\)_%"/>
    <numFmt numFmtId="193" formatCode="_(* #,##0.00_);_(* \(\ #,##0.00\ \);_(* &quot;-&quot;??_);_(\ @_ \)"/>
    <numFmt numFmtId="194" formatCode="_._.* #,##0_)_%;_._.* #,##0_)_%;_._.* 0_)_%;_._.@_)_%"/>
    <numFmt numFmtId="195" formatCode="_._.&quot;$&quot;* #,##0.0_)_%;_._.&quot;$&quot;* \(#,##0.0\)_%"/>
    <numFmt numFmtId="196" formatCode="_._.&quot;$&quot;* #,##0.00_)_%;_._.&quot;$&quot;* \(#,##0.00\)_%"/>
    <numFmt numFmtId="197" formatCode="_._.&quot;$&quot;* #,##0.000_)_%;_._.&quot;$&quot;* \(#,##0.000\)_%"/>
    <numFmt numFmtId="198" formatCode="_._.&quot;$&quot;* #,###_)_%;_._.&quot;$&quot;* #,###_)_%;_._.&quot;$&quot;* 0_)_%;_._.@_)_%"/>
    <numFmt numFmtId="199" formatCode="#,###,##0.00;\(#,###,##0.00\)"/>
    <numFmt numFmtId="200" formatCode="#,###,##0;\(#,###,##0\)"/>
    <numFmt numFmtId="201" formatCode="0.0"/>
    <numFmt numFmtId="202" formatCode="_(&quot;$&quot;* #,##0.0_);_(&quot;$&quot;* \(#,##0.0\);_(&quot;$&quot;* &quot;-&quot;??_);_(@_)"/>
    <numFmt numFmtId="203" formatCode="&quot;$&quot;#,###,##0.00;\(&quot;$&quot;#,###,##0.00\)"/>
    <numFmt numFmtId="204" formatCode="&quot;$&quot;#,###,##0;\(&quot;$&quot;#,###,##0\)"/>
    <numFmt numFmtId="205" formatCode="#,##0.00%;\(#,##0.00%\)"/>
    <numFmt numFmtId="206" formatCode="_(0_)%;\(0\)%"/>
    <numFmt numFmtId="207" formatCode="_._._(* 0_)%;_._.* \(0\)%"/>
    <numFmt numFmtId="208" formatCode="_(0.0_)%;\(0.0\)%"/>
    <numFmt numFmtId="209" formatCode="_._._(* 0.0_)%;_._.* \(0.0\)%"/>
    <numFmt numFmtId="210" formatCode="_(0.00_)%;\(0.00\)%"/>
    <numFmt numFmtId="211" formatCode="_._._(* 0.00_)%;_._.* \(0.00\)%"/>
    <numFmt numFmtId="212" formatCode="_(0.000_)%;\(0.000\)%"/>
    <numFmt numFmtId="213" formatCode="_._._(* 0.000_)%;_._.* \(0.000\)%"/>
    <numFmt numFmtId="214" formatCode="_(0.0000_)%;\(0.0000\)%"/>
    <numFmt numFmtId="215" formatCode="_._._(* 0.0000_)%;_._.* \(0.0000\)%"/>
    <numFmt numFmtId="216" formatCode="_(* #,##0_);_(* \(#,##0\);_(* 0_);_(@_)"/>
    <numFmt numFmtId="217" formatCode="_(* #,##0.0_);_(* \(#,##0.0\)"/>
    <numFmt numFmtId="218" formatCode="_(* #,##0.00_);_(* \(#,##0.00\)"/>
    <numFmt numFmtId="219" formatCode="_(* #,##0.000_);_(* \(#,##0.000\)"/>
    <numFmt numFmtId="220" formatCode="_(&quot;$&quot;* #,##0_);_(&quot;$&quot;* \(#,##0\);_(&quot;$&quot;* 0_);_(@_)"/>
    <numFmt numFmtId="221" formatCode="_(&quot;$&quot;* #,##0.0_);_(&quot;$&quot;* \(#,##0.0\)"/>
    <numFmt numFmtId="222" formatCode="_(&quot;$&quot;* #,##0.00_);_(&quot;$&quot;* \(#,##0.00\)"/>
    <numFmt numFmtId="223" formatCode="_(&quot;$&quot;* #,##0.000_);_(&quot;$&quot;* \(#,##0.000\)"/>
    <numFmt numFmtId="224" formatCode="#,##0.0_x_x"/>
    <numFmt numFmtId="225" formatCode="&quot;$&quot;#,##0\ ;\(&quot;$&quot;#,##0\)"/>
    <numFmt numFmtId="226" formatCode="_(* #,##0.00000_);_(* \(#,##0.00000\);_(* &quot;-&quot;??_);_(@_)"/>
    <numFmt numFmtId="227" formatCode="#,##0.00;[Red]\(#,##0.00\)"/>
  </numFmts>
  <fonts count="1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s>
  <fills count="7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s>
  <cellStyleXfs count="42070">
    <xf numFmtId="0" fontId="0" fillId="0" borderId="0"/>
    <xf numFmtId="0" fontId="8" fillId="0" borderId="0"/>
    <xf numFmtId="0" fontId="8"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7" fillId="0" borderId="0"/>
    <xf numFmtId="44" fontId="7" fillId="0" borderId="0" applyFont="0" applyFill="0" applyBorder="0" applyAlignment="0" applyProtection="0"/>
    <xf numFmtId="0" fontId="15" fillId="2" borderId="0"/>
    <xf numFmtId="0" fontId="10" fillId="0" borderId="0"/>
    <xf numFmtId="0" fontId="7" fillId="0" borderId="0"/>
    <xf numFmtId="0" fontId="7" fillId="0" borderId="0"/>
    <xf numFmtId="9" fontId="7" fillId="0" borderId="0" applyFont="0" applyFill="0" applyBorder="0" applyAlignment="0" applyProtection="0"/>
    <xf numFmtId="43" fontId="20" fillId="0" borderId="0" applyFont="0" applyFill="0" applyBorder="0" applyAlignment="0" applyProtection="0"/>
    <xf numFmtId="0" fontId="21" fillId="0" borderId="0"/>
    <xf numFmtId="9" fontId="25" fillId="0" borderId="0" applyFont="0" applyFill="0" applyBorder="0" applyAlignment="0" applyProtection="0"/>
    <xf numFmtId="0" fontId="6" fillId="0" borderId="0"/>
    <xf numFmtId="9" fontId="30" fillId="0" borderId="0" applyFont="0" applyFill="0" applyBorder="0" applyAlignment="0" applyProtection="0"/>
    <xf numFmtId="43" fontId="30" fillId="0" borderId="0" applyFont="0" applyFill="0" applyBorder="0" applyAlignment="0" applyProtection="0"/>
    <xf numFmtId="0" fontId="8" fillId="0" borderId="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5" fillId="0" borderId="0"/>
    <xf numFmtId="0" fontId="7" fillId="0" borderId="0">
      <alignment readingOrder="1"/>
    </xf>
    <xf numFmtId="0" fontId="5" fillId="0" borderId="0"/>
    <xf numFmtId="0" fontId="7" fillId="0" borderId="0"/>
    <xf numFmtId="0" fontId="7" fillId="0" borderId="0">
      <alignment readingOrder="1"/>
    </xf>
    <xf numFmtId="0" fontId="7" fillId="0" borderId="0"/>
    <xf numFmtId="0" fontId="7" fillId="0" borderId="0">
      <alignment readingOrder="1"/>
    </xf>
    <xf numFmtId="0" fontId="8"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35" fillId="0" borderId="0" applyFont="0" applyFill="0" applyBorder="0" applyAlignment="0" applyProtection="0"/>
    <xf numFmtId="44" fontId="7" fillId="0" borderId="0" applyFont="0" applyFill="0" applyBorder="0" applyAlignment="0" applyProtection="0"/>
    <xf numFmtId="44" fontId="35"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0" fontId="27" fillId="0" borderId="0"/>
    <xf numFmtId="9" fontId="10" fillId="0" borderId="0" applyFont="0" applyFill="0" applyBorder="0" applyAlignment="0" applyProtection="0"/>
    <xf numFmtId="9" fontId="27" fillId="0" borderId="0" applyFont="0" applyFill="0" applyBorder="0" applyAlignment="0" applyProtection="0"/>
    <xf numFmtId="38" fontId="36" fillId="0" borderId="0" applyNumberFormat="0" applyFont="0" applyFill="0" applyBorder="0">
      <alignment horizontal="left" indent="4"/>
      <protection locked="0"/>
    </xf>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27">
      <alignment horizontal="center"/>
    </xf>
    <xf numFmtId="3" fontId="37" fillId="0" borderId="0" applyFont="0" applyFill="0" applyBorder="0" applyAlignment="0" applyProtection="0"/>
    <xf numFmtId="0" fontId="37" fillId="4" borderId="0" applyNumberFormat="0" applyFont="0" applyBorder="0" applyAlignment="0" applyProtection="0"/>
    <xf numFmtId="168" fontId="35" fillId="3" borderId="0" applyFont="0" applyFill="0" applyBorder="0" applyAlignment="0" applyProtection="0">
      <alignment wrapText="1"/>
    </xf>
    <xf numFmtId="0" fontId="7" fillId="5" borderId="0" applyNumberFormat="0" applyFont="0" applyFill="0" applyBorder="0" applyAlignment="0" applyProtection="0"/>
    <xf numFmtId="0" fontId="5" fillId="0" borderId="0"/>
    <xf numFmtId="3" fontId="21" fillId="0" borderId="0"/>
    <xf numFmtId="3" fontId="21" fillId="0" borderId="0"/>
    <xf numFmtId="0" fontId="7" fillId="0" borderId="0"/>
    <xf numFmtId="43" fontId="7" fillId="0" borderId="0" applyFont="0" applyFill="0" applyBorder="0" applyAlignment="0" applyProtection="0"/>
    <xf numFmtId="0" fontId="4" fillId="0" borderId="0"/>
    <xf numFmtId="0" fontId="4" fillId="0" borderId="0"/>
    <xf numFmtId="0" fontId="4"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43" fontId="7"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 fillId="0" borderId="0"/>
    <xf numFmtId="0" fontId="4" fillId="0" borderId="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21" fillId="0" borderId="0"/>
    <xf numFmtId="3" fontId="21" fillId="0" borderId="0"/>
    <xf numFmtId="0" fontId="75" fillId="0" borderId="32" applyNumberFormat="0" applyFill="0" applyAlignment="0" applyProtection="0"/>
    <xf numFmtId="3" fontId="21" fillId="0" borderId="0"/>
    <xf numFmtId="3" fontId="21" fillId="0" borderId="0"/>
    <xf numFmtId="3" fontId="21" fillId="0" borderId="0"/>
    <xf numFmtId="9" fontId="21" fillId="0" borderId="0" applyFont="0" applyFill="0" applyBorder="0" applyAlignment="0" applyProtection="0"/>
    <xf numFmtId="44" fontId="21" fillId="0" borderId="0" applyFont="0" applyFill="0" applyBorder="0" applyAlignment="0" applyProtection="0"/>
    <xf numFmtId="0" fontId="76" fillId="0" borderId="0" applyNumberFormat="0" applyFill="0" applyBorder="0" applyAlignment="0" applyProtection="0">
      <alignment vertical="top"/>
      <protection locked="0"/>
    </xf>
    <xf numFmtId="43"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77" fillId="0" borderId="0" applyBorder="0">
      <alignment horizontal="centerContinuous"/>
    </xf>
    <xf numFmtId="0" fontId="78" fillId="0" borderId="0" applyBorder="0">
      <alignment horizontal="centerContinuous"/>
    </xf>
    <xf numFmtId="0" fontId="79" fillId="39" borderId="0">
      <alignment horizontal="right"/>
    </xf>
    <xf numFmtId="0" fontId="78" fillId="39" borderId="7"/>
    <xf numFmtId="9" fontId="21" fillId="0" borderId="0" applyFont="0" applyFill="0" applyBorder="0" applyAlignment="0" applyProtection="0"/>
    <xf numFmtId="42" fontId="7" fillId="0" borderId="0" applyFont="0" applyFill="0" applyBorder="0" applyAlignment="0" applyProtection="0"/>
    <xf numFmtId="0" fontId="80" fillId="40" borderId="0">
      <alignment horizontal="left"/>
    </xf>
    <xf numFmtId="0" fontId="82" fillId="40" borderId="0">
      <alignment horizontal="right"/>
    </xf>
    <xf numFmtId="0" fontId="82" fillId="40" borderId="0">
      <alignment horizontal="center"/>
    </xf>
    <xf numFmtId="0" fontId="82" fillId="40" borderId="0">
      <alignment horizontal="right"/>
    </xf>
    <xf numFmtId="0" fontId="83" fillId="40" borderId="0">
      <alignment horizontal="left"/>
    </xf>
    <xf numFmtId="41"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0" fillId="40" borderId="0">
      <alignment horizontal="left"/>
    </xf>
    <xf numFmtId="0" fontId="80" fillId="40" borderId="0">
      <alignment horizontal="left"/>
    </xf>
    <xf numFmtId="44"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0" fontId="85" fillId="39" borderId="0">
      <alignment horizontal="right"/>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80" fillId="40" borderId="0">
      <alignment horizontal="center"/>
    </xf>
    <xf numFmtId="49" fontId="86" fillId="40" borderId="0">
      <alignment horizontal="center"/>
    </xf>
    <xf numFmtId="0" fontId="82" fillId="40" borderId="0">
      <alignment horizontal="center"/>
    </xf>
    <xf numFmtId="0" fontId="82" fillId="40" borderId="0">
      <alignment horizontal="centerContinuous"/>
    </xf>
    <xf numFmtId="0" fontId="87" fillId="40" borderId="0">
      <alignment horizontal="left"/>
    </xf>
    <xf numFmtId="49" fontId="87" fillId="40" borderId="0">
      <alignment horizontal="center"/>
    </xf>
    <xf numFmtId="0" fontId="80" fillId="40" borderId="0">
      <alignment horizontal="left"/>
    </xf>
    <xf numFmtId="49" fontId="87" fillId="40" borderId="0">
      <alignment horizontal="left"/>
    </xf>
    <xf numFmtId="0" fontId="80" fillId="40" borderId="0">
      <alignment horizontal="centerContinuous"/>
    </xf>
    <xf numFmtId="0" fontId="80" fillId="40" borderId="0">
      <alignment horizontal="right"/>
    </xf>
    <xf numFmtId="49" fontId="80" fillId="40" borderId="0">
      <alignment horizontal="left"/>
    </xf>
    <xf numFmtId="0" fontId="82" fillId="40" borderId="0">
      <alignment horizontal="right"/>
    </xf>
    <xf numFmtId="0" fontId="87" fillId="41" borderId="0">
      <alignment horizontal="center"/>
    </xf>
    <xf numFmtId="0" fontId="56" fillId="41" borderId="0">
      <alignment horizontal="center"/>
    </xf>
    <xf numFmtId="0" fontId="88" fillId="40" borderId="0">
      <alignment horizontal="center"/>
    </xf>
    <xf numFmtId="0" fontId="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62" fillId="0" borderId="32" applyNumberFormat="0" applyFill="0" applyAlignment="0" applyProtection="0"/>
    <xf numFmtId="43" fontId="2" fillId="0" borderId="0" applyFont="0" applyFill="0" applyBorder="0" applyAlignment="0" applyProtection="0"/>
    <xf numFmtId="184" fontId="27" fillId="42" borderId="0" applyFont="0" applyFill="0" applyBorder="0" applyAlignment="0" applyProtection="0"/>
    <xf numFmtId="0" fontId="2" fillId="0" borderId="0"/>
    <xf numFmtId="0" fontId="21" fillId="0" borderId="0"/>
    <xf numFmtId="0" fontId="75" fillId="0" borderId="32" applyNumberFormat="0" applyFill="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0" fillId="0" borderId="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 fillId="0" borderId="0"/>
    <xf numFmtId="0" fontId="81"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0"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0"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0"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0"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0"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0"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0"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0"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0"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0" fillId="52"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53" borderId="0" applyNumberFormat="0" applyBorder="0" applyAlignment="0" applyProtection="0"/>
    <xf numFmtId="0" fontId="89" fillId="53"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89" fillId="50"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51" borderId="0" applyNumberFormat="0" applyBorder="0" applyAlignment="0" applyProtection="0"/>
    <xf numFmtId="0" fontId="89" fillId="51"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54" borderId="0" applyNumberFormat="0" applyBorder="0" applyAlignment="0" applyProtection="0"/>
    <xf numFmtId="0" fontId="89" fillId="5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89" fillId="55"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56" borderId="0" applyNumberFormat="0" applyBorder="0" applyAlignment="0" applyProtection="0"/>
    <xf numFmtId="0" fontId="89" fillId="56"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57" borderId="0" applyNumberFormat="0" applyBorder="0" applyAlignment="0" applyProtection="0"/>
    <xf numFmtId="0" fontId="89" fillId="5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58" borderId="0" applyNumberFormat="0" applyBorder="0" applyAlignment="0" applyProtection="0"/>
    <xf numFmtId="0" fontId="89" fillId="58"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74" fillId="59" borderId="0" applyNumberFormat="0" applyBorder="0" applyAlignment="0" applyProtection="0"/>
    <xf numFmtId="0" fontId="89" fillId="59"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54" borderId="0" applyNumberFormat="0" applyBorder="0" applyAlignment="0" applyProtection="0"/>
    <xf numFmtId="0" fontId="89" fillId="54"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89" fillId="5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89" fillId="60" borderId="0" applyNumberFormat="0" applyBorder="0" applyAlignment="0" applyProtection="0"/>
    <xf numFmtId="188" fontId="90" fillId="61" borderId="0" applyNumberFormat="0" applyBorder="0" applyAlignment="0" applyProtection="0"/>
    <xf numFmtId="188" fontId="91" fillId="62" borderId="0" applyNumberFormat="0" applyBorder="0" applyAlignment="0" applyProtection="0"/>
    <xf numFmtId="188" fontId="91" fillId="62"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92" fillId="9" borderId="0" applyNumberFormat="0" applyBorder="0" applyAlignment="0" applyProtection="0"/>
    <xf numFmtId="0" fontId="93" fillId="44" borderId="0" applyNumberFormat="0" applyBorder="0" applyAlignment="0" applyProtection="0"/>
    <xf numFmtId="0" fontId="27" fillId="0" borderId="0" applyFill="0" applyBorder="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94" fillId="63" borderId="39" applyNumberFormat="0" applyAlignment="0" applyProtection="0"/>
    <xf numFmtId="0" fontId="49" fillId="0" borderId="0" applyFill="0" applyBorder="0" applyProtection="0">
      <alignment horizontal="center" vertical="center"/>
    </xf>
    <xf numFmtId="0" fontId="51" fillId="0" borderId="0" applyFill="0" applyBorder="0" applyProtection="0">
      <alignment horizontal="center"/>
      <protection locked="0"/>
    </xf>
    <xf numFmtId="0" fontId="49" fillId="0" borderId="0" applyFill="0" applyBorder="0" applyProtection="0">
      <alignment horizontal="center" vertical="center"/>
    </xf>
    <xf numFmtId="0" fontId="70" fillId="13" borderId="36" applyNumberFormat="0" applyAlignment="0" applyProtection="0"/>
    <xf numFmtId="0" fontId="70" fillId="13" borderId="36" applyNumberFormat="0" applyAlignment="0" applyProtection="0"/>
    <xf numFmtId="0" fontId="70" fillId="13" borderId="36" applyNumberFormat="0" applyAlignment="0" applyProtection="0"/>
    <xf numFmtId="0" fontId="95" fillId="64" borderId="40" applyNumberFormat="0" applyAlignment="0" applyProtection="0"/>
    <xf numFmtId="0" fontId="96" fillId="0" borderId="27">
      <alignment horizontal="center"/>
    </xf>
    <xf numFmtId="189" fontId="97" fillId="0" borderId="0" applyFont="0" applyFill="0" applyBorder="0" applyAlignment="0" applyProtection="0">
      <alignment horizontal="right"/>
    </xf>
    <xf numFmtId="190" fontId="9" fillId="0" borderId="0" applyFont="0" applyFill="0" applyBorder="0" applyAlignment="0" applyProtection="0"/>
    <xf numFmtId="191" fontId="98" fillId="0" borderId="0" applyFont="0" applyFill="0" applyBorder="0" applyAlignment="0" applyProtection="0"/>
    <xf numFmtId="192" fontId="9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9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9"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9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8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81" fillId="0" borderId="0" applyFont="0" applyFill="0" applyBorder="0" applyAlignment="0" applyProtection="0"/>
    <xf numFmtId="43" fontId="100" fillId="0" borderId="0" applyFont="0" applyFill="0" applyBorder="0" applyAlignment="0" applyProtection="0"/>
    <xf numFmtId="43" fontId="7" fillId="0" borderId="0" applyFont="0" applyFill="0" applyBorder="0" applyAlignment="0" applyProtection="0"/>
    <xf numFmtId="43" fontId="10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0"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7"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alignment vertical="top"/>
    </xf>
    <xf numFmtId="43" fontId="81" fillId="0" borderId="0" applyFont="0" applyFill="0" applyBorder="0" applyAlignment="0" applyProtection="0">
      <alignment vertical="top"/>
    </xf>
    <xf numFmtId="43" fontId="81"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8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3" fontId="10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3" fontId="102"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3" fontId="10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5" fontId="10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5" fontId="10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4" fontId="9" fillId="0" borderId="0">
      <protection locked="0"/>
    </xf>
    <xf numFmtId="0" fontId="103" fillId="0" borderId="0" applyFill="0" applyBorder="0" applyAlignment="0" applyProtection="0"/>
    <xf numFmtId="0" fontId="104" fillId="0" borderId="0" applyFill="0" applyBorder="0" applyAlignment="0" applyProtection="0">
      <protection locked="0"/>
    </xf>
    <xf numFmtId="0" fontId="103" fillId="0" borderId="0" applyFill="0" applyBorder="0" applyAlignment="0" applyProtection="0"/>
    <xf numFmtId="195" fontId="98" fillId="0" borderId="0" applyFont="0" applyFill="0" applyBorder="0" applyAlignment="0" applyProtection="0"/>
    <xf numFmtId="196" fontId="98" fillId="0" borderId="0" applyFont="0" applyFill="0" applyBorder="0" applyAlignment="0" applyProtection="0"/>
    <xf numFmtId="197" fontId="9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2"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2"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00"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0" fillId="0" borderId="0" applyFont="0" applyFill="0" applyBorder="0" applyAlignment="0" applyProtection="0"/>
    <xf numFmtId="44" fontId="8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98" fontId="9" fillId="0" borderId="0">
      <protection locked="0"/>
    </xf>
    <xf numFmtId="187" fontId="105" fillId="0" borderId="0" applyFont="0" applyFill="0" applyBorder="0" applyAlignment="0" applyProtection="0"/>
    <xf numFmtId="188" fontId="106" fillId="0"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07" fillId="0" borderId="0" applyNumberFormat="0" applyFill="0" applyBorder="0" applyAlignment="0" applyProtection="0"/>
    <xf numFmtId="199" fontId="108" fillId="0" borderId="0"/>
    <xf numFmtId="200" fontId="108" fillId="0" borderId="0"/>
    <xf numFmtId="168" fontId="108" fillId="0" borderId="0"/>
    <xf numFmtId="200" fontId="108" fillId="0" borderId="0"/>
    <xf numFmtId="201" fontId="108" fillId="0" borderId="0"/>
    <xf numFmtId="201" fontId="108" fillId="0" borderId="0"/>
    <xf numFmtId="199" fontId="108" fillId="0" borderId="0"/>
    <xf numFmtId="202" fontId="108" fillId="0" borderId="0"/>
    <xf numFmtId="203" fontId="108" fillId="0" borderId="0"/>
    <xf numFmtId="204" fontId="108" fillId="0" borderId="0"/>
    <xf numFmtId="205" fontId="108" fillId="0" borderId="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109" fillId="45" borderId="0" applyNumberFormat="0" applyBorder="0" applyAlignment="0" applyProtection="0"/>
    <xf numFmtId="0" fontId="60" fillId="0" borderId="30" applyNumberFormat="0" applyFill="0" applyAlignment="0" applyProtection="0"/>
    <xf numFmtId="0" fontId="60" fillId="0" borderId="30" applyNumberFormat="0" applyFill="0" applyAlignment="0" applyProtection="0"/>
    <xf numFmtId="0" fontId="60" fillId="0" borderId="30" applyNumberFormat="0" applyFill="0" applyAlignment="0" applyProtection="0"/>
    <xf numFmtId="0" fontId="110" fillId="0" borderId="41" applyNumberFormat="0" applyFill="0" applyAlignment="0" applyProtection="0"/>
    <xf numFmtId="0" fontId="111" fillId="0" borderId="4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112" fillId="0" borderId="31" applyNumberFormat="0" applyFill="0" applyAlignment="0" applyProtection="0"/>
    <xf numFmtId="0" fontId="113" fillId="0" borderId="42"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114" fillId="0" borderId="43" applyNumberFormat="0" applyFill="0" applyAlignment="0" applyProtection="0"/>
    <xf numFmtId="0" fontId="115" fillId="0" borderId="4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22" fillId="0" borderId="0" applyFill="0" applyAlignment="0" applyProtection="0"/>
    <xf numFmtId="0" fontId="51" fillId="0" borderId="0" applyFill="0" applyAlignment="0" applyProtection="0">
      <protection locked="0"/>
    </xf>
    <xf numFmtId="0" fontId="22" fillId="0" borderId="0" applyFill="0" applyAlignment="0" applyProtection="0"/>
    <xf numFmtId="0" fontId="22" fillId="0" borderId="10" applyFill="0" applyAlignment="0" applyProtection="0"/>
    <xf numFmtId="0" fontId="51" fillId="0" borderId="10" applyFill="0" applyAlignment="0" applyProtection="0">
      <protection locked="0"/>
    </xf>
    <xf numFmtId="0" fontId="22" fillId="0" borderId="10" applyFill="0" applyAlignment="0" applyProtection="0"/>
    <xf numFmtId="0" fontId="51" fillId="0" borderId="0" applyFill="0" applyAlignment="0" applyProtection="0"/>
    <xf numFmtId="188" fontId="116" fillId="39" borderId="0" applyNumberFormat="0" applyBorder="0" applyAlignment="0" applyProtection="0"/>
    <xf numFmtId="0" fontId="66" fillId="11" borderId="33" applyNumberFormat="0" applyAlignment="0" applyProtection="0"/>
    <xf numFmtId="0" fontId="66" fillId="11" borderId="33" applyNumberFormat="0" applyAlignment="0" applyProtection="0"/>
    <xf numFmtId="0" fontId="66" fillId="11" borderId="33" applyNumberFormat="0" applyAlignment="0" applyProtection="0"/>
    <xf numFmtId="0" fontId="117" fillId="48" borderId="39" applyNumberFormat="0" applyAlignment="0" applyProtection="0"/>
    <xf numFmtId="188" fontId="91" fillId="3" borderId="0" applyNumberFormat="0" applyBorder="0" applyAlignment="0" applyProtection="0"/>
    <xf numFmtId="188" fontId="91" fillId="3" borderId="0" applyNumberFormat="0" applyBorder="0" applyAlignment="0" applyProtection="0"/>
    <xf numFmtId="0" fontId="69" fillId="0" borderId="35" applyNumberFormat="0" applyFill="0" applyAlignment="0" applyProtection="0"/>
    <xf numFmtId="0" fontId="69" fillId="0" borderId="35" applyNumberFormat="0" applyFill="0" applyAlignment="0" applyProtection="0"/>
    <xf numFmtId="0" fontId="69" fillId="0" borderId="35" applyNumberFormat="0" applyFill="0" applyAlignment="0" applyProtection="0"/>
    <xf numFmtId="0" fontId="118" fillId="0" borderId="44" applyNumberFormat="0" applyFill="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119" fillId="65" borderId="0" applyNumberFormat="0" applyBorder="0" applyAlignment="0" applyProtection="0"/>
    <xf numFmtId="188" fontId="21" fillId="0" borderId="0"/>
    <xf numFmtId="188" fontId="21" fillId="0" borderId="0"/>
    <xf numFmtId="188" fontId="21" fillId="0" borderId="0"/>
    <xf numFmtId="188"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188" fontId="21" fillId="0" borderId="0"/>
    <xf numFmtId="188" fontId="21" fillId="0" borderId="0"/>
    <xf numFmtId="188" fontId="21" fillId="0" borderId="0"/>
    <xf numFmtId="188" fontId="21"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188" fontId="21" fillId="0" borderId="0"/>
    <xf numFmtId="188" fontId="21" fillId="0" borderId="0"/>
    <xf numFmtId="188" fontId="21" fillId="0" borderId="0"/>
    <xf numFmtId="188" fontId="21"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0" fontId="2" fillId="0" borderId="0"/>
    <xf numFmtId="0" fontId="2" fillId="0" borderId="0"/>
    <xf numFmtId="0" fontId="2" fillId="0" borderId="0"/>
    <xf numFmtId="0" fontId="2" fillId="0" borderId="0"/>
    <xf numFmtId="0" fontId="2" fillId="0" borderId="0"/>
    <xf numFmtId="0" fontId="2" fillId="0" borderId="0"/>
    <xf numFmtId="0" fontId="99" fillId="0" borderId="0"/>
    <xf numFmtId="188" fontId="21" fillId="0" borderId="0"/>
    <xf numFmtId="188" fontId="21" fillId="0" borderId="0"/>
    <xf numFmtId="188" fontId="21" fillId="0" borderId="0"/>
    <xf numFmtId="188" fontId="21" fillId="0" borderId="0"/>
    <xf numFmtId="0" fontId="2" fillId="0" borderId="0"/>
    <xf numFmtId="0" fontId="2" fillId="0" borderId="0"/>
    <xf numFmtId="0" fontId="2" fillId="0" borderId="0"/>
    <xf numFmtId="188" fontId="21" fillId="0" borderId="0"/>
    <xf numFmtId="188" fontId="21" fillId="0" borderId="0"/>
    <xf numFmtId="188" fontId="21" fillId="0" borderId="0"/>
    <xf numFmtId="188" fontId="21" fillId="0" borderId="0"/>
    <xf numFmtId="0" fontId="2" fillId="0" borderId="0"/>
    <xf numFmtId="0" fontId="2" fillId="0" borderId="0"/>
    <xf numFmtId="0" fontId="2" fillId="0" borderId="0"/>
    <xf numFmtId="0" fontId="2" fillId="0" borderId="0"/>
    <xf numFmtId="0" fontId="2" fillId="0" borderId="0"/>
    <xf numFmtId="0" fontId="2" fillId="0" borderId="0"/>
    <xf numFmtId="188" fontId="21" fillId="0" borderId="0"/>
    <xf numFmtId="188" fontId="21" fillId="0" borderId="0"/>
    <xf numFmtId="188" fontId="21" fillId="0" borderId="0"/>
    <xf numFmtId="188" fontId="21" fillId="0" borderId="0"/>
    <xf numFmtId="0" fontId="2" fillId="0" borderId="0"/>
    <xf numFmtId="0" fontId="2" fillId="0" borderId="0"/>
    <xf numFmtId="186" fontId="21" fillId="0" borderId="0"/>
    <xf numFmtId="186" fontId="21" fillId="0" borderId="0"/>
    <xf numFmtId="186" fontId="21" fillId="0" borderId="0"/>
    <xf numFmtId="186" fontId="21"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99" fillId="0" borderId="0"/>
    <xf numFmtId="188" fontId="7" fillId="0" borderId="0"/>
    <xf numFmtId="0" fontId="99" fillId="0" borderId="0"/>
    <xf numFmtId="0" fontId="2" fillId="0" borderId="0"/>
    <xf numFmtId="0" fontId="99" fillId="0" borderId="0"/>
    <xf numFmtId="0" fontId="2" fillId="0" borderId="0"/>
    <xf numFmtId="0" fontId="2" fillId="0" borderId="0"/>
    <xf numFmtId="0" fontId="2" fillId="0" borderId="0"/>
    <xf numFmtId="0" fontId="2" fillId="0" borderId="0"/>
    <xf numFmtId="0" fontId="99" fillId="0" borderId="0"/>
    <xf numFmtId="0" fontId="7" fillId="0" borderId="0"/>
    <xf numFmtId="0" fontId="2" fillId="0" borderId="0"/>
    <xf numFmtId="0" fontId="2" fillId="0" borderId="0"/>
    <xf numFmtId="188" fontId="7"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7" fillId="0" borderId="0"/>
    <xf numFmtId="0" fontId="7" fillId="0" borderId="0"/>
    <xf numFmtId="0" fontId="2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0" borderId="0"/>
    <xf numFmtId="0" fontId="7" fillId="0" borderId="0"/>
    <xf numFmtId="0" fontId="81" fillId="0" borderId="0">
      <alignment vertical="top"/>
    </xf>
    <xf numFmtId="0" fontId="7" fillId="0" borderId="0"/>
    <xf numFmtId="0" fontId="7" fillId="0" borderId="0"/>
    <xf numFmtId="188" fontId="7" fillId="0" borderId="0"/>
    <xf numFmtId="0" fontId="2" fillId="0" borderId="0"/>
    <xf numFmtId="0" fontId="2" fillId="0" borderId="0"/>
    <xf numFmtId="0" fontId="2" fillId="0" borderId="0"/>
    <xf numFmtId="188"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81" fillId="0" borderId="0">
      <alignment vertical="top"/>
    </xf>
    <xf numFmtId="0" fontId="8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81" fillId="0" borderId="0">
      <alignment vertical="top"/>
    </xf>
    <xf numFmtId="0" fontId="81"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27" fillId="0" borderId="0"/>
    <xf numFmtId="0" fontId="7" fillId="0" borderId="0"/>
    <xf numFmtId="0" fontId="27" fillId="0" borderId="0"/>
    <xf numFmtId="188" fontId="21" fillId="0" borderId="0"/>
    <xf numFmtId="188" fontId="21" fillId="0" borderId="0"/>
    <xf numFmtId="188" fontId="21" fillId="0" borderId="0"/>
    <xf numFmtId="188" fontId="21" fillId="0" borderId="0"/>
    <xf numFmtId="0"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0" borderId="0"/>
    <xf numFmtId="186" fontId="21" fillId="0" borderId="0"/>
    <xf numFmtId="186" fontId="21" fillId="0" borderId="0"/>
    <xf numFmtId="186" fontId="21" fillId="0" borderId="0"/>
    <xf numFmtId="186"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8" fillId="0" borderId="0"/>
    <xf numFmtId="0" fontId="2" fillId="0" borderId="0"/>
    <xf numFmtId="0" fontId="2" fillId="0" borderId="0"/>
    <xf numFmtId="0" fontId="2" fillId="0" borderId="0"/>
    <xf numFmtId="0" fontId="2" fillId="0" borderId="0"/>
    <xf numFmtId="186" fontId="7" fillId="0" borderId="0"/>
    <xf numFmtId="0" fontId="81" fillId="0" borderId="0">
      <alignment vertical="top"/>
    </xf>
    <xf numFmtId="0" fontId="81" fillId="0" borderId="0">
      <alignment vertical="top"/>
    </xf>
    <xf numFmtId="0" fontId="21" fillId="0" borderId="0"/>
    <xf numFmtId="0" fontId="2" fillId="0" borderId="0"/>
    <xf numFmtId="0" fontId="21" fillId="0" borderId="0"/>
    <xf numFmtId="0" fontId="21" fillId="0" borderId="0"/>
    <xf numFmtId="0" fontId="21" fillId="0" borderId="0"/>
    <xf numFmtId="188" fontId="21" fillId="0" borderId="0"/>
    <xf numFmtId="188" fontId="21" fillId="0" borderId="0"/>
    <xf numFmtId="0" fontId="81" fillId="0" borderId="0">
      <alignment vertical="top"/>
    </xf>
    <xf numFmtId="188" fontId="21" fillId="0" borderId="0"/>
    <xf numFmtId="188" fontId="21" fillId="0" borderId="0"/>
    <xf numFmtId="0" fontId="7" fillId="0" borderId="0"/>
    <xf numFmtId="0" fontId="2" fillId="0" borderId="0"/>
    <xf numFmtId="0" fontId="21" fillId="0" borderId="0"/>
    <xf numFmtId="0" fontId="81" fillId="0" borderId="0">
      <alignment vertical="top"/>
    </xf>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2" fillId="0" borderId="0"/>
    <xf numFmtId="188" fontId="21" fillId="0" borderId="0"/>
    <xf numFmtId="188" fontId="21" fillId="0" borderId="0"/>
    <xf numFmtId="188" fontId="21" fillId="0" borderId="0"/>
    <xf numFmtId="188" fontId="21"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188" fontId="21" fillId="0" borderId="0"/>
    <xf numFmtId="188" fontId="21" fillId="0" borderId="0"/>
    <xf numFmtId="188" fontId="21" fillId="0" borderId="0"/>
    <xf numFmtId="188"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188"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188" fontId="21" fillId="0" borderId="0"/>
    <xf numFmtId="188" fontId="21" fillId="0" borderId="0"/>
    <xf numFmtId="188" fontId="21" fillId="0" borderId="0"/>
    <xf numFmtId="188"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30" fillId="14" borderId="37" applyNumberFormat="0" applyFont="0" applyAlignment="0" applyProtection="0"/>
    <xf numFmtId="0" fontId="7" fillId="66" borderId="45" applyNumberFormat="0" applyFont="0" applyAlignment="0" applyProtection="0"/>
    <xf numFmtId="0" fontId="2" fillId="14" borderId="37" applyNumberFormat="0" applyFont="0" applyAlignment="0" applyProtection="0"/>
    <xf numFmtId="0" fontId="67" fillId="12" borderId="34" applyNumberFormat="0" applyAlignment="0" applyProtection="0"/>
    <xf numFmtId="0" fontId="67" fillId="12" borderId="34" applyNumberFormat="0" applyAlignment="0" applyProtection="0"/>
    <xf numFmtId="0" fontId="67" fillId="12" borderId="34" applyNumberFormat="0" applyAlignment="0" applyProtection="0"/>
    <xf numFmtId="0" fontId="67" fillId="63" borderId="34" applyNumberFormat="0" applyAlignment="0" applyProtection="0"/>
    <xf numFmtId="0" fontId="121" fillId="63" borderId="46" applyNumberFormat="0" applyAlignment="0" applyProtection="0"/>
    <xf numFmtId="188" fontId="7" fillId="42" borderId="0" applyNumberFormat="0" applyBorder="0" applyAlignment="0" applyProtection="0"/>
    <xf numFmtId="188" fontId="7" fillId="42" borderId="0" applyNumberFormat="0" applyBorder="0" applyAlignment="0" applyProtection="0"/>
    <xf numFmtId="206" fontId="98" fillId="0" borderId="0" applyFont="0" applyFill="0" applyBorder="0" applyAlignment="0" applyProtection="0"/>
    <xf numFmtId="207" fontId="9" fillId="0" borderId="0" applyFont="0" applyFill="0" applyBorder="0" applyAlignment="0" applyProtection="0"/>
    <xf numFmtId="208" fontId="98" fillId="0" borderId="0" applyFont="0" applyFill="0" applyBorder="0" applyAlignment="0" applyProtection="0"/>
    <xf numFmtId="209" fontId="9" fillId="0" borderId="0" applyFont="0" applyFill="0" applyBorder="0" applyAlignment="0" applyProtection="0"/>
    <xf numFmtId="210" fontId="98" fillId="0" borderId="0" applyFont="0" applyFill="0" applyBorder="0" applyAlignment="0" applyProtection="0"/>
    <xf numFmtId="211" fontId="9" fillId="0" borderId="0" applyFont="0" applyFill="0" applyBorder="0" applyAlignment="0" applyProtection="0"/>
    <xf numFmtId="212" fontId="98"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215"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9" fillId="0" borderId="0" applyFont="0" applyFill="0" applyBorder="0" applyAlignment="0" applyProtection="0"/>
    <xf numFmtId="9" fontId="81" fillId="0" borderId="0" applyFont="0" applyFill="0" applyBorder="0" applyAlignment="0" applyProtection="0"/>
    <xf numFmtId="9" fontId="99" fillId="0" borderId="0" applyFont="0" applyFill="0" applyBorder="0" applyAlignment="0" applyProtection="0"/>
    <xf numFmtId="9" fontId="8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7"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8" fontId="90" fillId="61" borderId="0" applyNumberFormat="0" applyBorder="0" applyAlignment="0" applyProtection="0"/>
    <xf numFmtId="0" fontId="122" fillId="0" borderId="0">
      <alignment horizontal="right"/>
    </xf>
    <xf numFmtId="0" fontId="123" fillId="0" borderId="0">
      <alignment horizontal="right"/>
    </xf>
    <xf numFmtId="0" fontId="108" fillId="0" borderId="0"/>
    <xf numFmtId="0" fontId="124" fillId="0" borderId="0" applyNumberFormat="0" applyBorder="0" applyAlignment="0"/>
    <xf numFmtId="0" fontId="124" fillId="0" borderId="0" applyNumberFormat="0" applyBorder="0" applyAlignment="0"/>
    <xf numFmtId="0" fontId="81" fillId="0" borderId="0" applyNumberFormat="0" applyBorder="0" applyAlignment="0"/>
    <xf numFmtId="188" fontId="81" fillId="0" borderId="0" applyNumberFormat="0" applyBorder="0" applyAlignment="0"/>
    <xf numFmtId="0" fontId="108" fillId="0" borderId="0"/>
    <xf numFmtId="188" fontId="81" fillId="0" borderId="0" applyNumberFormat="0" applyBorder="0" applyAlignment="0"/>
    <xf numFmtId="0" fontId="125" fillId="0" borderId="0"/>
    <xf numFmtId="0" fontId="126" fillId="0" borderId="0" applyNumberFormat="0" applyBorder="0" applyAlignment="0"/>
    <xf numFmtId="0" fontId="126" fillId="0" borderId="0" applyNumberFormat="0" applyBorder="0" applyAlignment="0"/>
    <xf numFmtId="0" fontId="125" fillId="0" borderId="0"/>
    <xf numFmtId="0" fontId="127" fillId="0" borderId="0"/>
    <xf numFmtId="188" fontId="128" fillId="0" borderId="0"/>
    <xf numFmtId="0" fontId="129" fillId="0" borderId="0"/>
    <xf numFmtId="0" fontId="130" fillId="0" borderId="0" applyNumberFormat="0" applyBorder="0" applyAlignment="0"/>
    <xf numFmtId="0" fontId="130" fillId="0" borderId="0" applyNumberFormat="0" applyBorder="0" applyAlignment="0"/>
    <xf numFmtId="0" fontId="129" fillId="0" borderId="0"/>
    <xf numFmtId="0" fontId="131" fillId="0" borderId="0" applyNumberFormat="0" applyBorder="0" applyAlignment="0"/>
    <xf numFmtId="0" fontId="132" fillId="0" borderId="0"/>
    <xf numFmtId="188" fontId="133" fillId="0" borderId="0"/>
    <xf numFmtId="0" fontId="134" fillId="0" borderId="0"/>
    <xf numFmtId="0" fontId="130" fillId="67" borderId="0" applyNumberFormat="0" applyBorder="0" applyAlignment="0"/>
    <xf numFmtId="0" fontId="135" fillId="0" borderId="0"/>
    <xf numFmtId="0" fontId="136" fillId="0" borderId="0"/>
    <xf numFmtId="0" fontId="137" fillId="0" borderId="0"/>
    <xf numFmtId="0" fontId="136" fillId="68" borderId="0"/>
    <xf numFmtId="0" fontId="59" fillId="0" borderId="0" applyNumberFormat="0" applyFill="0" applyBorder="0" applyAlignment="0" applyProtection="0"/>
    <xf numFmtId="0" fontId="138" fillId="69" borderId="47" applyNumberFormat="0">
      <alignment horizontal="left"/>
    </xf>
    <xf numFmtId="0" fontId="59" fillId="0" borderId="0" applyNumberFormat="0" applyFill="0" applyBorder="0" applyAlignment="0" applyProtection="0"/>
    <xf numFmtId="0" fontId="5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38" fillId="69" borderId="48">
      <alignment horizontal="left"/>
    </xf>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49" applyNumberFormat="0" applyFill="0" applyAlignment="0" applyProtection="0"/>
    <xf numFmtId="0" fontId="141" fillId="0" borderId="4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2" fillId="0" borderId="0" applyNumberFormat="0" applyFill="0" applyBorder="0" applyAlignment="0" applyProtection="0"/>
    <xf numFmtId="188" fontId="22" fillId="70" borderId="0" applyNumberFormat="0" applyBorder="0" applyAlignment="0" applyProtection="0"/>
    <xf numFmtId="216" fontId="9" fillId="0" borderId="0" applyFont="0" applyFill="0" applyBorder="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222" fontId="9" fillId="0" borderId="0" applyFont="0" applyFill="0" applyBorder="0" applyAlignment="0" applyProtection="0"/>
    <xf numFmtId="223" fontId="9" fillId="0" borderId="0" applyFont="0" applyFill="0" applyBorder="0" applyAlignment="0" applyProtection="0"/>
    <xf numFmtId="224" fontId="27" fillId="0" borderId="0" applyFont="0" applyFill="0" applyBorder="0" applyAlignment="0" applyProtection="0">
      <alignment horizontal="right"/>
    </xf>
    <xf numFmtId="3" fontId="21" fillId="0" borderId="0"/>
    <xf numFmtId="0" fontId="75" fillId="0" borderId="32" applyNumberFormat="0" applyFill="0" applyAlignment="0" applyProtection="0"/>
    <xf numFmtId="3" fontId="21" fillId="0" borderId="0"/>
    <xf numFmtId="3" fontId="21" fillId="0" borderId="0"/>
    <xf numFmtId="3" fontId="21" fillId="0" borderId="0"/>
    <xf numFmtId="3" fontId="21" fillId="0" borderId="0"/>
    <xf numFmtId="3" fontId="21" fillId="0" borderId="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0" fontId="8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7"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5" fillId="0" borderId="32" applyNumberFormat="0" applyFill="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75" fillId="0" borderId="32" applyNumberFormat="0" applyFill="0" applyAlignment="0" applyProtection="0"/>
    <xf numFmtId="0" fontId="21"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1" fillId="63" borderId="46" applyNumberFormat="0" applyAlignment="0" applyProtection="0"/>
    <xf numFmtId="0" fontId="94" fillId="63" borderId="39" applyNumberFormat="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0" fontId="94" fillId="63" borderId="39" applyNumberFormat="0" applyAlignment="0" applyProtection="0"/>
    <xf numFmtId="43" fontId="21" fillId="0" borderId="0" applyFont="0" applyFill="0" applyBorder="0" applyAlignment="0" applyProtection="0"/>
    <xf numFmtId="0" fontId="7" fillId="66" borderId="45" applyNumberFormat="0" applyFont="0" applyAlignment="0" applyProtection="0"/>
    <xf numFmtId="9" fontId="21" fillId="0" borderId="0" applyFont="0" applyFill="0" applyBorder="0" applyAlignment="0" applyProtection="0"/>
    <xf numFmtId="0" fontId="141" fillId="0" borderId="49" applyNumberFormat="0" applyFill="0" applyAlignment="0" applyProtection="0"/>
    <xf numFmtId="43"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0" fontId="141" fillId="0" borderId="49" applyNumberFormat="0" applyFill="0" applyAlignment="0" applyProtection="0"/>
    <xf numFmtId="9" fontId="21" fillId="0" borderId="0" applyFont="0" applyFill="0" applyBorder="0" applyAlignment="0" applyProtection="0"/>
    <xf numFmtId="44" fontId="21" fillId="0" borderId="0" applyFont="0" applyFill="0" applyBorder="0" applyAlignment="0" applyProtection="0"/>
    <xf numFmtId="0" fontId="94" fillId="63" borderId="39" applyNumberFormat="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117" fillId="48" borderId="39" applyNumberFormat="0" applyAlignment="0" applyProtection="0"/>
    <xf numFmtId="0" fontId="117" fillId="48" borderId="39" applyNumberFormat="0" applyAlignment="0" applyProtection="0"/>
    <xf numFmtId="0" fontId="117" fillId="48" borderId="39" applyNumberFormat="0" applyAlignment="0" applyProtection="0"/>
    <xf numFmtId="0" fontId="7" fillId="66" borderId="45" applyNumberFormat="0" applyFont="0" applyAlignment="0" applyProtection="0"/>
    <xf numFmtId="0" fontId="73" fillId="0" borderId="49" applyNumberFormat="0" applyFill="0" applyAlignment="0" applyProtection="0"/>
    <xf numFmtId="43"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7" fillId="66" borderId="45" applyNumberFormat="0" applyFont="0" applyAlignment="0" applyProtection="0"/>
    <xf numFmtId="0" fontId="121" fillId="63" borderId="46" applyNumberFormat="0" applyAlignment="0" applyProtection="0"/>
    <xf numFmtId="44" fontId="21" fillId="0" borderId="0" applyFont="0" applyFill="0" applyBorder="0" applyAlignment="0" applyProtection="0"/>
    <xf numFmtId="0" fontId="73" fillId="0" borderId="49" applyNumberFormat="0" applyFill="0" applyAlignment="0" applyProtection="0"/>
    <xf numFmtId="43" fontId="21" fillId="0" borderId="0" applyFont="0" applyFill="0" applyBorder="0" applyAlignment="0" applyProtection="0"/>
    <xf numFmtId="44" fontId="21" fillId="0" borderId="0" applyFont="0" applyFill="0" applyBorder="0" applyAlignment="0" applyProtection="0"/>
    <xf numFmtId="0" fontId="141" fillId="0" borderId="49" applyNumberFormat="0" applyFill="0" applyAlignment="0" applyProtection="0"/>
    <xf numFmtId="9"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7" fillId="66" borderId="45" applyNumberFormat="0" applyFont="0" applyAlignment="0" applyProtection="0"/>
    <xf numFmtId="0" fontId="121" fillId="63" borderId="46" applyNumberFormat="0" applyAlignment="0" applyProtection="0"/>
    <xf numFmtId="0" fontId="94" fillId="63" borderId="39" applyNumberFormat="0" applyAlignment="0" applyProtection="0"/>
    <xf numFmtId="9" fontId="21" fillId="0" borderId="0" applyFont="0" applyFill="0" applyBorder="0" applyAlignment="0" applyProtection="0"/>
    <xf numFmtId="0" fontId="121" fillId="63" borderId="46" applyNumberFormat="0" applyAlignment="0" applyProtection="0"/>
    <xf numFmtId="0" fontId="73" fillId="0" borderId="49" applyNumberFormat="0" applyFill="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73" fillId="0" borderId="49" applyNumberFormat="0" applyFill="0" applyAlignment="0" applyProtection="0"/>
    <xf numFmtId="0" fontId="141" fillId="0" borderId="49" applyNumberFormat="0" applyFill="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117" fillId="48" borderId="39" applyNumberFormat="0" applyAlignment="0" applyProtection="0"/>
    <xf numFmtId="0" fontId="2" fillId="0" borderId="0"/>
    <xf numFmtId="43" fontId="2" fillId="0" borderId="0" applyFont="0" applyFill="0" applyBorder="0" applyAlignment="0" applyProtection="0"/>
    <xf numFmtId="0" fontId="7"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3" fillId="0" borderId="49" applyNumberFormat="0" applyFill="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66" borderId="45" applyNumberFormat="0" applyFont="0" applyAlignment="0" applyProtection="0"/>
    <xf numFmtId="0" fontId="121" fillId="63" borderId="46"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41" fillId="0" borderId="4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4" fillId="63" borderId="39" applyNumberFormat="0" applyAlignment="0" applyProtection="0"/>
    <xf numFmtId="0" fontId="141" fillId="0" borderId="49" applyNumberFormat="0" applyFill="0" applyAlignment="0" applyProtection="0"/>
    <xf numFmtId="0" fontId="141" fillId="0" borderId="49" applyNumberFormat="0" applyFill="0" applyAlignment="0" applyProtection="0"/>
    <xf numFmtId="0" fontId="94" fillId="63" borderId="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7" fillId="48" borderId="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66" borderId="4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73" fillId="0" borderId="49"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66" borderId="4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66" borderId="45" applyNumberFormat="0" applyFont="0" applyAlignment="0" applyProtection="0"/>
    <xf numFmtId="0" fontId="94" fillId="63" borderId="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3" fillId="0" borderId="49"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1" fillId="0" borderId="49"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7" fillId="48" borderId="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7" fillId="66" borderId="4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3" fillId="0" borderId="49" applyNumberFormat="0" applyFill="0" applyAlignment="0" applyProtection="0"/>
    <xf numFmtId="0" fontId="121" fillId="63" borderId="46" applyNumberFormat="0" applyAlignment="0" applyProtection="0"/>
    <xf numFmtId="0" fontId="121" fillId="63" borderId="46" applyNumberFormat="0" applyAlignment="0" applyProtection="0"/>
    <xf numFmtId="0" fontId="141" fillId="0" borderId="49" applyNumberFormat="0" applyFill="0" applyAlignment="0" applyProtection="0"/>
    <xf numFmtId="0" fontId="73" fillId="0" borderId="49" applyNumberFormat="0" applyFill="0" applyAlignment="0" applyProtection="0"/>
    <xf numFmtId="0" fontId="121" fillId="63" borderId="46" applyNumberFormat="0" applyAlignment="0" applyProtection="0"/>
    <xf numFmtId="0" fontId="117" fillId="48" borderId="39" applyNumberFormat="0" applyAlignment="0" applyProtection="0"/>
    <xf numFmtId="0" fontId="117" fillId="48" borderId="39" applyNumberFormat="0" applyAlignment="0" applyProtection="0"/>
    <xf numFmtId="0" fontId="94" fillId="63" borderId="39" applyNumberFormat="0" applyAlignment="0" applyProtection="0"/>
    <xf numFmtId="0" fontId="121" fillId="63" borderId="46" applyNumberFormat="0" applyAlignment="0" applyProtection="0"/>
    <xf numFmtId="0" fontId="117" fillId="48" borderId="39" applyNumberFormat="0" applyAlignment="0" applyProtection="0"/>
    <xf numFmtId="0" fontId="94" fillId="63" borderId="39" applyNumberFormat="0" applyAlignment="0" applyProtection="0"/>
    <xf numFmtId="0" fontId="2" fillId="0" borderId="0"/>
    <xf numFmtId="0" fontId="21" fillId="0" borderId="0"/>
    <xf numFmtId="0" fontId="75" fillId="0" borderId="32" applyNumberFormat="0" applyFill="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39" fontId="143" fillId="0" borderId="0"/>
    <xf numFmtId="40" fontId="8" fillId="0" borderId="0" applyFont="0" applyFill="0" applyBorder="0" applyAlignment="0" applyProtection="0"/>
    <xf numFmtId="8" fontId="8" fillId="0" borderId="0" applyFont="0" applyFill="0" applyBorder="0" applyAlignment="0" applyProtection="0"/>
    <xf numFmtId="9" fontId="8" fillId="0" borderId="0" applyFont="0" applyFill="0" applyBorder="0" applyAlignment="0" applyProtection="0"/>
    <xf numFmtId="0" fontId="144" fillId="0" borderId="0"/>
    <xf numFmtId="44" fontId="144" fillId="0" borderId="0" applyFont="0" applyFill="0" applyBorder="0" applyAlignment="0" applyProtection="0"/>
    <xf numFmtId="43" fontId="144" fillId="0" borderId="0" applyFont="0" applyFill="0" applyBorder="0" applyAlignment="0" applyProtection="0"/>
    <xf numFmtId="43" fontId="2" fillId="0" borderId="0" applyFont="0" applyFill="0" applyBorder="0" applyAlignment="0" applyProtection="0"/>
    <xf numFmtId="3" fontId="44"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5" fontId="44" fillId="0" borderId="0" applyFont="0" applyFill="0" applyBorder="0" applyAlignment="0" applyProtection="0"/>
    <xf numFmtId="0" fontId="44" fillId="0" borderId="0" applyFont="0" applyFill="0" applyBorder="0" applyAlignment="0" applyProtection="0"/>
    <xf numFmtId="2" fontId="44" fillId="0" borderId="0" applyFont="0" applyFill="0" applyBorder="0" applyAlignment="0" applyProtection="0"/>
    <xf numFmtId="0" fontId="44" fillId="0" borderId="0"/>
    <xf numFmtId="0" fontId="21" fillId="0" borderId="0"/>
    <xf numFmtId="0" fontId="2" fillId="0" borderId="0"/>
    <xf numFmtId="10" fontId="44"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xf numFmtId="0" fontId="8"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xf numFmtId="43" fontId="21"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0" fontId="21" fillId="0" borderId="0"/>
    <xf numFmtId="9" fontId="21"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2" fillId="0" borderId="0"/>
    <xf numFmtId="43" fontId="2" fillId="0" borderId="0" applyFont="0" applyFill="0" applyBorder="0" applyAlignment="0" applyProtection="0"/>
    <xf numFmtId="44" fontId="144" fillId="0" borderId="0" applyFont="0" applyFill="0" applyBorder="0" applyAlignment="0" applyProtection="0"/>
    <xf numFmtId="9" fontId="144" fillId="0" borderId="0" applyFont="0" applyFill="0" applyBorder="0" applyAlignment="0" applyProtection="0"/>
    <xf numFmtId="43" fontId="2" fillId="0" borderId="0" applyFont="0" applyFill="0" applyBorder="0" applyAlignment="0" applyProtection="0"/>
    <xf numFmtId="0" fontId="2" fillId="0" borderId="0"/>
    <xf numFmtId="0" fontId="21" fillId="0" borderId="0"/>
    <xf numFmtId="0" fontId="75" fillId="0" borderId="32" applyNumberFormat="0" applyFill="0" applyAlignment="0" applyProtection="0"/>
    <xf numFmtId="9"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0" fontId="2" fillId="14"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59" fillId="0" borderId="0" applyNumberFormat="0" applyFill="0" applyBorder="0" applyAlignment="0" applyProtection="0"/>
    <xf numFmtId="0" fontId="60" fillId="0" borderId="30" applyNumberFormat="0" applyFill="0" applyAlignment="0" applyProtection="0"/>
    <xf numFmtId="0" fontId="61" fillId="0" borderId="31" applyNumberFormat="0" applyFill="0" applyAlignment="0" applyProtection="0"/>
    <xf numFmtId="0" fontId="62" fillId="0" borderId="32" applyNumberFormat="0" applyFill="0" applyAlignment="0" applyProtection="0"/>
    <xf numFmtId="0" fontId="62" fillId="0" borderId="0" applyNumberFormat="0" applyFill="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6" fillId="11" borderId="33" applyNumberFormat="0" applyAlignment="0" applyProtection="0"/>
    <xf numFmtId="0" fontId="67" fillId="12" borderId="34" applyNumberFormat="0" applyAlignment="0" applyProtection="0"/>
    <xf numFmtId="0" fontId="68" fillId="12" borderId="33" applyNumberFormat="0" applyAlignment="0" applyProtection="0"/>
    <xf numFmtId="0" fontId="69" fillId="0" borderId="35" applyNumberFormat="0" applyFill="0" applyAlignment="0" applyProtection="0"/>
    <xf numFmtId="0" fontId="70" fillId="13" borderId="3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8" applyNumberFormat="0" applyFill="0" applyAlignment="0" applyProtection="0"/>
    <xf numFmtId="0" fontId="7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4"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02" fillId="0" borderId="0" applyFont="0" applyFill="0" applyBorder="0" applyAlignment="0" applyProtection="0"/>
    <xf numFmtId="40" fontId="8" fillId="0" borderId="0" applyFont="0" applyFill="0" applyBorder="0" applyAlignment="0" applyProtection="0"/>
    <xf numFmtId="8"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7" fillId="0" borderId="0"/>
    <xf numFmtId="9" fontId="27" fillId="0" borderId="0" applyFont="0" applyFill="0" applyBorder="0" applyAlignment="0" applyProtection="0"/>
    <xf numFmtId="0" fontId="35" fillId="0" borderId="0"/>
    <xf numFmtId="0" fontId="27" fillId="0" borderId="0"/>
    <xf numFmtId="0" fontId="35" fillId="0" borderId="0"/>
    <xf numFmtId="0" fontId="7" fillId="0" borderId="0"/>
    <xf numFmtId="0" fontId="148" fillId="0" borderId="0"/>
    <xf numFmtId="0" fontId="7" fillId="0" borderId="0"/>
    <xf numFmtId="9" fontId="35"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49" fillId="0" borderId="0"/>
    <xf numFmtId="43" fontId="35" fillId="0" borderId="0" applyFont="0" applyFill="0" applyBorder="0" applyAlignment="0" applyProtection="0"/>
    <xf numFmtId="44" fontId="35" fillId="0" borderId="0" applyFont="0" applyFill="0" applyBorder="0" applyAlignment="0" applyProtection="0"/>
    <xf numFmtId="9" fontId="2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9" fontId="7"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0" fontId="21" fillId="0" borderId="0"/>
    <xf numFmtId="43" fontId="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3" fontId="7" fillId="71" borderId="0" applyFont="0" applyFill="0" applyBorder="0" applyAlignment="0" applyProtection="0"/>
    <xf numFmtId="5" fontId="7" fillId="71" borderId="0" applyFont="0" applyFill="0" applyBorder="0" applyAlignment="0" applyProtection="0"/>
    <xf numFmtId="0" fontId="7" fillId="71" borderId="0" applyFont="0" applyFill="0" applyBorder="0" applyAlignment="0" applyProtection="0"/>
    <xf numFmtId="2" fontId="7" fillId="71" borderId="0" applyFont="0" applyFill="0" applyBorder="0" applyAlignment="0" applyProtection="0"/>
    <xf numFmtId="41" fontId="150" fillId="3" borderId="54">
      <alignment horizontal="left"/>
      <protection locked="0"/>
    </xf>
    <xf numFmtId="0" fontId="27" fillId="0" borderId="0"/>
    <xf numFmtId="44" fontId="27"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43" fontId="8" fillId="0" borderId="0" applyFont="0" applyFill="0" applyBorder="0" applyAlignment="0" applyProtection="0"/>
    <xf numFmtId="0" fontId="21" fillId="0" borderId="0"/>
    <xf numFmtId="9" fontId="2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21" fillId="0" borderId="0"/>
    <xf numFmtId="9" fontId="2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9" fontId="27" fillId="0" borderId="0" applyFont="0" applyFill="0" applyBorder="0" applyAlignment="0" applyProtection="0"/>
    <xf numFmtId="0" fontId="8" fillId="0" borderId="0"/>
    <xf numFmtId="9" fontId="27" fillId="0" borderId="0" applyFont="0" applyFill="0" applyBorder="0" applyAlignment="0" applyProtection="0"/>
    <xf numFmtId="43" fontId="7" fillId="0" borderId="0" applyFont="0" applyFill="0" applyBorder="0" applyAlignment="0" applyProtection="0"/>
    <xf numFmtId="9" fontId="21" fillId="0" borderId="0" applyFont="0" applyFill="0" applyBorder="0" applyAlignment="0" applyProtection="0"/>
    <xf numFmtId="0" fontId="27" fillId="0" borderId="0"/>
    <xf numFmtId="9"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21" fillId="0" borderId="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8" fillId="0" borderId="0" applyFont="0" applyFill="0" applyBorder="0" applyAlignment="0" applyProtection="0"/>
    <xf numFmtId="9" fontId="21" fillId="0" borderId="0" applyFont="0" applyFill="0" applyBorder="0" applyAlignment="0" applyProtection="0"/>
    <xf numFmtId="0" fontId="27" fillId="0" borderId="0"/>
    <xf numFmtId="44" fontId="27" fillId="0" borderId="0" applyFont="0" applyFill="0" applyBorder="0" applyAlignment="0" applyProtection="0"/>
    <xf numFmtId="9" fontId="7" fillId="0" borderId="0" applyFont="0" applyFill="0" applyBorder="0" applyAlignment="0" applyProtection="0"/>
    <xf numFmtId="0" fontId="27" fillId="0" borderId="0"/>
    <xf numFmtId="44" fontId="27" fillId="0" borderId="0" applyFont="0" applyFill="0" applyBorder="0" applyAlignment="0" applyProtection="0"/>
    <xf numFmtId="0" fontId="21" fillId="0" borderId="0"/>
    <xf numFmtId="9" fontId="8" fillId="0" borderId="0" applyFont="0" applyFill="0" applyBorder="0" applyAlignment="0" applyProtection="0"/>
    <xf numFmtId="0" fontId="8" fillId="0" borderId="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44" fontId="27" fillId="0" borderId="0" applyFont="0" applyFill="0" applyBorder="0" applyAlignment="0" applyProtection="0"/>
    <xf numFmtId="0" fontId="21" fillId="0" borderId="0"/>
    <xf numFmtId="0" fontId="21" fillId="0" borderId="0"/>
    <xf numFmtId="0" fontId="21" fillId="0" borderId="0"/>
    <xf numFmtId="0" fontId="1" fillId="0" borderId="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8" fillId="0" borderId="0" applyFont="0" applyFill="0" applyBorder="0" applyAlignment="0" applyProtection="0"/>
    <xf numFmtId="43" fontId="27" fillId="0" borderId="0" applyFont="0" applyFill="0" applyBorder="0" applyAlignment="0" applyProtection="0"/>
    <xf numFmtId="0" fontId="27" fillId="0" borderId="0"/>
    <xf numFmtId="44" fontId="27" fillId="0" borderId="0" applyFont="0" applyFill="0" applyBorder="0" applyAlignment="0" applyProtection="0"/>
    <xf numFmtId="9" fontId="7" fillId="0" borderId="0" applyFont="0" applyFill="0" applyBorder="0" applyAlignment="0" applyProtection="0"/>
    <xf numFmtId="44" fontId="27" fillId="0" borderId="0" applyFont="0" applyFill="0" applyBorder="0" applyAlignment="0" applyProtection="0"/>
    <xf numFmtId="0" fontId="21" fillId="0" borderId="0"/>
    <xf numFmtId="9" fontId="21" fillId="0" borderId="0" applyFont="0" applyFill="0" applyBorder="0" applyAlignment="0" applyProtection="0"/>
    <xf numFmtId="9" fontId="8" fillId="0" borderId="0" applyFont="0" applyFill="0" applyBorder="0" applyAlignment="0" applyProtection="0"/>
    <xf numFmtId="0" fontId="1"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7" fillId="0" borderId="0" applyFont="0" applyFill="0" applyBorder="0" applyAlignment="0" applyProtection="0"/>
    <xf numFmtId="0" fontId="21" fillId="0" borderId="0"/>
    <xf numFmtId="43" fontId="8" fillId="0" borderId="0" applyFont="0" applyFill="0" applyBorder="0" applyAlignment="0" applyProtection="0"/>
    <xf numFmtId="43" fontId="7" fillId="0" borderId="0" applyFont="0" applyFill="0" applyBorder="0" applyAlignment="0" applyProtection="0"/>
    <xf numFmtId="9" fontId="8" fillId="0" borderId="0" applyFont="0" applyFill="0" applyBorder="0" applyAlignment="0" applyProtection="0"/>
    <xf numFmtId="43" fontId="27" fillId="0" borderId="0" applyFont="0" applyFill="0" applyBorder="0" applyAlignment="0" applyProtection="0"/>
    <xf numFmtId="0" fontId="27" fillId="0" borderId="0"/>
    <xf numFmtId="44" fontId="27" fillId="0" borderId="0" applyFont="0" applyFill="0" applyBorder="0" applyAlignment="0" applyProtection="0"/>
    <xf numFmtId="9" fontId="7"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21" fillId="0" borderId="0"/>
    <xf numFmtId="43" fontId="8" fillId="0" borderId="0" applyFont="0" applyFill="0" applyBorder="0" applyAlignment="0" applyProtection="0"/>
    <xf numFmtId="43" fontId="7" fillId="0" borderId="0" applyFont="0" applyFill="0" applyBorder="0" applyAlignment="0" applyProtection="0"/>
    <xf numFmtId="9" fontId="8" fillId="0" borderId="0" applyFont="0" applyFill="0" applyBorder="0" applyAlignment="0" applyProtection="0"/>
    <xf numFmtId="43" fontId="27" fillId="0" borderId="0" applyFont="0" applyFill="0" applyBorder="0" applyAlignment="0" applyProtection="0"/>
    <xf numFmtId="0" fontId="27" fillId="0" borderId="0"/>
    <xf numFmtId="44" fontId="27" fillId="0" borderId="0" applyFont="0" applyFill="0" applyBorder="0" applyAlignment="0" applyProtection="0"/>
    <xf numFmtId="9" fontId="7"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43" fontId="27" fillId="0" borderId="0" applyFont="0" applyFill="0" applyBorder="0" applyAlignment="0" applyProtection="0"/>
    <xf numFmtId="9" fontId="7"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9" fontId="8" fillId="0" borderId="0" applyFont="0" applyFill="0" applyBorder="0" applyAlignment="0" applyProtection="0"/>
    <xf numFmtId="43" fontId="27" fillId="0" borderId="0" applyFont="0" applyFill="0" applyBorder="0" applyAlignment="0" applyProtection="0"/>
    <xf numFmtId="0" fontId="27" fillId="0" borderId="0"/>
    <xf numFmtId="9" fontId="7"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8" fillId="0" borderId="0"/>
    <xf numFmtId="43" fontId="27" fillId="0" borderId="0" applyFont="0" applyFill="0" applyBorder="0" applyAlignment="0" applyProtection="0"/>
    <xf numFmtId="0" fontId="27" fillId="0" borderId="0"/>
    <xf numFmtId="43" fontId="8"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9" fontId="21" fillId="0" borderId="0" applyFont="0" applyFill="0" applyBorder="0" applyAlignment="0" applyProtection="0"/>
    <xf numFmtId="44" fontId="27" fillId="0" borderId="0" applyFont="0" applyFill="0" applyBorder="0" applyAlignment="0" applyProtection="0"/>
    <xf numFmtId="0" fontId="27" fillId="0" borderId="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0" fontId="21" fillId="0" borderId="0"/>
    <xf numFmtId="43" fontId="7"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0" fontId="21" fillId="0" borderId="0"/>
    <xf numFmtId="9" fontId="21" fillId="0" borderId="0" applyFont="0" applyFill="0" applyBorder="0" applyAlignment="0" applyProtection="0"/>
    <xf numFmtId="43" fontId="7" fillId="0" borderId="0" applyFon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7"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21"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0" fontId="21"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27" fillId="0" borderId="0" applyFont="0" applyFill="0" applyBorder="0" applyAlignment="0" applyProtection="0"/>
    <xf numFmtId="44" fontId="2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8" fillId="0" borderId="0"/>
    <xf numFmtId="43" fontId="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43" fontId="8" fillId="0" borderId="0" applyFont="0" applyFill="0" applyBorder="0" applyAlignment="0" applyProtection="0"/>
    <xf numFmtId="0" fontId="27" fillId="0" borderId="0"/>
    <xf numFmtId="0" fontId="1" fillId="24" borderId="0" applyNumberFormat="0" applyBorder="0" applyAlignment="0" applyProtection="0"/>
    <xf numFmtId="0" fontId="1" fillId="25" borderId="0" applyNumberFormat="0" applyBorder="0" applyAlignment="0" applyProtection="0"/>
    <xf numFmtId="9" fontId="21" fillId="0" borderId="0" applyFont="0" applyFill="0" applyBorder="0" applyAlignment="0" applyProtection="0"/>
    <xf numFmtId="44" fontId="2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9" fontId="7" fillId="0" borderId="0" applyFont="0" applyFill="0" applyBorder="0" applyAlignment="0" applyProtection="0"/>
    <xf numFmtId="0" fontId="8" fillId="0" borderId="0"/>
    <xf numFmtId="0" fontId="1" fillId="32" borderId="0" applyNumberFormat="0" applyBorder="0" applyAlignment="0" applyProtection="0"/>
    <xf numFmtId="0" fontId="1" fillId="33" borderId="0" applyNumberFormat="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27"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9" fontId="21" fillId="0" borderId="0" applyFont="0" applyFill="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9" fontId="8" fillId="0" borderId="0" applyFont="0" applyFill="0" applyBorder="0" applyAlignment="0" applyProtection="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8" fillId="0" borderId="0" applyFont="0" applyFill="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9" fontId="7" fillId="0" borderId="0" applyFont="0" applyFill="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3"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43" fontId="8" fillId="0" borderId="0" applyFont="0" applyFill="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8" fillId="0" borderId="0"/>
    <xf numFmtId="0" fontId="21" fillId="0" borderId="0"/>
    <xf numFmtId="0" fontId="1" fillId="16" borderId="0" applyNumberFormat="0" applyBorder="0" applyAlignment="0" applyProtection="0"/>
    <xf numFmtId="0" fontId="1" fillId="17" borderId="0" applyNumberFormat="0" applyBorder="0" applyAlignment="0" applyProtection="0"/>
    <xf numFmtId="9" fontId="8"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9"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43"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0" borderId="0"/>
    <xf numFmtId="0" fontId="27" fillId="0" borderId="0"/>
    <xf numFmtId="0" fontId="1" fillId="32" borderId="0" applyNumberFormat="0" applyBorder="0" applyAlignment="0" applyProtection="0"/>
    <xf numFmtId="0" fontId="1" fillId="33" borderId="0" applyNumberFormat="0" applyBorder="0" applyAlignment="0" applyProtection="0"/>
    <xf numFmtId="0" fontId="8" fillId="0" borderId="0"/>
    <xf numFmtId="44" fontId="27"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0" fontId="1" fillId="16" borderId="0" applyNumberFormat="0" applyBorder="0" applyAlignment="0" applyProtection="0"/>
    <xf numFmtId="0" fontId="1" fillId="17" borderId="0" applyNumberFormat="0" applyBorder="0" applyAlignment="0" applyProtection="0"/>
    <xf numFmtId="43" fontId="8"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0" borderId="0"/>
    <xf numFmtId="0" fontId="1" fillId="24" borderId="0" applyNumberFormat="0" applyBorder="0" applyAlignment="0" applyProtection="0"/>
    <xf numFmtId="0" fontId="1" fillId="25" borderId="0" applyNumberFormat="0" applyBorder="0" applyAlignment="0" applyProtection="0"/>
    <xf numFmtId="0" fontId="8" fillId="0" borderId="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7" fillId="0" borderId="0" applyFont="0" applyFill="0" applyBorder="0" applyAlignment="0" applyProtection="0"/>
    <xf numFmtId="9" fontId="2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0" borderId="0"/>
    <xf numFmtId="0" fontId="1" fillId="20" borderId="0" applyNumberFormat="0" applyBorder="0" applyAlignment="0" applyProtection="0"/>
    <xf numFmtId="0" fontId="1" fillId="21" borderId="0" applyNumberFormat="0" applyBorder="0" applyAlignment="0" applyProtection="0"/>
    <xf numFmtId="9"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9" fontId="8" fillId="0" borderId="0" applyFont="0" applyFill="0" applyBorder="0" applyAlignment="0" applyProtection="0"/>
    <xf numFmtId="9" fontId="2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2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0" borderId="0"/>
    <xf numFmtId="44" fontId="27"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27"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8" fillId="0" borderId="0"/>
    <xf numFmtId="44" fontId="2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4" fontId="2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0" borderId="0"/>
    <xf numFmtId="44" fontId="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0" borderId="0"/>
    <xf numFmtId="43"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8" fillId="0" borderId="0" applyFont="0" applyFill="0" applyBorder="0" applyAlignment="0" applyProtection="0"/>
    <xf numFmtId="0" fontId="27" fillId="0" borderId="0"/>
    <xf numFmtId="0" fontId="1" fillId="32" borderId="0" applyNumberFormat="0" applyBorder="0" applyAlignment="0" applyProtection="0"/>
    <xf numFmtId="0" fontId="1" fillId="33" borderId="0" applyNumberFormat="0" applyBorder="0" applyAlignment="0" applyProtection="0"/>
    <xf numFmtId="9" fontId="21" fillId="0" borderId="0" applyFont="0" applyFill="0" applyBorder="0" applyAlignment="0" applyProtection="0"/>
    <xf numFmtId="44" fontId="27"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9" fontId="7"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0" borderId="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8" fillId="0" borderId="0" applyFont="0" applyFill="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8" fillId="0" borderId="0" applyFont="0" applyFill="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44" fontId="27"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43" fontId="27"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0" borderId="0"/>
    <xf numFmtId="44" fontId="7" fillId="0" borderId="0" applyFon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43" fontId="7"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0" borderId="0"/>
    <xf numFmtId="0" fontId="1" fillId="36" borderId="0" applyNumberFormat="0" applyBorder="0" applyAlignment="0" applyProtection="0"/>
    <xf numFmtId="0" fontId="1" fillId="37" borderId="0" applyNumberFormat="0" applyBorder="0" applyAlignment="0" applyProtection="0"/>
    <xf numFmtId="9" fontId="2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2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51" fillId="0" borderId="0"/>
    <xf numFmtId="44" fontId="7" fillId="0" borderId="0" applyFont="0" applyFill="0" applyBorder="0" applyAlignment="0" applyProtection="0"/>
    <xf numFmtId="0" fontId="1" fillId="3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lignment readingOrder="1"/>
    </xf>
    <xf numFmtId="43" fontId="7" fillId="0" borderId="0" applyFont="0" applyFill="0" applyBorder="0" applyAlignment="0" applyProtection="0"/>
    <xf numFmtId="43" fontId="7" fillId="0" borderId="0" applyFont="0" applyFill="0" applyBorder="0" applyAlignment="0" applyProtection="0"/>
    <xf numFmtId="3" fontId="2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21" fillId="0" borderId="0"/>
    <xf numFmtId="3"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1" fillId="21" borderId="0" applyNumberFormat="0" applyBorder="0" applyAlignment="0" applyProtection="0"/>
    <xf numFmtId="44" fontId="1"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2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1" fillId="0" borderId="0">
      <alignment vertical="top"/>
    </xf>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30"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30"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30"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30"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0" fillId="4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30"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30"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30"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4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30" fillId="52" borderId="0" applyNumberFormat="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81" fillId="0" borderId="0" applyFont="0" applyFill="0" applyBorder="0" applyAlignment="0" applyProtection="0"/>
    <xf numFmtId="43" fontId="99"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alignment vertical="top"/>
    </xf>
    <xf numFmtId="43" fontId="81" fillId="0" borderId="0" applyFont="0" applyFill="0" applyBorder="0" applyAlignment="0" applyProtection="0">
      <alignment vertical="top"/>
    </xf>
    <xf numFmtId="43" fontId="8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193" fontId="102"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1" fillId="0" borderId="0" applyFont="0" applyFill="0" applyBorder="0" applyAlignment="0" applyProtection="0"/>
    <xf numFmtId="43" fontId="7" fillId="0" borderId="0" applyFont="0" applyFill="0" applyBorder="0" applyAlignment="0" applyProtection="0"/>
    <xf numFmtId="185" fontId="10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105" fillId="0" borderId="0" applyFont="0" applyFill="0" applyBorder="0" applyAlignment="0" applyProtection="0"/>
    <xf numFmtId="188" fontId="21" fillId="0" borderId="0"/>
    <xf numFmtId="18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8" fontId="21" fillId="0" borderId="0"/>
    <xf numFmtId="18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8" fontId="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7" fillId="0" borderId="0"/>
    <xf numFmtId="18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88" fontId="21" fillId="0" borderId="0"/>
    <xf numFmtId="188" fontId="21"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188" fontId="21" fillId="0" borderId="0"/>
    <xf numFmtId="188" fontId="21" fillId="0" borderId="0"/>
    <xf numFmtId="188" fontId="21" fillId="0" borderId="0"/>
    <xf numFmtId="188" fontId="21"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81" fillId="0" borderId="0" applyFont="0" applyFill="0" applyBorder="0" applyAlignment="0" applyProtection="0"/>
    <xf numFmtId="9" fontId="99" fillId="0" borderId="0" applyFont="0" applyFill="0" applyBorder="0" applyAlignment="0" applyProtection="0"/>
    <xf numFmtId="9" fontId="8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 fontId="21" fillId="0" borderId="0"/>
    <xf numFmtId="3" fontId="21" fillId="0" borderId="0"/>
    <xf numFmtId="3" fontId="21" fillId="0" borderId="0"/>
    <xf numFmtId="43" fontId="10" fillId="0" borderId="0" applyFont="0" applyFill="0" applyBorder="0" applyAlignment="0" applyProtection="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44" fillId="0" borderId="0" applyFont="0" applyFill="0" applyBorder="0" applyAlignment="0" applyProtection="0"/>
    <xf numFmtId="43" fontId="144" fillId="0" borderId="0" applyFont="0" applyFill="0" applyBorder="0" applyAlignment="0" applyProtection="0"/>
    <xf numFmtId="43" fontId="1" fillId="0" borderId="0" applyFont="0" applyFill="0" applyBorder="0" applyAlignment="0" applyProtection="0"/>
    <xf numFmtId="3" fontId="44"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25" fontId="44" fillId="0" borderId="0" applyFont="0" applyFill="0" applyBorder="0" applyAlignment="0" applyProtection="0"/>
    <xf numFmtId="2" fontId="44" fillId="0" borderId="0" applyFont="0" applyFill="0" applyBorder="0" applyAlignment="0" applyProtection="0"/>
    <xf numFmtId="0" fontId="44" fillId="0" borderId="0"/>
    <xf numFmtId="0" fontId="21" fillId="0" borderId="0"/>
    <xf numFmtId="0" fontId="1" fillId="0" borderId="0"/>
    <xf numFmtId="10" fontId="44"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5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0" fontId="1" fillId="14" borderId="3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14" borderId="37" applyNumberFormat="0" applyFont="0" applyAlignment="0" applyProtection="0"/>
    <xf numFmtId="0" fontId="1" fillId="32" borderId="0" applyNumberFormat="0" applyBorder="0" applyAlignment="0" applyProtection="0"/>
    <xf numFmtId="0" fontId="1" fillId="0" borderId="0"/>
    <xf numFmtId="0" fontId="1" fillId="16"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0" borderId="0"/>
    <xf numFmtId="0" fontId="1" fillId="0" borderId="0"/>
    <xf numFmtId="0" fontId="1" fillId="1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4" borderId="37" applyNumberFormat="0" applyFont="0" applyAlignment="0" applyProtection="0"/>
    <xf numFmtId="0" fontId="1" fillId="29" borderId="0" applyNumberFormat="0" applyBorder="0" applyAlignment="0" applyProtection="0"/>
    <xf numFmtId="43" fontId="1" fillId="0" borderId="0" applyFont="0" applyFill="0" applyBorder="0" applyAlignment="0" applyProtection="0"/>
    <xf numFmtId="0" fontId="1" fillId="37"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1"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25" borderId="0" applyNumberFormat="0" applyBorder="0" applyAlignment="0" applyProtection="0"/>
    <xf numFmtId="0" fontId="1" fillId="1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5" borderId="0" applyNumberFormat="0" applyBorder="0" applyAlignment="0" applyProtection="0"/>
    <xf numFmtId="0" fontId="1" fillId="2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7" borderId="0" applyNumberFormat="0" applyBorder="0" applyAlignment="0" applyProtection="0"/>
    <xf numFmtId="0" fontId="1" fillId="14" borderId="37" applyNumberFormat="0" applyFont="0" applyAlignment="0" applyProtection="0"/>
    <xf numFmtId="43" fontId="1" fillId="0" borderId="0" applyFont="0" applyFill="0" applyBorder="0" applyAlignment="0" applyProtection="0"/>
    <xf numFmtId="0" fontId="1" fillId="14" borderId="37" applyNumberFormat="0" applyFont="0" applyAlignment="0" applyProtection="0"/>
    <xf numFmtId="0" fontId="1" fillId="24" borderId="0" applyNumberFormat="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28" borderId="0" applyNumberFormat="0" applyBorder="0" applyAlignment="0" applyProtection="0"/>
    <xf numFmtId="0" fontId="1" fillId="37" borderId="0" applyNumberFormat="0" applyBorder="0" applyAlignment="0" applyProtection="0"/>
    <xf numFmtId="0" fontId="1" fillId="2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0" borderId="0"/>
    <xf numFmtId="0" fontId="1" fillId="29"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21" borderId="0" applyNumberFormat="0" applyBorder="0" applyAlignment="0" applyProtection="0"/>
    <xf numFmtId="0" fontId="1" fillId="29"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0" borderId="0"/>
    <xf numFmtId="0" fontId="1" fillId="36" borderId="0" applyNumberFormat="0" applyBorder="0" applyAlignment="0" applyProtection="0"/>
    <xf numFmtId="0" fontId="1" fillId="20"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4" borderId="37" applyNumberFormat="0" applyFont="0" applyAlignment="0" applyProtection="0"/>
    <xf numFmtId="43" fontId="1" fillId="0" borderId="0" applyFont="0" applyFill="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2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4" borderId="0" applyNumberFormat="0" applyBorder="0" applyAlignment="0" applyProtection="0"/>
    <xf numFmtId="0" fontId="1" fillId="1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16" borderId="0" applyNumberFormat="0" applyBorder="0" applyAlignment="0" applyProtection="0"/>
    <xf numFmtId="9" fontId="1" fillId="0" borderId="0" applyFont="0" applyFill="0" applyBorder="0" applyAlignment="0" applyProtection="0"/>
    <xf numFmtId="0" fontId="1" fillId="16" borderId="0" applyNumberFormat="0" applyBorder="0" applyAlignment="0" applyProtection="0"/>
    <xf numFmtId="9" fontId="1" fillId="0" borderId="0" applyFont="0" applyFill="0" applyBorder="0" applyAlignment="0" applyProtection="0"/>
    <xf numFmtId="0" fontId="1" fillId="14" borderId="37" applyNumberFormat="0" applyFont="0" applyAlignment="0" applyProtection="0"/>
    <xf numFmtId="0" fontId="1" fillId="25"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0" fontId="1" fillId="14" borderId="37" applyNumberFormat="0" applyFont="0" applyAlignment="0" applyProtection="0"/>
    <xf numFmtId="0" fontId="1" fillId="0" borderId="0"/>
    <xf numFmtId="0" fontId="1" fillId="36"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17" borderId="0" applyNumberFormat="0" applyBorder="0" applyAlignment="0" applyProtection="0"/>
    <xf numFmtId="0" fontId="1" fillId="0" borderId="0"/>
    <xf numFmtId="0" fontId="1"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20" borderId="0" applyNumberFormat="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16" borderId="0" applyNumberFormat="0" applyBorder="0" applyAlignment="0" applyProtection="0"/>
    <xf numFmtId="9" fontId="1" fillId="0" borderId="0" applyFont="0" applyFill="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43" fontId="1" fillId="0" borderId="0" applyFont="0" applyFill="0" applyBorder="0" applyAlignment="0" applyProtection="0"/>
    <xf numFmtId="0" fontId="1" fillId="0" borderId="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24"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24" borderId="0" applyNumberFormat="0" applyBorder="0" applyAlignment="0" applyProtection="0"/>
    <xf numFmtId="0" fontId="1" fillId="0" borderId="0"/>
    <xf numFmtId="0" fontId="1" fillId="33"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14" borderId="37" applyNumberFormat="0" applyFont="0" applyAlignment="0" applyProtection="0"/>
    <xf numFmtId="0" fontId="1" fillId="32" borderId="0" applyNumberFormat="0" applyBorder="0" applyAlignment="0" applyProtection="0"/>
    <xf numFmtId="0" fontId="1" fillId="21"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0" borderId="0"/>
    <xf numFmtId="0" fontId="1" fillId="3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8" borderId="0" applyNumberFormat="0" applyBorder="0" applyAlignment="0" applyProtection="0"/>
    <xf numFmtId="43" fontId="1" fillId="0" borderId="0" applyFont="0" applyFill="0" applyBorder="0" applyAlignment="0" applyProtection="0"/>
    <xf numFmtId="0" fontId="1" fillId="1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37"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02" fillId="0" borderId="0" applyFont="0" applyFill="0" applyBorder="0" applyAlignment="0" applyProtection="0"/>
    <xf numFmtId="0" fontId="7" fillId="0" borderId="0"/>
    <xf numFmtId="0" fontId="7" fillId="0" borderId="0"/>
    <xf numFmtId="43" fontId="1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7" fillId="0" borderId="0" applyFont="0" applyFill="0" applyBorder="0" applyAlignment="0" applyProtection="0"/>
    <xf numFmtId="43"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0" fontId="153" fillId="0" borderId="0" applyNumberFormat="0" applyFill="0" applyBorder="0" applyAlignment="0" applyProtection="0">
      <alignment vertical="top"/>
      <protection locked="0"/>
    </xf>
    <xf numFmtId="0" fontId="149" fillId="0" borderId="0"/>
    <xf numFmtId="0" fontId="7" fillId="0" borderId="0"/>
    <xf numFmtId="0" fontId="1" fillId="0" borderId="0"/>
    <xf numFmtId="0" fontId="1"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49"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7" fillId="0" borderId="0"/>
    <xf numFmtId="0" fontId="7" fillId="0" borderId="0"/>
    <xf numFmtId="43" fontId="102" fillId="0" borderId="0" applyFont="0" applyFill="0" applyBorder="0" applyAlignment="0" applyProtection="0"/>
    <xf numFmtId="0" fontId="7"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2" fillId="0" borderId="0"/>
    <xf numFmtId="0" fontId="81" fillId="0" borderId="0"/>
    <xf numFmtId="0" fontId="81" fillId="0" borderId="0"/>
    <xf numFmtId="0" fontId="7" fillId="0" borderId="0"/>
    <xf numFmtId="0" fontId="7" fillId="0" borderId="0"/>
    <xf numFmtId="0" fontId="81" fillId="0" borderId="0"/>
    <xf numFmtId="0" fontId="7" fillId="0" borderId="0"/>
    <xf numFmtId="0" fontId="152" fillId="0" borderId="0"/>
    <xf numFmtId="0" fontId="152" fillId="0" borderId="0"/>
    <xf numFmtId="0" fontId="152" fillId="0" borderId="0"/>
    <xf numFmtId="0" fontId="152"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2" fillId="0" borderId="0"/>
    <xf numFmtId="0" fontId="149"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7"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227" fontId="147" fillId="40" borderId="0" applyBorder="0">
      <alignment horizontal="right"/>
    </xf>
    <xf numFmtId="0" fontId="154" fillId="72" borderId="0" applyBorder="0"/>
    <xf numFmtId="9" fontId="152" fillId="0" borderId="0" applyFont="0" applyFill="0" applyBorder="0" applyAlignment="0" applyProtection="0"/>
    <xf numFmtId="9" fontId="1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4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06">
    <xf numFmtId="0" fontId="0" fillId="0" borderId="0" xfId="0"/>
    <xf numFmtId="0" fontId="9" fillId="0" borderId="0" xfId="0" applyFont="1"/>
    <xf numFmtId="0" fontId="13" fillId="0" borderId="0" xfId="2" applyNumberFormat="1" applyFont="1" applyAlignment="1">
      <alignment horizontal="left"/>
    </xf>
    <xf numFmtId="0" fontId="13" fillId="0" borderId="0" xfId="2" applyFont="1"/>
    <xf numFmtId="3" fontId="14" fillId="0" borderId="0" xfId="2" applyNumberFormat="1" applyFont="1"/>
    <xf numFmtId="0" fontId="14" fillId="0" borderId="0" xfId="2" applyNumberFormat="1" applyFont="1" applyAlignment="1">
      <alignment horizontal="center"/>
    </xf>
    <xf numFmtId="0" fontId="14" fillId="0" borderId="0" xfId="2" applyFont="1" applyAlignment="1">
      <alignment horizontal="center"/>
    </xf>
    <xf numFmtId="3" fontId="14" fillId="0" borderId="0" xfId="2" applyNumberFormat="1" applyFont="1" applyAlignment="1">
      <alignment horizontal="center"/>
    </xf>
    <xf numFmtId="0" fontId="14" fillId="0" borderId="1" xfId="2" applyNumberFormat="1" applyFont="1" applyBorder="1" applyAlignment="1">
      <alignment horizontal="center"/>
    </xf>
    <xf numFmtId="0" fontId="14" fillId="0" borderId="2" xfId="2" applyFont="1" applyBorder="1" applyAlignment="1">
      <alignment horizontal="center"/>
    </xf>
    <xf numFmtId="0" fontId="14" fillId="0" borderId="3" xfId="2" applyFont="1" applyBorder="1" applyAlignment="1">
      <alignment horizontal="center"/>
    </xf>
    <xf numFmtId="0" fontId="13" fillId="0" borderId="4" xfId="2" applyFont="1" applyBorder="1"/>
    <xf numFmtId="0" fontId="14" fillId="0" borderId="5" xfId="2" applyNumberFormat="1" applyFont="1" applyBorder="1" applyAlignment="1">
      <alignment horizontal="center"/>
    </xf>
    <xf numFmtId="0" fontId="14" fillId="0" borderId="6" xfId="2" applyFont="1" applyBorder="1" applyAlignment="1">
      <alignment horizontal="center"/>
    </xf>
    <xf numFmtId="0" fontId="14" fillId="0" borderId="0" xfId="2" applyFont="1" applyBorder="1" applyAlignment="1">
      <alignment horizontal="center"/>
    </xf>
    <xf numFmtId="0" fontId="13" fillId="0" borderId="7" xfId="2" applyFont="1" applyBorder="1"/>
    <xf numFmtId="3" fontId="14" fillId="0" borderId="5" xfId="2" applyNumberFormat="1" applyFont="1" applyBorder="1" applyAlignment="1">
      <alignment horizontal="center"/>
    </xf>
    <xf numFmtId="0" fontId="14" fillId="0" borderId="8" xfId="2" applyNumberFormat="1" applyFont="1" applyBorder="1" applyAlignment="1">
      <alignment horizontal="center"/>
    </xf>
    <xf numFmtId="0" fontId="14" fillId="0" borderId="9" xfId="2" applyFont="1" applyBorder="1" applyAlignment="1">
      <alignment horizontal="center"/>
    </xf>
    <xf numFmtId="0" fontId="14" fillId="0" borderId="10" xfId="2" applyFont="1" applyBorder="1" applyAlignment="1">
      <alignment horizontal="center"/>
    </xf>
    <xf numFmtId="0" fontId="14" fillId="0" borderId="11" xfId="2" applyFont="1" applyBorder="1" applyAlignment="1">
      <alignment horizontal="center"/>
    </xf>
    <xf numFmtId="3" fontId="14" fillId="0" borderId="8" xfId="2" applyNumberFormat="1" applyFont="1" applyBorder="1" applyAlignment="1">
      <alignment horizontal="center"/>
    </xf>
    <xf numFmtId="0" fontId="13" fillId="0" borderId="0" xfId="2" applyNumberFormat="1" applyFont="1" applyAlignment="1">
      <alignment horizontal="center"/>
    </xf>
    <xf numFmtId="5" fontId="13" fillId="0" borderId="0" xfId="2" applyNumberFormat="1" applyFont="1"/>
    <xf numFmtId="37" fontId="13" fillId="0" borderId="0" xfId="2" applyNumberFormat="1" applyFont="1"/>
    <xf numFmtId="0" fontId="13" fillId="0" borderId="0" xfId="2" applyNumberFormat="1" applyFont="1" applyBorder="1" applyAlignment="1">
      <alignment horizontal="center"/>
    </xf>
    <xf numFmtId="37" fontId="13" fillId="0" borderId="0" xfId="2" applyNumberFormat="1" applyFont="1" applyBorder="1"/>
    <xf numFmtId="0" fontId="13" fillId="0" borderId="0" xfId="2" applyFont="1" applyBorder="1"/>
    <xf numFmtId="0" fontId="13" fillId="0" borderId="0" xfId="2" applyFont="1" applyFill="1"/>
    <xf numFmtId="3" fontId="14" fillId="0" borderId="0" xfId="2" applyNumberFormat="1" applyFont="1" applyFill="1"/>
    <xf numFmtId="0" fontId="13" fillId="0" borderId="0" xfId="2" applyNumberFormat="1" applyFont="1" applyFill="1" applyAlignment="1">
      <alignment horizontal="center"/>
    </xf>
    <xf numFmtId="0" fontId="13" fillId="0" borderId="0" xfId="1" applyFont="1" applyFill="1" applyAlignment="1">
      <alignment horizontal="right"/>
    </xf>
    <xf numFmtId="41" fontId="14" fillId="0" borderId="0" xfId="2" applyNumberFormat="1" applyFont="1"/>
    <xf numFmtId="41" fontId="14" fillId="0" borderId="10" xfId="2" applyNumberFormat="1" applyFont="1" applyBorder="1"/>
    <xf numFmtId="41" fontId="14" fillId="0" borderId="13" xfId="2" applyNumberFormat="1" applyFont="1" applyBorder="1"/>
    <xf numFmtId="41" fontId="14" fillId="0" borderId="0" xfId="2" applyNumberFormat="1" applyFont="1" applyBorder="1"/>
    <xf numFmtId="42" fontId="14" fillId="0" borderId="0" xfId="2" applyNumberFormat="1" applyFont="1"/>
    <xf numFmtId="5" fontId="14" fillId="0" borderId="0" xfId="2" applyNumberFormat="1" applyFont="1"/>
    <xf numFmtId="42" fontId="14" fillId="0" borderId="12" xfId="2" applyNumberFormat="1" applyFont="1" applyBorder="1"/>
    <xf numFmtId="1" fontId="14" fillId="0" borderId="1" xfId="2" applyNumberFormat="1" applyFont="1" applyBorder="1" applyAlignment="1">
      <alignment horizontal="center"/>
    </xf>
    <xf numFmtId="0" fontId="0" fillId="0" borderId="0" xfId="0" applyAlignment="1">
      <alignment horizontal="center"/>
    </xf>
    <xf numFmtId="0" fontId="7" fillId="0" borderId="0" xfId="0" applyFont="1" applyAlignment="1">
      <alignment horizontal="center"/>
    </xf>
    <xf numFmtId="0" fontId="0" fillId="0" borderId="0" xfId="0" applyAlignment="1">
      <alignment horizontal="centerContinuous"/>
    </xf>
    <xf numFmtId="0" fontId="16"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6" fillId="0" borderId="6" xfId="0" quotePrefix="1" applyFont="1" applyBorder="1" applyAlignment="1">
      <alignment horizontal="centerContinuous"/>
    </xf>
    <xf numFmtId="0" fontId="0" fillId="0" borderId="6" xfId="0" applyBorder="1" applyAlignment="1">
      <alignment horizontal="center"/>
    </xf>
    <xf numFmtId="0" fontId="7" fillId="0" borderId="6" xfId="0" applyFont="1" applyBorder="1" applyAlignment="1">
      <alignment horizontal="center"/>
    </xf>
    <xf numFmtId="0" fontId="16"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7" fillId="0" borderId="7" xfId="0" applyFont="1" applyBorder="1" applyAlignment="1">
      <alignment horizontal="center"/>
    </xf>
    <xf numFmtId="0" fontId="16"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4" fillId="0" borderId="10" xfId="2" applyNumberFormat="1" applyFont="1" applyBorder="1"/>
    <xf numFmtId="3" fontId="14" fillId="0" borderId="16" xfId="2" applyNumberFormat="1" applyFont="1" applyFill="1" applyBorder="1"/>
    <xf numFmtId="3" fontId="14" fillId="0" borderId="16" xfId="2" applyNumberFormat="1" applyFont="1" applyBorder="1"/>
    <xf numFmtId="0" fontId="16" fillId="0" borderId="6" xfId="0" applyFont="1" applyBorder="1" applyAlignment="1">
      <alignment horizontal="centerContinuous"/>
    </xf>
    <xf numFmtId="0" fontId="14" fillId="0" borderId="0" xfId="2" applyFont="1" applyFill="1"/>
    <xf numFmtId="0" fontId="14" fillId="0" borderId="0" xfId="2" applyFont="1"/>
    <xf numFmtId="0" fontId="17" fillId="0" borderId="0" xfId="0" applyFont="1"/>
    <xf numFmtId="0" fontId="16" fillId="0" borderId="0" xfId="0" applyFont="1"/>
    <xf numFmtId="0" fontId="7" fillId="0" borderId="0" xfId="0" applyFont="1"/>
    <xf numFmtId="10" fontId="0" fillId="0" borderId="0" xfId="0" applyNumberFormat="1"/>
    <xf numFmtId="0" fontId="18" fillId="0" borderId="10" xfId="0" applyFont="1" applyBorder="1"/>
    <xf numFmtId="0" fontId="13" fillId="0" borderId="10" xfId="2" applyFont="1" applyBorder="1"/>
    <xf numFmtId="0" fontId="19" fillId="0" borderId="0" xfId="2" applyNumberFormat="1" applyFont="1" applyAlignment="1">
      <alignment horizontal="center"/>
    </xf>
    <xf numFmtId="0" fontId="13" fillId="0" borderId="0" xfId="2" applyFont="1" applyBorder="1" applyAlignment="1">
      <alignment horizontal="center"/>
    </xf>
    <xf numFmtId="0" fontId="13" fillId="0" borderId="0" xfId="2" applyFont="1" applyAlignment="1">
      <alignment horizontal="center"/>
    </xf>
    <xf numFmtId="42" fontId="13" fillId="0" borderId="0" xfId="2" applyNumberFormat="1" applyFont="1"/>
    <xf numFmtId="41" fontId="13" fillId="0" borderId="0" xfId="2" applyNumberFormat="1" applyFont="1"/>
    <xf numFmtId="41" fontId="13" fillId="0" borderId="10" xfId="2" applyNumberFormat="1" applyFont="1" applyBorder="1"/>
    <xf numFmtId="42" fontId="13" fillId="0" borderId="12" xfId="2" applyNumberFormat="1" applyFont="1" applyBorder="1"/>
    <xf numFmtId="41" fontId="13" fillId="0" borderId="13" xfId="2" applyNumberFormat="1" applyFont="1" applyBorder="1"/>
    <xf numFmtId="41" fontId="13" fillId="0" borderId="0" xfId="2" applyNumberFormat="1" applyFont="1" applyBorder="1"/>
    <xf numFmtId="3" fontId="13" fillId="0" borderId="0" xfId="2" applyNumberFormat="1" applyFont="1" applyFill="1"/>
    <xf numFmtId="10" fontId="13" fillId="0" borderId="0" xfId="2" applyNumberFormat="1" applyFont="1"/>
    <xf numFmtId="0" fontId="0" fillId="0" borderId="10" xfId="0" applyBorder="1" applyAlignment="1">
      <alignment horizontal="center"/>
    </xf>
    <xf numFmtId="0" fontId="7" fillId="0" borderId="10" xfId="0" applyFont="1" applyBorder="1"/>
    <xf numFmtId="0" fontId="0" fillId="0" borderId="10" xfId="0" applyBorder="1"/>
    <xf numFmtId="0" fontId="9" fillId="0" borderId="0" xfId="2" applyFont="1" applyAlignment="1">
      <alignment horizontal="right"/>
    </xf>
    <xf numFmtId="0" fontId="13" fillId="0" borderId="2" xfId="2" applyFont="1" applyBorder="1"/>
    <xf numFmtId="0" fontId="13" fillId="0" borderId="3" xfId="2" applyFont="1" applyBorder="1"/>
    <xf numFmtId="3" fontId="14" fillId="0" borderId="3" xfId="2" applyNumberFormat="1" applyFont="1" applyBorder="1"/>
    <xf numFmtId="0" fontId="13" fillId="0" borderId="6" xfId="2" applyFont="1" applyBorder="1"/>
    <xf numFmtId="3" fontId="14" fillId="0" borderId="0" xfId="2" applyNumberFormat="1" applyFont="1" applyBorder="1"/>
    <xf numFmtId="10" fontId="13" fillId="0" borderId="7" xfId="2" applyNumberFormat="1" applyFont="1" applyBorder="1"/>
    <xf numFmtId="42" fontId="13" fillId="0" borderId="7" xfId="2" applyNumberFormat="1" applyFont="1" applyBorder="1"/>
    <xf numFmtId="167" fontId="13" fillId="0" borderId="11" xfId="2" applyNumberFormat="1" applyFont="1" applyBorder="1"/>
    <xf numFmtId="0" fontId="14" fillId="0" borderId="9" xfId="2" applyFont="1" applyBorder="1"/>
    <xf numFmtId="0" fontId="19" fillId="0" borderId="0" xfId="2" applyNumberFormat="1" applyFont="1" applyBorder="1" applyAlignment="1">
      <alignment horizontal="center"/>
    </xf>
    <xf numFmtId="0" fontId="19" fillId="0" borderId="0" xfId="2" applyFont="1" applyBorder="1" applyAlignment="1">
      <alignment horizontal="center"/>
    </xf>
    <xf numFmtId="10" fontId="0" fillId="0" borderId="0" xfId="0" applyNumberFormat="1" applyFill="1"/>
    <xf numFmtId="0" fontId="21" fillId="0" borderId="0" xfId="15"/>
    <xf numFmtId="0" fontId="21" fillId="0" borderId="10" xfId="15" applyBorder="1" applyAlignment="1">
      <alignment horizontal="center"/>
    </xf>
    <xf numFmtId="168" fontId="0" fillId="0" borderId="0" xfId="0" applyNumberFormat="1"/>
    <xf numFmtId="168" fontId="0" fillId="0" borderId="0" xfId="14" applyNumberFormat="1" applyFont="1"/>
    <xf numFmtId="168" fontId="7" fillId="0" borderId="0" xfId="14" applyNumberFormat="1" applyFont="1"/>
    <xf numFmtId="3" fontId="9" fillId="0" borderId="0" xfId="0" applyNumberFormat="1" applyFont="1" applyFill="1" applyAlignment="1">
      <alignment horizontal="center"/>
    </xf>
    <xf numFmtId="3" fontId="9" fillId="0" borderId="0" xfId="0" applyNumberFormat="1" applyFont="1" applyFill="1"/>
    <xf numFmtId="5" fontId="9" fillId="0" borderId="0" xfId="0" applyNumberFormat="1" applyFont="1" applyFill="1" applyBorder="1"/>
    <xf numFmtId="0" fontId="22" fillId="0" borderId="0" xfId="0" applyFont="1"/>
    <xf numFmtId="0" fontId="7" fillId="0" borderId="0" xfId="0" applyFont="1" applyAlignment="1">
      <alignment horizontal="right"/>
    </xf>
    <xf numFmtId="168" fontId="7" fillId="0" borderId="0" xfId="14" applyNumberFormat="1" applyFont="1" applyBorder="1"/>
    <xf numFmtId="168" fontId="0" fillId="0" borderId="3" xfId="14" applyNumberFormat="1" applyFont="1" applyBorder="1"/>
    <xf numFmtId="168" fontId="0" fillId="0" borderId="3" xfId="0" applyNumberFormat="1" applyBorder="1"/>
    <xf numFmtId="42" fontId="9" fillId="0" borderId="0" xfId="0" applyNumberFormat="1" applyFont="1" applyFill="1" applyBorder="1"/>
    <xf numFmtId="0" fontId="0" fillId="0" borderId="0" xfId="0" applyBorder="1"/>
    <xf numFmtId="0" fontId="0" fillId="0" borderId="0" xfId="0" applyBorder="1" applyAlignment="1">
      <alignment horizontal="centerContinuous"/>
    </xf>
    <xf numFmtId="0" fontId="7" fillId="0" borderId="0" xfId="0" applyFont="1" applyBorder="1" applyAlignment="1">
      <alignment horizontal="center"/>
    </xf>
    <xf numFmtId="0" fontId="16"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6" fillId="0" borderId="0" xfId="0" applyFont="1" applyBorder="1" applyAlignment="1">
      <alignment horizontal="centerContinuous"/>
    </xf>
    <xf numFmtId="0" fontId="0" fillId="0" borderId="0" xfId="0" applyBorder="1" applyAlignment="1">
      <alignment horizontal="center"/>
    </xf>
    <xf numFmtId="0" fontId="16" fillId="0" borderId="0" xfId="0" quotePrefix="1" applyFont="1" applyBorder="1" applyAlignment="1">
      <alignment horizontal="centerContinuous"/>
    </xf>
    <xf numFmtId="41" fontId="0" fillId="0" borderId="0" xfId="0" applyNumberFormat="1"/>
    <xf numFmtId="10" fontId="13"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10" fontId="0" fillId="0" borderId="17"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6"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65" fontId="0" fillId="0" borderId="17" xfId="0" applyNumberFormat="1" applyFill="1" applyBorder="1"/>
    <xf numFmtId="10" fontId="0" fillId="0" borderId="0" xfId="0" applyNumberFormat="1" applyBorder="1"/>
    <xf numFmtId="10" fontId="13" fillId="0" borderId="0" xfId="2" applyNumberFormat="1" applyFont="1" applyBorder="1"/>
    <xf numFmtId="3" fontId="13" fillId="0" borderId="3" xfId="2" applyNumberFormat="1" applyFont="1" applyBorder="1" applyAlignment="1">
      <alignment horizontal="center"/>
    </xf>
    <xf numFmtId="0" fontId="13" fillId="0" borderId="3" xfId="2" applyFont="1" applyBorder="1" applyAlignment="1">
      <alignment horizontal="center"/>
    </xf>
    <xf numFmtId="41" fontId="13" fillId="0" borderId="3" xfId="2" applyNumberFormat="1" applyFont="1" applyBorder="1"/>
    <xf numFmtId="42" fontId="13" fillId="0" borderId="13" xfId="2" applyNumberFormat="1" applyFont="1" applyBorder="1"/>
    <xf numFmtId="42" fontId="13" fillId="0" borderId="3" xfId="2" applyNumberFormat="1" applyFont="1" applyBorder="1"/>
    <xf numFmtId="42" fontId="13" fillId="0" borderId="16" xfId="2" applyNumberFormat="1" applyFont="1" applyBorder="1"/>
    <xf numFmtId="42" fontId="13" fillId="0" borderId="0" xfId="2" applyNumberFormat="1" applyFont="1" applyFill="1"/>
    <xf numFmtId="41" fontId="13" fillId="0" borderId="0" xfId="2" applyNumberFormat="1" applyFont="1" applyFill="1"/>
    <xf numFmtId="42" fontId="13" fillId="0" borderId="12" xfId="2" applyNumberFormat="1" applyFont="1" applyFill="1" applyBorder="1"/>
    <xf numFmtId="164" fontId="0" fillId="0" borderId="0" xfId="0" applyNumberFormat="1" applyFill="1"/>
    <xf numFmtId="41" fontId="13" fillId="0" borderId="11" xfId="2" applyNumberFormat="1" applyFont="1" applyFill="1" applyBorder="1"/>
    <xf numFmtId="42" fontId="13" fillId="0" borderId="7" xfId="2" applyNumberFormat="1" applyFont="1" applyFill="1" applyBorder="1"/>
    <xf numFmtId="42" fontId="14" fillId="0" borderId="15" xfId="2" applyNumberFormat="1" applyFont="1" applyFill="1" applyBorder="1"/>
    <xf numFmtId="42" fontId="13" fillId="0" borderId="0" xfId="2" applyNumberFormat="1" applyFont="1" applyBorder="1"/>
    <xf numFmtId="41" fontId="13" fillId="0" borderId="10" xfId="2" applyNumberFormat="1" applyFont="1" applyFill="1" applyBorder="1"/>
    <xf numFmtId="42" fontId="13" fillId="0" borderId="0" xfId="2" applyNumberFormat="1" applyFont="1" applyFill="1" applyBorder="1"/>
    <xf numFmtId="10" fontId="13" fillId="0" borderId="0" xfId="16" applyNumberFormat="1" applyFont="1" applyBorder="1"/>
    <xf numFmtId="0" fontId="14" fillId="0" borderId="0" xfId="2" applyNumberFormat="1" applyFont="1" applyFill="1" applyAlignment="1">
      <alignment horizontal="center"/>
    </xf>
    <xf numFmtId="0" fontId="0" fillId="0" borderId="0" xfId="0" applyFill="1" applyBorder="1"/>
    <xf numFmtId="0" fontId="6" fillId="0" borderId="0" xfId="17"/>
    <xf numFmtId="0" fontId="18" fillId="0" borderId="0" xfId="0" applyFont="1" applyAlignment="1">
      <alignment horizontal="centerContinuous"/>
    </xf>
    <xf numFmtId="0" fontId="26" fillId="0" borderId="0" xfId="0" applyFont="1" applyAlignment="1">
      <alignment horizontal="centerContinuous"/>
    </xf>
    <xf numFmtId="0" fontId="18" fillId="0" borderId="21" xfId="17" applyFont="1" applyFill="1" applyBorder="1" applyAlignment="1">
      <alignment horizontal="left"/>
    </xf>
    <xf numFmtId="0" fontId="18" fillId="0" borderId="22" xfId="17" applyFont="1" applyFill="1" applyBorder="1" applyAlignment="1">
      <alignment horizontal="center"/>
    </xf>
    <xf numFmtId="0" fontId="18" fillId="0" borderId="23" xfId="17" applyFont="1" applyFill="1" applyBorder="1" applyAlignment="1">
      <alignment horizontal="center"/>
    </xf>
    <xf numFmtId="0" fontId="27" fillId="0" borderId="0" xfId="0" applyFont="1"/>
    <xf numFmtId="0" fontId="28" fillId="0" borderId="0" xfId="0" applyFont="1"/>
    <xf numFmtId="37" fontId="27" fillId="0" borderId="24" xfId="1" applyNumberFormat="1" applyFont="1" applyFill="1" applyBorder="1"/>
    <xf numFmtId="37" fontId="27" fillId="0" borderId="0" xfId="1" applyNumberFormat="1" applyFont="1" applyFill="1" applyBorder="1"/>
    <xf numFmtId="0" fontId="18" fillId="0" borderId="0" xfId="17" applyFont="1" applyFill="1" applyBorder="1" applyAlignment="1">
      <alignment horizontal="center"/>
    </xf>
    <xf numFmtId="37" fontId="29" fillId="0" borderId="0" xfId="1" applyNumberFormat="1" applyFont="1" applyFill="1" applyBorder="1"/>
    <xf numFmtId="37" fontId="27" fillId="0" borderId="25" xfId="1" applyNumberFormat="1" applyFont="1" applyFill="1" applyBorder="1"/>
    <xf numFmtId="0" fontId="18" fillId="0" borderId="0" xfId="0" applyFont="1" applyAlignment="1">
      <alignment horizontal="center"/>
    </xf>
    <xf numFmtId="0" fontId="26" fillId="0" borderId="0" xfId="0" applyFont="1" applyBorder="1" applyAlignment="1">
      <alignment horizontal="center"/>
    </xf>
    <xf numFmtId="0" fontId="27" fillId="0" borderId="0" xfId="17" applyFont="1" applyFill="1" applyBorder="1"/>
    <xf numFmtId="0" fontId="18" fillId="0" borderId="10" xfId="0" applyFont="1" applyBorder="1" applyAlignment="1">
      <alignment horizontal="center"/>
    </xf>
    <xf numFmtId="0" fontId="18" fillId="0" borderId="0" xfId="0" applyFont="1" applyBorder="1" applyAlignment="1">
      <alignment horizontal="center"/>
    </xf>
    <xf numFmtId="0" fontId="26" fillId="0" borderId="10" xfId="0" applyFont="1" applyBorder="1" applyAlignment="1">
      <alignment horizontal="center"/>
    </xf>
    <xf numFmtId="0" fontId="18" fillId="0" borderId="10" xfId="17" applyFont="1" applyFill="1" applyBorder="1" applyAlignment="1">
      <alignment horizontal="center"/>
    </xf>
    <xf numFmtId="0" fontId="27" fillId="0" borderId="25" xfId="17" applyFont="1" applyFill="1" applyBorder="1"/>
    <xf numFmtId="0" fontId="27" fillId="0" borderId="0" xfId="0" applyFont="1" applyAlignment="1">
      <alignment horizontal="center"/>
    </xf>
    <xf numFmtId="0" fontId="18" fillId="0" borderId="0" xfId="0" applyFont="1"/>
    <xf numFmtId="171" fontId="28" fillId="0" borderId="0" xfId="0" applyNumberFormat="1" applyFont="1"/>
    <xf numFmtId="5" fontId="27" fillId="0" borderId="0" xfId="17" applyNumberFormat="1" applyFont="1" applyFill="1" applyBorder="1"/>
    <xf numFmtId="10" fontId="27" fillId="0" borderId="0" xfId="18" applyNumberFormat="1" applyFont="1" applyFill="1" applyBorder="1"/>
    <xf numFmtId="10" fontId="29" fillId="0" borderId="0" xfId="18" applyNumberFormat="1" applyFont="1" applyFill="1" applyBorder="1"/>
    <xf numFmtId="37" fontId="18" fillId="0" borderId="25" xfId="1" applyNumberFormat="1" applyFont="1" applyFill="1" applyBorder="1" applyAlignment="1">
      <alignment horizontal="center"/>
    </xf>
    <xf numFmtId="168" fontId="27" fillId="0" borderId="0" xfId="19" applyNumberFormat="1" applyFont="1" applyFill="1" applyBorder="1"/>
    <xf numFmtId="10" fontId="18" fillId="0" borderId="25" xfId="18" applyNumberFormat="1" applyFont="1" applyFill="1" applyBorder="1" applyAlignment="1">
      <alignment horizontal="center"/>
    </xf>
    <xf numFmtId="171" fontId="18" fillId="0" borderId="0" xfId="0" applyNumberFormat="1" applyFont="1"/>
    <xf numFmtId="171" fontId="27" fillId="0" borderId="0" xfId="0" applyNumberFormat="1" applyFont="1"/>
    <xf numFmtId="172" fontId="27" fillId="0" borderId="0" xfId="18" applyNumberFormat="1" applyFont="1" applyFill="1" applyBorder="1"/>
    <xf numFmtId="172" fontId="29" fillId="0" borderId="0" xfId="18" applyNumberFormat="1" applyFont="1" applyFill="1" applyBorder="1"/>
    <xf numFmtId="10" fontId="27" fillId="0" borderId="16" xfId="18" applyNumberFormat="1" applyFont="1" applyFill="1" applyBorder="1"/>
    <xf numFmtId="37" fontId="27" fillId="0" borderId="26" xfId="1" applyNumberFormat="1" applyFont="1" applyFill="1" applyBorder="1"/>
    <xf numFmtId="0" fontId="27" fillId="0" borderId="27" xfId="17" applyFont="1" applyFill="1" applyBorder="1"/>
    <xf numFmtId="168" fontId="27" fillId="0" borderId="27" xfId="19" applyNumberFormat="1" applyFont="1" applyFill="1" applyBorder="1"/>
    <xf numFmtId="10" fontId="27" fillId="0" borderId="27" xfId="18" applyNumberFormat="1" applyFont="1" applyFill="1" applyBorder="1"/>
    <xf numFmtId="10" fontId="29" fillId="0" borderId="27" xfId="18" applyNumberFormat="1" applyFont="1" applyFill="1" applyBorder="1"/>
    <xf numFmtId="37" fontId="27" fillId="0" borderId="28" xfId="1" applyNumberFormat="1" applyFont="1" applyFill="1" applyBorder="1"/>
    <xf numFmtId="171" fontId="28" fillId="0" borderId="13" xfId="0" applyNumberFormat="1" applyFont="1" applyBorder="1"/>
    <xf numFmtId="171" fontId="28" fillId="0" borderId="0" xfId="0" applyNumberFormat="1" applyFont="1" applyBorder="1"/>
    <xf numFmtId="10" fontId="31" fillId="0" borderId="0" xfId="0" applyNumberFormat="1" applyFont="1"/>
    <xf numFmtId="171" fontId="28" fillId="0" borderId="10" xfId="0" applyNumberFormat="1" applyFont="1" applyBorder="1"/>
    <xf numFmtId="3" fontId="33" fillId="0" borderId="0" xfId="0" applyNumberFormat="1" applyFont="1" applyFill="1" applyBorder="1" applyAlignment="1"/>
    <xf numFmtId="42" fontId="14" fillId="0" borderId="0" xfId="2" applyNumberFormat="1" applyFont="1" applyBorder="1"/>
    <xf numFmtId="3" fontId="9" fillId="0" borderId="0" xfId="0" applyNumberFormat="1" applyFont="1" applyFill="1" applyAlignment="1">
      <alignment vertical="top"/>
    </xf>
    <xf numFmtId="10" fontId="33" fillId="0" borderId="0" xfId="13" applyNumberFormat="1" applyFont="1" applyFill="1" applyBorder="1" applyAlignment="1">
      <alignment horizontal="center"/>
    </xf>
    <xf numFmtId="0" fontId="13" fillId="0" borderId="0" xfId="2" applyFont="1" applyFill="1" applyAlignment="1">
      <alignment horizontal="right"/>
    </xf>
    <xf numFmtId="3" fontId="13" fillId="0" borderId="3" xfId="2" applyNumberFormat="1" applyFont="1" applyFill="1" applyBorder="1"/>
    <xf numFmtId="3" fontId="13" fillId="0" borderId="10" xfId="2" applyNumberFormat="1" applyFont="1" applyFill="1" applyBorder="1"/>
    <xf numFmtId="174" fontId="27" fillId="0" borderId="0" xfId="14" applyNumberFormat="1" applyFont="1"/>
    <xf numFmtId="5" fontId="27" fillId="0" borderId="0" xfId="0" applyNumberFormat="1" applyFont="1"/>
    <xf numFmtId="10" fontId="27" fillId="0" borderId="0" xfId="13" applyNumberFormat="1" applyFont="1" applyBorder="1"/>
    <xf numFmtId="172" fontId="27" fillId="0" borderId="0" xfId="13" applyNumberFormat="1" applyFont="1" applyBorder="1"/>
    <xf numFmtId="10" fontId="27" fillId="0" borderId="10" xfId="13" applyNumberFormat="1" applyFont="1" applyBorder="1"/>
    <xf numFmtId="5" fontId="27" fillId="0" borderId="0" xfId="0" applyNumberFormat="1" applyFont="1" applyFill="1"/>
    <xf numFmtId="5" fontId="27" fillId="0" borderId="10" xfId="0" applyNumberFormat="1" applyFont="1" applyBorder="1"/>
    <xf numFmtId="173" fontId="27" fillId="0" borderId="0" xfId="0" applyNumberFormat="1" applyFont="1"/>
    <xf numFmtId="0" fontId="27" fillId="0" borderId="0" xfId="0" applyFont="1" applyBorder="1"/>
    <xf numFmtId="5" fontId="18" fillId="0" borderId="0" xfId="0" applyNumberFormat="1" applyFont="1" applyBorder="1"/>
    <xf numFmtId="5" fontId="27" fillId="0" borderId="0" xfId="0" applyNumberFormat="1" applyFont="1" applyBorder="1"/>
    <xf numFmtId="5" fontId="27" fillId="0" borderId="29" xfId="0" applyNumberFormat="1" applyFont="1" applyBorder="1"/>
    <xf numFmtId="6" fontId="18" fillId="0" borderId="0" xfId="0" applyNumberFormat="1" applyFont="1"/>
    <xf numFmtId="5" fontId="18" fillId="0" borderId="0" xfId="0" applyNumberFormat="1" applyFont="1"/>
    <xf numFmtId="37" fontId="27" fillId="0" borderId="0" xfId="1" applyNumberFormat="1" applyFont="1"/>
    <xf numFmtId="0" fontId="27" fillId="0" borderId="0" xfId="0" applyFont="1" applyFill="1" applyBorder="1"/>
    <xf numFmtId="10" fontId="18" fillId="0" borderId="0" xfId="13" applyNumberFormat="1" applyFont="1" applyBorder="1"/>
    <xf numFmtId="10" fontId="18" fillId="0" borderId="16" xfId="13" applyNumberFormat="1" applyFont="1" applyBorder="1"/>
    <xf numFmtId="0" fontId="27" fillId="0" borderId="0" xfId="1" applyFont="1"/>
    <xf numFmtId="0" fontId="27" fillId="0" borderId="0" xfId="1" applyFont="1" applyBorder="1"/>
    <xf numFmtId="0" fontId="7" fillId="0" borderId="0" xfId="0" applyFont="1" applyAlignment="1">
      <alignment horizontal="left" vertical="top"/>
    </xf>
    <xf numFmtId="42" fontId="27" fillId="0" borderId="10" xfId="0" applyNumberFormat="1" applyFont="1" applyBorder="1"/>
    <xf numFmtId="5" fontId="18" fillId="0" borderId="29" xfId="0" applyNumberFormat="1" applyFont="1" applyBorder="1"/>
    <xf numFmtId="42" fontId="27" fillId="0" borderId="0" xfId="0" applyNumberFormat="1" applyFont="1" applyBorder="1"/>
    <xf numFmtId="42" fontId="27" fillId="0" borderId="0" xfId="0" applyNumberFormat="1" applyFont="1" applyFill="1" applyBorder="1"/>
    <xf numFmtId="0" fontId="0" fillId="0" borderId="0" xfId="0" quotePrefix="1" applyAlignment="1">
      <alignment vertical="top"/>
    </xf>
    <xf numFmtId="0" fontId="13" fillId="0" borderId="10" xfId="2" applyFont="1" applyBorder="1" applyAlignment="1">
      <alignment horizontal="center"/>
    </xf>
    <xf numFmtId="3" fontId="32" fillId="0" borderId="0" xfId="12" applyNumberFormat="1" applyFont="1" applyFill="1" applyBorder="1" applyAlignment="1"/>
    <xf numFmtId="0" fontId="39" fillId="0" borderId="0" xfId="2" applyNumberFormat="1" applyFont="1" applyAlignment="1">
      <alignment horizontal="left"/>
    </xf>
    <xf numFmtId="3" fontId="10" fillId="0" borderId="0" xfId="12" applyNumberFormat="1" applyFont="1" applyFill="1" applyAlignment="1">
      <alignment vertical="top" wrapText="1"/>
    </xf>
    <xf numFmtId="3" fontId="27" fillId="0" borderId="0" xfId="12" applyNumberFormat="1" applyFont="1" applyFill="1" applyBorder="1" applyAlignment="1">
      <alignment horizontal="center" wrapText="1"/>
    </xf>
    <xf numFmtId="0" fontId="42" fillId="0" borderId="0" xfId="0" applyFont="1"/>
    <xf numFmtId="0" fontId="43" fillId="0" borderId="0" xfId="2" applyNumberFormat="1" applyFont="1" applyAlignment="1">
      <alignment horizontal="left"/>
    </xf>
    <xf numFmtId="0" fontId="13" fillId="0" borderId="0" xfId="2" applyNumberFormat="1" applyFont="1" applyFill="1" applyAlignment="1">
      <alignment horizontal="center" wrapText="1"/>
    </xf>
    <xf numFmtId="0" fontId="17" fillId="0" borderId="10" xfId="0" applyFont="1" applyBorder="1" applyAlignment="1">
      <alignment horizontal="center"/>
    </xf>
    <xf numFmtId="3" fontId="13" fillId="0" borderId="10" xfId="2" applyNumberFormat="1" applyFont="1" applyBorder="1"/>
    <xf numFmtId="3" fontId="13" fillId="0" borderId="3" xfId="2" applyNumberFormat="1" applyFont="1" applyBorder="1"/>
    <xf numFmtId="3" fontId="13" fillId="0" borderId="0" xfId="2" applyNumberFormat="1" applyFont="1"/>
    <xf numFmtId="0" fontId="13" fillId="0" borderId="0" xfId="2" applyFont="1" applyAlignment="1">
      <alignment horizontal="left"/>
    </xf>
    <xf numFmtId="3" fontId="9" fillId="0" borderId="0" xfId="0" applyNumberFormat="1" applyFont="1" applyFill="1" applyAlignment="1"/>
    <xf numFmtId="1" fontId="17" fillId="0" borderId="0" xfId="150" applyNumberFormat="1" applyFont="1" applyFill="1" applyBorder="1" applyAlignment="1">
      <alignment horizontal="center"/>
    </xf>
    <xf numFmtId="0" fontId="14" fillId="0" borderId="0" xfId="20" applyFont="1" applyFill="1"/>
    <xf numFmtId="0" fontId="14" fillId="0" borderId="0" xfId="2" applyFont="1" applyBorder="1" applyAlignment="1">
      <alignment horizontal="center" vertical="center"/>
    </xf>
    <xf numFmtId="0" fontId="13" fillId="0" borderId="0" xfId="2" applyFont="1" applyBorder="1" applyAlignment="1">
      <alignment horizontal="center" vertical="center"/>
    </xf>
    <xf numFmtId="0" fontId="13" fillId="0" borderId="10" xfId="2" applyFont="1" applyBorder="1" applyAlignment="1">
      <alignment horizontal="center" vertical="center"/>
    </xf>
    <xf numFmtId="0" fontId="14" fillId="0" borderId="0" xfId="2" applyFont="1" applyAlignment="1">
      <alignment horizontal="left"/>
    </xf>
    <xf numFmtId="10" fontId="7" fillId="0" borderId="0" xfId="0" applyNumberFormat="1" applyFont="1"/>
    <xf numFmtId="0" fontId="44" fillId="0" borderId="0" xfId="0" applyFont="1" applyBorder="1" applyAlignment="1">
      <alignment horizontal="center"/>
    </xf>
    <xf numFmtId="0" fontId="44" fillId="0" borderId="10" xfId="0" applyFont="1" applyBorder="1" applyAlignment="1">
      <alignment horizontal="center"/>
    </xf>
    <xf numFmtId="0" fontId="46" fillId="0" borderId="10" xfId="0" applyFont="1" applyBorder="1"/>
    <xf numFmtId="0" fontId="44" fillId="0" borderId="10" xfId="0" applyFont="1" applyBorder="1"/>
    <xf numFmtId="175" fontId="44" fillId="0" borderId="0" xfId="0" applyNumberFormat="1" applyFont="1" applyBorder="1"/>
    <xf numFmtId="175" fontId="44" fillId="0" borderId="3" xfId="0" applyNumberFormat="1" applyFont="1" applyBorder="1"/>
    <xf numFmtId="175" fontId="44" fillId="0" borderId="10" xfId="0" applyNumberFormat="1" applyFont="1" applyBorder="1"/>
    <xf numFmtId="3" fontId="44" fillId="0" borderId="0" xfId="0" applyNumberFormat="1" applyFont="1" applyBorder="1"/>
    <xf numFmtId="5" fontId="44" fillId="0" borderId="0" xfId="0" applyNumberFormat="1" applyFont="1" applyBorder="1"/>
    <xf numFmtId="6" fontId="44" fillId="0" borderId="0" xfId="8" applyNumberFormat="1" applyFont="1" applyBorder="1"/>
    <xf numFmtId="0" fontId="44" fillId="0" borderId="3" xfId="0" applyFont="1" applyBorder="1"/>
    <xf numFmtId="5" fontId="44" fillId="0" borderId="3" xfId="0" applyNumberFormat="1" applyFont="1" applyBorder="1"/>
    <xf numFmtId="37" fontId="44" fillId="0" borderId="10" xfId="8" applyNumberFormat="1" applyFont="1" applyBorder="1"/>
    <xf numFmtId="37" fontId="44" fillId="0" borderId="10" xfId="0" applyNumberFormat="1" applyFont="1" applyBorder="1"/>
    <xf numFmtId="37" fontId="44" fillId="0" borderId="0" xfId="8" applyNumberFormat="1" applyFont="1" applyBorder="1"/>
    <xf numFmtId="6" fontId="44" fillId="0" borderId="3" xfId="8" applyNumberFormat="1" applyFont="1" applyBorder="1"/>
    <xf numFmtId="0" fontId="44" fillId="0" borderId="13" xfId="0" applyFont="1" applyBorder="1"/>
    <xf numFmtId="5" fontId="44" fillId="0" borderId="10" xfId="8" applyNumberFormat="1" applyFont="1" applyBorder="1"/>
    <xf numFmtId="5" fontId="44" fillId="0" borderId="10" xfId="0" applyNumberFormat="1" applyFont="1" applyBorder="1"/>
    <xf numFmtId="180" fontId="44" fillId="0" borderId="10" xfId="0" applyNumberFormat="1" applyFont="1" applyBorder="1"/>
    <xf numFmtId="182" fontId="44" fillId="0" borderId="10" xfId="0" applyNumberFormat="1" applyFont="1" applyBorder="1"/>
    <xf numFmtId="37" fontId="45" fillId="0" borderId="0" xfId="0" applyNumberFormat="1" applyFont="1" applyBorder="1"/>
    <xf numFmtId="41" fontId="14" fillId="0" borderId="0" xfId="2" applyNumberFormat="1" applyFont="1" applyFill="1"/>
    <xf numFmtId="42" fontId="14" fillId="0" borderId="0" xfId="2" applyNumberFormat="1" applyFont="1" applyFill="1"/>
    <xf numFmtId="41" fontId="14" fillId="0" borderId="10" xfId="2" applyNumberFormat="1" applyFont="1" applyFill="1" applyBorder="1"/>
    <xf numFmtId="41" fontId="14" fillId="0" borderId="0" xfId="2" applyNumberFormat="1" applyFont="1" applyFill="1" applyBorder="1"/>
    <xf numFmtId="168" fontId="0" fillId="0" borderId="0" xfId="14" applyNumberFormat="1" applyFont="1" applyFill="1"/>
    <xf numFmtId="3" fontId="14" fillId="0" borderId="0" xfId="2" applyNumberFormat="1" applyFont="1" applyFill="1" applyBorder="1"/>
    <xf numFmtId="0" fontId="27" fillId="0" borderId="10" xfId="0" applyFont="1" applyBorder="1"/>
    <xf numFmtId="37" fontId="27" fillId="0" borderId="0" xfId="2" applyNumberFormat="1" applyFont="1"/>
    <xf numFmtId="3" fontId="14" fillId="0" borderId="0" xfId="20" applyNumberFormat="1" applyFont="1" applyBorder="1"/>
    <xf numFmtId="0" fontId="18" fillId="0" borderId="0" xfId="0" applyFont="1" applyAlignment="1">
      <alignment horizontal="center"/>
    </xf>
    <xf numFmtId="0" fontId="44" fillId="0" borderId="0" xfId="0" applyFont="1" applyAlignment="1">
      <alignment horizontal="left"/>
    </xf>
    <xf numFmtId="0" fontId="44" fillId="0" borderId="0" xfId="0" applyFont="1"/>
    <xf numFmtId="0" fontId="44" fillId="0" borderId="0" xfId="0" applyFont="1" applyAlignment="1">
      <alignment horizontal="center"/>
    </xf>
    <xf numFmtId="0" fontId="45" fillId="0" borderId="0" xfId="0" applyFont="1" applyAlignment="1">
      <alignment horizontal="left"/>
    </xf>
    <xf numFmtId="0" fontId="45" fillId="0" borderId="0" xfId="0" applyFont="1" applyAlignment="1">
      <alignment horizontal="center"/>
    </xf>
    <xf numFmtId="0" fontId="52" fillId="0" borderId="0" xfId="0" applyFont="1" applyAlignment="1"/>
    <xf numFmtId="0" fontId="45" fillId="0" borderId="0" xfId="0" applyFont="1" applyAlignment="1"/>
    <xf numFmtId="0" fontId="45" fillId="0" borderId="0" xfId="0" applyFont="1"/>
    <xf numFmtId="0" fontId="45" fillId="0" borderId="0" xfId="0" applyFont="1" applyAlignment="1">
      <alignment horizontal="right"/>
    </xf>
    <xf numFmtId="175" fontId="44" fillId="0" borderId="0" xfId="0" applyNumberFormat="1" applyFont="1"/>
    <xf numFmtId="0" fontId="53" fillId="0" borderId="0" xfId="0" applyFont="1" applyAlignment="1">
      <alignment horizontal="left" indent="1"/>
    </xf>
    <xf numFmtId="175" fontId="44" fillId="0" borderId="0" xfId="0" applyNumberFormat="1" applyFont="1" applyAlignment="1">
      <alignment horizontal="center"/>
    </xf>
    <xf numFmtId="3" fontId="44" fillId="0" borderId="0" xfId="0" applyNumberFormat="1" applyFont="1"/>
    <xf numFmtId="176" fontId="45" fillId="0" borderId="0" xfId="0" applyNumberFormat="1" applyFont="1"/>
    <xf numFmtId="3" fontId="44" fillId="7" borderId="0" xfId="0" applyNumberFormat="1" applyFont="1" applyFill="1"/>
    <xf numFmtId="0" fontId="54" fillId="0" borderId="0" xfId="0" applyFont="1"/>
    <xf numFmtId="177" fontId="44" fillId="0" borderId="0" xfId="0" applyNumberFormat="1" applyFont="1" applyAlignment="1">
      <alignment horizontal="center"/>
    </xf>
    <xf numFmtId="0" fontId="45" fillId="0" borderId="0" xfId="0" quotePrefix="1" applyFont="1"/>
    <xf numFmtId="0" fontId="47" fillId="0" borderId="0" xfId="0" applyFont="1" applyAlignment="1">
      <alignment horizontal="left"/>
    </xf>
    <xf numFmtId="178" fontId="45" fillId="0" borderId="0" xfId="0" applyNumberFormat="1" applyFont="1"/>
    <xf numFmtId="178" fontId="55" fillId="0" borderId="0" xfId="0" applyNumberFormat="1" applyFont="1"/>
    <xf numFmtId="0" fontId="56" fillId="0" borderId="0" xfId="0" applyFont="1"/>
    <xf numFmtId="183" fontId="45" fillId="0" borderId="0" xfId="0" applyNumberFormat="1" applyFont="1"/>
    <xf numFmtId="179" fontId="45" fillId="0" borderId="0" xfId="0" applyNumberFormat="1" applyFont="1"/>
    <xf numFmtId="179" fontId="55" fillId="0" borderId="0" xfId="0" applyNumberFormat="1" applyFont="1"/>
    <xf numFmtId="179" fontId="55" fillId="0" borderId="0" xfId="0" applyNumberFormat="1" applyFont="1" applyFill="1"/>
    <xf numFmtId="180" fontId="44" fillId="0" borderId="0" xfId="0" applyNumberFormat="1" applyFont="1"/>
    <xf numFmtId="0" fontId="49" fillId="0" borderId="0" xfId="0" applyFont="1"/>
    <xf numFmtId="0" fontId="44" fillId="0" borderId="0" xfId="0" applyFont="1" applyFill="1"/>
    <xf numFmtId="5" fontId="44" fillId="0" borderId="0" xfId="0" applyNumberFormat="1" applyFont="1"/>
    <xf numFmtId="0" fontId="44" fillId="0" borderId="0" xfId="0" applyFont="1" applyAlignment="1">
      <alignment horizontal="left" indent="1"/>
    </xf>
    <xf numFmtId="6" fontId="44" fillId="0" borderId="0" xfId="8" applyNumberFormat="1" applyFont="1"/>
    <xf numFmtId="181" fontId="44" fillId="0" borderId="0" xfId="0" applyNumberFormat="1" applyFont="1"/>
    <xf numFmtId="175" fontId="44" fillId="0" borderId="0" xfId="8" applyNumberFormat="1" applyFont="1"/>
    <xf numFmtId="175" fontId="44" fillId="0" borderId="0" xfId="0" applyNumberFormat="1" applyFont="1" applyFill="1"/>
    <xf numFmtId="37" fontId="44" fillId="0" borderId="0" xfId="0" applyNumberFormat="1" applyFont="1"/>
    <xf numFmtId="5" fontId="44" fillId="0" borderId="0" xfId="0" applyNumberFormat="1" applyFont="1" applyFill="1"/>
    <xf numFmtId="0" fontId="44" fillId="0" borderId="0" xfId="0" applyFont="1" applyFill="1" applyAlignment="1">
      <alignment horizontal="left"/>
    </xf>
    <xf numFmtId="3" fontId="44" fillId="0" borderId="0" xfId="0" applyNumberFormat="1" applyFont="1" applyAlignment="1">
      <alignment horizontal="left" indent="1"/>
    </xf>
    <xf numFmtId="37" fontId="44" fillId="0" borderId="0" xfId="8" applyNumberFormat="1" applyFont="1"/>
    <xf numFmtId="168" fontId="48" fillId="0" borderId="0" xfId="96" applyNumberFormat="1" applyFont="1" applyFill="1"/>
    <xf numFmtId="180" fontId="44" fillId="0" borderId="0" xfId="0" applyNumberFormat="1" applyFont="1" applyAlignment="1">
      <alignment horizontal="left" indent="1"/>
    </xf>
    <xf numFmtId="5" fontId="44" fillId="0" borderId="0" xfId="0" applyNumberFormat="1" applyFont="1" applyAlignment="1">
      <alignment horizontal="left" indent="1"/>
    </xf>
    <xf numFmtId="5" fontId="44" fillId="0" borderId="0" xfId="8" applyNumberFormat="1" applyFont="1"/>
    <xf numFmtId="37" fontId="48" fillId="0" borderId="0" xfId="8" applyNumberFormat="1" applyFont="1"/>
    <xf numFmtId="37" fontId="48" fillId="0" borderId="0" xfId="0" applyNumberFormat="1" applyFont="1"/>
    <xf numFmtId="180" fontId="44" fillId="0" borderId="0" xfId="0" applyNumberFormat="1" applyFont="1" applyFill="1"/>
    <xf numFmtId="37" fontId="48" fillId="0" borderId="0" xfId="0" applyNumberFormat="1" applyFont="1" applyFill="1"/>
    <xf numFmtId="37" fontId="56" fillId="0" borderId="0" xfId="0" applyNumberFormat="1" applyFont="1"/>
    <xf numFmtId="0" fontId="49" fillId="0" borderId="0" xfId="0" applyFont="1" applyAlignment="1">
      <alignment horizontal="left"/>
    </xf>
    <xf numFmtId="5" fontId="49" fillId="0" borderId="0" xfId="0" applyNumberFormat="1" applyFont="1"/>
    <xf numFmtId="10" fontId="49" fillId="0" borderId="0" xfId="0" applyNumberFormat="1" applyFont="1"/>
    <xf numFmtId="10" fontId="44" fillId="0" borderId="0" xfId="0" applyNumberFormat="1" applyFont="1"/>
    <xf numFmtId="39" fontId="44" fillId="0" borderId="0" xfId="0" applyNumberFormat="1" applyFont="1"/>
    <xf numFmtId="0" fontId="50" fillId="0" borderId="0" xfId="0" applyFont="1"/>
    <xf numFmtId="37" fontId="45" fillId="0" borderId="0" xfId="0" applyNumberFormat="1" applyFont="1"/>
    <xf numFmtId="10" fontId="44" fillId="0" borderId="0" xfId="13" applyNumberFormat="1" applyFont="1"/>
    <xf numFmtId="37" fontId="56" fillId="0" borderId="0" xfId="0" applyNumberFormat="1" applyFont="1" applyFill="1"/>
    <xf numFmtId="0" fontId="44" fillId="6" borderId="0" xfId="0" applyFont="1" applyFill="1"/>
    <xf numFmtId="0" fontId="45" fillId="6" borderId="0" xfId="0" applyFont="1" applyFill="1"/>
    <xf numFmtId="7" fontId="44" fillId="0" borderId="0" xfId="0" applyNumberFormat="1" applyFont="1"/>
    <xf numFmtId="0" fontId="7" fillId="0" borderId="0" xfId="0" applyFont="1" applyFill="1" applyAlignment="1">
      <alignment horizontal="center"/>
    </xf>
    <xf numFmtId="0" fontId="16"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6"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1" fillId="7" borderId="0" xfId="3679" applyFont="1" applyFill="1"/>
    <xf numFmtId="165" fontId="0" fillId="0" borderId="0" xfId="0" applyNumberFormat="1"/>
    <xf numFmtId="165" fontId="0" fillId="0" borderId="3" xfId="0" applyNumberFormat="1" applyBorder="1"/>
    <xf numFmtId="168" fontId="13" fillId="0" borderId="0" xfId="14" applyNumberFormat="1" applyFont="1"/>
    <xf numFmtId="168" fontId="13" fillId="0" borderId="0" xfId="2" applyNumberFormat="1" applyFont="1"/>
    <xf numFmtId="5" fontId="0" fillId="0" borderId="0" xfId="0" applyNumberFormat="1"/>
    <xf numFmtId="0" fontId="7" fillId="0" borderId="0" xfId="0" applyFont="1" applyBorder="1" applyAlignment="1">
      <alignment horizontal="right"/>
    </xf>
    <xf numFmtId="168" fontId="14" fillId="0" borderId="0" xfId="2" applyNumberFormat="1" applyFont="1"/>
    <xf numFmtId="42" fontId="13" fillId="0" borderId="3" xfId="2" applyNumberFormat="1" applyFont="1" applyFill="1" applyBorder="1"/>
    <xf numFmtId="3" fontId="13" fillId="0" borderId="3" xfId="2" applyNumberFormat="1" applyFont="1" applyFill="1" applyBorder="1" applyAlignment="1">
      <alignment horizontal="center"/>
    </xf>
    <xf numFmtId="41" fontId="13" fillId="0" borderId="3" xfId="2" applyNumberFormat="1" applyFont="1" applyFill="1" applyBorder="1"/>
    <xf numFmtId="42" fontId="13" fillId="0" borderId="13" xfId="2" applyNumberFormat="1" applyFont="1" applyFill="1" applyBorder="1"/>
    <xf numFmtId="42" fontId="13" fillId="0" borderId="16" xfId="2" applyNumberFormat="1" applyFont="1" applyFill="1" applyBorder="1"/>
    <xf numFmtId="0" fontId="13" fillId="0" borderId="3" xfId="2" applyFont="1" applyFill="1" applyBorder="1"/>
    <xf numFmtId="0" fontId="13" fillId="0" borderId="0" xfId="2" applyFont="1" applyFill="1" applyBorder="1"/>
    <xf numFmtId="0" fontId="13" fillId="0" borderId="10" xfId="2" applyFont="1" applyFill="1" applyBorder="1"/>
    <xf numFmtId="168" fontId="13" fillId="0" borderId="0" xfId="14" applyNumberFormat="1" applyFont="1" applyFill="1"/>
    <xf numFmtId="0" fontId="14" fillId="0" borderId="0" xfId="2" applyFont="1" applyBorder="1" applyAlignment="1">
      <alignment horizontal="left"/>
    </xf>
    <xf numFmtId="168" fontId="13" fillId="0" borderId="0" xfId="2" applyNumberFormat="1" applyFont="1" applyBorder="1"/>
    <xf numFmtId="0" fontId="14" fillId="0" borderId="0" xfId="2" applyFont="1" applyBorder="1"/>
    <xf numFmtId="168" fontId="13" fillId="0" borderId="0" xfId="14" applyNumberFormat="1" applyFont="1" applyBorder="1"/>
    <xf numFmtId="168" fontId="14" fillId="0" borderId="0" xfId="2" applyNumberFormat="1" applyFont="1" applyBorder="1"/>
    <xf numFmtId="5" fontId="14" fillId="0" borderId="0" xfId="2" applyNumberFormat="1" applyFont="1" applyBorder="1"/>
    <xf numFmtId="226" fontId="27" fillId="0" borderId="0" xfId="0" applyNumberFormat="1" applyFont="1" applyBorder="1"/>
    <xf numFmtId="0" fontId="18" fillId="0" borderId="0" xfId="0" applyFont="1" applyFill="1" applyAlignment="1">
      <alignment horizontal="center"/>
    </xf>
    <xf numFmtId="0" fontId="18" fillId="0" borderId="10" xfId="0" applyFont="1" applyFill="1" applyBorder="1" applyAlignment="1">
      <alignment horizontal="center"/>
    </xf>
    <xf numFmtId="0" fontId="13" fillId="0" borderId="51" xfId="2" applyNumberFormat="1" applyFont="1" applyBorder="1" applyAlignment="1">
      <alignment horizontal="left"/>
    </xf>
    <xf numFmtId="0" fontId="13" fillId="0" borderId="52" xfId="2" applyNumberFormat="1" applyFont="1" applyBorder="1" applyAlignment="1">
      <alignment horizontal="left"/>
    </xf>
    <xf numFmtId="0" fontId="13" fillId="0" borderId="53" xfId="2" applyNumberFormat="1" applyFont="1" applyBorder="1" applyAlignment="1">
      <alignment horizontal="left"/>
    </xf>
    <xf numFmtId="0" fontId="13" fillId="0" borderId="51" xfId="2" applyFont="1" applyBorder="1"/>
    <xf numFmtId="0" fontId="13" fillId="0" borderId="52" xfId="2" applyFont="1" applyBorder="1"/>
    <xf numFmtId="0" fontId="13" fillId="0" borderId="53" xfId="2" applyFont="1" applyBorder="1"/>
    <xf numFmtId="10" fontId="33" fillId="0" borderId="0" xfId="13" applyNumberFormat="1" applyFont="1" applyFill="1" applyBorder="1" applyAlignment="1"/>
    <xf numFmtId="10" fontId="33" fillId="0" borderId="0" xfId="21693" applyNumberFormat="1" applyFont="1" applyFill="1" applyBorder="1" applyAlignment="1"/>
    <xf numFmtId="3" fontId="43" fillId="0" borderId="0" xfId="2" applyNumberFormat="1" applyFont="1"/>
    <xf numFmtId="0" fontId="39" fillId="0" borderId="0" xfId="2" applyFont="1"/>
    <xf numFmtId="10" fontId="43" fillId="0" borderId="0" xfId="16" applyNumberFormat="1" applyFont="1"/>
    <xf numFmtId="3" fontId="43" fillId="0" borderId="10" xfId="2" applyNumberFormat="1" applyFont="1" applyBorder="1"/>
    <xf numFmtId="0" fontId="39" fillId="0" borderId="10" xfId="2" applyFont="1" applyBorder="1"/>
    <xf numFmtId="10" fontId="27" fillId="0" borderId="0" xfId="16" applyNumberFormat="1" applyFont="1" applyFill="1" applyBorder="1"/>
    <xf numFmtId="14" fontId="39" fillId="0" borderId="13" xfId="2" applyNumberFormat="1" applyFont="1" applyBorder="1"/>
    <xf numFmtId="3" fontId="39" fillId="0" borderId="0" xfId="2" quotePrefix="1" applyNumberFormat="1" applyFont="1" applyAlignment="1">
      <alignment horizontal="right"/>
    </xf>
    <xf numFmtId="3" fontId="39" fillId="0" borderId="0" xfId="2" applyNumberFormat="1" applyFont="1"/>
    <xf numFmtId="168" fontId="39" fillId="0" borderId="0" xfId="2" applyNumberFormat="1" applyFont="1"/>
    <xf numFmtId="10" fontId="27" fillId="0" borderId="0" xfId="13" applyNumberFormat="1" applyFont="1" applyFill="1" applyBorder="1"/>
    <xf numFmtId="0" fontId="43" fillId="0" borderId="0" xfId="2" applyFont="1"/>
    <xf numFmtId="169" fontId="39" fillId="0" borderId="0" xfId="2" applyNumberFormat="1" applyFont="1"/>
    <xf numFmtId="10" fontId="39" fillId="0" borderId="0" xfId="16" applyNumberFormat="1" applyFont="1"/>
    <xf numFmtId="3" fontId="43" fillId="0" borderId="0" xfId="2" quotePrefix="1" applyNumberFormat="1" applyFont="1" applyAlignment="1">
      <alignment horizontal="right"/>
    </xf>
    <xf numFmtId="0" fontId="39" fillId="0" borderId="0" xfId="2" applyFont="1" applyFill="1" applyBorder="1"/>
    <xf numFmtId="3" fontId="39" fillId="0" borderId="10" xfId="2" applyNumberFormat="1" applyFont="1" applyBorder="1"/>
    <xf numFmtId="10" fontId="39" fillId="73" borderId="29" xfId="16" applyNumberFormat="1" applyFont="1" applyFill="1" applyBorder="1"/>
    <xf numFmtId="10" fontId="39" fillId="74" borderId="50" xfId="16" applyNumberFormat="1" applyFont="1" applyFill="1" applyBorder="1"/>
    <xf numFmtId="10" fontId="7" fillId="0" borderId="18" xfId="0" applyNumberFormat="1" applyFont="1" applyBorder="1"/>
    <xf numFmtId="10" fontId="7" fillId="0" borderId="19" xfId="0" applyNumberFormat="1" applyFont="1" applyBorder="1"/>
    <xf numFmtId="10" fontId="21" fillId="0" borderId="18" xfId="2" applyNumberFormat="1" applyFont="1" applyFill="1" applyBorder="1"/>
    <xf numFmtId="10" fontId="155" fillId="0" borderId="19" xfId="2" applyNumberFormat="1" applyFont="1" applyFill="1" applyBorder="1"/>
    <xf numFmtId="10" fontId="21" fillId="0" borderId="19" xfId="2" applyNumberFormat="1" applyFont="1" applyFill="1" applyBorder="1"/>
    <xf numFmtId="10" fontId="21" fillId="0" borderId="19" xfId="2" applyNumberFormat="1" applyFont="1" applyBorder="1"/>
    <xf numFmtId="10" fontId="21" fillId="0" borderId="20" xfId="2" applyNumberFormat="1" applyFont="1" applyBorder="1"/>
    <xf numFmtId="10" fontId="155" fillId="73" borderId="19" xfId="2" applyNumberFormat="1" applyFont="1" applyFill="1" applyBorder="1"/>
    <xf numFmtId="10" fontId="155" fillId="73" borderId="20" xfId="2" applyNumberFormat="1" applyFont="1" applyFill="1" applyBorder="1"/>
    <xf numFmtId="10" fontId="155" fillId="74" borderId="19" xfId="2" applyNumberFormat="1" applyFont="1" applyFill="1" applyBorder="1"/>
    <xf numFmtId="10" fontId="22" fillId="74" borderId="19" xfId="0" applyNumberFormat="1" applyFont="1" applyFill="1" applyBorder="1"/>
    <xf numFmtId="0" fontId="27" fillId="0" borderId="0" xfId="0" applyFont="1" applyAlignment="1">
      <alignment horizontal="right"/>
    </xf>
    <xf numFmtId="10" fontId="43" fillId="0" borderId="10" xfId="16" applyNumberFormat="1" applyFont="1" applyBorder="1"/>
    <xf numFmtId="10" fontId="9" fillId="0" borderId="0" xfId="2" applyNumberFormat="1" applyFont="1" applyFill="1"/>
    <xf numFmtId="10" fontId="9" fillId="0" borderId="0" xfId="16" applyNumberFormat="1" applyFont="1"/>
    <xf numFmtId="0" fontId="9" fillId="0" borderId="0" xfId="2" applyFont="1"/>
    <xf numFmtId="10" fontId="9" fillId="0" borderId="0" xfId="2" applyNumberFormat="1" applyFont="1"/>
    <xf numFmtId="41" fontId="9" fillId="0" borderId="0" xfId="2" applyNumberFormat="1" applyFont="1"/>
    <xf numFmtId="5" fontId="9" fillId="0" borderId="0" xfId="2" applyNumberFormat="1" applyFont="1"/>
    <xf numFmtId="0" fontId="9" fillId="0" borderId="0" xfId="2" applyFont="1" applyBorder="1"/>
    <xf numFmtId="0" fontId="18" fillId="0" borderId="0" xfId="0" applyFont="1" applyFill="1" applyAlignment="1">
      <alignment horizontal="centerContinuous"/>
    </xf>
    <xf numFmtId="0" fontId="26" fillId="0" borderId="0" xfId="0" applyFont="1" applyFill="1" applyAlignment="1">
      <alignment horizontal="centerContinuous"/>
    </xf>
    <xf numFmtId="0" fontId="0" fillId="0" borderId="7" xfId="0" applyFill="1" applyBorder="1"/>
    <xf numFmtId="0" fontId="7" fillId="0" borderId="7" xfId="0" applyFont="1" applyFill="1" applyBorder="1" applyAlignment="1">
      <alignment horizontal="center"/>
    </xf>
    <xf numFmtId="0" fontId="16"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1" fillId="0" borderId="10" xfId="15" applyFill="1" applyBorder="1" applyAlignment="1">
      <alignment horizontal="center"/>
    </xf>
    <xf numFmtId="168" fontId="0" fillId="0" borderId="0" xfId="0" applyNumberFormat="1" applyFill="1"/>
    <xf numFmtId="168" fontId="0" fillId="0" borderId="3" xfId="14" applyNumberFormat="1" applyFont="1" applyFill="1" applyBorder="1"/>
    <xf numFmtId="168" fontId="7" fillId="0" borderId="0" xfId="14" applyNumberFormat="1" applyFont="1" applyFill="1" applyBorder="1"/>
    <xf numFmtId="168" fontId="0" fillId="0" borderId="3" xfId="0" applyNumberFormat="1" applyFill="1" applyBorder="1"/>
    <xf numFmtId="41" fontId="14" fillId="0" borderId="13" xfId="2" applyNumberFormat="1" applyFont="1" applyFill="1" applyBorder="1"/>
    <xf numFmtId="42" fontId="14" fillId="0" borderId="12" xfId="2" applyNumberFormat="1" applyFont="1" applyFill="1" applyBorder="1"/>
    <xf numFmtId="0" fontId="14" fillId="75" borderId="0" xfId="2" applyFont="1" applyFill="1" applyAlignment="1">
      <alignment horizontal="center"/>
    </xf>
    <xf numFmtId="168" fontId="39" fillId="75" borderId="0" xfId="2" applyNumberFormat="1" applyFont="1" applyFill="1"/>
    <xf numFmtId="0" fontId="39" fillId="75" borderId="0" xfId="2" applyFont="1" applyFill="1"/>
    <xf numFmtId="168" fontId="39" fillId="75" borderId="10" xfId="2" applyNumberFormat="1" applyFont="1" applyFill="1" applyBorder="1"/>
    <xf numFmtId="0" fontId="39" fillId="75" borderId="10" xfId="2" applyFont="1" applyFill="1" applyBorder="1"/>
    <xf numFmtId="3" fontId="39" fillId="75" borderId="0" xfId="2" applyNumberFormat="1" applyFont="1" applyFill="1"/>
    <xf numFmtId="10" fontId="27" fillId="75" borderId="10" xfId="13" applyNumberFormat="1" applyFont="1" applyFill="1" applyBorder="1"/>
    <xf numFmtId="10" fontId="0" fillId="0" borderId="19" xfId="0" applyNumberFormat="1" applyBorder="1"/>
    <xf numFmtId="10" fontId="27" fillId="75" borderId="0" xfId="18" applyNumberFormat="1" applyFont="1" applyFill="1" applyBorder="1"/>
    <xf numFmtId="173" fontId="28" fillId="75" borderId="12" xfId="0" applyNumberFormat="1" applyFont="1" applyFill="1" applyBorder="1"/>
    <xf numFmtId="0" fontId="27" fillId="0" borderId="0" xfId="0" applyFont="1" applyFill="1" applyAlignment="1">
      <alignment horizontal="left" vertical="top" wrapText="1"/>
    </xf>
    <xf numFmtId="0" fontId="27" fillId="0" borderId="0" xfId="0" applyFont="1" applyAlignment="1">
      <alignment horizontal="left" vertical="top" wrapText="1"/>
    </xf>
    <xf numFmtId="0" fontId="41" fillId="0" borderId="0" xfId="0" applyFont="1" applyAlignment="1">
      <alignment horizontal="center"/>
    </xf>
    <xf numFmtId="0" fontId="18" fillId="0" borderId="0" xfId="17" applyFont="1" applyAlignment="1">
      <alignment horizontal="center"/>
    </xf>
    <xf numFmtId="0" fontId="18" fillId="75" borderId="0" xfId="17" applyFont="1" applyFill="1" applyAlignment="1">
      <alignment horizontal="center"/>
    </xf>
    <xf numFmtId="3" fontId="9" fillId="0" borderId="0" xfId="12" applyNumberFormat="1" applyFont="1" applyFill="1" applyAlignment="1">
      <alignment horizontal="left" vertical="top" wrapText="1"/>
    </xf>
    <xf numFmtId="3" fontId="40" fillId="0" borderId="27" xfId="12" applyNumberFormat="1" applyFont="1" applyFill="1" applyBorder="1" applyAlignment="1">
      <alignment horizontal="center"/>
    </xf>
    <xf numFmtId="3" fontId="13" fillId="0" borderId="52" xfId="2" applyNumberFormat="1" applyFont="1" applyBorder="1" applyAlignment="1">
      <alignment horizontal="center"/>
    </xf>
    <xf numFmtId="3" fontId="13" fillId="0" borderId="53" xfId="2" applyNumberFormat="1" applyFont="1" applyBorder="1" applyAlignment="1">
      <alignment horizontal="center"/>
    </xf>
    <xf numFmtId="0" fontId="13" fillId="0" borderId="52" xfId="2" applyFont="1" applyBorder="1" applyAlignment="1">
      <alignment horizontal="center"/>
    </xf>
    <xf numFmtId="0" fontId="13" fillId="0" borderId="51" xfId="2" applyFont="1" applyBorder="1" applyAlignment="1">
      <alignment horizontal="center"/>
    </xf>
    <xf numFmtId="170" fontId="13" fillId="0" borderId="3" xfId="2" quotePrefix="1" applyNumberFormat="1" applyFont="1" applyBorder="1" applyAlignment="1">
      <alignment horizontal="center" vertical="center" wrapText="1"/>
    </xf>
    <xf numFmtId="170" fontId="13" fillId="0" borderId="0" xfId="2" quotePrefix="1" applyNumberFormat="1" applyFont="1" applyBorder="1" applyAlignment="1">
      <alignment horizontal="center" vertical="center" wrapText="1"/>
    </xf>
    <xf numFmtId="170" fontId="13" fillId="0" borderId="10" xfId="2" quotePrefix="1" applyNumberFormat="1" applyFont="1" applyBorder="1" applyAlignment="1">
      <alignment horizontal="center" vertical="center" wrapText="1"/>
    </xf>
    <xf numFmtId="170" fontId="13" fillId="75" borderId="3" xfId="2" quotePrefix="1" applyNumberFormat="1" applyFont="1" applyFill="1" applyBorder="1" applyAlignment="1">
      <alignment horizontal="center" wrapText="1"/>
    </xf>
    <xf numFmtId="170" fontId="13" fillId="75" borderId="0" xfId="2" quotePrefix="1" applyNumberFormat="1" applyFont="1" applyFill="1" applyBorder="1" applyAlignment="1">
      <alignment horizontal="center" wrapText="1"/>
    </xf>
    <xf numFmtId="170" fontId="13" fillId="75" borderId="10" xfId="2" quotePrefix="1" applyNumberFormat="1" applyFont="1" applyFill="1" applyBorder="1" applyAlignment="1">
      <alignment horizontal="center" wrapText="1"/>
    </xf>
    <xf numFmtId="170" fontId="13" fillId="75" borderId="3" xfId="2" quotePrefix="1" applyNumberFormat="1" applyFont="1" applyFill="1" applyBorder="1" applyAlignment="1">
      <alignment horizontal="center" vertical="center" wrapText="1"/>
    </xf>
    <xf numFmtId="170" fontId="13" fillId="75" borderId="0" xfId="2" quotePrefix="1" applyNumberFormat="1" applyFont="1" applyFill="1" applyBorder="1" applyAlignment="1">
      <alignment horizontal="center" vertical="center" wrapText="1"/>
    </xf>
    <xf numFmtId="170" fontId="13" fillId="75" borderId="10" xfId="2" quotePrefix="1" applyNumberFormat="1"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10" xfId="2" applyFont="1" applyFill="1" applyBorder="1" applyAlignment="1">
      <alignment horizontal="center" vertical="center" wrapText="1"/>
    </xf>
    <xf numFmtId="3" fontId="32" fillId="0" borderId="0" xfId="12" applyNumberFormat="1" applyFont="1" applyFill="1" applyBorder="1" applyAlignment="1">
      <alignment horizontal="center"/>
    </xf>
    <xf numFmtId="170" fontId="13" fillId="75" borderId="0" xfId="2" applyNumberFormat="1" applyFont="1" applyFill="1" applyBorder="1" applyAlignment="1">
      <alignment horizontal="center" wrapText="1"/>
    </xf>
    <xf numFmtId="0" fontId="13" fillId="75" borderId="0" xfId="2" applyFont="1" applyFill="1" applyBorder="1" applyAlignment="1">
      <alignment horizontal="center" wrapText="1"/>
    </xf>
    <xf numFmtId="0" fontId="13" fillId="75" borderId="0" xfId="2" quotePrefix="1" applyFont="1" applyFill="1" applyBorder="1" applyAlignment="1">
      <alignment horizontal="center" wrapText="1"/>
    </xf>
    <xf numFmtId="0" fontId="13" fillId="75" borderId="10" xfId="2" quotePrefix="1" applyFont="1" applyFill="1" applyBorder="1" applyAlignment="1">
      <alignment horizontal="center" wrapText="1"/>
    </xf>
    <xf numFmtId="0" fontId="13" fillId="75" borderId="10" xfId="2" applyFont="1" applyFill="1" applyBorder="1" applyAlignment="1">
      <alignment horizontal="center" wrapText="1"/>
    </xf>
    <xf numFmtId="0" fontId="13" fillId="0" borderId="0" xfId="2" applyFont="1" applyBorder="1" applyAlignment="1">
      <alignment horizontal="center" vertical="center" wrapText="1"/>
    </xf>
    <xf numFmtId="0" fontId="13" fillId="0" borderId="10" xfId="2" applyFont="1" applyBorder="1" applyAlignment="1">
      <alignment horizontal="center" vertical="center" wrapText="1"/>
    </xf>
    <xf numFmtId="0" fontId="13" fillId="75" borderId="0" xfId="2" applyFont="1" applyFill="1" applyBorder="1" applyAlignment="1">
      <alignment horizontal="center" vertical="center" wrapText="1"/>
    </xf>
    <xf numFmtId="0" fontId="13" fillId="75" borderId="10" xfId="2" applyFont="1" applyFill="1" applyBorder="1" applyAlignment="1">
      <alignment horizontal="center" vertical="center" wrapText="1"/>
    </xf>
    <xf numFmtId="0" fontId="14" fillId="75" borderId="0" xfId="2" applyFont="1" applyFill="1" applyAlignment="1">
      <alignment horizontal="center"/>
    </xf>
    <xf numFmtId="10" fontId="33" fillId="0" borderId="0" xfId="21693" applyNumberFormat="1" applyFont="1" applyFill="1" applyBorder="1" applyAlignment="1">
      <alignment horizontal="center"/>
    </xf>
    <xf numFmtId="10" fontId="33" fillId="0" borderId="0" xfId="13" applyNumberFormat="1" applyFont="1" applyFill="1" applyBorder="1" applyAlignment="1">
      <alignment horizontal="center"/>
    </xf>
    <xf numFmtId="3" fontId="40" fillId="0" borderId="0" xfId="0" applyNumberFormat="1" applyFont="1" applyFill="1" applyBorder="1" applyAlignment="1">
      <alignment horizontal="center"/>
    </xf>
    <xf numFmtId="3" fontId="32"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0" fontId="18" fillId="0" borderId="0" xfId="0" applyFont="1" applyAlignment="1">
      <alignment horizontal="center"/>
    </xf>
    <xf numFmtId="0" fontId="146" fillId="0" borderId="0" xfId="0" applyFont="1" applyAlignment="1">
      <alignment horizontal="center" wrapText="1"/>
    </xf>
    <xf numFmtId="0" fontId="51" fillId="0" borderId="0" xfId="0" applyFont="1" applyAlignment="1">
      <alignment wrapText="1"/>
    </xf>
    <xf numFmtId="0" fontId="16" fillId="0" borderId="6" xfId="0" quotePrefix="1" applyFont="1" applyBorder="1" applyAlignment="1">
      <alignment horizontal="center"/>
    </xf>
    <xf numFmtId="0" fontId="16" fillId="0" borderId="0" xfId="0" quotePrefix="1" applyFont="1" applyBorder="1" applyAlignment="1">
      <alignment horizontal="center"/>
    </xf>
    <xf numFmtId="0" fontId="16" fillId="0" borderId="7" xfId="0" quotePrefix="1" applyFont="1" applyBorder="1" applyAlignment="1">
      <alignment horizontal="center"/>
    </xf>
  </cellXfs>
  <cellStyles count="42070">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8.2223937213586951E-2"/>
          <c:y val="0.15538905095681271"/>
          <c:w val="0.81089946451138351"/>
          <c:h val="0.77130458444727068"/>
        </c:manualLayout>
      </c:layout>
      <c:barChart>
        <c:barDir val="col"/>
        <c:grouping val="clustered"/>
        <c:ser>
          <c:idx val="0"/>
          <c:order val="0"/>
          <c:cat>
            <c:strRef>
              <c:f>'Cost Trends'!$K$218:$K$226</c:f>
              <c:strCache>
                <c:ptCount val="9"/>
                <c:pt idx="0">
                  <c:v>2007</c:v>
                </c:pt>
                <c:pt idx="1">
                  <c:v>2008</c:v>
                </c:pt>
                <c:pt idx="2">
                  <c:v>2009</c:v>
                </c:pt>
                <c:pt idx="3">
                  <c:v>2010</c:v>
                </c:pt>
                <c:pt idx="4">
                  <c:v>2011</c:v>
                </c:pt>
                <c:pt idx="5">
                  <c:v>2012</c:v>
                </c:pt>
                <c:pt idx="6">
                  <c:v>2013</c:v>
                </c:pt>
                <c:pt idx="7">
                  <c:v>2014</c:v>
                </c:pt>
                <c:pt idx="8">
                  <c:v>2016</c:v>
                </c:pt>
              </c:strCache>
            </c:strRef>
          </c:cat>
          <c:val>
            <c:numRef>
              <c:f>'Cost Trends'!$L$218:$L$226</c:f>
              <c:numCache>
                <c:formatCode>#,##0</c:formatCode>
                <c:ptCount val="9"/>
                <c:pt idx="0">
                  <c:v>145500</c:v>
                </c:pt>
                <c:pt idx="1">
                  <c:v>154054</c:v>
                </c:pt>
                <c:pt idx="2">
                  <c:v>173806</c:v>
                </c:pt>
                <c:pt idx="3">
                  <c:v>177901</c:v>
                </c:pt>
                <c:pt idx="4">
                  <c:v>183553</c:v>
                </c:pt>
                <c:pt idx="5">
                  <c:v>195287</c:v>
                </c:pt>
                <c:pt idx="6">
                  <c:v>207759</c:v>
                </c:pt>
                <c:pt idx="7">
                  <c:v>225901</c:v>
                </c:pt>
                <c:pt idx="8">
                  <c:v>257445</c:v>
                </c:pt>
              </c:numCache>
            </c:numRef>
          </c:val>
        </c:ser>
        <c:axId val="165506432"/>
        <c:axId val="167232640"/>
      </c:barChart>
      <c:catAx>
        <c:axId val="165506432"/>
        <c:scaling>
          <c:orientation val="minMax"/>
        </c:scaling>
        <c:axPos val="b"/>
        <c:tickLblPos val="nextTo"/>
        <c:crossAx val="167232640"/>
        <c:crosses val="autoZero"/>
        <c:auto val="1"/>
        <c:lblAlgn val="ctr"/>
        <c:lblOffset val="100"/>
      </c:catAx>
      <c:valAx>
        <c:axId val="167232640"/>
        <c:scaling>
          <c:orientation val="minMax"/>
          <c:max val="260000"/>
          <c:min val="0"/>
        </c:scaling>
        <c:axPos val="l"/>
        <c:majorGridlines/>
        <c:numFmt formatCode="#,##0" sourceLinked="1"/>
        <c:tickLblPos val="nextTo"/>
        <c:crossAx val="165506432"/>
        <c:crosses val="autoZero"/>
        <c:crossBetween val="between"/>
        <c:majorUnit val="50000"/>
        <c:minorUnit val="10000"/>
      </c:valAx>
    </c:plotArea>
    <c:plotVisOnly val="1"/>
  </c:chart>
  <c:printSettings>
    <c:headerFooter/>
    <c:pageMargins b="0.75000000000000244" l="0.70000000000000062" r="0.70000000000000062" t="0.750000000000002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24848</xdr:colOff>
      <xdr:row>232</xdr:row>
      <xdr:rowOff>57978</xdr:rowOff>
    </xdr:from>
    <xdr:to>
      <xdr:col>17</xdr:col>
      <xdr:colOff>521804</xdr:colOff>
      <xdr:row>260</xdr:row>
      <xdr:rowOff>124238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0.12775</cdr:x>
      <cdr:y>0.24809</cdr:y>
    </cdr:from>
    <cdr:to>
      <cdr:x>0.84802</cdr:x>
      <cdr:y>0.49046</cdr:y>
    </cdr:to>
    <cdr:sp macro="" textlink="">
      <cdr:nvSpPr>
        <cdr:cNvPr id="3" name="Straight Arrow Connector 2"/>
        <cdr:cNvSpPr/>
      </cdr:nvSpPr>
      <cdr:spPr bwMode="auto">
        <a:xfrm xmlns:a="http://schemas.openxmlformats.org/drawingml/2006/main" flipV="1">
          <a:off x="960782" y="1076740"/>
          <a:ext cx="5416826" cy="1051891"/>
        </a:xfrm>
        <a:prstGeom xmlns:a="http://schemas.openxmlformats.org/drawingml/2006/main" prst="straightConnector1">
          <a:avLst/>
        </a:prstGeom>
        <a:solidFill xmlns:a="http://schemas.openxmlformats.org/drawingml/2006/main">
          <a:srgbClr val="FFFFFF"/>
        </a:solidFill>
        <a:ln xmlns:a="http://schemas.openxmlformats.org/drawingml/2006/main" w="19050" cap="flat" cmpd="sng" algn="ctr">
          <a:solidFill>
            <a:schemeClr val="tx1"/>
          </a:solidFill>
          <a:prstDash val="solid"/>
          <a:round/>
          <a:headEnd type="none" w="med" len="med"/>
          <a:tailEnd type="arrow"/>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0.7533</cdr:x>
      <cdr:y>0.16603</cdr:y>
    </cdr:from>
    <cdr:to>
      <cdr:x>0.85463</cdr:x>
      <cdr:y>0.27481</cdr:y>
    </cdr:to>
    <cdr:sp macro="" textlink="">
      <cdr:nvSpPr>
        <cdr:cNvPr id="5" name="Straight Arrow Connector 4"/>
        <cdr:cNvSpPr/>
      </cdr:nvSpPr>
      <cdr:spPr bwMode="auto">
        <a:xfrm xmlns:a="http://schemas.openxmlformats.org/drawingml/2006/main" flipV="1">
          <a:off x="5665304" y="720588"/>
          <a:ext cx="762000" cy="472108"/>
        </a:xfrm>
        <a:prstGeom xmlns:a="http://schemas.openxmlformats.org/drawingml/2006/main" prst="straightConnector1">
          <a:avLst/>
        </a:prstGeom>
        <a:solidFill xmlns:a="http://schemas.openxmlformats.org/drawingml/2006/main">
          <a:srgbClr val="FFFFFF"/>
        </a:solidFill>
        <a:ln xmlns:a="http://schemas.openxmlformats.org/drawingml/2006/main" w="25400" cap="flat" cmpd="sng" algn="ctr">
          <a:solidFill>
            <a:srgbClr val="FF0000"/>
          </a:solidFill>
          <a:prstDash val="solid"/>
          <a:round/>
          <a:headEnd type="none" w="med" len="med"/>
          <a:tailEnd type="arrow"/>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0.23348</cdr:x>
      <cdr:y>0.02863</cdr:y>
    </cdr:from>
    <cdr:to>
      <cdr:x>0.77863</cdr:x>
      <cdr:y>0.17748</cdr:y>
    </cdr:to>
    <cdr:sp macro="" textlink="">
      <cdr:nvSpPr>
        <cdr:cNvPr id="6" name="TextBox 5"/>
        <cdr:cNvSpPr txBox="1"/>
      </cdr:nvSpPr>
      <cdr:spPr>
        <a:xfrm xmlns:a="http://schemas.openxmlformats.org/drawingml/2006/main">
          <a:off x="1755913" y="124239"/>
          <a:ext cx="4099891" cy="6460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Washington Natural</a:t>
          </a:r>
          <a:r>
            <a:rPr lang="en-US" sz="1400" baseline="0"/>
            <a:t> Gas</a:t>
          </a:r>
        </a:p>
        <a:p xmlns:a="http://schemas.openxmlformats.org/drawingml/2006/main">
          <a:pPr algn="ctr"/>
          <a:r>
            <a:rPr lang="en-US" sz="1400" baseline="0"/>
            <a:t>Net plant After DFIT (AMA) 2007-2016</a:t>
          </a:r>
          <a:endParaRPr lang="en-US" sz="1400"/>
        </a:p>
      </cdr:txBody>
    </cdr:sp>
  </cdr:relSizeAnchor>
  <cdr:relSizeAnchor xmlns:cdr="http://schemas.openxmlformats.org/drawingml/2006/chartDrawing">
    <cdr:from>
      <cdr:x>0.13326</cdr:x>
      <cdr:y>0.26527</cdr:y>
    </cdr:from>
    <cdr:to>
      <cdr:x>0.56608</cdr:x>
      <cdr:y>0.32824</cdr:y>
    </cdr:to>
    <cdr:sp macro="" textlink="">
      <cdr:nvSpPr>
        <cdr:cNvPr id="7" name="TextBox 6"/>
        <cdr:cNvSpPr txBox="1"/>
      </cdr:nvSpPr>
      <cdr:spPr>
        <a:xfrm xmlns:a="http://schemas.openxmlformats.org/drawingml/2006/main">
          <a:off x="1002194" y="1151283"/>
          <a:ext cx="3255065" cy="2733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200"/>
            <a:t>Average increase 2007-09.2014 = $11.5M</a:t>
          </a:r>
        </a:p>
      </cdr:txBody>
    </cdr:sp>
  </cdr:relSizeAnchor>
  <cdr:relSizeAnchor xmlns:cdr="http://schemas.openxmlformats.org/drawingml/2006/chartDrawing">
    <cdr:from>
      <cdr:x>0.75043</cdr:x>
      <cdr:y>0.14775</cdr:y>
    </cdr:from>
    <cdr:to>
      <cdr:x>0.84784</cdr:x>
      <cdr:y>0.20501</cdr:y>
    </cdr:to>
    <cdr:sp macro="" textlink="">
      <cdr:nvSpPr>
        <cdr:cNvPr id="8" name="TextBox 7"/>
        <cdr:cNvSpPr txBox="1"/>
      </cdr:nvSpPr>
      <cdr:spPr>
        <a:xfrm xmlns:a="http://schemas.openxmlformats.org/drawingml/2006/main" rot="19787850">
          <a:off x="5390729" y="648732"/>
          <a:ext cx="699721" cy="25140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$31.5M</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dimension ref="A1:M35"/>
  <sheetViews>
    <sheetView tabSelected="1" view="pageBreakPreview" zoomScale="115" zoomScaleNormal="100" zoomScaleSheetLayoutView="115" workbookViewId="0">
      <selection activeCell="C34" sqref="C34:M34"/>
    </sheetView>
  </sheetViews>
  <sheetFormatPr defaultRowHeight="12.75"/>
  <cols>
    <col min="1" max="1" width="7.140625" customWidth="1"/>
    <col min="2" max="2" width="3" bestFit="1" customWidth="1"/>
    <col min="3" max="3" width="28.85546875" customWidth="1"/>
    <col min="4" max="5" width="2" customWidth="1"/>
    <col min="6" max="6" width="12.42578125" customWidth="1"/>
    <col min="7" max="7" width="12.5703125" bestFit="1" customWidth="1"/>
    <col min="8" max="8" width="15.85546875" bestFit="1" customWidth="1"/>
    <col min="9" max="9" width="13.5703125" bestFit="1" customWidth="1"/>
    <col min="10" max="10" width="11.7109375" customWidth="1"/>
    <col min="11" max="11" width="13.42578125" hidden="1" customWidth="1"/>
    <col min="12" max="12" width="15.85546875" customWidth="1"/>
    <col min="13" max="13" width="17" customWidth="1"/>
  </cols>
  <sheetData>
    <row r="1" spans="1:13" s="243" customFormat="1" ht="14.25">
      <c r="A1" s="464" t="s">
        <v>43</v>
      </c>
      <c r="B1" s="464"/>
      <c r="C1" s="464"/>
      <c r="D1" s="464"/>
      <c r="E1" s="464"/>
      <c r="F1" s="464"/>
      <c r="G1" s="464"/>
      <c r="H1" s="464"/>
      <c r="I1" s="464"/>
      <c r="J1" s="464"/>
      <c r="K1" s="464"/>
      <c r="L1" s="464"/>
      <c r="M1" s="464"/>
    </row>
    <row r="2" spans="1:13" s="243" customFormat="1" ht="14.25">
      <c r="A2" s="464" t="s">
        <v>416</v>
      </c>
      <c r="B2" s="464"/>
      <c r="C2" s="464"/>
      <c r="D2" s="464"/>
      <c r="E2" s="464"/>
      <c r="F2" s="464"/>
      <c r="G2" s="464"/>
      <c r="H2" s="464"/>
      <c r="I2" s="464"/>
      <c r="J2" s="464"/>
      <c r="K2" s="464"/>
      <c r="L2" s="464"/>
      <c r="M2" s="464"/>
    </row>
    <row r="3" spans="1:13" s="243" customFormat="1" ht="14.25">
      <c r="A3" s="464" t="s">
        <v>236</v>
      </c>
      <c r="B3" s="464"/>
      <c r="C3" s="464"/>
      <c r="D3" s="464"/>
      <c r="E3" s="464"/>
      <c r="F3" s="464"/>
      <c r="G3" s="464"/>
      <c r="H3" s="464"/>
      <c r="I3" s="464"/>
      <c r="J3" s="464"/>
      <c r="K3" s="464"/>
      <c r="L3" s="464"/>
      <c r="M3" s="464"/>
    </row>
    <row r="4" spans="1:13" s="243" customFormat="1" ht="14.25">
      <c r="A4" s="464" t="s">
        <v>221</v>
      </c>
      <c r="B4" s="464"/>
      <c r="C4" s="464"/>
      <c r="D4" s="464"/>
      <c r="E4" s="464"/>
      <c r="F4" s="464"/>
      <c r="G4" s="464"/>
      <c r="H4" s="464"/>
      <c r="I4" s="464"/>
      <c r="J4" s="464"/>
      <c r="K4" s="464"/>
      <c r="L4" s="464"/>
      <c r="M4" s="464"/>
    </row>
    <row r="5" spans="1:13" s="243" customFormat="1" ht="12.75" customHeight="1">
      <c r="A5" s="464" t="s">
        <v>528</v>
      </c>
      <c r="B5" s="464"/>
      <c r="C5" s="464"/>
      <c r="D5" s="464"/>
      <c r="E5" s="464"/>
      <c r="F5" s="464"/>
      <c r="G5" s="464"/>
      <c r="H5" s="464"/>
      <c r="I5" s="464"/>
      <c r="J5" s="464"/>
      <c r="K5" s="464"/>
      <c r="L5" s="464"/>
      <c r="M5" s="464"/>
    </row>
    <row r="6" spans="1:13" s="243" customFormat="1" ht="14.25">
      <c r="A6" s="464" t="s">
        <v>237</v>
      </c>
      <c r="B6" s="464"/>
      <c r="C6" s="464"/>
      <c r="D6" s="464"/>
      <c r="E6" s="464"/>
      <c r="F6" s="464"/>
      <c r="G6" s="464"/>
      <c r="H6" s="464"/>
      <c r="I6" s="464"/>
      <c r="J6" s="464"/>
      <c r="K6" s="464"/>
      <c r="L6" s="464"/>
      <c r="M6" s="464"/>
    </row>
    <row r="7" spans="1:13">
      <c r="A7" s="173"/>
      <c r="B7" s="173"/>
      <c r="C7" s="173"/>
      <c r="D7" s="173"/>
      <c r="E7" s="173"/>
      <c r="F7" s="173"/>
      <c r="G7" s="173"/>
      <c r="H7" s="173"/>
      <c r="I7" s="173"/>
      <c r="J7" s="173"/>
      <c r="L7" s="115"/>
    </row>
    <row r="8" spans="1:13">
      <c r="A8" s="173"/>
      <c r="B8" s="173"/>
      <c r="C8" s="173"/>
      <c r="D8" s="173"/>
      <c r="E8" s="173"/>
      <c r="F8" s="173" t="s">
        <v>238</v>
      </c>
      <c r="G8" s="173" t="s">
        <v>239</v>
      </c>
      <c r="H8" s="173" t="s">
        <v>240</v>
      </c>
      <c r="I8" s="389" t="s">
        <v>413</v>
      </c>
      <c r="J8" s="173" t="s">
        <v>241</v>
      </c>
      <c r="L8" s="177"/>
    </row>
    <row r="9" spans="1:13">
      <c r="A9" s="173" t="s">
        <v>205</v>
      </c>
      <c r="B9" s="173"/>
      <c r="C9" s="173"/>
      <c r="D9" s="173"/>
      <c r="E9" s="173"/>
      <c r="F9" s="173" t="s">
        <v>242</v>
      </c>
      <c r="G9" s="173" t="s">
        <v>243</v>
      </c>
      <c r="H9" s="173" t="s">
        <v>244</v>
      </c>
      <c r="I9" s="389" t="s">
        <v>414</v>
      </c>
      <c r="J9" s="290" t="s">
        <v>417</v>
      </c>
      <c r="L9" s="177"/>
    </row>
    <row r="10" spans="1:13">
      <c r="A10" s="176" t="s">
        <v>2</v>
      </c>
      <c r="B10" s="173"/>
      <c r="C10" s="176" t="s">
        <v>88</v>
      </c>
      <c r="D10" s="177"/>
      <c r="E10" s="177"/>
      <c r="F10" s="176" t="s">
        <v>245</v>
      </c>
      <c r="G10" s="176" t="s">
        <v>246</v>
      </c>
      <c r="H10" s="176" t="s">
        <v>245</v>
      </c>
      <c r="I10" s="390" t="s">
        <v>415</v>
      </c>
      <c r="J10" s="176" t="s">
        <v>258</v>
      </c>
      <c r="L10" s="177"/>
    </row>
    <row r="11" spans="1:13">
      <c r="A11" s="166"/>
      <c r="B11" s="166"/>
      <c r="C11" s="166"/>
      <c r="D11" s="166"/>
      <c r="E11" s="166"/>
      <c r="F11" s="166"/>
      <c r="G11" s="166"/>
      <c r="H11" s="166"/>
      <c r="I11" s="166"/>
      <c r="J11" s="166"/>
      <c r="L11" s="115"/>
    </row>
    <row r="12" spans="1:13">
      <c r="A12" s="181">
        <v>1</v>
      </c>
      <c r="B12" s="166"/>
      <c r="C12" s="166" t="s">
        <v>247</v>
      </c>
      <c r="D12" s="166"/>
      <c r="E12" s="166"/>
      <c r="F12" s="213">
        <f>'Attrition 09.2014 to 2016'!Q86</f>
        <v>281801.00000000303</v>
      </c>
      <c r="G12" s="212">
        <f>'Attrition 09.2014 to 2016'!Q97</f>
        <v>0.99762828340933107</v>
      </c>
      <c r="H12" s="213">
        <f>F12/G12</f>
        <v>282470.94101719535</v>
      </c>
      <c r="I12" s="213">
        <v>0</v>
      </c>
      <c r="J12" s="213">
        <f>H12+I12</f>
        <v>282470.94101719535</v>
      </c>
      <c r="L12" s="115"/>
    </row>
    <row r="13" spans="1:13">
      <c r="A13" s="181"/>
      <c r="B13" s="166"/>
      <c r="C13" s="166"/>
      <c r="D13" s="166"/>
      <c r="E13" s="166"/>
      <c r="F13" s="213"/>
      <c r="G13" s="213"/>
      <c r="H13" s="213"/>
      <c r="I13" s="213"/>
      <c r="J13" s="213"/>
      <c r="L13" s="115"/>
    </row>
    <row r="14" spans="1:13">
      <c r="A14" s="181">
        <v>2</v>
      </c>
      <c r="B14" s="166"/>
      <c r="C14" s="166" t="s">
        <v>125</v>
      </c>
      <c r="D14" s="166"/>
      <c r="E14" s="166"/>
      <c r="F14" s="214"/>
      <c r="G14" s="215"/>
      <c r="H14" s="216">
        <f>ROR!F15</f>
        <v>7.2900000000000006E-2</v>
      </c>
      <c r="I14" s="216"/>
      <c r="J14" s="216">
        <f>H14</f>
        <v>7.2900000000000006E-2</v>
      </c>
      <c r="L14" s="115"/>
    </row>
    <row r="15" spans="1:13">
      <c r="A15" s="181"/>
      <c r="B15" s="166"/>
      <c r="C15" s="166"/>
      <c r="D15" s="166"/>
      <c r="E15" s="166"/>
      <c r="F15" s="215"/>
      <c r="G15" s="215"/>
      <c r="H15" s="215"/>
      <c r="I15" s="215"/>
      <c r="J15" s="215"/>
      <c r="L15" s="115"/>
    </row>
    <row r="16" spans="1:13">
      <c r="A16" s="181">
        <v>3</v>
      </c>
      <c r="B16" s="166"/>
      <c r="C16" s="166" t="s">
        <v>126</v>
      </c>
      <c r="D16" s="166"/>
      <c r="E16" s="166"/>
      <c r="F16" s="217"/>
      <c r="G16" s="213"/>
      <c r="H16" s="217">
        <f>ROUND(H12*H14,0)</f>
        <v>20592</v>
      </c>
      <c r="I16" s="217">
        <f>ROUND(I12*I14,0)</f>
        <v>0</v>
      </c>
      <c r="J16" s="217">
        <f>ROUND(J12*J14,0)</f>
        <v>20592</v>
      </c>
      <c r="L16" s="115"/>
    </row>
    <row r="17" spans="1:13">
      <c r="A17" s="181"/>
      <c r="B17" s="166"/>
      <c r="C17" s="166"/>
      <c r="D17" s="166"/>
      <c r="E17" s="166"/>
      <c r="F17" s="213"/>
      <c r="G17" s="213"/>
      <c r="H17" s="213"/>
      <c r="I17" s="213"/>
      <c r="J17" s="213"/>
      <c r="L17" s="115"/>
    </row>
    <row r="18" spans="1:13">
      <c r="A18" s="181">
        <v>4</v>
      </c>
      <c r="B18" s="166"/>
      <c r="C18" s="166" t="s">
        <v>248</v>
      </c>
      <c r="D18" s="166"/>
      <c r="E18" s="166"/>
      <c r="F18" s="233">
        <f>'Attrition 09.2014 to 2016'!Q65</f>
        <v>14991.880196155926</v>
      </c>
      <c r="G18" s="388">
        <f>G12</f>
        <v>0.99762828340933107</v>
      </c>
      <c r="H18" s="218">
        <f>F18/G18</f>
        <v>15027.521217544205</v>
      </c>
      <c r="I18" s="218">
        <v>-460</v>
      </c>
      <c r="J18" s="218">
        <f>H18+I18</f>
        <v>14567.521217544205</v>
      </c>
      <c r="L18" s="115"/>
    </row>
    <row r="19" spans="1:13">
      <c r="A19" s="181"/>
      <c r="B19" s="166"/>
      <c r="C19" s="166"/>
      <c r="D19" s="166"/>
      <c r="E19" s="166"/>
      <c r="F19" s="166"/>
      <c r="G19" s="166"/>
      <c r="H19" s="166"/>
      <c r="I19" s="166"/>
      <c r="J19" s="166"/>
      <c r="L19" s="115"/>
    </row>
    <row r="20" spans="1:13">
      <c r="A20" s="181">
        <v>5</v>
      </c>
      <c r="B20" s="166"/>
      <c r="C20" s="166" t="s">
        <v>128</v>
      </c>
      <c r="D20" s="166"/>
      <c r="E20" s="166"/>
      <c r="F20" s="213"/>
      <c r="G20" s="213"/>
      <c r="H20" s="213">
        <f>H16-H18</f>
        <v>5564.4787824557952</v>
      </c>
      <c r="I20" s="213">
        <f>I16-I18</f>
        <v>460</v>
      </c>
      <c r="J20" s="213">
        <f>J16-J18</f>
        <v>6024.4787824557952</v>
      </c>
      <c r="L20" s="115"/>
    </row>
    <row r="21" spans="1:13">
      <c r="A21" s="181"/>
      <c r="B21" s="166"/>
      <c r="C21" s="166"/>
      <c r="D21" s="166"/>
      <c r="E21" s="166"/>
      <c r="F21" s="166"/>
      <c r="G21" s="166"/>
      <c r="H21" s="166"/>
      <c r="I21" s="166"/>
      <c r="J21" s="166"/>
      <c r="L21" s="115"/>
    </row>
    <row r="22" spans="1:13">
      <c r="A22" s="181">
        <v>6</v>
      </c>
      <c r="B22" s="166"/>
      <c r="C22" s="166" t="s">
        <v>129</v>
      </c>
      <c r="D22" s="166"/>
      <c r="E22" s="166"/>
      <c r="F22" s="219"/>
      <c r="G22" s="166"/>
      <c r="H22" s="219">
        <f>'Attrition 09.2014 to 2016'!Q95</f>
        <v>0.62031999999999998</v>
      </c>
      <c r="I22" s="219">
        <f>H22</f>
        <v>0.62031999999999998</v>
      </c>
      <c r="J22" s="219">
        <f>H22</f>
        <v>0.62031999999999998</v>
      </c>
      <c r="L22" s="115"/>
    </row>
    <row r="23" spans="1:13">
      <c r="A23" s="181"/>
      <c r="B23" s="166"/>
      <c r="C23" s="166"/>
      <c r="D23" s="166"/>
      <c r="E23" s="166"/>
      <c r="F23" s="220"/>
      <c r="G23" s="166"/>
      <c r="H23" s="166"/>
      <c r="I23" s="166"/>
      <c r="L23" s="371"/>
    </row>
    <row r="24" spans="1:13">
      <c r="A24" s="181">
        <v>7</v>
      </c>
      <c r="B24" s="166"/>
      <c r="C24" s="166" t="s">
        <v>249</v>
      </c>
      <c r="D24" s="166"/>
      <c r="E24" s="166"/>
      <c r="F24" s="221"/>
      <c r="G24" s="222"/>
      <c r="H24" s="234">
        <f>ROUND(H20/H22,0)+1</f>
        <v>8971</v>
      </c>
      <c r="I24" s="223">
        <f>ROUND(I20/I22,0)</f>
        <v>742</v>
      </c>
      <c r="J24" s="234">
        <f>ROUND(J20/J22,0)+1</f>
        <v>9713</v>
      </c>
      <c r="L24" s="221"/>
      <c r="M24" s="370"/>
    </row>
    <row r="25" spans="1:13">
      <c r="A25" s="181"/>
      <c r="B25" s="166"/>
      <c r="C25" s="166"/>
      <c r="D25" s="166"/>
      <c r="E25" s="166"/>
      <c r="F25" s="221"/>
      <c r="G25" s="222"/>
      <c r="H25" s="221"/>
      <c r="I25" s="224"/>
      <c r="J25" s="225"/>
      <c r="L25" s="115"/>
    </row>
    <row r="26" spans="1:13">
      <c r="A26" s="181">
        <v>8</v>
      </c>
      <c r="B26" s="226"/>
      <c r="C26" s="166" t="s">
        <v>250</v>
      </c>
      <c r="D26" s="166"/>
      <c r="E26" s="166"/>
      <c r="F26" s="222"/>
      <c r="G26" s="222"/>
      <c r="J26" s="235">
        <f>'Attrition 09.2014 to 2016'!M12+'Attrition 09.2014 to 2016'!M13+'Attrition 09.2014 to 2016'!O15</f>
        <v>170914</v>
      </c>
      <c r="K26" s="222"/>
      <c r="L26" s="236"/>
    </row>
    <row r="27" spans="1:13">
      <c r="A27" s="181"/>
      <c r="B27" s="226"/>
      <c r="C27" s="166"/>
      <c r="D27" s="166"/>
      <c r="E27" s="166"/>
      <c r="F27" s="220"/>
      <c r="G27" s="166"/>
      <c r="J27" s="166"/>
      <c r="L27" s="227"/>
    </row>
    <row r="28" spans="1:13" ht="13.5" thickBot="1">
      <c r="A28" s="181">
        <v>9</v>
      </c>
      <c r="B28" s="226"/>
      <c r="C28" s="166" t="s">
        <v>251</v>
      </c>
      <c r="D28" s="166"/>
      <c r="E28" s="166"/>
      <c r="F28" s="228"/>
      <c r="G28" s="214"/>
      <c r="J28" s="229">
        <f>J24/J26</f>
        <v>5.6829750634822193E-2</v>
      </c>
      <c r="L28" s="228"/>
    </row>
    <row r="29" spans="1:13" ht="13.5" thickTop="1">
      <c r="A29" s="230"/>
      <c r="B29" s="230"/>
      <c r="C29" s="230"/>
      <c r="D29" s="230"/>
      <c r="E29" s="230"/>
      <c r="F29" s="231"/>
      <c r="G29" s="230"/>
      <c r="H29" s="230"/>
      <c r="I29" s="230"/>
      <c r="J29" s="230"/>
    </row>
    <row r="30" spans="1:13">
      <c r="F30" s="115"/>
    </row>
    <row r="31" spans="1:13" ht="11.25" customHeight="1">
      <c r="F31" s="115"/>
    </row>
    <row r="32" spans="1:13">
      <c r="F32" s="115"/>
    </row>
    <row r="33" spans="1:13">
      <c r="F33" s="115"/>
    </row>
    <row r="34" spans="1:13" ht="42.75" customHeight="1">
      <c r="A34" s="232" t="s">
        <v>252</v>
      </c>
      <c r="B34" s="232" t="s">
        <v>253</v>
      </c>
      <c r="C34" s="462" t="s">
        <v>554</v>
      </c>
      <c r="D34" s="462"/>
      <c r="E34" s="462"/>
      <c r="F34" s="462"/>
      <c r="G34" s="462"/>
      <c r="H34" s="462"/>
      <c r="I34" s="462"/>
      <c r="J34" s="462"/>
      <c r="K34" s="462"/>
      <c r="L34" s="462"/>
      <c r="M34" s="462"/>
    </row>
    <row r="35" spans="1:13">
      <c r="B35" s="237"/>
      <c r="C35" s="463"/>
      <c r="D35" s="463"/>
      <c r="E35" s="463"/>
      <c r="F35" s="463"/>
      <c r="G35" s="463"/>
      <c r="H35" s="463"/>
      <c r="I35" s="463"/>
      <c r="J35" s="463"/>
      <c r="K35" s="463"/>
      <c r="L35" s="463"/>
      <c r="M35" s="463"/>
    </row>
  </sheetData>
  <mergeCells count="8">
    <mergeCell ref="C34:M34"/>
    <mergeCell ref="C35:M35"/>
    <mergeCell ref="A1:M1"/>
    <mergeCell ref="A3:M3"/>
    <mergeCell ref="A4:M4"/>
    <mergeCell ref="A5:M5"/>
    <mergeCell ref="A6:M6"/>
    <mergeCell ref="A2:M2"/>
  </mergeCells>
  <pageMargins left="0.7" right="0.7" top="0.75" bottom="0.75" header="0.3" footer="0.3"/>
  <pageSetup scale="85" orientation="landscape" r:id="rId1"/>
  <headerFooter scaleWithDoc="0">
    <oddFooter>&amp;LStaff_DR_130-Attachment C&amp;RPage &amp;P of &amp;N</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dimension ref="A1:N263"/>
  <sheetViews>
    <sheetView tabSelected="1" view="pageBreakPreview" zoomScale="115" zoomScaleNormal="100" zoomScaleSheetLayoutView="115" workbookViewId="0">
      <selection activeCell="C34" sqref="C34:M34"/>
    </sheetView>
  </sheetViews>
  <sheetFormatPr defaultRowHeight="12.75"/>
  <cols>
    <col min="4" max="6" width="9.28515625" bestFit="1" customWidth="1"/>
    <col min="8" max="8" width="2.140625" customWidth="1"/>
    <col min="9" max="9" width="2.28515625" customWidth="1"/>
    <col min="10" max="10" width="5.42578125" customWidth="1"/>
    <col min="11" max="11" width="3.28515625" customWidth="1"/>
    <col min="13" max="13" width="24.140625" customWidth="1"/>
    <col min="14" max="14" width="11.85546875" bestFit="1" customWidth="1"/>
    <col min="15" max="15" width="3.140625" customWidth="1"/>
  </cols>
  <sheetData>
    <row r="1" spans="1:14" ht="15">
      <c r="A1" s="160"/>
      <c r="B1" s="160"/>
      <c r="C1" s="160"/>
      <c r="D1" s="160"/>
      <c r="E1" s="160"/>
      <c r="F1" s="160"/>
      <c r="G1" s="160"/>
      <c r="H1" s="160"/>
      <c r="I1" s="160"/>
      <c r="J1" s="161"/>
      <c r="K1" s="161"/>
      <c r="L1" s="161"/>
      <c r="M1" s="161"/>
      <c r="N1" s="162"/>
    </row>
    <row r="2" spans="1:14" ht="15">
      <c r="A2" s="465" t="s">
        <v>43</v>
      </c>
      <c r="B2" s="465"/>
      <c r="C2" s="465"/>
      <c r="D2" s="465"/>
      <c r="E2" s="465"/>
      <c r="F2" s="465"/>
      <c r="G2" s="465"/>
      <c r="H2" s="160"/>
      <c r="I2" s="160"/>
      <c r="J2" s="161" t="s">
        <v>202</v>
      </c>
      <c r="K2" s="161"/>
      <c r="L2" s="161"/>
      <c r="M2" s="161"/>
      <c r="N2" s="162"/>
    </row>
    <row r="3" spans="1:14" ht="15">
      <c r="A3" s="466" t="s">
        <v>553</v>
      </c>
      <c r="B3" s="466"/>
      <c r="C3" s="466"/>
      <c r="D3" s="466"/>
      <c r="E3" s="466"/>
      <c r="F3" s="466"/>
      <c r="G3" s="466"/>
      <c r="H3" s="160"/>
      <c r="I3" s="160"/>
      <c r="J3" s="161" t="s">
        <v>222</v>
      </c>
      <c r="K3" s="161"/>
      <c r="L3" s="161"/>
      <c r="M3" s="161"/>
      <c r="N3" s="162"/>
    </row>
    <row r="4" spans="1:14" ht="15.75" customHeight="1">
      <c r="A4" s="465" t="s">
        <v>221</v>
      </c>
      <c r="B4" s="465"/>
      <c r="C4" s="465"/>
      <c r="D4" s="465"/>
      <c r="E4" s="465"/>
      <c r="F4" s="465"/>
      <c r="G4" s="465"/>
      <c r="H4" s="160"/>
      <c r="I4" s="160"/>
      <c r="J4" s="438" t="s">
        <v>528</v>
      </c>
      <c r="K4" s="438"/>
      <c r="L4" s="438"/>
      <c r="M4" s="438"/>
      <c r="N4" s="439"/>
    </row>
    <row r="5" spans="1:14" ht="15.75" thickBot="1">
      <c r="A5" s="465"/>
      <c r="B5" s="465"/>
      <c r="C5" s="465"/>
      <c r="D5" s="465"/>
      <c r="E5" s="465"/>
      <c r="F5" s="465"/>
      <c r="G5" s="465"/>
      <c r="H5" s="160"/>
      <c r="I5" s="160"/>
      <c r="J5" s="166"/>
      <c r="K5" s="166"/>
      <c r="L5" s="166"/>
      <c r="M5" s="166"/>
      <c r="N5" s="167"/>
    </row>
    <row r="6" spans="1:14" ht="15">
      <c r="A6" s="163" t="s">
        <v>218</v>
      </c>
      <c r="B6" s="164"/>
      <c r="C6" s="164"/>
      <c r="D6" s="164"/>
      <c r="E6" s="164"/>
      <c r="F6" s="164"/>
      <c r="G6" s="165"/>
      <c r="H6" s="160"/>
      <c r="I6" s="160"/>
      <c r="J6" s="173" t="s">
        <v>205</v>
      </c>
      <c r="K6" s="173"/>
      <c r="L6" s="173"/>
      <c r="M6" s="173"/>
      <c r="N6" s="174"/>
    </row>
    <row r="7" spans="1:14" ht="15">
      <c r="A7" s="168"/>
      <c r="B7" s="169"/>
      <c r="C7" s="169"/>
      <c r="D7" s="170"/>
      <c r="E7" s="171"/>
      <c r="F7" s="170"/>
      <c r="G7" s="172"/>
      <c r="H7" s="160"/>
      <c r="I7" s="160"/>
      <c r="J7" s="176" t="s">
        <v>2</v>
      </c>
      <c r="K7" s="173"/>
      <c r="L7" s="176" t="s">
        <v>88</v>
      </c>
      <c r="M7" s="177"/>
      <c r="N7" s="178" t="s">
        <v>163</v>
      </c>
    </row>
    <row r="8" spans="1:14" ht="15">
      <c r="A8" s="168"/>
      <c r="B8" s="175"/>
      <c r="C8" s="170"/>
      <c r="D8" s="170" t="s">
        <v>206</v>
      </c>
      <c r="E8" s="170"/>
      <c r="F8" s="170" t="s">
        <v>108</v>
      </c>
      <c r="G8" s="172"/>
      <c r="H8" s="160"/>
      <c r="I8" s="160"/>
      <c r="J8" s="166"/>
      <c r="K8" s="166"/>
      <c r="L8" s="166"/>
      <c r="M8" s="166"/>
      <c r="N8" s="167"/>
    </row>
    <row r="9" spans="1:14" ht="15">
      <c r="A9" s="168"/>
      <c r="B9" s="179" t="s">
        <v>207</v>
      </c>
      <c r="C9" s="170"/>
      <c r="D9" s="179" t="s">
        <v>208</v>
      </c>
      <c r="E9" s="179" t="s">
        <v>164</v>
      </c>
      <c r="F9" s="179" t="s">
        <v>164</v>
      </c>
      <c r="G9" s="172"/>
      <c r="H9" s="160"/>
      <c r="I9" s="160"/>
      <c r="J9" s="181">
        <v>1</v>
      </c>
      <c r="K9" s="166"/>
      <c r="L9" s="182" t="s">
        <v>209</v>
      </c>
      <c r="M9" s="166"/>
      <c r="N9" s="183">
        <v>1</v>
      </c>
    </row>
    <row r="10" spans="1:14" ht="15">
      <c r="A10" s="168"/>
      <c r="B10" s="169"/>
      <c r="C10" s="169"/>
      <c r="D10" s="169"/>
      <c r="E10" s="171"/>
      <c r="F10" s="169"/>
      <c r="G10" s="180"/>
      <c r="H10" s="160"/>
      <c r="I10" s="160"/>
      <c r="J10" s="181"/>
      <c r="K10" s="166"/>
      <c r="L10" s="166"/>
      <c r="M10" s="166"/>
      <c r="N10" s="183"/>
    </row>
    <row r="11" spans="1:14" ht="15">
      <c r="A11" s="168"/>
      <c r="B11" s="175" t="s">
        <v>210</v>
      </c>
      <c r="C11" s="184"/>
      <c r="D11" s="185">
        <f>100%-D13</f>
        <v>0.51500000000000001</v>
      </c>
      <c r="E11" s="185">
        <v>5.1999999999999998E-2</v>
      </c>
      <c r="F11" s="460">
        <f>ROUND(D11*E11,4)</f>
        <v>2.6800000000000001E-2</v>
      </c>
      <c r="G11" s="187"/>
      <c r="H11" s="160"/>
      <c r="I11" s="160"/>
      <c r="J11" s="181"/>
      <c r="K11" s="166"/>
      <c r="L11" s="190" t="s">
        <v>211</v>
      </c>
      <c r="M11" s="191"/>
      <c r="N11" s="183"/>
    </row>
    <row r="12" spans="1:14" ht="15">
      <c r="A12" s="168"/>
      <c r="B12" s="175"/>
      <c r="C12" s="188"/>
      <c r="D12" s="185"/>
      <c r="E12" s="185"/>
      <c r="F12" s="185"/>
      <c r="G12" s="189"/>
      <c r="H12" s="160"/>
      <c r="I12" s="160"/>
      <c r="J12" s="181">
        <v>2</v>
      </c>
      <c r="K12" s="166"/>
      <c r="L12" s="191" t="s">
        <v>213</v>
      </c>
      <c r="M12" s="191"/>
      <c r="N12" s="191">
        <v>5.3540000000000003E-3</v>
      </c>
    </row>
    <row r="13" spans="1:14" ht="15">
      <c r="A13" s="168"/>
      <c r="B13" s="175" t="s">
        <v>212</v>
      </c>
      <c r="C13" s="188"/>
      <c r="D13" s="460">
        <v>0.48499999999999999</v>
      </c>
      <c r="E13" s="460">
        <v>9.5000000000000001E-2</v>
      </c>
      <c r="F13" s="185">
        <f>ROUND(D13*E13,4)</f>
        <v>4.6100000000000002E-2</v>
      </c>
      <c r="G13" s="180"/>
      <c r="H13" s="160"/>
      <c r="I13" s="160"/>
      <c r="J13" s="181"/>
      <c r="K13" s="166"/>
      <c r="L13" s="191"/>
      <c r="M13" s="191"/>
      <c r="N13" s="191"/>
    </row>
    <row r="14" spans="1:14" ht="15">
      <c r="A14" s="168"/>
      <c r="B14" s="175"/>
      <c r="C14" s="188"/>
      <c r="D14" s="192"/>
      <c r="E14" s="193"/>
      <c r="F14" s="185"/>
      <c r="G14" s="172"/>
      <c r="H14" s="160"/>
      <c r="I14" s="160"/>
      <c r="J14" s="181">
        <v>3</v>
      </c>
      <c r="K14" s="166"/>
      <c r="L14" s="191" t="s">
        <v>214</v>
      </c>
      <c r="M14" s="191"/>
      <c r="N14" s="191">
        <v>2E-3</v>
      </c>
    </row>
    <row r="15" spans="1:14" ht="15.75" thickBot="1">
      <c r="A15" s="168"/>
      <c r="B15" s="175" t="s">
        <v>5</v>
      </c>
      <c r="C15" s="184"/>
      <c r="D15" s="194">
        <f>SUM(D11:D13)</f>
        <v>1</v>
      </c>
      <c r="E15" s="193"/>
      <c r="F15" s="194">
        <f>SUM(F11:F13)</f>
        <v>7.2900000000000006E-2</v>
      </c>
      <c r="G15" s="172"/>
      <c r="H15" s="160"/>
      <c r="I15" s="160"/>
      <c r="J15" s="181"/>
      <c r="K15" s="166"/>
      <c r="L15" s="191"/>
      <c r="M15" s="191"/>
      <c r="N15" s="191"/>
    </row>
    <row r="16" spans="1:14" ht="16.5" thickTop="1" thickBot="1">
      <c r="A16" s="195"/>
      <c r="B16" s="196"/>
      <c r="C16" s="197"/>
      <c r="D16" s="198"/>
      <c r="E16" s="199"/>
      <c r="F16" s="198"/>
      <c r="G16" s="200"/>
      <c r="H16" s="160"/>
      <c r="I16" s="160"/>
      <c r="J16" s="181">
        <v>4</v>
      </c>
      <c r="K16" s="166"/>
      <c r="L16" s="191" t="s">
        <v>215</v>
      </c>
      <c r="M16" s="191"/>
      <c r="N16" s="191">
        <v>3.8314000000000001E-2</v>
      </c>
    </row>
    <row r="17" spans="1:14" ht="15">
      <c r="H17" s="160"/>
      <c r="I17" s="160"/>
      <c r="J17" s="181"/>
      <c r="K17" s="166"/>
      <c r="L17" s="191"/>
      <c r="M17" s="191"/>
      <c r="N17" s="191"/>
    </row>
    <row r="18" spans="1:14" ht="15">
      <c r="H18" s="160"/>
      <c r="I18" s="160"/>
      <c r="J18" s="181">
        <v>5</v>
      </c>
      <c r="K18" s="166"/>
      <c r="L18" s="191" t="s">
        <v>216</v>
      </c>
      <c r="M18" s="191"/>
      <c r="N18" s="201">
        <f>SUM(N12:N16)</f>
        <v>4.5668E-2</v>
      </c>
    </row>
    <row r="19" spans="1:14" ht="15">
      <c r="H19" s="160"/>
      <c r="I19" s="160"/>
      <c r="J19" s="181"/>
      <c r="K19" s="166"/>
      <c r="L19" s="191"/>
      <c r="M19" s="191"/>
      <c r="N19" s="202"/>
    </row>
    <row r="20" spans="1:14" ht="15">
      <c r="H20" s="160"/>
      <c r="I20" s="160"/>
      <c r="J20" s="181">
        <v>6</v>
      </c>
      <c r="K20" s="166"/>
      <c r="L20" s="191" t="s">
        <v>217</v>
      </c>
      <c r="M20" s="191"/>
      <c r="N20" s="202">
        <f>N9-N18</f>
        <v>0.95433199999999996</v>
      </c>
    </row>
    <row r="21" spans="1:14" ht="15">
      <c r="H21" s="160"/>
      <c r="I21" s="160"/>
      <c r="J21" s="166"/>
      <c r="K21" s="166"/>
      <c r="L21" s="191"/>
      <c r="M21" s="191"/>
      <c r="N21" s="202"/>
    </row>
    <row r="22" spans="1:14" ht="15">
      <c r="H22" s="160"/>
      <c r="I22" s="160"/>
      <c r="J22" s="181">
        <v>7</v>
      </c>
      <c r="K22" s="166"/>
      <c r="L22" s="191" t="s">
        <v>219</v>
      </c>
      <c r="M22" s="203"/>
      <c r="N22" s="204">
        <f>ROUND(N20*0.35,6)</f>
        <v>0.33401599999999998</v>
      </c>
    </row>
    <row r="23" spans="1:14" ht="15">
      <c r="H23" s="160"/>
      <c r="I23" s="160"/>
      <c r="J23" s="166"/>
      <c r="K23" s="166"/>
      <c r="L23" s="191"/>
      <c r="M23" s="191"/>
      <c r="N23" s="202"/>
    </row>
    <row r="24" spans="1:14" ht="15.75" thickBot="1">
      <c r="H24" s="160"/>
      <c r="I24" s="160"/>
      <c r="J24" s="181">
        <v>8</v>
      </c>
      <c r="K24" s="166"/>
      <c r="L24" s="190" t="s">
        <v>220</v>
      </c>
      <c r="M24" s="191"/>
      <c r="N24" s="461">
        <f>ROUND(N20-N22,5)</f>
        <v>0.62031999999999998</v>
      </c>
    </row>
    <row r="25" spans="1:14" ht="15.75" thickTop="1">
      <c r="H25" s="160"/>
      <c r="I25" s="160"/>
      <c r="J25" s="160"/>
      <c r="K25" s="160"/>
      <c r="L25" s="160"/>
      <c r="M25" s="160"/>
      <c r="N25" s="160"/>
    </row>
    <row r="26" spans="1:14" ht="15">
      <c r="H26" s="160"/>
      <c r="I26" s="160"/>
    </row>
    <row r="27" spans="1:14" ht="15">
      <c r="H27" s="160"/>
      <c r="I27" s="160"/>
    </row>
    <row r="29" spans="1:14">
      <c r="A29" s="465" t="s">
        <v>43</v>
      </c>
      <c r="B29" s="465"/>
      <c r="C29" s="465"/>
      <c r="D29" s="465"/>
      <c r="E29" s="465"/>
      <c r="F29" s="465"/>
      <c r="G29" s="465"/>
    </row>
    <row r="30" spans="1:14" ht="11.25" customHeight="1">
      <c r="A30" s="465" t="s">
        <v>408</v>
      </c>
      <c r="B30" s="465"/>
      <c r="C30" s="465"/>
      <c r="D30" s="465"/>
      <c r="E30" s="465"/>
      <c r="F30" s="465"/>
      <c r="G30" s="465"/>
    </row>
    <row r="31" spans="1:14">
      <c r="A31" s="465" t="s">
        <v>221</v>
      </c>
      <c r="B31" s="465"/>
      <c r="C31" s="465"/>
      <c r="D31" s="465"/>
      <c r="E31" s="465"/>
      <c r="F31" s="465"/>
      <c r="G31" s="465"/>
    </row>
    <row r="32" spans="1:14" ht="13.5" thickBot="1">
      <c r="A32" s="465"/>
      <c r="B32" s="465"/>
      <c r="C32" s="465"/>
      <c r="D32" s="465"/>
      <c r="E32" s="465"/>
      <c r="F32" s="465"/>
      <c r="G32" s="465"/>
    </row>
    <row r="33" spans="1:7">
      <c r="A33" s="163" t="s">
        <v>203</v>
      </c>
      <c r="B33" s="164"/>
      <c r="C33" s="164"/>
      <c r="D33" s="164"/>
      <c r="E33" s="164"/>
      <c r="F33" s="164"/>
      <c r="G33" s="165"/>
    </row>
    <row r="34" spans="1:7">
      <c r="A34" s="168"/>
      <c r="B34" s="169"/>
      <c r="C34" s="169"/>
      <c r="D34" s="170"/>
      <c r="E34" s="171"/>
      <c r="F34" s="170" t="s">
        <v>204</v>
      </c>
      <c r="G34" s="172"/>
    </row>
    <row r="35" spans="1:7">
      <c r="A35" s="168"/>
      <c r="B35" s="175"/>
      <c r="C35" s="170"/>
      <c r="D35" s="170" t="s">
        <v>206</v>
      </c>
      <c r="E35" s="170" t="s">
        <v>204</v>
      </c>
      <c r="F35" s="170" t="s">
        <v>108</v>
      </c>
      <c r="G35" s="172"/>
    </row>
    <row r="36" spans="1:7">
      <c r="A36" s="168"/>
      <c r="B36" s="179" t="s">
        <v>207</v>
      </c>
      <c r="C36" s="170"/>
      <c r="D36" s="179" t="s">
        <v>208</v>
      </c>
      <c r="E36" s="179" t="s">
        <v>164</v>
      </c>
      <c r="F36" s="179" t="s">
        <v>164</v>
      </c>
      <c r="G36" s="172"/>
    </row>
    <row r="37" spans="1:7">
      <c r="A37" s="168"/>
      <c r="B37" s="169"/>
      <c r="C37" s="169"/>
      <c r="D37" s="169"/>
      <c r="E37" s="171"/>
      <c r="F37" s="169"/>
      <c r="G37" s="180"/>
    </row>
    <row r="38" spans="1:7">
      <c r="A38" s="168"/>
      <c r="B38" s="175" t="s">
        <v>210</v>
      </c>
      <c r="C38" s="184"/>
      <c r="D38" s="185">
        <f>100%-D40</f>
        <v>0.51069999999999993</v>
      </c>
      <c r="E38" s="186">
        <v>5.3800000000000001E-2</v>
      </c>
      <c r="F38" s="192">
        <f>ROUND(D38*E38,5)</f>
        <v>2.7480000000000001E-2</v>
      </c>
      <c r="G38" s="187"/>
    </row>
    <row r="39" spans="1:7">
      <c r="A39" s="168"/>
      <c r="B39" s="175"/>
      <c r="C39" s="188"/>
      <c r="D39" s="185"/>
      <c r="E39" s="186"/>
      <c r="F39" s="185"/>
      <c r="G39" s="189"/>
    </row>
    <row r="40" spans="1:7">
      <c r="A40" s="168"/>
      <c r="B40" s="175" t="s">
        <v>212</v>
      </c>
      <c r="C40" s="188"/>
      <c r="D40" s="185">
        <v>0.48930000000000001</v>
      </c>
      <c r="E40" s="186">
        <v>9.8000000000000004E-2</v>
      </c>
      <c r="F40" s="185">
        <f>ROUND(D40*E40,4)</f>
        <v>4.8000000000000001E-2</v>
      </c>
      <c r="G40" s="180"/>
    </row>
    <row r="41" spans="1:7">
      <c r="A41" s="168"/>
      <c r="B41" s="175"/>
      <c r="C41" s="188"/>
      <c r="D41" s="192"/>
      <c r="E41" s="193"/>
      <c r="F41" s="185"/>
      <c r="G41" s="172"/>
    </row>
    <row r="42" spans="1:7" ht="13.5" thickBot="1">
      <c r="A42" s="168"/>
      <c r="B42" s="175" t="s">
        <v>5</v>
      </c>
      <c r="C42" s="184"/>
      <c r="D42" s="194">
        <f>SUM(D38:D40)</f>
        <v>1</v>
      </c>
      <c r="E42" s="193"/>
      <c r="F42" s="194">
        <f>SUM(F38:F40)</f>
        <v>7.5480000000000005E-2</v>
      </c>
      <c r="G42" s="172"/>
    </row>
    <row r="43" spans="1:7" ht="14.25" thickTop="1" thickBot="1">
      <c r="A43" s="195"/>
      <c r="B43" s="196"/>
      <c r="C43" s="197"/>
      <c r="D43" s="198"/>
      <c r="E43" s="199"/>
      <c r="F43" s="198"/>
      <c r="G43" s="200"/>
    </row>
    <row r="262" spans="7:7">
      <c r="G262" t="s">
        <v>509</v>
      </c>
    </row>
    <row r="263" spans="7:7">
      <c r="G263" t="s">
        <v>510</v>
      </c>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05" orientation="portrait" r:id="rId1"/>
  <headerFooter scaleWithDoc="0">
    <oddFooter>&amp;LStaff_DR_130-Attachment C&amp;RPage &amp;P of &amp;N</oddFooter>
  </headerFooter>
  <colBreaks count="1" manualBreakCount="1">
    <brk id="8" max="25" man="1"/>
  </colBreaks>
</worksheet>
</file>

<file path=xl/worksheets/sheet3.xml><?xml version="1.0" encoding="utf-8"?>
<worksheet xmlns="http://schemas.openxmlformats.org/spreadsheetml/2006/main" xmlns:r="http://schemas.openxmlformats.org/officeDocument/2006/relationships">
  <dimension ref="A1:X263"/>
  <sheetViews>
    <sheetView tabSelected="1" view="pageBreakPreview" topLeftCell="A49" zoomScale="115" zoomScaleNormal="115" zoomScaleSheetLayoutView="115" workbookViewId="0">
      <selection activeCell="C34" sqref="C34:M34"/>
    </sheetView>
  </sheetViews>
  <sheetFormatPr defaultColWidth="10.7109375" defaultRowHeight="12"/>
  <cols>
    <col min="1" max="1" width="5.7109375" style="22" customWidth="1"/>
    <col min="2" max="3" width="1.7109375" style="3" customWidth="1"/>
    <col min="4" max="4" width="26.85546875" style="3" customWidth="1"/>
    <col min="5" max="5" width="11.5703125" style="4" customWidth="1"/>
    <col min="6" max="6" width="11.140625" style="28" customWidth="1"/>
    <col min="7" max="7" width="10.7109375" style="3" customWidth="1"/>
    <col min="8" max="8" width="12" style="3" customWidth="1"/>
    <col min="9" max="9" width="11.85546875" style="3" customWidth="1"/>
    <col min="10" max="10" width="1.140625" style="3" customWidth="1"/>
    <col min="11" max="11" width="8" style="3" customWidth="1"/>
    <col min="12" max="13" width="10.7109375" style="3"/>
    <col min="14" max="14" width="1.42578125" style="3" customWidth="1"/>
    <col min="15" max="15" width="13.28515625" style="3" customWidth="1"/>
    <col min="16" max="16" width="13.7109375" style="3" customWidth="1"/>
    <col min="17" max="17" width="11.7109375" style="3" customWidth="1"/>
    <col min="18" max="16384" width="10.7109375" style="3"/>
  </cols>
  <sheetData>
    <row r="1" spans="1:19" ht="5.25" customHeight="1">
      <c r="A1" s="2"/>
      <c r="B1" s="484"/>
      <c r="C1" s="484"/>
      <c r="D1" s="484"/>
      <c r="E1" s="484"/>
      <c r="F1" s="484"/>
      <c r="G1" s="484"/>
      <c r="H1" s="484"/>
      <c r="I1" s="484"/>
      <c r="J1" s="484"/>
      <c r="K1" s="484"/>
      <c r="L1" s="484"/>
      <c r="M1" s="484"/>
      <c r="N1" s="484"/>
      <c r="O1" s="484"/>
      <c r="P1" s="484"/>
      <c r="Q1" s="484"/>
      <c r="R1" s="484"/>
      <c r="S1" s="484"/>
    </row>
    <row r="2" spans="1:19" ht="21" thickBot="1">
      <c r="A2" s="468" t="s">
        <v>418</v>
      </c>
      <c r="B2" s="468"/>
      <c r="C2" s="468"/>
      <c r="D2" s="468"/>
      <c r="E2" s="468"/>
      <c r="F2" s="468"/>
      <c r="G2" s="468"/>
      <c r="H2" s="468"/>
      <c r="I2" s="468"/>
      <c r="J2" s="468"/>
      <c r="K2" s="468"/>
      <c r="L2" s="468"/>
      <c r="M2" s="468"/>
      <c r="N2" s="468"/>
      <c r="O2" s="468"/>
      <c r="P2" s="468"/>
      <c r="Q2" s="468"/>
      <c r="R2" s="239"/>
      <c r="S2" s="239"/>
    </row>
    <row r="3" spans="1:19" ht="6.75" customHeight="1">
      <c r="A3" s="2"/>
    </row>
    <row r="4" spans="1:19" ht="2.25" customHeight="1" thickBot="1">
      <c r="A4" s="2"/>
      <c r="B4" s="2"/>
      <c r="C4" s="2"/>
      <c r="D4" s="2"/>
    </row>
    <row r="5" spans="1:19" ht="12.75" thickBot="1">
      <c r="A5" s="391"/>
      <c r="B5" s="392"/>
      <c r="C5" s="392"/>
      <c r="D5" s="393" t="s">
        <v>223</v>
      </c>
      <c r="E5" s="469" t="s">
        <v>260</v>
      </c>
      <c r="F5" s="469"/>
      <c r="G5" s="469"/>
      <c r="H5" s="469"/>
      <c r="I5" s="470"/>
      <c r="J5" s="394"/>
      <c r="K5" s="395"/>
      <c r="L5" s="471" t="s">
        <v>165</v>
      </c>
      <c r="M5" s="471"/>
      <c r="N5" s="395"/>
      <c r="O5" s="472" t="s">
        <v>259</v>
      </c>
      <c r="P5" s="471"/>
      <c r="Q5" s="396"/>
    </row>
    <row r="6" spans="1:19" s="6" customFormat="1" ht="13.15" customHeight="1">
      <c r="A6" s="5"/>
      <c r="E6" s="485" t="s">
        <v>526</v>
      </c>
      <c r="F6" s="486" t="s">
        <v>551</v>
      </c>
      <c r="G6" s="486" t="s">
        <v>419</v>
      </c>
      <c r="H6" s="486" t="s">
        <v>307</v>
      </c>
      <c r="I6" s="490" t="s">
        <v>552</v>
      </c>
      <c r="J6" s="14"/>
      <c r="K6" s="490" t="s">
        <v>199</v>
      </c>
      <c r="L6" s="490" t="s">
        <v>494</v>
      </c>
      <c r="M6" s="490" t="s">
        <v>496</v>
      </c>
      <c r="N6" s="254"/>
      <c r="O6" s="492" t="s">
        <v>527</v>
      </c>
      <c r="P6" s="482" t="s">
        <v>308</v>
      </c>
      <c r="Q6" s="490" t="s">
        <v>497</v>
      </c>
    </row>
    <row r="7" spans="1:19" s="6" customFormat="1">
      <c r="A7" s="25" t="s">
        <v>224</v>
      </c>
      <c r="B7" s="75"/>
      <c r="C7" s="75"/>
      <c r="D7" s="27"/>
      <c r="E7" s="477"/>
      <c r="F7" s="487"/>
      <c r="G7" s="486"/>
      <c r="H7" s="486"/>
      <c r="I7" s="490"/>
      <c r="J7" s="75"/>
      <c r="K7" s="490"/>
      <c r="L7" s="490"/>
      <c r="M7" s="490"/>
      <c r="N7" s="255"/>
      <c r="O7" s="492"/>
      <c r="P7" s="482"/>
      <c r="Q7" s="490"/>
    </row>
    <row r="8" spans="1:19" s="6" customFormat="1">
      <c r="A8" s="25" t="s">
        <v>0</v>
      </c>
      <c r="B8" s="75"/>
      <c r="C8" s="75"/>
      <c r="D8" s="27"/>
      <c r="E8" s="477"/>
      <c r="F8" s="487"/>
      <c r="G8" s="486"/>
      <c r="H8" s="486"/>
      <c r="I8" s="490"/>
      <c r="J8" s="75"/>
      <c r="K8" s="490"/>
      <c r="L8" s="490"/>
      <c r="M8" s="490"/>
      <c r="N8" s="255"/>
      <c r="O8" s="492"/>
      <c r="P8" s="482"/>
      <c r="Q8" s="490"/>
    </row>
    <row r="9" spans="1:19" s="6" customFormat="1">
      <c r="A9" s="98" t="s">
        <v>2</v>
      </c>
      <c r="B9" s="99"/>
      <c r="C9" s="99"/>
      <c r="D9" s="99" t="s">
        <v>3</v>
      </c>
      <c r="E9" s="478"/>
      <c r="F9" s="488"/>
      <c r="G9" s="489"/>
      <c r="H9" s="489"/>
      <c r="I9" s="491"/>
      <c r="J9" s="238"/>
      <c r="K9" s="491"/>
      <c r="L9" s="491"/>
      <c r="M9" s="491"/>
      <c r="N9" s="256"/>
      <c r="O9" s="493"/>
      <c r="P9" s="483"/>
      <c r="Q9" s="491"/>
    </row>
    <row r="10" spans="1:19" s="6" customFormat="1" ht="12.75">
      <c r="A10" s="25"/>
      <c r="B10" s="75"/>
      <c r="C10" s="75"/>
      <c r="D10" s="75"/>
      <c r="E10" s="242" t="s">
        <v>261</v>
      </c>
      <c r="F10" s="242" t="s">
        <v>262</v>
      </c>
      <c r="G10" s="242" t="s">
        <v>263</v>
      </c>
      <c r="H10" s="242" t="s">
        <v>264</v>
      </c>
      <c r="I10" s="242" t="s">
        <v>265</v>
      </c>
      <c r="J10" s="75"/>
      <c r="K10" s="242" t="s">
        <v>266</v>
      </c>
      <c r="L10" s="242" t="s">
        <v>267</v>
      </c>
      <c r="M10" s="242" t="s">
        <v>268</v>
      </c>
      <c r="N10" s="242"/>
      <c r="O10" s="242" t="s">
        <v>269</v>
      </c>
      <c r="P10" s="242" t="s">
        <v>270</v>
      </c>
      <c r="Q10" s="242" t="s">
        <v>271</v>
      </c>
    </row>
    <row r="11" spans="1:19">
      <c r="B11" s="3" t="s">
        <v>6</v>
      </c>
    </row>
    <row r="12" spans="1:19" s="23" customFormat="1">
      <c r="A12" s="22">
        <v>1</v>
      </c>
      <c r="B12" s="23" t="s">
        <v>7</v>
      </c>
      <c r="E12" s="77">
        <v>154546</v>
      </c>
      <c r="F12" s="147">
        <v>0</v>
      </c>
      <c r="G12" s="77">
        <v>12185</v>
      </c>
      <c r="H12" s="77">
        <f>ROUND(H19/'Riders and Gas Cost Revenue'!E11,0)</f>
        <v>-92072</v>
      </c>
      <c r="I12" s="77">
        <f>SUM(E12:H12)</f>
        <v>74659</v>
      </c>
      <c r="J12" s="84"/>
      <c r="K12" s="431">
        <f>'Weighted Revenue Growth'!J19</f>
        <v>-2.3951895146209273E-3</v>
      </c>
      <c r="L12" s="147"/>
      <c r="M12" s="148">
        <f>I12+L12</f>
        <v>74659</v>
      </c>
      <c r="N12" s="147"/>
      <c r="O12" s="147">
        <f>-H12</f>
        <v>92072</v>
      </c>
      <c r="P12" s="147">
        <f>(M12+O12)*K12</f>
        <v>-399.35234296226184</v>
      </c>
      <c r="Q12" s="147">
        <f>SUM(M12:P12)</f>
        <v>166331.64765703774</v>
      </c>
    </row>
    <row r="13" spans="1:19">
      <c r="A13" s="22">
        <v>2</v>
      </c>
      <c r="B13" s="24" t="s">
        <v>8</v>
      </c>
      <c r="D13" s="24"/>
      <c r="E13" s="77">
        <v>3960</v>
      </c>
      <c r="F13" s="147">
        <v>0</v>
      </c>
      <c r="G13" s="77">
        <v>223</v>
      </c>
      <c r="H13" s="78"/>
      <c r="I13" s="77">
        <f>SUM(E13:H13)</f>
        <v>4183</v>
      </c>
      <c r="J13" s="84"/>
      <c r="K13" s="431">
        <f>'Weighted Revenue Growth'!J25</f>
        <v>-1.436104808825828E-3</v>
      </c>
      <c r="L13" s="148"/>
      <c r="M13" s="148">
        <f>I13+L13</f>
        <v>4183</v>
      </c>
      <c r="N13" s="148"/>
      <c r="O13" s="148"/>
      <c r="P13" s="147">
        <f>M13*K13</f>
        <v>-6.0072264153184385</v>
      </c>
      <c r="Q13" s="148">
        <f>SUM(M13:P13)</f>
        <v>4176.9927735846813</v>
      </c>
      <c r="S13" s="77"/>
    </row>
    <row r="14" spans="1:19">
      <c r="A14" s="22">
        <v>3</v>
      </c>
      <c r="B14" s="24" t="s">
        <v>9</v>
      </c>
      <c r="D14" s="24"/>
      <c r="E14" s="77">
        <v>332</v>
      </c>
      <c r="F14" s="147">
        <v>0</v>
      </c>
      <c r="G14" s="77">
        <v>0</v>
      </c>
      <c r="H14" s="79"/>
      <c r="I14" s="77">
        <f>SUM(E14:H14)</f>
        <v>332</v>
      </c>
      <c r="J14" s="78"/>
      <c r="K14" s="432">
        <v>0</v>
      </c>
      <c r="L14" s="79"/>
      <c r="M14" s="148">
        <f>I14+L14</f>
        <v>332</v>
      </c>
      <c r="N14" s="79"/>
      <c r="O14" s="79"/>
      <c r="P14" s="147">
        <f>M14*K14</f>
        <v>0</v>
      </c>
      <c r="Q14" s="79">
        <f>SUM(M14:P14)</f>
        <v>332</v>
      </c>
    </row>
    <row r="15" spans="1:19">
      <c r="A15" s="22">
        <v>4</v>
      </c>
      <c r="B15" s="3" t="s">
        <v>10</v>
      </c>
      <c r="C15" s="24"/>
      <c r="D15" s="24"/>
      <c r="E15" s="145">
        <f>SUM(E12:E14)</f>
        <v>158838</v>
      </c>
      <c r="F15" s="373">
        <f>SUM(F12:F14)</f>
        <v>0</v>
      </c>
      <c r="G15" s="145">
        <f>SUM(G12:G14)</f>
        <v>12408</v>
      </c>
      <c r="H15" s="145">
        <f>SUM(H12:H14)</f>
        <v>-92072</v>
      </c>
      <c r="I15" s="145">
        <f>SUM(I12:I14)</f>
        <v>79174</v>
      </c>
      <c r="K15" s="433"/>
      <c r="L15" s="145">
        <f t="shared" ref="L15:Q15" si="0">SUM(L12:L14)</f>
        <v>0</v>
      </c>
      <c r="M15" s="145">
        <f t="shared" si="0"/>
        <v>79174</v>
      </c>
      <c r="N15" s="145">
        <f t="shared" si="0"/>
        <v>0</v>
      </c>
      <c r="O15" s="145">
        <f t="shared" si="0"/>
        <v>92072</v>
      </c>
      <c r="P15" s="145">
        <f t="shared" si="0"/>
        <v>-405.35956937758027</v>
      </c>
      <c r="Q15" s="145">
        <f t="shared" si="0"/>
        <v>170840.64043062241</v>
      </c>
      <c r="R15" s="368"/>
    </row>
    <row r="16" spans="1:19">
      <c r="C16" s="24"/>
      <c r="D16" s="24"/>
      <c r="E16" s="78"/>
      <c r="F16" s="148"/>
      <c r="G16" s="78"/>
      <c r="H16" s="78"/>
      <c r="I16" s="78"/>
      <c r="K16" s="433"/>
      <c r="L16" s="78"/>
      <c r="M16" s="78"/>
      <c r="N16" s="78"/>
      <c r="O16" s="78"/>
      <c r="P16" s="78"/>
      <c r="Q16" s="78"/>
    </row>
    <row r="17" spans="1:24">
      <c r="B17" s="3" t="s">
        <v>11</v>
      </c>
      <c r="C17" s="24"/>
      <c r="D17" s="24"/>
      <c r="E17" s="78"/>
      <c r="F17" s="148"/>
      <c r="G17" s="78"/>
      <c r="H17" s="78"/>
      <c r="I17" s="78"/>
      <c r="K17" s="433"/>
      <c r="L17" s="78"/>
      <c r="M17" s="78"/>
      <c r="N17" s="78"/>
      <c r="O17" s="78"/>
      <c r="P17" s="78"/>
      <c r="Q17" s="78"/>
    </row>
    <row r="18" spans="1:24">
      <c r="B18" s="24" t="s">
        <v>51</v>
      </c>
      <c r="D18" s="24"/>
      <c r="E18" s="78"/>
      <c r="F18" s="148"/>
      <c r="G18" s="78"/>
      <c r="H18" s="78"/>
      <c r="I18" s="78"/>
      <c r="K18" s="433"/>
      <c r="L18" s="78"/>
      <c r="M18" s="78"/>
      <c r="N18" s="78"/>
      <c r="O18" s="78"/>
      <c r="P18" s="78"/>
      <c r="Q18" s="78"/>
    </row>
    <row r="19" spans="1:24">
      <c r="A19" s="22">
        <v>5</v>
      </c>
      <c r="C19" s="24" t="s">
        <v>12</v>
      </c>
      <c r="D19" s="24"/>
      <c r="E19" s="77">
        <v>84187</v>
      </c>
      <c r="F19" s="147">
        <v>0</v>
      </c>
      <c r="G19" s="77">
        <v>3680</v>
      </c>
      <c r="H19" s="77">
        <v>-87867</v>
      </c>
      <c r="I19" s="77">
        <f>SUM(E19:H19)</f>
        <v>0</v>
      </c>
      <c r="K19" s="88"/>
      <c r="L19" s="148"/>
      <c r="M19" s="148">
        <f>I19+L19</f>
        <v>0</v>
      </c>
      <c r="N19" s="148"/>
      <c r="O19" s="147">
        <f>-H19</f>
        <v>87867</v>
      </c>
      <c r="P19" s="148">
        <f>'Weighted Revenue Growth'!I44/1000</f>
        <v>-429.04101385620294</v>
      </c>
      <c r="Q19" s="148">
        <f>SUM(M19:P19)</f>
        <v>87437.9589861438</v>
      </c>
      <c r="R19" s="368"/>
    </row>
    <row r="20" spans="1:24">
      <c r="A20" s="22">
        <v>6</v>
      </c>
      <c r="C20" s="24" t="s">
        <v>13</v>
      </c>
      <c r="D20" s="24"/>
      <c r="E20" s="77">
        <v>779</v>
      </c>
      <c r="F20" s="147">
        <v>0</v>
      </c>
      <c r="G20" s="77">
        <v>3</v>
      </c>
      <c r="H20" s="78"/>
      <c r="I20" s="77">
        <f>SUM(E20:H20)</f>
        <v>782</v>
      </c>
      <c r="J20" s="84"/>
      <c r="K20" s="434">
        <f>'Cost Trends'!N195</f>
        <v>6.0899999999999954E-2</v>
      </c>
      <c r="L20" s="78">
        <f>I20*K20</f>
        <v>47.623799999999967</v>
      </c>
      <c r="M20" s="148">
        <f>I20+L20</f>
        <v>829.62379999999996</v>
      </c>
      <c r="N20" s="78"/>
      <c r="O20" s="78"/>
      <c r="P20" s="78"/>
      <c r="Q20" s="148">
        <f>SUM(M20:P20)</f>
        <v>829.62379999999996</v>
      </c>
      <c r="R20" s="368"/>
    </row>
    <row r="21" spans="1:24">
      <c r="A21" s="22">
        <v>7</v>
      </c>
      <c r="C21" s="24" t="s">
        <v>14</v>
      </c>
      <c r="D21" s="24"/>
      <c r="E21" s="77">
        <v>0</v>
      </c>
      <c r="F21" s="147">
        <v>0</v>
      </c>
      <c r="G21" s="77">
        <v>0</v>
      </c>
      <c r="H21" s="79"/>
      <c r="I21" s="77">
        <f>SUM(E21:H21)</f>
        <v>0</v>
      </c>
      <c r="J21" s="78"/>
      <c r="K21" s="435"/>
      <c r="L21" s="79">
        <f>I21*K21</f>
        <v>0</v>
      </c>
      <c r="M21" s="148">
        <f>I21+L21</f>
        <v>0</v>
      </c>
      <c r="N21" s="79"/>
      <c r="O21" s="79"/>
      <c r="P21" s="79"/>
      <c r="Q21" s="148">
        <f>SUM(M21:P21)</f>
        <v>0</v>
      </c>
      <c r="R21" s="368"/>
      <c r="U21" s="27"/>
      <c r="V21" s="27"/>
      <c r="W21" s="27"/>
      <c r="X21" s="27"/>
    </row>
    <row r="22" spans="1:24">
      <c r="A22" s="22">
        <v>8</v>
      </c>
      <c r="B22" s="24" t="s">
        <v>15</v>
      </c>
      <c r="C22" s="24"/>
      <c r="E22" s="145">
        <f>SUM(E19:E21)</f>
        <v>84966</v>
      </c>
      <c r="F22" s="373">
        <f>SUM(F19:F21)</f>
        <v>0</v>
      </c>
      <c r="G22" s="145">
        <f>SUM(G19:G21)</f>
        <v>3683</v>
      </c>
      <c r="H22" s="145">
        <f>SUM(H19:H21)</f>
        <v>-87867</v>
      </c>
      <c r="I22" s="145">
        <f>SUM(I19:I21)</f>
        <v>782</v>
      </c>
      <c r="K22" s="433"/>
      <c r="L22" s="145">
        <f t="shared" ref="L22:Q22" si="1">SUM(L19:L21)</f>
        <v>47.623799999999967</v>
      </c>
      <c r="M22" s="145">
        <f t="shared" si="1"/>
        <v>829.62379999999996</v>
      </c>
      <c r="N22" s="145">
        <f t="shared" si="1"/>
        <v>0</v>
      </c>
      <c r="O22" s="145">
        <f t="shared" si="1"/>
        <v>87867</v>
      </c>
      <c r="P22" s="145">
        <f t="shared" si="1"/>
        <v>-429.04101385620294</v>
      </c>
      <c r="Q22" s="145">
        <f t="shared" si="1"/>
        <v>88267.582786143801</v>
      </c>
      <c r="R22" s="368"/>
      <c r="U22" s="27"/>
      <c r="V22" s="27"/>
      <c r="W22" s="27"/>
      <c r="X22" s="27"/>
    </row>
    <row r="23" spans="1:24">
      <c r="B23" s="24"/>
      <c r="C23" s="24"/>
      <c r="E23" s="78"/>
      <c r="F23" s="148"/>
      <c r="G23" s="78"/>
      <c r="H23" s="78"/>
      <c r="I23" s="78"/>
      <c r="K23" s="433"/>
      <c r="L23" s="78"/>
      <c r="M23" s="78"/>
      <c r="N23" s="78"/>
      <c r="O23" s="78"/>
      <c r="P23" s="78"/>
      <c r="Q23" s="78"/>
      <c r="U23" s="27"/>
      <c r="V23" s="27"/>
      <c r="W23" s="27"/>
      <c r="X23" s="27"/>
    </row>
    <row r="24" spans="1:24">
      <c r="B24" s="24" t="s">
        <v>16</v>
      </c>
      <c r="D24" s="24"/>
      <c r="E24" s="78"/>
      <c r="F24" s="148"/>
      <c r="G24" s="78"/>
      <c r="H24" s="78"/>
      <c r="I24" s="78"/>
      <c r="K24" s="433"/>
      <c r="L24" s="78"/>
      <c r="M24" s="78"/>
      <c r="N24" s="78"/>
      <c r="O24" s="78"/>
      <c r="P24" s="78"/>
      <c r="Q24" s="78"/>
      <c r="U24" s="27"/>
      <c r="V24" s="27"/>
      <c r="W24" s="27"/>
      <c r="X24" s="27"/>
    </row>
    <row r="25" spans="1:24">
      <c r="A25" s="22">
        <v>9</v>
      </c>
      <c r="C25" s="24" t="s">
        <v>17</v>
      </c>
      <c r="D25" s="24"/>
      <c r="E25" s="77">
        <v>893</v>
      </c>
      <c r="F25" s="147">
        <v>0</v>
      </c>
      <c r="G25" s="77">
        <v>0</v>
      </c>
      <c r="H25" s="78"/>
      <c r="I25" s="77">
        <f>SUM(E25:H25)</f>
        <v>893</v>
      </c>
      <c r="J25" s="84"/>
      <c r="K25" s="434">
        <f>K20</f>
        <v>6.0899999999999954E-2</v>
      </c>
      <c r="L25" s="78">
        <f>I25*K25</f>
        <v>54.383699999999962</v>
      </c>
      <c r="M25" s="148">
        <f>I25+L25</f>
        <v>947.38369999999998</v>
      </c>
      <c r="N25" s="78"/>
      <c r="O25" s="78"/>
      <c r="P25" s="78"/>
      <c r="Q25" s="148">
        <f>SUM(M25:P25)</f>
        <v>947.38369999999998</v>
      </c>
      <c r="R25" s="368"/>
      <c r="U25" s="383"/>
      <c r="V25" s="27"/>
      <c r="W25" s="27"/>
      <c r="X25" s="27"/>
    </row>
    <row r="26" spans="1:24">
      <c r="A26" s="22">
        <v>10</v>
      </c>
      <c r="C26" s="24" t="s">
        <v>47</v>
      </c>
      <c r="D26" s="24"/>
      <c r="E26" s="77">
        <v>402</v>
      </c>
      <c r="F26" s="147">
        <v>0</v>
      </c>
      <c r="G26" s="77">
        <v>0</v>
      </c>
      <c r="H26" s="78"/>
      <c r="I26" s="77">
        <f>SUM(E26:H26)</f>
        <v>402</v>
      </c>
      <c r="J26" s="84"/>
      <c r="K26" s="434">
        <f>'Cost Trends'!N199</f>
        <v>0.2792393265183486</v>
      </c>
      <c r="L26" s="78">
        <f>I26*K26</f>
        <v>112.25420926037613</v>
      </c>
      <c r="M26" s="148">
        <f>I26+L26</f>
        <v>514.25420926037611</v>
      </c>
      <c r="N26" s="78"/>
      <c r="O26" s="78"/>
      <c r="P26" s="78"/>
      <c r="Q26" s="148">
        <f>SUM(M26:P26)</f>
        <v>514.25420926037611</v>
      </c>
      <c r="R26" s="368"/>
      <c r="U26" s="383"/>
      <c r="V26" s="27"/>
      <c r="W26" s="27"/>
      <c r="X26" s="27"/>
    </row>
    <row r="27" spans="1:24">
      <c r="A27" s="22">
        <v>11</v>
      </c>
      <c r="C27" s="24" t="s">
        <v>4</v>
      </c>
      <c r="D27" s="24"/>
      <c r="E27" s="77">
        <v>184</v>
      </c>
      <c r="F27" s="147">
        <v>0</v>
      </c>
      <c r="G27" s="77">
        <v>0</v>
      </c>
      <c r="H27" s="79"/>
      <c r="I27" s="77">
        <f>SUM(E27:H27)</f>
        <v>184</v>
      </c>
      <c r="J27" s="84"/>
      <c r="K27" s="434">
        <f>'Cost Trends'!N201</f>
        <v>0.13542091641749243</v>
      </c>
      <c r="L27" s="79">
        <f>I27*K27</f>
        <v>24.917448620818607</v>
      </c>
      <c r="M27" s="148">
        <f>I27+L27</f>
        <v>208.91744862081862</v>
      </c>
      <c r="N27" s="79"/>
      <c r="O27" s="79"/>
      <c r="P27" s="79"/>
      <c r="Q27" s="148">
        <f>SUM(M27:P27)</f>
        <v>208.91744862081862</v>
      </c>
      <c r="R27" s="368"/>
      <c r="U27" s="383"/>
      <c r="V27" s="27"/>
      <c r="W27" s="27"/>
      <c r="X27" s="27"/>
    </row>
    <row r="28" spans="1:24">
      <c r="A28" s="22">
        <v>12</v>
      </c>
      <c r="B28" s="24" t="s">
        <v>18</v>
      </c>
      <c r="C28" s="24"/>
      <c r="E28" s="145">
        <f>SUM(E25:E27)</f>
        <v>1479</v>
      </c>
      <c r="F28" s="373">
        <f>SUM(F25:F27)</f>
        <v>0</v>
      </c>
      <c r="G28" s="145">
        <f>SUM(G25:G27)</f>
        <v>0</v>
      </c>
      <c r="H28" s="145">
        <f>SUM(H25:H27)</f>
        <v>0</v>
      </c>
      <c r="I28" s="145">
        <f>SUM(I25:I27)</f>
        <v>1479</v>
      </c>
      <c r="K28" s="433"/>
      <c r="L28" s="145">
        <f t="shared" ref="L28:Q28" si="2">SUM(L25:L27)</f>
        <v>191.55535788119471</v>
      </c>
      <c r="M28" s="145">
        <f t="shared" si="2"/>
        <v>1670.5553578811946</v>
      </c>
      <c r="N28" s="145">
        <f t="shared" si="2"/>
        <v>0</v>
      </c>
      <c r="O28" s="145">
        <f t="shared" si="2"/>
        <v>0</v>
      </c>
      <c r="P28" s="145">
        <f t="shared" si="2"/>
        <v>0</v>
      </c>
      <c r="Q28" s="145">
        <f t="shared" si="2"/>
        <v>1670.5553578811946</v>
      </c>
      <c r="R28" s="368"/>
      <c r="U28" s="383"/>
      <c r="V28" s="27"/>
      <c r="W28" s="27"/>
      <c r="X28" s="27"/>
    </row>
    <row r="29" spans="1:24">
      <c r="B29" s="24"/>
      <c r="C29" s="24"/>
      <c r="E29" s="78"/>
      <c r="F29" s="148"/>
      <c r="G29" s="78"/>
      <c r="H29" s="78"/>
      <c r="I29" s="78"/>
      <c r="K29" s="433"/>
      <c r="L29" s="78"/>
      <c r="M29" s="78"/>
      <c r="N29" s="78"/>
      <c r="O29" s="78"/>
      <c r="P29" s="78"/>
      <c r="Q29" s="78"/>
      <c r="U29" s="27"/>
      <c r="V29" s="157"/>
      <c r="W29" s="27"/>
      <c r="X29" s="27"/>
    </row>
    <row r="30" spans="1:24" ht="11.25" customHeight="1">
      <c r="B30" s="24" t="s">
        <v>19</v>
      </c>
      <c r="D30" s="24"/>
      <c r="E30" s="78"/>
      <c r="F30" s="148"/>
      <c r="G30" s="78"/>
      <c r="H30" s="78"/>
      <c r="I30" s="78"/>
      <c r="K30" s="433"/>
      <c r="L30" s="78"/>
      <c r="M30" s="78"/>
      <c r="N30" s="78"/>
      <c r="O30" s="78"/>
      <c r="P30" s="78"/>
      <c r="Q30" s="78"/>
      <c r="U30" s="27"/>
      <c r="V30" s="27"/>
      <c r="W30" s="27"/>
      <c r="X30" s="27"/>
    </row>
    <row r="31" spans="1:24">
      <c r="A31" s="22">
        <v>13</v>
      </c>
      <c r="C31" s="24" t="s">
        <v>17</v>
      </c>
      <c r="D31" s="24"/>
      <c r="E31" s="77">
        <v>10704</v>
      </c>
      <c r="F31" s="147">
        <v>0</v>
      </c>
      <c r="G31" s="77">
        <v>0</v>
      </c>
      <c r="H31" s="78"/>
      <c r="I31" s="77">
        <f>SUM(E31:H31)</f>
        <v>10704</v>
      </c>
      <c r="J31" s="84"/>
      <c r="K31" s="434">
        <f>K20</f>
        <v>6.0899999999999954E-2</v>
      </c>
      <c r="L31" s="78">
        <f>I31*K31</f>
        <v>651.87359999999956</v>
      </c>
      <c r="M31" s="148">
        <f>I31+L31</f>
        <v>11355.873599999999</v>
      </c>
      <c r="N31" s="78"/>
      <c r="O31" s="78"/>
      <c r="P31" s="78"/>
      <c r="Q31" s="148">
        <f>SUM(M31:P31)</f>
        <v>11355.873599999999</v>
      </c>
      <c r="R31" s="368"/>
      <c r="U31" s="27"/>
      <c r="V31" s="27"/>
      <c r="W31" s="27"/>
      <c r="X31" s="27"/>
    </row>
    <row r="32" spans="1:24">
      <c r="A32" s="22">
        <v>14</v>
      </c>
      <c r="C32" s="24" t="s">
        <v>47</v>
      </c>
      <c r="D32" s="24"/>
      <c r="E32" s="77">
        <v>8513</v>
      </c>
      <c r="F32" s="147">
        <v>0</v>
      </c>
      <c r="G32" s="77">
        <v>0</v>
      </c>
      <c r="H32" s="78"/>
      <c r="I32" s="77">
        <f>SUM(E32:H32)</f>
        <v>8513</v>
      </c>
      <c r="J32" s="84"/>
      <c r="K32" s="434">
        <f>K26</f>
        <v>0.2792393265183486</v>
      </c>
      <c r="L32" s="78">
        <f>I32*K32</f>
        <v>2377.1643866507015</v>
      </c>
      <c r="M32" s="148">
        <f>I32+L32</f>
        <v>10890.164386650702</v>
      </c>
      <c r="N32" s="78"/>
      <c r="O32" s="78"/>
      <c r="P32" s="78"/>
      <c r="Q32" s="148">
        <f>SUM(M32:P32)</f>
        <v>10890.164386650702</v>
      </c>
      <c r="R32" s="368"/>
      <c r="U32" s="384"/>
      <c r="V32" s="27"/>
      <c r="W32" s="27"/>
      <c r="X32" s="27"/>
    </row>
    <row r="33" spans="1:24">
      <c r="A33" s="22">
        <v>15</v>
      </c>
      <c r="C33" s="24" t="s">
        <v>4</v>
      </c>
      <c r="D33" s="24"/>
      <c r="E33" s="77">
        <v>8719</v>
      </c>
      <c r="F33" s="147">
        <v>0</v>
      </c>
      <c r="G33" s="77">
        <f>G$15*ROR!$N$16</f>
        <v>475.40011200000004</v>
      </c>
      <c r="H33" s="77">
        <f>ROUND($H$12*'Riders and Gas Cost Revenue'!E32,0)</f>
        <v>-3528</v>
      </c>
      <c r="I33" s="77">
        <f>SUM(E33:H33)</f>
        <v>5666.4001119999994</v>
      </c>
      <c r="J33" s="84"/>
      <c r="K33" s="434">
        <f>K27</f>
        <v>0.13542091641749243</v>
      </c>
      <c r="L33" s="79">
        <f>I33*K33</f>
        <v>767.34909595522163</v>
      </c>
      <c r="M33" s="148">
        <f>I33+L33</f>
        <v>6433.7492079552212</v>
      </c>
      <c r="N33" s="79"/>
      <c r="O33" s="147">
        <f>-H33</f>
        <v>3528</v>
      </c>
      <c r="P33" s="77">
        <f>ROUND($P$12*'Riders and Gas Cost Revenue'!E32,0)</f>
        <v>-15</v>
      </c>
      <c r="Q33" s="148">
        <f>SUM(M33:P33)</f>
        <v>9946.7492079552212</v>
      </c>
      <c r="R33" s="368"/>
      <c r="U33" s="27"/>
      <c r="V33" s="27"/>
      <c r="W33" s="27"/>
      <c r="X33" s="27"/>
    </row>
    <row r="34" spans="1:24" ht="12.75">
      <c r="A34" s="22">
        <v>16</v>
      </c>
      <c r="B34" s="24" t="s">
        <v>20</v>
      </c>
      <c r="C34" s="288"/>
      <c r="E34" s="145">
        <f>SUM(E31:E33)</f>
        <v>27936</v>
      </c>
      <c r="F34" s="373">
        <f>SUM(F31:F33)</f>
        <v>0</v>
      </c>
      <c r="G34" s="145">
        <f>SUM(G31:G33)</f>
        <v>475.40011200000004</v>
      </c>
      <c r="H34" s="145">
        <f>SUM(H31:H33)</f>
        <v>-3528</v>
      </c>
      <c r="I34" s="145">
        <f>SUM(I31:I33)</f>
        <v>24883.400111999999</v>
      </c>
      <c r="K34" s="433"/>
      <c r="L34" s="145">
        <f t="shared" ref="L34:Q34" si="3">SUM(L31:L33)</f>
        <v>3796.3870826059228</v>
      </c>
      <c r="M34" s="145">
        <f t="shared" si="3"/>
        <v>28679.78719460592</v>
      </c>
      <c r="N34" s="145">
        <f t="shared" si="3"/>
        <v>0</v>
      </c>
      <c r="O34" s="145">
        <f t="shared" si="3"/>
        <v>3528</v>
      </c>
      <c r="P34" s="145">
        <f t="shared" si="3"/>
        <v>-15</v>
      </c>
      <c r="Q34" s="145">
        <f t="shared" si="3"/>
        <v>32192.78719460592</v>
      </c>
      <c r="R34" s="368"/>
      <c r="U34" s="383"/>
      <c r="V34" s="385"/>
      <c r="W34" s="157"/>
      <c r="X34" s="386"/>
    </row>
    <row r="35" spans="1:24">
      <c r="C35" s="24"/>
      <c r="D35" s="24"/>
      <c r="E35" s="78"/>
      <c r="F35" s="148"/>
      <c r="G35" s="78"/>
      <c r="H35" s="78"/>
      <c r="I35" s="78"/>
      <c r="K35" s="433"/>
      <c r="L35" s="78"/>
      <c r="M35" s="78"/>
      <c r="N35" s="78"/>
      <c r="O35" s="78"/>
      <c r="P35" s="78"/>
      <c r="Q35" s="78"/>
      <c r="U35" s="27"/>
      <c r="V35" s="27"/>
      <c r="W35" s="27"/>
      <c r="X35" s="27"/>
    </row>
    <row r="36" spans="1:24">
      <c r="A36" s="22">
        <v>17</v>
      </c>
      <c r="B36" s="3" t="s">
        <v>21</v>
      </c>
      <c r="C36" s="24"/>
      <c r="D36" s="24"/>
      <c r="E36" s="77">
        <v>6108</v>
      </c>
      <c r="F36" s="147">
        <v>0</v>
      </c>
      <c r="G36" s="77">
        <f>G$15*ROR!$N$12</f>
        <v>66.432432000000006</v>
      </c>
      <c r="H36" s="77">
        <f>ROUND($H$12*'Riders and Gas Cost Revenue'!E35,0)</f>
        <v>-493</v>
      </c>
      <c r="I36" s="77">
        <f>SUM(E36:H36)</f>
        <v>5681.4324319999996</v>
      </c>
      <c r="J36" s="84"/>
      <c r="K36" s="434">
        <f>K20</f>
        <v>6.0899999999999954E-2</v>
      </c>
      <c r="L36" s="78">
        <f>I36*K36</f>
        <v>345.99923510879972</v>
      </c>
      <c r="M36" s="148">
        <f>I36+L36</f>
        <v>6027.431667108799</v>
      </c>
      <c r="N36" s="78"/>
      <c r="O36" s="147">
        <f>-H36</f>
        <v>493</v>
      </c>
      <c r="P36" s="77">
        <f>ROUND($P$12*'Riders and Gas Cost Revenue'!E35,0)</f>
        <v>-2</v>
      </c>
      <c r="Q36" s="148">
        <f>SUM(M36:P36)</f>
        <v>6518.431667108799</v>
      </c>
      <c r="R36" s="368"/>
      <c r="U36" s="27"/>
      <c r="V36" s="157"/>
      <c r="W36" s="27"/>
      <c r="X36" s="27"/>
    </row>
    <row r="37" spans="1:24">
      <c r="A37" s="22">
        <v>18</v>
      </c>
      <c r="B37" s="3" t="s">
        <v>22</v>
      </c>
      <c r="C37" s="24"/>
      <c r="D37" s="24"/>
      <c r="E37" s="77">
        <v>865</v>
      </c>
      <c r="F37" s="147">
        <v>0</v>
      </c>
      <c r="G37" s="77">
        <v>0</v>
      </c>
      <c r="H37" s="78"/>
      <c r="I37" s="77">
        <f>SUM(E37:H37)</f>
        <v>865</v>
      </c>
      <c r="J37" s="84"/>
      <c r="K37" s="434">
        <f>K20</f>
        <v>6.0899999999999954E-2</v>
      </c>
      <c r="L37" s="78">
        <f>I37*K37</f>
        <v>52.678499999999957</v>
      </c>
      <c r="M37" s="148">
        <f>I37+L37</f>
        <v>917.67849999999999</v>
      </c>
      <c r="N37" s="78"/>
      <c r="O37" s="78"/>
      <c r="P37" s="78"/>
      <c r="Q37" s="148">
        <f>SUM(M37:P37)</f>
        <v>917.67849999999999</v>
      </c>
      <c r="R37" s="368"/>
      <c r="U37" s="76"/>
    </row>
    <row r="38" spans="1:24">
      <c r="A38" s="22">
        <v>19</v>
      </c>
      <c r="B38" s="3" t="s">
        <v>23</v>
      </c>
      <c r="C38" s="24"/>
      <c r="D38" s="24"/>
      <c r="E38" s="77">
        <v>0</v>
      </c>
      <c r="F38" s="147">
        <v>0</v>
      </c>
      <c r="G38" s="77">
        <v>0</v>
      </c>
      <c r="H38" s="78"/>
      <c r="I38" s="77">
        <f>SUM(E38:H38)</f>
        <v>0</v>
      </c>
      <c r="J38" s="84"/>
      <c r="K38" s="434">
        <f>K20</f>
        <v>6.0899999999999954E-2</v>
      </c>
      <c r="L38" s="78">
        <f>I38*K38</f>
        <v>0</v>
      </c>
      <c r="M38" s="148">
        <f>I38+L38</f>
        <v>0</v>
      </c>
      <c r="N38" s="78"/>
      <c r="O38" s="78"/>
      <c r="P38" s="78"/>
      <c r="Q38" s="148">
        <f>SUM(M38:P38)</f>
        <v>0</v>
      </c>
      <c r="U38" s="384"/>
      <c r="V38" s="27"/>
      <c r="W38" s="27"/>
    </row>
    <row r="39" spans="1:24">
      <c r="C39" s="24"/>
      <c r="D39" s="24"/>
      <c r="E39" s="78"/>
      <c r="F39" s="148"/>
      <c r="G39" s="78"/>
      <c r="H39" s="78"/>
      <c r="I39" s="78"/>
      <c r="K39" s="433"/>
      <c r="L39" s="78"/>
      <c r="M39" s="78"/>
      <c r="N39" s="78"/>
      <c r="O39" s="78"/>
      <c r="P39" s="78"/>
      <c r="Q39" s="78"/>
      <c r="U39" s="27"/>
      <c r="V39" s="27"/>
      <c r="W39" s="27"/>
    </row>
    <row r="40" spans="1:24">
      <c r="B40" s="3" t="s">
        <v>24</v>
      </c>
      <c r="C40" s="24"/>
      <c r="D40" s="24"/>
      <c r="E40" s="78"/>
      <c r="F40" s="148"/>
      <c r="G40" s="78"/>
      <c r="H40" s="78"/>
      <c r="I40" s="78"/>
      <c r="K40" s="433"/>
      <c r="L40" s="78"/>
      <c r="M40" s="78"/>
      <c r="N40" s="78"/>
      <c r="O40" s="78"/>
      <c r="P40" s="78"/>
      <c r="Q40" s="78"/>
      <c r="U40" s="383"/>
      <c r="V40" s="385"/>
      <c r="W40" s="157"/>
    </row>
    <row r="41" spans="1:24">
      <c r="A41" s="22">
        <v>20</v>
      </c>
      <c r="C41" s="24" t="s">
        <v>17</v>
      </c>
      <c r="D41" s="24"/>
      <c r="E41" s="77">
        <v>12777</v>
      </c>
      <c r="F41" s="147">
        <v>0</v>
      </c>
      <c r="G41" s="77">
        <f>G$15*ROR!$N$14</f>
        <v>24.815999999999999</v>
      </c>
      <c r="H41" s="77">
        <f>ROUND($H$12*'Riders and Gas Cost Revenue'!E40,0)</f>
        <v>-184</v>
      </c>
      <c r="I41" s="77">
        <f>SUM(E41:H41)</f>
        <v>12617.816000000001</v>
      </c>
      <c r="J41" s="84"/>
      <c r="K41" s="434">
        <f>K20</f>
        <v>6.0899999999999954E-2</v>
      </c>
      <c r="L41" s="78">
        <f>I41*K41</f>
        <v>768.42499439999949</v>
      </c>
      <c r="M41" s="148">
        <f>I41+L41</f>
        <v>13386.240994400001</v>
      </c>
      <c r="N41" s="78"/>
      <c r="O41" s="147">
        <f>-H41</f>
        <v>184</v>
      </c>
      <c r="P41" s="77">
        <f>ROUND($P$12*'Riders and Gas Cost Revenue'!E40,0)</f>
        <v>-1</v>
      </c>
      <c r="Q41" s="148">
        <f>SUM(M41:P41)</f>
        <v>13569.240994400001</v>
      </c>
      <c r="R41" s="368"/>
      <c r="U41" s="27"/>
      <c r="V41" s="27"/>
      <c r="W41" s="27"/>
    </row>
    <row r="42" spans="1:24">
      <c r="A42" s="22">
        <v>21</v>
      </c>
      <c r="C42" s="24" t="s">
        <v>47</v>
      </c>
      <c r="D42" s="24"/>
      <c r="E42" s="77">
        <v>4389</v>
      </c>
      <c r="F42" s="147">
        <v>0</v>
      </c>
      <c r="G42" s="77">
        <v>0</v>
      </c>
      <c r="H42" s="78"/>
      <c r="I42" s="77">
        <f>SUM(E42:H42)</f>
        <v>4389</v>
      </c>
      <c r="J42" s="84"/>
      <c r="K42" s="434">
        <f>K26</f>
        <v>0.2792393265183486</v>
      </c>
      <c r="L42" s="78">
        <f>I42*K42</f>
        <v>1225.581404089032</v>
      </c>
      <c r="M42" s="148">
        <f>I42+L42</f>
        <v>5614.5814040890318</v>
      </c>
      <c r="N42" s="78"/>
      <c r="O42" s="78"/>
      <c r="P42" s="78"/>
      <c r="Q42" s="148">
        <f>SUM(M42:P42)</f>
        <v>5614.5814040890318</v>
      </c>
      <c r="R42" s="368"/>
      <c r="U42" s="27"/>
      <c r="V42" s="157"/>
      <c r="W42" s="27"/>
    </row>
    <row r="43" spans="1:24">
      <c r="A43" s="22">
        <v>22</v>
      </c>
      <c r="C43" s="1" t="s">
        <v>52</v>
      </c>
      <c r="D43" s="24"/>
      <c r="E43" s="77">
        <v>-91</v>
      </c>
      <c r="F43" s="147">
        <v>1143</v>
      </c>
      <c r="G43" s="77">
        <v>91</v>
      </c>
      <c r="H43" s="78"/>
      <c r="I43" s="77">
        <f>SUM(E43:H43)</f>
        <v>1143</v>
      </c>
      <c r="J43" s="78"/>
      <c r="K43" s="434">
        <v>0</v>
      </c>
      <c r="L43" s="78">
        <f>I43*K43</f>
        <v>0</v>
      </c>
      <c r="M43" s="148">
        <f>I43+L43</f>
        <v>1143</v>
      </c>
      <c r="N43" s="78"/>
      <c r="O43" s="78"/>
      <c r="P43" s="78"/>
      <c r="Q43" s="148">
        <f>SUM(M43:P43)</f>
        <v>1143</v>
      </c>
      <c r="R43" s="368"/>
      <c r="U43" s="27"/>
      <c r="V43" s="27"/>
      <c r="W43" s="27"/>
    </row>
    <row r="44" spans="1:24">
      <c r="A44" s="22">
        <v>23</v>
      </c>
      <c r="C44" s="24" t="s">
        <v>4</v>
      </c>
      <c r="D44" s="24"/>
      <c r="E44" s="77">
        <v>0</v>
      </c>
      <c r="F44" s="147">
        <v>0</v>
      </c>
      <c r="G44" s="77">
        <v>0</v>
      </c>
      <c r="H44" s="79"/>
      <c r="I44" s="77">
        <f>SUM(E44:H44)</f>
        <v>0</v>
      </c>
      <c r="J44" s="84"/>
      <c r="K44" s="434">
        <f>K27</f>
        <v>0.13542091641749243</v>
      </c>
      <c r="L44" s="79">
        <f>I44*K44</f>
        <v>0</v>
      </c>
      <c r="M44" s="148">
        <f>I44+L44</f>
        <v>0</v>
      </c>
      <c r="N44" s="79"/>
      <c r="O44" s="79"/>
      <c r="P44" s="79"/>
      <c r="Q44" s="148">
        <f>SUM(M44:P44)</f>
        <v>0</v>
      </c>
      <c r="R44" s="368"/>
    </row>
    <row r="45" spans="1:24">
      <c r="A45" s="22">
        <v>24</v>
      </c>
      <c r="B45" s="24" t="s">
        <v>25</v>
      </c>
      <c r="C45" s="24"/>
      <c r="E45" s="145">
        <f t="shared" ref="E45:J45" si="4">SUM(E41:E44)</f>
        <v>17075</v>
      </c>
      <c r="F45" s="373">
        <f t="shared" si="4"/>
        <v>1143</v>
      </c>
      <c r="G45" s="145">
        <f t="shared" si="4"/>
        <v>115.816</v>
      </c>
      <c r="H45" s="145">
        <f t="shared" si="4"/>
        <v>-184</v>
      </c>
      <c r="I45" s="145">
        <f t="shared" si="4"/>
        <v>18149.815999999999</v>
      </c>
      <c r="J45" s="145">
        <f t="shared" si="4"/>
        <v>0</v>
      </c>
      <c r="K45" s="433"/>
      <c r="L45" s="145">
        <f t="shared" ref="L45:Q45" si="5">SUM(L41:L44)</f>
        <v>1994.0063984890317</v>
      </c>
      <c r="M45" s="145">
        <f t="shared" si="5"/>
        <v>20143.822398489032</v>
      </c>
      <c r="N45" s="145">
        <f t="shared" si="5"/>
        <v>0</v>
      </c>
      <c r="O45" s="145">
        <f t="shared" si="5"/>
        <v>184</v>
      </c>
      <c r="P45" s="145">
        <f t="shared" si="5"/>
        <v>-1</v>
      </c>
      <c r="Q45" s="145">
        <f t="shared" si="5"/>
        <v>20326.822398489032</v>
      </c>
      <c r="R45" s="368"/>
    </row>
    <row r="46" spans="1:24">
      <c r="A46" s="22">
        <v>25</v>
      </c>
      <c r="B46" s="3" t="s">
        <v>26</v>
      </c>
      <c r="C46" s="24"/>
      <c r="D46" s="24"/>
      <c r="E46" s="145">
        <f t="shared" ref="E46:J46" si="6">E22+E28+E34+E36+E37+E38+E45</f>
        <v>138429</v>
      </c>
      <c r="F46" s="373">
        <f t="shared" si="6"/>
        <v>1143</v>
      </c>
      <c r="G46" s="145">
        <f t="shared" si="6"/>
        <v>4340.6485439999997</v>
      </c>
      <c r="H46" s="145">
        <f t="shared" si="6"/>
        <v>-92072</v>
      </c>
      <c r="I46" s="145">
        <f t="shared" si="6"/>
        <v>51840.648543999996</v>
      </c>
      <c r="J46" s="145">
        <f t="shared" si="6"/>
        <v>0</v>
      </c>
      <c r="K46" s="433"/>
      <c r="L46" s="145">
        <f t="shared" ref="L46:Q46" si="7">L22+L28+L34+L36+L37+L38+L45</f>
        <v>6428.2503740849479</v>
      </c>
      <c r="M46" s="145">
        <f t="shared" si="7"/>
        <v>58268.898918084946</v>
      </c>
      <c r="N46" s="145">
        <f t="shared" si="7"/>
        <v>0</v>
      </c>
      <c r="O46" s="145">
        <f t="shared" si="7"/>
        <v>92072</v>
      </c>
      <c r="P46" s="145">
        <f t="shared" si="7"/>
        <v>-447.04101385620294</v>
      </c>
      <c r="Q46" s="145">
        <f t="shared" si="7"/>
        <v>149893.85790422873</v>
      </c>
      <c r="R46" s="368"/>
    </row>
    <row r="47" spans="1:24">
      <c r="C47" s="24"/>
      <c r="D47" s="24"/>
      <c r="E47" s="145"/>
      <c r="F47" s="373"/>
      <c r="G47" s="145"/>
      <c r="H47" s="143"/>
      <c r="I47" s="143"/>
      <c r="J47" s="143"/>
      <c r="L47" s="143"/>
      <c r="M47" s="143"/>
      <c r="N47" s="143"/>
      <c r="O47" s="143"/>
      <c r="P47" s="143"/>
      <c r="Q47" s="143"/>
      <c r="R47" s="368"/>
    </row>
    <row r="48" spans="1:24">
      <c r="A48" s="22">
        <v>26</v>
      </c>
      <c r="B48" s="3" t="s">
        <v>27</v>
      </c>
      <c r="C48" s="24"/>
      <c r="D48" s="24"/>
      <c r="E48" s="77">
        <f t="shared" ref="E48:J48" si="8">E15-E46</f>
        <v>20409</v>
      </c>
      <c r="F48" s="147">
        <f t="shared" si="8"/>
        <v>-1143</v>
      </c>
      <c r="G48" s="77">
        <f t="shared" si="8"/>
        <v>8067.3514560000003</v>
      </c>
      <c r="H48" s="77">
        <f t="shared" si="8"/>
        <v>0</v>
      </c>
      <c r="I48" s="77">
        <f t="shared" si="8"/>
        <v>27333.351456000004</v>
      </c>
      <c r="J48" s="77">
        <f t="shared" si="8"/>
        <v>0</v>
      </c>
      <c r="L48" s="77">
        <f t="shared" ref="L48:Q48" si="9">L15-L46</f>
        <v>-6428.2503740849479</v>
      </c>
      <c r="M48" s="77">
        <f t="shared" si="9"/>
        <v>20905.101081915054</v>
      </c>
      <c r="N48" s="77">
        <f t="shared" si="9"/>
        <v>0</v>
      </c>
      <c r="O48" s="77">
        <f t="shared" si="9"/>
        <v>0</v>
      </c>
      <c r="P48" s="77">
        <f t="shared" si="9"/>
        <v>41.681444478622666</v>
      </c>
      <c r="Q48" s="77">
        <f t="shared" si="9"/>
        <v>20946.782526393683</v>
      </c>
      <c r="R48" s="368"/>
    </row>
    <row r="49" spans="1:19">
      <c r="C49" s="24"/>
      <c r="D49" s="24"/>
      <c r="E49" s="78"/>
      <c r="F49" s="148"/>
      <c r="G49" s="148"/>
      <c r="H49" s="78"/>
      <c r="I49" s="78"/>
      <c r="L49" s="78"/>
      <c r="M49" s="78"/>
      <c r="N49" s="78"/>
      <c r="O49" s="78"/>
      <c r="P49" s="78"/>
      <c r="Q49" s="78"/>
    </row>
    <row r="50" spans="1:19" ht="21" thickBot="1">
      <c r="A50" s="468" t="str">
        <f>A2</f>
        <v>AVISTA'S 2016 NATURAL GAS ATTRITION REVENUE REQUIREMENT</v>
      </c>
      <c r="B50" s="468"/>
      <c r="C50" s="468"/>
      <c r="D50" s="468"/>
      <c r="E50" s="468"/>
      <c r="F50" s="468"/>
      <c r="G50" s="468"/>
      <c r="H50" s="468"/>
      <c r="I50" s="468"/>
      <c r="J50" s="468"/>
      <c r="K50" s="468"/>
      <c r="L50" s="468"/>
      <c r="M50" s="468"/>
      <c r="N50" s="468"/>
      <c r="O50" s="468"/>
      <c r="P50" s="468"/>
      <c r="Q50" s="468"/>
      <c r="R50" s="239"/>
      <c r="S50" s="239"/>
    </row>
    <row r="51" spans="1:19" ht="6.75" customHeight="1">
      <c r="A51" s="2"/>
    </row>
    <row r="52" spans="1:19" ht="3" customHeight="1" thickBot="1">
      <c r="A52" s="2"/>
      <c r="B52" s="2"/>
      <c r="C52" s="2"/>
      <c r="D52" s="2"/>
    </row>
    <row r="53" spans="1:19" ht="12.75" thickBot="1">
      <c r="A53" s="391"/>
      <c r="B53" s="392"/>
      <c r="C53" s="392"/>
      <c r="D53" s="393" t="s">
        <v>223</v>
      </c>
      <c r="E53" s="469" t="s">
        <v>260</v>
      </c>
      <c r="F53" s="469"/>
      <c r="G53" s="469"/>
      <c r="H53" s="469"/>
      <c r="I53" s="470"/>
      <c r="J53" s="394"/>
      <c r="K53" s="395"/>
      <c r="L53" s="471" t="s">
        <v>165</v>
      </c>
      <c r="M53" s="471"/>
      <c r="N53" s="395"/>
      <c r="O53" s="472" t="s">
        <v>259</v>
      </c>
      <c r="P53" s="471"/>
      <c r="Q53" s="396"/>
    </row>
    <row r="54" spans="1:19" s="6" customFormat="1" ht="13.15" customHeight="1">
      <c r="A54" s="5"/>
      <c r="E54" s="476" t="str">
        <f>E6</f>
        <v>12.2014 Commission Basis Report Restated Totals</v>
      </c>
      <c r="F54" s="476" t="str">
        <f>F6</f>
        <v>Regulatory Amorts Adjs</v>
      </c>
      <c r="G54" s="476" t="str">
        <f>G6</f>
        <v>Pro Forma Revenue Normalization Adjustment</v>
      </c>
      <c r="H54" s="476" t="str">
        <f>H6</f>
        <v>Exclude Normalized Gas Costs and Revenue</v>
      </c>
      <c r="I54" s="473" t="str">
        <f>I6</f>
        <v>December 2014 Escalation Base</v>
      </c>
      <c r="K54" s="473" t="str">
        <f>K6</f>
        <v>Escalation Factor</v>
      </c>
      <c r="L54" s="473" t="str">
        <f>L6</f>
        <v>Escalation Amount      [E] *[F]=[G]</v>
      </c>
      <c r="M54" s="473" t="str">
        <f>M6</f>
        <v>Trended 2016 Non-Energy Cost [E]+[G]=[H]</v>
      </c>
      <c r="O54" s="479" t="str">
        <f>O6</f>
        <v>(plus) 12.2014 Pro-Formed Gas Cost/Revenue</v>
      </c>
      <c r="P54" s="473" t="str">
        <f>P6</f>
        <v>(plus) Revenue Growth</v>
      </c>
      <c r="Q54" s="473" t="str">
        <f>Q6</f>
        <v>2016 Revenue and Cost [H]+[I]+[J]=[K]</v>
      </c>
    </row>
    <row r="55" spans="1:19" s="6" customFormat="1">
      <c r="A55" s="25" t="s">
        <v>224</v>
      </c>
      <c r="B55" s="75"/>
      <c r="C55" s="75"/>
      <c r="D55" s="27"/>
      <c r="E55" s="477"/>
      <c r="F55" s="477"/>
      <c r="G55" s="477"/>
      <c r="H55" s="477"/>
      <c r="I55" s="474"/>
      <c r="J55" s="76"/>
      <c r="K55" s="474"/>
      <c r="L55" s="474"/>
      <c r="M55" s="474"/>
      <c r="N55" s="76"/>
      <c r="O55" s="480"/>
      <c r="P55" s="474"/>
      <c r="Q55" s="474"/>
    </row>
    <row r="56" spans="1:19" s="6" customFormat="1">
      <c r="A56" s="25" t="s">
        <v>0</v>
      </c>
      <c r="B56" s="75"/>
      <c r="C56" s="75"/>
      <c r="D56" s="27"/>
      <c r="E56" s="477"/>
      <c r="F56" s="477"/>
      <c r="G56" s="477"/>
      <c r="H56" s="477"/>
      <c r="I56" s="474"/>
      <c r="J56" s="76"/>
      <c r="K56" s="474"/>
      <c r="L56" s="474"/>
      <c r="M56" s="474"/>
      <c r="N56" s="76"/>
      <c r="O56" s="480"/>
      <c r="P56" s="474"/>
      <c r="Q56" s="474"/>
    </row>
    <row r="57" spans="1:19" s="6" customFormat="1">
      <c r="A57" s="98" t="s">
        <v>2</v>
      </c>
      <c r="B57" s="99"/>
      <c r="C57" s="99"/>
      <c r="D57" s="99" t="s">
        <v>3</v>
      </c>
      <c r="E57" s="478"/>
      <c r="F57" s="478"/>
      <c r="G57" s="478"/>
      <c r="H57" s="478"/>
      <c r="I57" s="475"/>
      <c r="J57" s="76"/>
      <c r="K57" s="475"/>
      <c r="L57" s="475"/>
      <c r="M57" s="475"/>
      <c r="N57" s="76"/>
      <c r="O57" s="481"/>
      <c r="P57" s="475"/>
      <c r="Q57" s="475"/>
    </row>
    <row r="58" spans="1:19" s="6" customFormat="1">
      <c r="A58" s="25"/>
      <c r="B58" s="75"/>
      <c r="C58" s="75"/>
      <c r="D58" s="75"/>
      <c r="E58" s="141" t="str">
        <f>E10</f>
        <v>[A]</v>
      </c>
      <c r="F58" s="374" t="str">
        <f t="shared" ref="F58:Q58" si="10">F10</f>
        <v>[B]</v>
      </c>
      <c r="G58" s="141" t="str">
        <f t="shared" si="10"/>
        <v>[C]</v>
      </c>
      <c r="H58" s="141" t="str">
        <f t="shared" si="10"/>
        <v>[D]</v>
      </c>
      <c r="I58" s="141" t="str">
        <f t="shared" si="10"/>
        <v>[E]</v>
      </c>
      <c r="J58" s="142"/>
      <c r="K58" s="141" t="str">
        <f t="shared" si="10"/>
        <v>[F]</v>
      </c>
      <c r="L58" s="141" t="str">
        <f t="shared" si="10"/>
        <v>[G]</v>
      </c>
      <c r="M58" s="141" t="str">
        <f t="shared" si="10"/>
        <v>[H]</v>
      </c>
      <c r="N58" s="142"/>
      <c r="O58" s="141" t="str">
        <f t="shared" si="10"/>
        <v>[I]</v>
      </c>
      <c r="P58" s="141" t="str">
        <f t="shared" si="10"/>
        <v>[J]</v>
      </c>
      <c r="Q58" s="141" t="str">
        <f t="shared" si="10"/>
        <v>[K]</v>
      </c>
    </row>
    <row r="59" spans="1:19">
      <c r="B59" s="3" t="s">
        <v>28</v>
      </c>
      <c r="C59" s="24"/>
      <c r="D59" s="24"/>
      <c r="E59" s="78"/>
      <c r="F59" s="148"/>
      <c r="G59" s="78"/>
      <c r="H59" s="78"/>
      <c r="I59" s="78"/>
      <c r="L59" s="78"/>
      <c r="M59" s="78"/>
      <c r="N59" s="78"/>
      <c r="O59" s="78"/>
      <c r="P59" s="78"/>
      <c r="Q59" s="78"/>
    </row>
    <row r="60" spans="1:19">
      <c r="A60" s="22">
        <v>27</v>
      </c>
      <c r="B60" s="24" t="s">
        <v>29</v>
      </c>
      <c r="D60" s="24"/>
      <c r="E60" s="77">
        <v>-6945</v>
      </c>
      <c r="F60" s="147">
        <f>0.35*F48</f>
        <v>-400.04999999999995</v>
      </c>
      <c r="G60" s="148">
        <f>0.35*G48</f>
        <v>2823.5730095999998</v>
      </c>
      <c r="H60" s="148">
        <f>0.35*H48</f>
        <v>0</v>
      </c>
      <c r="I60" s="77">
        <f>SUM(E60:H60)</f>
        <v>-4521.4769904000004</v>
      </c>
      <c r="L60" s="148">
        <f>0.35*L48</f>
        <v>-2249.8876309297316</v>
      </c>
      <c r="M60" s="148">
        <f>I60+L60</f>
        <v>-6771.3646213297325</v>
      </c>
      <c r="N60" s="148"/>
      <c r="O60" s="148">
        <f>0.35*O48</f>
        <v>0</v>
      </c>
      <c r="P60" s="148">
        <f>0.35*P48</f>
        <v>14.588505567517933</v>
      </c>
      <c r="Q60" s="148">
        <f>SUM(M60:P60)</f>
        <v>-6756.7761157622144</v>
      </c>
      <c r="R60" s="368"/>
    </row>
    <row r="61" spans="1:19">
      <c r="A61" s="22">
        <v>28</v>
      </c>
      <c r="B61" s="24" t="s">
        <v>46</v>
      </c>
      <c r="D61" s="24"/>
      <c r="E61" s="77">
        <v>-137</v>
      </c>
      <c r="F61" s="147">
        <f>F86*ROR!$F$38*-0.35</f>
        <v>0</v>
      </c>
      <c r="G61" s="147">
        <f>G86*ROR!$F$38*-0.35</f>
        <v>0</v>
      </c>
      <c r="H61" s="77">
        <f>H86*ROR!$F$38*-0.35</f>
        <v>0</v>
      </c>
      <c r="I61" s="77">
        <f>SUM(E61:H61)</f>
        <v>-137</v>
      </c>
      <c r="L61" s="148">
        <f>(ROR!F11*-0.35*L86)+(ROR!F11-ROR!F38)*I86*-0.35</f>
        <v>-236.32155400002841</v>
      </c>
      <c r="M61" s="148">
        <f>I61+L61</f>
        <v>-373.32155400002841</v>
      </c>
      <c r="N61" s="78"/>
      <c r="O61" s="78"/>
      <c r="P61" s="78"/>
      <c r="Q61" s="148">
        <f>SUM(M61:P61)</f>
        <v>-373.32155400002841</v>
      </c>
      <c r="R61" s="368"/>
    </row>
    <row r="62" spans="1:19">
      <c r="A62" s="22">
        <v>29</v>
      </c>
      <c r="B62" s="24" t="s">
        <v>30</v>
      </c>
      <c r="D62" s="24"/>
      <c r="E62" s="77">
        <v>13105</v>
      </c>
      <c r="F62" s="147">
        <v>0</v>
      </c>
      <c r="G62" s="77">
        <v>0</v>
      </c>
      <c r="H62" s="78"/>
      <c r="I62" s="77">
        <f>SUM(E62:H62)</f>
        <v>13105</v>
      </c>
      <c r="L62" s="78"/>
      <c r="M62" s="148">
        <f>I62+L62</f>
        <v>13105</v>
      </c>
      <c r="N62" s="78"/>
      <c r="O62" s="78"/>
      <c r="P62" s="78"/>
      <c r="Q62" s="148">
        <f>SUM(M62:P62)</f>
        <v>13105</v>
      </c>
      <c r="R62" s="368"/>
    </row>
    <row r="63" spans="1:19">
      <c r="A63" s="22">
        <v>30</v>
      </c>
      <c r="B63" s="24" t="s">
        <v>31</v>
      </c>
      <c r="D63" s="24"/>
      <c r="E63" s="77">
        <f>-21+1</f>
        <v>-20</v>
      </c>
      <c r="F63" s="147">
        <v>0</v>
      </c>
      <c r="G63" s="77">
        <v>0</v>
      </c>
      <c r="H63" s="79"/>
      <c r="I63" s="77">
        <f>SUM(E63:H63)</f>
        <v>-20</v>
      </c>
      <c r="L63" s="79"/>
      <c r="M63" s="148">
        <f>I63+L63</f>
        <v>-20</v>
      </c>
      <c r="N63" s="79"/>
      <c r="O63" s="79"/>
      <c r="P63" s="79"/>
      <c r="Q63" s="148">
        <f>SUM(M63:P63)</f>
        <v>-20</v>
      </c>
      <c r="R63" s="368"/>
    </row>
    <row r="64" spans="1:19">
      <c r="E64" s="143"/>
      <c r="F64" s="375"/>
      <c r="G64" s="143"/>
      <c r="H64" s="78"/>
      <c r="I64" s="143"/>
      <c r="L64" s="78"/>
      <c r="M64" s="143"/>
      <c r="N64" s="78"/>
      <c r="O64" s="78"/>
      <c r="P64" s="78"/>
      <c r="Q64" s="143"/>
      <c r="R64" s="368"/>
    </row>
    <row r="65" spans="1:23" s="23" customFormat="1" ht="12.75" thickBot="1">
      <c r="A65" s="22">
        <v>31</v>
      </c>
      <c r="B65" s="23" t="s">
        <v>32</v>
      </c>
      <c r="E65" s="80">
        <f>E48-E60-E61-E62-E63</f>
        <v>14406</v>
      </c>
      <c r="F65" s="149">
        <f>F48-F60-F61-F62-F63</f>
        <v>-742.95</v>
      </c>
      <c r="G65" s="80">
        <f>G48-G60-G61-G62-G63</f>
        <v>5243.7784464000006</v>
      </c>
      <c r="H65" s="80">
        <f>H48-H60-H61-H62-H63</f>
        <v>0</v>
      </c>
      <c r="I65" s="80">
        <f>I48-I60-I61-I62-I63</f>
        <v>18906.828446400003</v>
      </c>
      <c r="K65" s="436"/>
      <c r="L65" s="149">
        <f t="shared" ref="L65:Q65" si="11">L48-L60-L61-L62-L63</f>
        <v>-3942.0411891551876</v>
      </c>
      <c r="M65" s="149">
        <f t="shared" si="11"/>
        <v>14964.787257244814</v>
      </c>
      <c r="N65" s="149">
        <f t="shared" si="11"/>
        <v>0</v>
      </c>
      <c r="O65" s="149">
        <f t="shared" si="11"/>
        <v>0</v>
      </c>
      <c r="P65" s="149">
        <f t="shared" si="11"/>
        <v>27.092938911104731</v>
      </c>
      <c r="Q65" s="149">
        <f t="shared" si="11"/>
        <v>14991.880196155926</v>
      </c>
      <c r="R65" s="368">
        <f>Q65/Q97</f>
        <v>15027.521217544205</v>
      </c>
    </row>
    <row r="66" spans="1:23" ht="12.75" thickTop="1">
      <c r="E66" s="78"/>
      <c r="F66" s="148"/>
      <c r="G66" s="78"/>
      <c r="H66" s="78"/>
      <c r="I66" s="78"/>
      <c r="K66" s="433"/>
      <c r="L66" s="78"/>
      <c r="M66" s="78"/>
      <c r="N66" s="78"/>
      <c r="O66" s="78"/>
      <c r="P66" s="78"/>
      <c r="Q66" s="78"/>
    </row>
    <row r="67" spans="1:23">
      <c r="B67" s="3" t="s">
        <v>40</v>
      </c>
      <c r="E67" s="78"/>
      <c r="F67" s="148"/>
      <c r="G67" s="78"/>
      <c r="H67" s="78"/>
      <c r="I67" s="78"/>
      <c r="K67" s="433"/>
      <c r="L67" s="78"/>
      <c r="M67" s="78"/>
      <c r="N67" s="78"/>
      <c r="O67" s="78"/>
      <c r="P67" s="78"/>
      <c r="Q67" s="78"/>
    </row>
    <row r="68" spans="1:23">
      <c r="B68" s="3" t="s">
        <v>41</v>
      </c>
      <c r="E68" s="78"/>
      <c r="F68" s="148"/>
      <c r="G68" s="78"/>
      <c r="H68" s="78"/>
      <c r="I68" s="78"/>
      <c r="K68" s="433"/>
      <c r="L68" s="78"/>
      <c r="M68" s="78"/>
      <c r="N68" s="78"/>
      <c r="O68" s="78"/>
      <c r="P68" s="78"/>
      <c r="Q68" s="78"/>
    </row>
    <row r="69" spans="1:23">
      <c r="A69" s="22">
        <v>32</v>
      </c>
      <c r="B69" s="24"/>
      <c r="C69" s="24" t="s">
        <v>16</v>
      </c>
      <c r="D69" s="24"/>
      <c r="E69" s="77">
        <v>25235</v>
      </c>
      <c r="F69" s="147">
        <v>0</v>
      </c>
      <c r="G69" s="77">
        <v>0</v>
      </c>
      <c r="H69" s="77"/>
      <c r="I69" s="77">
        <f>SUM(E69:H69)</f>
        <v>25235</v>
      </c>
      <c r="J69" s="84"/>
      <c r="K69" s="434">
        <f>'Cost Trends'!N205</f>
        <v>0.13963638939182665</v>
      </c>
      <c r="L69" s="77">
        <f>I69*K69</f>
        <v>3523.7242863027454</v>
      </c>
      <c r="M69" s="148">
        <f>I69+L69</f>
        <v>28758.724286302746</v>
      </c>
      <c r="N69" s="77"/>
      <c r="O69" s="77"/>
      <c r="P69" s="77"/>
      <c r="Q69" s="77">
        <f>SUM(M69:P69)</f>
        <v>28758.724286302746</v>
      </c>
      <c r="R69" s="368"/>
    </row>
    <row r="70" spans="1:23">
      <c r="A70" s="22">
        <v>33</v>
      </c>
      <c r="B70" s="24"/>
      <c r="C70" s="24" t="s">
        <v>33</v>
      </c>
      <c r="D70" s="24"/>
      <c r="E70" s="77">
        <v>337894</v>
      </c>
      <c r="F70" s="147">
        <v>0</v>
      </c>
      <c r="G70" s="77"/>
      <c r="H70" s="78"/>
      <c r="I70" s="77">
        <f>SUM(E70:H70)</f>
        <v>337894</v>
      </c>
      <c r="J70" s="84"/>
      <c r="K70" s="434">
        <f>$K$69</f>
        <v>0.13963638939182665</v>
      </c>
      <c r="L70" s="78">
        <f>I70*K70</f>
        <v>47182.298157161873</v>
      </c>
      <c r="M70" s="148">
        <f>I70+L70</f>
        <v>385076.29815716186</v>
      </c>
      <c r="N70" s="78"/>
      <c r="O70" s="78"/>
      <c r="P70" s="78"/>
      <c r="Q70" s="78">
        <f>SUM(M70:P70)</f>
        <v>385076.29815716186</v>
      </c>
      <c r="R70" s="368"/>
    </row>
    <row r="71" spans="1:23">
      <c r="A71" s="22">
        <v>34</v>
      </c>
      <c r="B71" s="24"/>
      <c r="C71" s="24" t="s">
        <v>34</v>
      </c>
      <c r="D71" s="24"/>
      <c r="E71" s="77">
        <v>59169</v>
      </c>
      <c r="F71" s="147">
        <v>0</v>
      </c>
      <c r="G71" s="77">
        <v>0</v>
      </c>
      <c r="H71" s="79"/>
      <c r="I71" s="77">
        <f>SUM(E71:H71)</f>
        <v>59169</v>
      </c>
      <c r="J71" s="84"/>
      <c r="K71" s="434">
        <f>$K$69</f>
        <v>0.13963638939182665</v>
      </c>
      <c r="L71" s="79">
        <f>I71*K71</f>
        <v>8262.1455239249917</v>
      </c>
      <c r="M71" s="148">
        <f>I71+L71</f>
        <v>67431.145523924992</v>
      </c>
      <c r="N71" s="79"/>
      <c r="O71" s="79"/>
      <c r="P71" s="79"/>
      <c r="Q71" s="78">
        <f>SUM(M71:P71)</f>
        <v>67431.145523924992</v>
      </c>
      <c r="R71" s="368"/>
    </row>
    <row r="72" spans="1:23">
      <c r="A72" s="22">
        <v>35</v>
      </c>
      <c r="B72" s="24" t="s">
        <v>35</v>
      </c>
      <c r="C72" s="24"/>
      <c r="E72" s="145">
        <f t="shared" ref="E72:J72" si="12">SUM(E69:E71)</f>
        <v>422298</v>
      </c>
      <c r="F72" s="373">
        <f t="shared" si="12"/>
        <v>0</v>
      </c>
      <c r="G72" s="145">
        <f t="shared" si="12"/>
        <v>0</v>
      </c>
      <c r="H72" s="145">
        <f t="shared" si="12"/>
        <v>0</v>
      </c>
      <c r="I72" s="145">
        <f t="shared" si="12"/>
        <v>422298</v>
      </c>
      <c r="J72" s="145">
        <f t="shared" si="12"/>
        <v>0</v>
      </c>
      <c r="K72" s="433"/>
      <c r="L72" s="78">
        <f>SUM(L69:L71)</f>
        <v>58968.167967389607</v>
      </c>
      <c r="M72" s="143">
        <f>SUM(M69:M71)</f>
        <v>481266.16796738957</v>
      </c>
      <c r="N72" s="78"/>
      <c r="O72" s="78"/>
      <c r="P72" s="78"/>
      <c r="Q72" s="143">
        <f>SUM(Q69:Q71)</f>
        <v>481266.16796738957</v>
      </c>
      <c r="R72" s="368"/>
    </row>
    <row r="73" spans="1:23">
      <c r="B73" s="24"/>
      <c r="C73" s="24"/>
      <c r="E73" s="78"/>
      <c r="F73" s="148"/>
      <c r="G73" s="78"/>
      <c r="H73" s="78"/>
      <c r="I73" s="78"/>
      <c r="K73" s="433"/>
      <c r="L73" s="78"/>
      <c r="M73" s="78"/>
      <c r="N73" s="78"/>
      <c r="O73" s="78"/>
      <c r="P73" s="78"/>
      <c r="Q73" s="78"/>
    </row>
    <row r="74" spans="1:23">
      <c r="B74" s="24" t="s">
        <v>49</v>
      </c>
      <c r="C74" s="24"/>
      <c r="D74" s="24"/>
      <c r="E74" s="78"/>
      <c r="F74" s="148"/>
      <c r="G74" s="78"/>
      <c r="H74" s="78"/>
      <c r="I74" s="78"/>
      <c r="K74" s="433"/>
      <c r="L74" s="78"/>
      <c r="M74" s="78"/>
      <c r="N74" s="78"/>
      <c r="O74" s="78"/>
      <c r="P74" s="78"/>
      <c r="Q74" s="78"/>
    </row>
    <row r="75" spans="1:23">
      <c r="A75" s="22">
        <v>36</v>
      </c>
      <c r="B75" s="24"/>
      <c r="C75" s="24" t="s">
        <v>16</v>
      </c>
      <c r="D75" s="24"/>
      <c r="E75" s="77">
        <v>-9521</v>
      </c>
      <c r="F75" s="147">
        <v>0</v>
      </c>
      <c r="G75" s="77">
        <v>0</v>
      </c>
      <c r="H75" s="78"/>
      <c r="I75" s="77">
        <f>SUM(E75:H75)</f>
        <v>-9521</v>
      </c>
      <c r="J75" s="84"/>
      <c r="K75" s="434">
        <f>$K$69</f>
        <v>0.13963638939182665</v>
      </c>
      <c r="L75" s="78">
        <f>I75*K75</f>
        <v>-1329.4780633995815</v>
      </c>
      <c r="M75" s="148">
        <f>I75+L75</f>
        <v>-10850.478063399582</v>
      </c>
      <c r="N75" s="78"/>
      <c r="O75" s="78"/>
      <c r="P75" s="78"/>
      <c r="Q75" s="78">
        <f>SUM(M75:P75)</f>
        <v>-10850.478063399582</v>
      </c>
      <c r="R75" s="368"/>
    </row>
    <row r="76" spans="1:23">
      <c r="A76" s="22">
        <v>37</v>
      </c>
      <c r="B76" s="24"/>
      <c r="C76" s="24" t="s">
        <v>33</v>
      </c>
      <c r="D76" s="24"/>
      <c r="E76" s="77">
        <v>-114795</v>
      </c>
      <c r="F76" s="147">
        <v>0</v>
      </c>
      <c r="G76" s="77"/>
      <c r="H76" s="78"/>
      <c r="I76" s="77">
        <f>SUM(E76:H76)</f>
        <v>-114795</v>
      </c>
      <c r="J76" s="84"/>
      <c r="K76" s="434">
        <f>$K$69</f>
        <v>0.13963638939182665</v>
      </c>
      <c r="L76" s="78">
        <f>I76*K76</f>
        <v>-16029.559320234741</v>
      </c>
      <c r="M76" s="148">
        <f>I76+L76</f>
        <v>-130824.55932023474</v>
      </c>
      <c r="N76" s="78"/>
      <c r="O76" s="78"/>
      <c r="P76" s="78"/>
      <c r="Q76" s="78">
        <f>SUM(M76:P76)</f>
        <v>-130824.55932023474</v>
      </c>
      <c r="R76" s="368"/>
    </row>
    <row r="77" spans="1:23">
      <c r="A77" s="22">
        <v>38</v>
      </c>
      <c r="B77" s="24"/>
      <c r="C77" s="24" t="s">
        <v>34</v>
      </c>
      <c r="D77" s="24"/>
      <c r="E77" s="77">
        <v>-17429</v>
      </c>
      <c r="F77" s="147">
        <v>0</v>
      </c>
      <c r="G77" s="77">
        <v>0</v>
      </c>
      <c r="H77" s="78"/>
      <c r="I77" s="77">
        <f>SUM(E77:H77)</f>
        <v>-17429</v>
      </c>
      <c r="J77" s="84"/>
      <c r="K77" s="434">
        <f>$K$69</f>
        <v>0.13963638939182665</v>
      </c>
      <c r="L77" s="78">
        <f>I77*K77</f>
        <v>-2433.7226307101469</v>
      </c>
      <c r="M77" s="148">
        <f>I77+L77</f>
        <v>-19862.722630710148</v>
      </c>
      <c r="N77" s="78"/>
      <c r="O77" s="78"/>
      <c r="P77" s="78"/>
      <c r="Q77" s="78">
        <f>SUM(M77:P77)</f>
        <v>-19862.722630710148</v>
      </c>
      <c r="R77" s="368"/>
    </row>
    <row r="78" spans="1:23">
      <c r="A78" s="22">
        <v>39</v>
      </c>
      <c r="B78" s="24" t="s">
        <v>53</v>
      </c>
      <c r="C78" s="24"/>
      <c r="E78" s="144">
        <f>SUM(E75:E77)</f>
        <v>-141745</v>
      </c>
      <c r="F78" s="376">
        <f>SUM(F75:F77)</f>
        <v>0</v>
      </c>
      <c r="G78" s="144">
        <f>SUM(G75:G77)</f>
        <v>0</v>
      </c>
      <c r="H78" s="144">
        <f>SUM(H75:H77)</f>
        <v>0</v>
      </c>
      <c r="I78" s="144">
        <f>SUM(I75:I77)</f>
        <v>-141745</v>
      </c>
      <c r="K78" s="433"/>
      <c r="L78" s="81">
        <f>SUM(L75:L77)</f>
        <v>-19792.760014344469</v>
      </c>
      <c r="M78" s="81">
        <f>SUM(M75:M77)</f>
        <v>-161537.76001434444</v>
      </c>
      <c r="N78" s="81">
        <f>SUM(N75:N77)</f>
        <v>0</v>
      </c>
      <c r="O78" s="81"/>
      <c r="P78" s="81"/>
      <c r="Q78" s="81">
        <f>SUM(Q75:Q77)</f>
        <v>-161537.76001434444</v>
      </c>
      <c r="R78" s="368"/>
    </row>
    <row r="79" spans="1:23">
      <c r="A79" s="22">
        <v>40</v>
      </c>
      <c r="B79" s="24" t="s">
        <v>44</v>
      </c>
      <c r="C79" s="24"/>
      <c r="D79" s="24"/>
      <c r="E79" s="77">
        <f>E72+E78</f>
        <v>280553</v>
      </c>
      <c r="F79" s="147">
        <f>F72+F78</f>
        <v>0</v>
      </c>
      <c r="G79" s="77">
        <f>G72+G78</f>
        <v>0</v>
      </c>
      <c r="H79" s="77">
        <f>H72+H78</f>
        <v>0</v>
      </c>
      <c r="I79" s="77">
        <f>I72+I78</f>
        <v>280553</v>
      </c>
      <c r="K79" s="433"/>
      <c r="L79" s="77">
        <f>L72+L78</f>
        <v>39175.407953045142</v>
      </c>
      <c r="M79" s="77">
        <f>M72+M78</f>
        <v>319728.4079530451</v>
      </c>
      <c r="N79" s="82">
        <f>N72-N78</f>
        <v>0</v>
      </c>
      <c r="O79" s="82"/>
      <c r="P79" s="82"/>
      <c r="Q79" s="82">
        <f>Q72+Q78</f>
        <v>319728.4079530451</v>
      </c>
      <c r="R79" s="368"/>
    </row>
    <row r="80" spans="1:23" s="27" customFormat="1">
      <c r="A80" s="25">
        <v>41</v>
      </c>
      <c r="B80" s="26" t="s">
        <v>42</v>
      </c>
      <c r="C80" s="26"/>
      <c r="D80" s="26"/>
      <c r="E80" s="77">
        <v>-54652</v>
      </c>
      <c r="F80" s="147">
        <v>0</v>
      </c>
      <c r="G80" s="77"/>
      <c r="H80" s="79"/>
      <c r="I80" s="77">
        <f>SUM(E80:H80)</f>
        <v>-54652</v>
      </c>
      <c r="J80" s="84"/>
      <c r="K80" s="434">
        <f>$K$69</f>
        <v>0.13963638939182665</v>
      </c>
      <c r="L80" s="79">
        <f>I80*K80</f>
        <v>-7631.4079530421104</v>
      </c>
      <c r="M80" s="148">
        <f>I80+L80</f>
        <v>-62283.407953042108</v>
      </c>
      <c r="N80" s="79"/>
      <c r="O80" s="79"/>
      <c r="P80" s="79"/>
      <c r="Q80" s="78">
        <f>SUM(M80:P80)</f>
        <v>-62283.407953042108</v>
      </c>
      <c r="R80" s="368"/>
      <c r="U80" s="76"/>
      <c r="V80" s="3"/>
      <c r="W80" s="3"/>
    </row>
    <row r="81" spans="1:23" s="27" customFormat="1">
      <c r="A81" s="25">
        <v>42</v>
      </c>
      <c r="B81" s="26" t="s">
        <v>50</v>
      </c>
      <c r="C81" s="26"/>
      <c r="D81" s="26"/>
      <c r="E81" s="145">
        <f>E79+E80</f>
        <v>225901</v>
      </c>
      <c r="F81" s="373">
        <f>F79+F80</f>
        <v>0</v>
      </c>
      <c r="G81" s="145">
        <f>G79+G80</f>
        <v>0</v>
      </c>
      <c r="H81" s="145">
        <f>H79+H80</f>
        <v>0</v>
      </c>
      <c r="I81" s="145">
        <f>I79+I80</f>
        <v>225901</v>
      </c>
      <c r="K81" s="437"/>
      <c r="L81" s="82">
        <f>L79+L80</f>
        <v>31544.00000000303</v>
      </c>
      <c r="M81" s="143">
        <f>M79+M80</f>
        <v>257445.000000003</v>
      </c>
      <c r="N81" s="82"/>
      <c r="O81" s="82"/>
      <c r="P81" s="82"/>
      <c r="Q81" s="143">
        <f>Q79+Q80</f>
        <v>257445.000000003</v>
      </c>
      <c r="R81" s="368"/>
      <c r="U81" s="369"/>
      <c r="V81" s="368"/>
      <c r="W81" s="3"/>
    </row>
    <row r="82" spans="1:23">
      <c r="A82" s="22">
        <v>43</v>
      </c>
      <c r="B82" s="24" t="s">
        <v>36</v>
      </c>
      <c r="C82" s="24"/>
      <c r="D82" s="24"/>
      <c r="E82" s="77">
        <v>14762</v>
      </c>
      <c r="F82" s="147">
        <v>0</v>
      </c>
      <c r="G82" s="77">
        <v>0</v>
      </c>
      <c r="H82" s="78"/>
      <c r="I82" s="77">
        <f>SUM(E82:H82)</f>
        <v>14762</v>
      </c>
      <c r="J82" s="84"/>
      <c r="K82" s="434">
        <v>0</v>
      </c>
      <c r="L82" s="78">
        <f>I82*K82</f>
        <v>0</v>
      </c>
      <c r="M82" s="148">
        <f>I82+L82</f>
        <v>14762</v>
      </c>
      <c r="N82" s="78"/>
      <c r="O82" s="78"/>
      <c r="P82" s="78"/>
      <c r="Q82" s="78">
        <f>SUM(M82:P82)</f>
        <v>14762</v>
      </c>
      <c r="R82" s="368"/>
      <c r="V82" s="126"/>
    </row>
    <row r="83" spans="1:23" s="27" customFormat="1">
      <c r="A83" s="25">
        <v>44</v>
      </c>
      <c r="B83" s="26" t="s">
        <v>37</v>
      </c>
      <c r="C83" s="26"/>
      <c r="D83" s="26"/>
      <c r="E83" s="77">
        <v>0</v>
      </c>
      <c r="F83" s="147">
        <v>0</v>
      </c>
      <c r="G83" s="77">
        <v>0</v>
      </c>
      <c r="H83" s="82"/>
      <c r="I83" s="77">
        <f>SUM(E83:H83)</f>
        <v>0</v>
      </c>
      <c r="J83" s="84"/>
      <c r="K83" s="84">
        <v>0</v>
      </c>
      <c r="L83" s="82">
        <f>I83*K83</f>
        <v>0</v>
      </c>
      <c r="M83" s="148">
        <f>I83+L83</f>
        <v>0</v>
      </c>
      <c r="N83" s="82"/>
      <c r="O83" s="82"/>
      <c r="P83" s="82"/>
      <c r="Q83" s="78">
        <f>SUM(M83:P83)</f>
        <v>0</v>
      </c>
      <c r="R83" s="368"/>
      <c r="V83" s="37"/>
      <c r="W83" s="3"/>
    </row>
    <row r="84" spans="1:23" s="27" customFormat="1">
      <c r="A84" s="25">
        <v>45</v>
      </c>
      <c r="B84" s="26" t="s">
        <v>54</v>
      </c>
      <c r="C84" s="26"/>
      <c r="D84" s="26"/>
      <c r="E84" s="77">
        <v>-479</v>
      </c>
      <c r="F84" s="147">
        <v>0</v>
      </c>
      <c r="G84" s="77">
        <v>0</v>
      </c>
      <c r="H84" s="82"/>
      <c r="I84" s="77">
        <f>SUM(E84:H84)</f>
        <v>-479</v>
      </c>
      <c r="J84" s="84"/>
      <c r="K84" s="84">
        <v>0</v>
      </c>
      <c r="L84" s="82">
        <f>I84*K84</f>
        <v>0</v>
      </c>
      <c r="M84" s="148">
        <f>I84+L84</f>
        <v>-479</v>
      </c>
      <c r="N84" s="82"/>
      <c r="O84" s="82"/>
      <c r="P84" s="82"/>
      <c r="Q84" s="78">
        <f>SUM(M84:P84)</f>
        <v>-479</v>
      </c>
      <c r="R84" s="368"/>
      <c r="U84" s="37"/>
      <c r="W84" s="3"/>
    </row>
    <row r="85" spans="1:23">
      <c r="A85" s="22">
        <v>46</v>
      </c>
      <c r="B85" s="24" t="s">
        <v>45</v>
      </c>
      <c r="C85" s="24"/>
      <c r="D85" s="24"/>
      <c r="E85" s="77">
        <v>10073</v>
      </c>
      <c r="F85" s="147">
        <v>0</v>
      </c>
      <c r="G85" s="77">
        <v>0</v>
      </c>
      <c r="H85" s="79"/>
      <c r="I85" s="77">
        <f>SUM(E85:H85)</f>
        <v>10073</v>
      </c>
      <c r="J85" s="84"/>
      <c r="K85" s="84">
        <v>0</v>
      </c>
      <c r="L85" s="79">
        <f>I85*K85</f>
        <v>0</v>
      </c>
      <c r="M85" s="148">
        <f>I85+L85</f>
        <v>10073</v>
      </c>
      <c r="N85" s="79"/>
      <c r="O85" s="79"/>
      <c r="P85" s="79"/>
      <c r="Q85" s="78">
        <f>SUM(M85:P85)</f>
        <v>10073</v>
      </c>
      <c r="R85" s="368"/>
      <c r="S85" s="3" t="s">
        <v>493</v>
      </c>
      <c r="U85" s="37"/>
      <c r="V85" s="37"/>
    </row>
    <row r="86" spans="1:23" s="37" customFormat="1" ht="12.75" thickBot="1">
      <c r="A86" s="5">
        <v>47</v>
      </c>
      <c r="B86" s="37" t="s">
        <v>38</v>
      </c>
      <c r="E86" s="146">
        <f>SUM(E81:E85)</f>
        <v>250257</v>
      </c>
      <c r="F86" s="377">
        <f>SUM(F81:F85)</f>
        <v>0</v>
      </c>
      <c r="G86" s="146">
        <f>SUM(G81:G85)</f>
        <v>0</v>
      </c>
      <c r="H86" s="146">
        <f>SUM(H81:H85)</f>
        <v>0</v>
      </c>
      <c r="I86" s="146">
        <f>SUM(I81:I85)</f>
        <v>250257</v>
      </c>
      <c r="L86" s="80">
        <f>SUM(L81:L85)</f>
        <v>31544.00000000303</v>
      </c>
      <c r="M86" s="146">
        <f>SUM(M81:M85)</f>
        <v>281801.00000000303</v>
      </c>
      <c r="N86" s="80"/>
      <c r="O86" s="80"/>
      <c r="P86" s="80"/>
      <c r="Q86" s="146">
        <f>SUM(Q81:Q85)</f>
        <v>281801.00000000303</v>
      </c>
      <c r="R86" s="368">
        <f>Q86/Q97</f>
        <v>282470.94101719535</v>
      </c>
      <c r="S86" s="36">
        <v>280189</v>
      </c>
      <c r="U86" s="28"/>
      <c r="V86" s="381"/>
    </row>
    <row r="87" spans="1:23" s="37" customFormat="1" ht="12.75" thickTop="1">
      <c r="A87" s="5"/>
      <c r="E87" s="154"/>
      <c r="F87" s="156"/>
      <c r="G87" s="154"/>
      <c r="H87" s="154"/>
      <c r="I87" s="154"/>
      <c r="L87" s="154"/>
      <c r="M87" s="154"/>
      <c r="N87" s="154"/>
      <c r="O87" s="154"/>
      <c r="P87" s="154"/>
      <c r="Q87" s="154"/>
      <c r="R87" s="36"/>
      <c r="S87" s="36">
        <f>S86-R86</f>
        <v>-2281.9410171953496</v>
      </c>
      <c r="U87" s="3"/>
      <c r="V87" s="386"/>
      <c r="W87" s="387"/>
    </row>
    <row r="88" spans="1:23" s="37" customFormat="1">
      <c r="A88" s="22">
        <v>48</v>
      </c>
      <c r="B88" s="23" t="s">
        <v>167</v>
      </c>
      <c r="C88" s="23"/>
      <c r="D88" s="23"/>
      <c r="E88" s="157">
        <f>E65/E86</f>
        <v>5.7564823361584291E-2</v>
      </c>
      <c r="F88" s="156"/>
      <c r="G88" s="154"/>
      <c r="H88" s="154"/>
      <c r="L88" s="154"/>
      <c r="M88" s="154"/>
      <c r="N88" s="154"/>
      <c r="O88" s="154"/>
      <c r="P88" s="154"/>
      <c r="Q88" s="157">
        <f>Q65/Q86</f>
        <v>5.3200237742789293E-2</v>
      </c>
      <c r="R88" s="36"/>
      <c r="S88" s="36"/>
      <c r="U88" s="3"/>
      <c r="V88" s="27"/>
      <c r="W88" s="387"/>
    </row>
    <row r="89" spans="1:23" s="28" customFormat="1">
      <c r="A89" s="30"/>
      <c r="D89" s="31"/>
      <c r="E89" s="83"/>
      <c r="I89" s="83"/>
      <c r="L89" s="83"/>
      <c r="M89" s="83"/>
      <c r="N89" s="83"/>
      <c r="O89" s="83"/>
      <c r="P89" s="83"/>
      <c r="U89" s="3"/>
      <c r="V89" s="27"/>
      <c r="W89" s="379"/>
    </row>
    <row r="90" spans="1:23">
      <c r="B90" s="89" t="s">
        <v>124</v>
      </c>
      <c r="C90" s="90"/>
      <c r="D90" s="90"/>
      <c r="E90" s="91"/>
      <c r="F90" s="378"/>
      <c r="G90" s="90"/>
      <c r="H90" s="90"/>
      <c r="I90" s="90"/>
      <c r="J90" s="90"/>
      <c r="K90" s="90"/>
      <c r="L90" s="90"/>
      <c r="M90" s="90"/>
      <c r="N90" s="90"/>
      <c r="O90" s="90"/>
      <c r="P90" s="90"/>
      <c r="Q90" s="11"/>
      <c r="U90" s="257"/>
      <c r="V90" s="27"/>
      <c r="W90" s="27"/>
    </row>
    <row r="91" spans="1:23">
      <c r="A91" s="22">
        <v>49</v>
      </c>
      <c r="B91" s="92" t="s">
        <v>125</v>
      </c>
      <c r="C91" s="27"/>
      <c r="D91" s="27"/>
      <c r="E91" s="140">
        <f>ROR!F15</f>
        <v>7.2900000000000006E-2</v>
      </c>
      <c r="F91" s="379"/>
      <c r="G91" s="27"/>
      <c r="H91" s="27"/>
      <c r="J91" s="27"/>
      <c r="K91" s="27"/>
      <c r="L91" s="27"/>
      <c r="M91" s="27"/>
      <c r="N91" s="27"/>
      <c r="O91" s="27"/>
      <c r="P91" s="27"/>
      <c r="Q91" s="94">
        <f>E91</f>
        <v>7.2900000000000006E-2</v>
      </c>
      <c r="V91" s="27"/>
      <c r="W91" s="27"/>
    </row>
    <row r="92" spans="1:23">
      <c r="A92" s="22">
        <v>50</v>
      </c>
      <c r="B92" s="92" t="s">
        <v>126</v>
      </c>
      <c r="C92" s="27"/>
      <c r="D92" s="27"/>
      <c r="E92" s="154">
        <f>E86*E91</f>
        <v>18243.7353</v>
      </c>
      <c r="F92" s="379"/>
      <c r="G92" s="27"/>
      <c r="H92" s="27"/>
      <c r="J92" s="27"/>
      <c r="K92" s="27"/>
      <c r="L92" s="27"/>
      <c r="M92" s="27"/>
      <c r="N92" s="27"/>
      <c r="O92" s="27"/>
      <c r="P92" s="27"/>
      <c r="Q92" s="95">
        <f>Q86*Q91</f>
        <v>20543.292900000222</v>
      </c>
      <c r="U92" s="369"/>
      <c r="V92" s="383"/>
      <c r="W92" s="157"/>
    </row>
    <row r="93" spans="1:23">
      <c r="A93" s="22">
        <v>51</v>
      </c>
      <c r="B93" s="92" t="s">
        <v>127</v>
      </c>
      <c r="C93" s="27"/>
      <c r="D93" s="27"/>
      <c r="E93" s="155">
        <f>E65</f>
        <v>14406</v>
      </c>
      <c r="F93" s="379"/>
      <c r="G93" s="27"/>
      <c r="H93" s="27"/>
      <c r="J93" s="27"/>
      <c r="K93" s="27"/>
      <c r="L93" s="27"/>
      <c r="M93" s="27"/>
      <c r="N93" s="27"/>
      <c r="O93" s="27"/>
      <c r="P93" s="27"/>
      <c r="Q93" s="151">
        <f>Q65</f>
        <v>14991.880196155926</v>
      </c>
      <c r="V93" s="27"/>
      <c r="W93" s="27"/>
    </row>
    <row r="94" spans="1:23">
      <c r="A94" s="22">
        <v>52</v>
      </c>
      <c r="B94" s="92" t="s">
        <v>128</v>
      </c>
      <c r="C94" s="27"/>
      <c r="D94" s="27"/>
      <c r="E94" s="156">
        <f>E92-E93</f>
        <v>3837.7353000000003</v>
      </c>
      <c r="F94" s="379"/>
      <c r="G94" s="27"/>
      <c r="H94" s="27"/>
      <c r="J94" s="27"/>
      <c r="K94" s="27"/>
      <c r="L94" s="27"/>
      <c r="M94" s="27"/>
      <c r="N94" s="27"/>
      <c r="O94" s="27"/>
      <c r="P94" s="27"/>
      <c r="Q94" s="152">
        <f>Q92-Q93</f>
        <v>5551.4127038442966</v>
      </c>
      <c r="V94" s="157"/>
      <c r="W94" s="27"/>
    </row>
    <row r="95" spans="1:23">
      <c r="A95" s="22">
        <v>53</v>
      </c>
      <c r="B95" s="92" t="s">
        <v>129</v>
      </c>
      <c r="C95" s="27"/>
      <c r="D95" s="27"/>
      <c r="E95" s="73">
        <f>ROR!N24</f>
        <v>0.62031999999999998</v>
      </c>
      <c r="F95" s="379"/>
      <c r="G95" s="27"/>
      <c r="H95" s="27"/>
      <c r="J95" s="27"/>
      <c r="K95" s="27"/>
      <c r="L95" s="27"/>
      <c r="M95" s="27"/>
      <c r="N95" s="27"/>
      <c r="O95" s="27"/>
      <c r="P95" s="27"/>
      <c r="Q95" s="73">
        <f>E95</f>
        <v>0.62031999999999998</v>
      </c>
      <c r="U95" s="76"/>
      <c r="V95" s="27"/>
      <c r="W95" s="27"/>
    </row>
    <row r="96" spans="1:23">
      <c r="A96" s="22">
        <v>54</v>
      </c>
      <c r="B96" s="92" t="s">
        <v>130</v>
      </c>
      <c r="C96" s="27"/>
      <c r="D96" s="27"/>
      <c r="E96" s="156">
        <f>E94/E95</f>
        <v>6186.7025083827712</v>
      </c>
      <c r="F96" s="379"/>
      <c r="G96" s="27"/>
      <c r="H96" s="27"/>
      <c r="J96" s="27"/>
      <c r="K96" s="27"/>
      <c r="L96" s="27"/>
      <c r="M96" s="27"/>
      <c r="N96" s="27"/>
      <c r="O96" s="27"/>
      <c r="P96" s="27"/>
      <c r="Q96" s="152">
        <f>Q94/Q95</f>
        <v>8949.2724784696547</v>
      </c>
      <c r="V96" s="27"/>
      <c r="W96" s="27"/>
    </row>
    <row r="97" spans="1:24">
      <c r="A97" s="22">
        <v>55</v>
      </c>
      <c r="B97" s="92" t="s">
        <v>131</v>
      </c>
      <c r="C97" s="27"/>
      <c r="D97" s="27"/>
      <c r="E97" s="93"/>
      <c r="F97" s="379"/>
      <c r="G97" s="27"/>
      <c r="H97" s="27"/>
      <c r="I97" s="27"/>
      <c r="J97" s="27"/>
      <c r="K97" s="27"/>
      <c r="L97" s="27"/>
      <c r="M97" s="27"/>
      <c r="N97" s="27"/>
      <c r="O97" s="27"/>
      <c r="P97" s="27"/>
      <c r="Q97" s="96">
        <f>(Q12+Q13)/(I12+I13-H12)</f>
        <v>0.99762828340933107</v>
      </c>
      <c r="U97" s="382"/>
      <c r="V97" s="27"/>
      <c r="W97" s="27"/>
      <c r="X97" s="27"/>
    </row>
    <row r="98" spans="1:24">
      <c r="A98" s="22">
        <v>56</v>
      </c>
      <c r="B98" s="97" t="s">
        <v>132</v>
      </c>
      <c r="C98" s="73"/>
      <c r="D98" s="73"/>
      <c r="E98" s="62"/>
      <c r="F98" s="380"/>
      <c r="G98" s="73"/>
      <c r="H98" s="73"/>
      <c r="I98" s="73"/>
      <c r="J98" s="73"/>
      <c r="K98" s="73"/>
      <c r="L98" s="73"/>
      <c r="M98" s="73"/>
      <c r="N98" s="73"/>
      <c r="O98" s="73"/>
      <c r="P98" s="73"/>
      <c r="Q98" s="153">
        <f>Q96/Q97</f>
        <v>8970.5480761692979</v>
      </c>
      <c r="U98" s="27"/>
      <c r="V98" s="27"/>
      <c r="W98" s="27"/>
      <c r="X98" s="27"/>
    </row>
    <row r="99" spans="1:24">
      <c r="U99" s="383"/>
      <c r="V99" s="383"/>
      <c r="W99" s="157"/>
      <c r="X99" s="27"/>
    </row>
    <row r="100" spans="1:24" ht="33.75" customHeight="1">
      <c r="A100" s="467" t="s">
        <v>495</v>
      </c>
      <c r="B100" s="467"/>
      <c r="C100" s="467"/>
      <c r="D100" s="467"/>
      <c r="E100" s="467"/>
      <c r="F100" s="467"/>
      <c r="G100" s="467"/>
      <c r="H100" s="467"/>
      <c r="I100" s="467"/>
      <c r="J100" s="467"/>
      <c r="K100" s="467"/>
      <c r="L100" s="467"/>
      <c r="M100" s="467"/>
      <c r="N100" s="467"/>
      <c r="O100" s="467"/>
      <c r="P100" s="467"/>
      <c r="Q100" s="467"/>
      <c r="R100" s="241"/>
      <c r="S100" s="241"/>
      <c r="T100" s="241"/>
      <c r="U100" s="27"/>
      <c r="V100" s="27"/>
      <c r="W100" s="27"/>
      <c r="X100" s="27"/>
    </row>
    <row r="101" spans="1:24">
      <c r="U101" s="27"/>
      <c r="V101" s="157"/>
      <c r="W101" s="27"/>
      <c r="X101" s="27"/>
    </row>
    <row r="102" spans="1:24" ht="12.75">
      <c r="I102"/>
      <c r="J102"/>
      <c r="K102"/>
      <c r="L102"/>
      <c r="M102"/>
      <c r="U102" s="27"/>
      <c r="V102" s="27"/>
      <c r="W102" s="27"/>
      <c r="X102" s="27"/>
    </row>
    <row r="103" spans="1:24" ht="12.75">
      <c r="I103"/>
      <c r="J103"/>
      <c r="K103"/>
      <c r="L103"/>
      <c r="M103"/>
      <c r="U103" s="27"/>
      <c r="V103" s="27"/>
      <c r="W103" s="27"/>
      <c r="X103" s="27"/>
    </row>
    <row r="104" spans="1:24" ht="12.75">
      <c r="I104"/>
      <c r="J104"/>
      <c r="K104"/>
      <c r="L104"/>
      <c r="M104"/>
    </row>
    <row r="105" spans="1:24" ht="12.75">
      <c r="I105"/>
      <c r="J105"/>
      <c r="K105"/>
      <c r="L105"/>
      <c r="M105"/>
    </row>
    <row r="106" spans="1:24" ht="12.75">
      <c r="I106"/>
      <c r="J106"/>
      <c r="K106"/>
      <c r="L106"/>
      <c r="M106"/>
    </row>
    <row r="107" spans="1:24" ht="12.75">
      <c r="I107"/>
      <c r="J107"/>
      <c r="K107"/>
      <c r="L107"/>
      <c r="M107"/>
    </row>
    <row r="108" spans="1:24" ht="12.75">
      <c r="I108"/>
      <c r="J108"/>
      <c r="K108"/>
      <c r="L108"/>
      <c r="M108"/>
    </row>
    <row r="109" spans="1:24" ht="12.75">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row r="262" spans="7:7">
      <c r="G262" s="3" t="s">
        <v>509</v>
      </c>
    </row>
    <row r="263" spans="7:7">
      <c r="G263" s="3" t="s">
        <v>510</v>
      </c>
    </row>
  </sheetData>
  <mergeCells count="32">
    <mergeCell ref="E5:I5"/>
    <mergeCell ref="L5:M5"/>
    <mergeCell ref="P6:P9"/>
    <mergeCell ref="B1:S1"/>
    <mergeCell ref="A2:Q2"/>
    <mergeCell ref="O5:P5"/>
    <mergeCell ref="E6:E9"/>
    <mergeCell ref="F6:F9"/>
    <mergeCell ref="G6:G9"/>
    <mergeCell ref="H6:H9"/>
    <mergeCell ref="I6:I9"/>
    <mergeCell ref="K6:K9"/>
    <mergeCell ref="L6:L9"/>
    <mergeCell ref="M6:M9"/>
    <mergeCell ref="O6:O9"/>
    <mergeCell ref="Q6:Q9"/>
    <mergeCell ref="A100:Q100"/>
    <mergeCell ref="A50:Q50"/>
    <mergeCell ref="E53:I53"/>
    <mergeCell ref="L53:M53"/>
    <mergeCell ref="O53:P53"/>
    <mergeCell ref="P54:P57"/>
    <mergeCell ref="E54:E57"/>
    <mergeCell ref="F54:F57"/>
    <mergeCell ref="G54:G57"/>
    <mergeCell ref="H54:H57"/>
    <mergeCell ref="I54:I57"/>
    <mergeCell ref="K54:K57"/>
    <mergeCell ref="L54:L57"/>
    <mergeCell ref="M54:M57"/>
    <mergeCell ref="O54:O57"/>
    <mergeCell ref="Q54:Q57"/>
  </mergeCells>
  <pageMargins left="0.7" right="0.7" top="0.75" bottom="0.75" header="0.3" footer="0.3"/>
  <pageSetup scale="75" orientation="landscape" r:id="rId1"/>
  <headerFooter scaleWithDoc="0">
    <oddFooter>&amp;LStaff_DR_130-Attachment C&amp;RPage &amp;P of &amp;N</oddFooter>
  </headerFooter>
  <rowBreaks count="1" manualBreakCount="1">
    <brk id="48" max="16" man="1"/>
  </rowBreaks>
</worksheet>
</file>

<file path=xl/worksheets/sheet4.xml><?xml version="1.0" encoding="utf-8"?>
<worksheet xmlns="http://schemas.openxmlformats.org/spreadsheetml/2006/main" xmlns:r="http://schemas.openxmlformats.org/officeDocument/2006/relationships">
  <sheetPr codeName="Sheet1"/>
  <dimension ref="A1:Y263"/>
  <sheetViews>
    <sheetView tabSelected="1" view="pageBreakPreview" topLeftCell="A190" zoomScaleNormal="100" zoomScaleSheetLayoutView="100" workbookViewId="0">
      <selection activeCell="C34" sqref="C34:M34"/>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customWidth="1"/>
    <col min="8" max="8" width="10.42578125" style="4" customWidth="1"/>
    <col min="9" max="9" width="8.28515625" style="4" customWidth="1"/>
    <col min="10" max="10" width="8.5703125" style="4" customWidth="1"/>
    <col min="11" max="11" width="8.42578125" style="4" customWidth="1"/>
    <col min="12" max="13" width="8.7109375" style="4" customWidth="1"/>
    <col min="14" max="14" width="8.28515625" style="4" customWidth="1"/>
    <col min="15" max="16" width="8.7109375" style="4" customWidth="1"/>
    <col min="17" max="17" width="8.28515625" style="4" customWidth="1"/>
    <col min="18" max="18" width="8.5703125" style="3" customWidth="1"/>
    <col min="19" max="20" width="8.7109375" style="3" customWidth="1"/>
    <col min="21" max="22" width="10.7109375" style="3" customWidth="1"/>
    <col min="23" max="16384" width="10.7109375" style="3"/>
  </cols>
  <sheetData>
    <row r="1" spans="1:20" ht="21" customHeight="1">
      <c r="A1" s="484"/>
      <c r="B1" s="484"/>
      <c r="C1" s="484"/>
      <c r="D1" s="484"/>
      <c r="E1" s="484"/>
      <c r="F1" s="484"/>
      <c r="G1" s="484"/>
      <c r="H1" s="484"/>
      <c r="I1" s="484"/>
      <c r="J1" s="484"/>
      <c r="K1" s="484"/>
      <c r="L1" s="484"/>
      <c r="M1" s="484"/>
      <c r="N1" s="484"/>
      <c r="O1" s="484"/>
      <c r="P1" s="484"/>
      <c r="Q1" s="484"/>
      <c r="R1" s="484"/>
    </row>
    <row r="2" spans="1:20" ht="28.9" customHeight="1">
      <c r="A2" s="497" t="s">
        <v>407</v>
      </c>
      <c r="B2" s="497"/>
      <c r="C2" s="497"/>
      <c r="D2" s="497"/>
      <c r="E2" s="497"/>
      <c r="F2" s="497"/>
      <c r="G2" s="497"/>
      <c r="H2" s="497"/>
      <c r="I2" s="497"/>
      <c r="J2" s="497"/>
      <c r="K2" s="497"/>
      <c r="L2" s="497"/>
      <c r="M2" s="497"/>
      <c r="N2" s="497"/>
      <c r="O2" s="497"/>
      <c r="P2" s="497"/>
      <c r="Q2" s="497"/>
      <c r="R2" s="497"/>
    </row>
    <row r="3" spans="1:20" ht="37.15" customHeight="1">
      <c r="A3" s="244" t="s">
        <v>43</v>
      </c>
      <c r="F3" s="205"/>
      <c r="G3" s="205"/>
      <c r="H3" s="205"/>
      <c r="I3" s="205"/>
      <c r="J3" s="205"/>
      <c r="K3" s="205"/>
      <c r="L3" s="205"/>
      <c r="M3" s="205"/>
      <c r="N3" s="205"/>
      <c r="O3" s="205"/>
      <c r="P3" s="205"/>
      <c r="Q3" s="205"/>
      <c r="R3" s="205"/>
    </row>
    <row r="4" spans="1:20" ht="13.5" customHeight="1">
      <c r="A4" s="244" t="s">
        <v>48</v>
      </c>
      <c r="E4" s="499" t="s">
        <v>225</v>
      </c>
      <c r="F4" s="499"/>
      <c r="G4" s="499"/>
      <c r="H4" s="499"/>
      <c r="I4" s="499"/>
      <c r="J4" s="499"/>
      <c r="K4" s="499"/>
      <c r="L4" s="499"/>
      <c r="M4" s="499"/>
      <c r="N4" s="499"/>
      <c r="O4" s="499"/>
      <c r="P4" s="499"/>
      <c r="Q4" s="499"/>
      <c r="R4" s="499"/>
    </row>
    <row r="5" spans="1:20" ht="5.25" customHeight="1">
      <c r="A5" s="240"/>
    </row>
    <row r="6" spans="1:20" s="6" customFormat="1" ht="11.45" customHeight="1">
      <c r="A6" s="244" t="s">
        <v>39</v>
      </c>
      <c r="B6" s="2"/>
      <c r="C6" s="2"/>
      <c r="D6" s="2"/>
      <c r="E6" s="2"/>
      <c r="F6" s="4"/>
      <c r="G6" s="4"/>
      <c r="H6" s="4"/>
      <c r="I6" s="4"/>
      <c r="J6" s="4"/>
      <c r="K6" s="4"/>
      <c r="L6" s="4"/>
      <c r="M6" s="4"/>
      <c r="N6" s="4"/>
      <c r="O6" s="4"/>
      <c r="P6" s="4"/>
      <c r="Q6" s="4"/>
      <c r="R6" s="3"/>
      <c r="S6" s="24"/>
      <c r="T6" s="452" t="s">
        <v>547</v>
      </c>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5" customHeight="1">
      <c r="A34" s="22">
        <v>16</v>
      </c>
      <c r="B34" s="24" t="s">
        <v>20</v>
      </c>
      <c r="C34" s="288"/>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206"/>
      <c r="G57" s="206"/>
      <c r="H57" s="206"/>
      <c r="I57" s="206"/>
      <c r="J57" s="206"/>
      <c r="K57" s="206"/>
      <c r="L57" s="206"/>
      <c r="M57" s="206"/>
      <c r="N57" s="206"/>
      <c r="O57" s="206"/>
      <c r="P57" s="206"/>
      <c r="Q57" s="206"/>
      <c r="R57" s="206"/>
    </row>
    <row r="58" spans="1:20" ht="12.6" customHeight="1">
      <c r="B58" s="23"/>
      <c r="C58" s="23"/>
      <c r="D58" s="207" t="s">
        <v>279</v>
      </c>
      <c r="E58" s="23"/>
      <c r="F58" s="206"/>
      <c r="G58" s="206"/>
      <c r="H58" s="206"/>
      <c r="I58" s="206"/>
      <c r="J58" s="206"/>
      <c r="K58" s="206"/>
      <c r="L58" s="206"/>
      <c r="M58" s="206"/>
      <c r="N58" s="206"/>
      <c r="O58" s="206"/>
      <c r="P58" s="206"/>
      <c r="Q58" s="206"/>
      <c r="R58" s="206"/>
    </row>
    <row r="59" spans="1:20" ht="28.9" customHeight="1">
      <c r="A59" s="498"/>
      <c r="B59" s="498"/>
      <c r="C59" s="498"/>
      <c r="D59" s="498"/>
      <c r="E59" s="498"/>
      <c r="F59" s="498"/>
      <c r="G59" s="498"/>
      <c r="H59" s="498"/>
      <c r="I59" s="498"/>
      <c r="J59" s="498"/>
      <c r="K59" s="498"/>
      <c r="L59" s="498"/>
      <c r="M59" s="498"/>
      <c r="N59" s="498"/>
      <c r="O59" s="498"/>
      <c r="P59" s="498"/>
      <c r="Q59" s="498"/>
      <c r="R59" s="498"/>
    </row>
    <row r="60" spans="1:20" ht="39.75" customHeight="1">
      <c r="A60" s="240" t="s">
        <v>43</v>
      </c>
      <c r="R60" s="4"/>
    </row>
    <row r="61" spans="1:20" ht="14.25" customHeight="1">
      <c r="A61" s="240" t="s">
        <v>48</v>
      </c>
      <c r="E61" s="499" t="str">
        <f>E4</f>
        <v>Commission Basis Results of Operations</v>
      </c>
      <c r="F61" s="499"/>
      <c r="G61" s="499"/>
      <c r="H61" s="499"/>
      <c r="I61" s="499"/>
      <c r="J61" s="499"/>
      <c r="K61" s="499"/>
      <c r="L61" s="499"/>
      <c r="M61" s="499"/>
      <c r="N61" s="499"/>
      <c r="O61" s="499"/>
      <c r="P61" s="499"/>
      <c r="Q61" s="499"/>
      <c r="R61" s="499"/>
    </row>
    <row r="62" spans="1:20" ht="0.75" customHeight="1">
      <c r="A62" s="240"/>
      <c r="R62" s="4"/>
    </row>
    <row r="63" spans="1:20" s="6" customFormat="1" ht="13.9" customHeight="1">
      <c r="A63" s="240" t="s">
        <v>39</v>
      </c>
      <c r="B63" s="2"/>
      <c r="C63" s="2"/>
      <c r="D63" s="2"/>
      <c r="E63" s="2"/>
      <c r="F63" s="4"/>
      <c r="G63" s="4"/>
      <c r="H63" s="4"/>
      <c r="I63" s="4"/>
      <c r="J63" s="4"/>
      <c r="K63" s="4"/>
      <c r="L63" s="4"/>
      <c r="M63" s="4"/>
      <c r="N63" s="4"/>
      <c r="O63" s="4"/>
      <c r="P63" s="4"/>
      <c r="Q63" s="4"/>
      <c r="R63" s="4"/>
      <c r="S63" s="24"/>
      <c r="T63" s="452" t="s">
        <v>547</v>
      </c>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81">
        <f>'Reg Amort and Other RB'!R36-'Reg Amort and Other RB'!R66</f>
        <v>313469</v>
      </c>
      <c r="T73" s="281">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83">
        <f>'Reg Amort and Other RB'!R46-'Reg Amort and Other RB'!R67</f>
        <v>-50170</v>
      </c>
      <c r="T83" s="283">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84">
        <f>'Reg Amort and Other RB'!R64</f>
        <v>-332</v>
      </c>
      <c r="T87" s="284">
        <f>'Reg Amort and Other RB'!S64</f>
        <v>-479</v>
      </c>
    </row>
    <row r="88" spans="1:20"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75" thickTop="1">
      <c r="A92" s="5"/>
      <c r="B92" s="37"/>
      <c r="C92" s="37"/>
      <c r="D92" s="37"/>
      <c r="E92" s="37"/>
      <c r="F92" s="206"/>
      <c r="G92" s="206"/>
      <c r="H92" s="206"/>
      <c r="I92" s="206"/>
      <c r="J92" s="206"/>
      <c r="K92" s="206"/>
      <c r="L92" s="206"/>
      <c r="M92" s="206"/>
      <c r="N92" s="206"/>
      <c r="O92" s="206"/>
      <c r="P92" s="206"/>
      <c r="Q92" s="206"/>
      <c r="R92" s="206"/>
    </row>
    <row r="93" spans="1:20" s="28" customFormat="1">
      <c r="A93" s="30"/>
      <c r="D93" s="207" t="s">
        <v>226</v>
      </c>
      <c r="E93" s="31"/>
      <c r="F93" s="29"/>
      <c r="G93" s="29"/>
      <c r="H93" s="29"/>
      <c r="I93" s="29"/>
      <c r="J93" s="29"/>
      <c r="K93" s="29"/>
      <c r="L93" s="29"/>
      <c r="M93" s="29"/>
      <c r="N93" s="29"/>
      <c r="O93" s="29"/>
      <c r="P93" s="29"/>
      <c r="Q93" s="29"/>
      <c r="R93" s="29"/>
    </row>
    <row r="94" spans="1:20" s="28" customFormat="1" ht="5.45" customHeight="1">
      <c r="A94" s="30"/>
      <c r="D94" s="207"/>
      <c r="E94" s="31"/>
      <c r="F94" s="29"/>
      <c r="G94" s="29"/>
      <c r="H94" s="29"/>
      <c r="I94" s="29"/>
      <c r="J94" s="29"/>
      <c r="K94" s="29"/>
      <c r="L94" s="29"/>
      <c r="M94" s="29"/>
      <c r="N94" s="29"/>
      <c r="O94" s="29"/>
      <c r="P94" s="29"/>
      <c r="Q94" s="29"/>
      <c r="R94" s="29"/>
    </row>
    <row r="95" spans="1:20" s="28" customFormat="1" ht="12.75">
      <c r="A95" s="244" t="s">
        <v>43</v>
      </c>
      <c r="D95" s="207"/>
      <c r="E95" s="31"/>
      <c r="F95" s="29"/>
      <c r="G95" s="29"/>
      <c r="H95" s="29"/>
      <c r="I95" s="29"/>
      <c r="J95" s="29"/>
      <c r="K95" s="29"/>
      <c r="L95" s="29"/>
      <c r="M95" s="29"/>
      <c r="N95" s="29"/>
      <c r="O95" s="29"/>
      <c r="P95" s="29"/>
      <c r="Q95" s="29"/>
      <c r="R95" s="29"/>
    </row>
    <row r="96" spans="1:20" s="28" customFormat="1" ht="12.75">
      <c r="A96" s="244" t="s">
        <v>48</v>
      </c>
      <c r="D96" s="207"/>
      <c r="E96" s="31"/>
      <c r="F96" s="29"/>
      <c r="G96" s="29"/>
      <c r="H96" s="29"/>
      <c r="I96" s="29"/>
      <c r="J96" s="29"/>
      <c r="K96" s="29"/>
      <c r="L96" s="29"/>
      <c r="M96" s="29"/>
      <c r="N96" s="29"/>
      <c r="O96" s="29"/>
      <c r="P96" s="29"/>
      <c r="Q96" s="29"/>
      <c r="R96" s="29"/>
    </row>
    <row r="97" spans="1:20" s="28" customFormat="1" ht="12.75">
      <c r="A97" s="244" t="s">
        <v>39</v>
      </c>
      <c r="D97" s="207"/>
      <c r="E97" s="31"/>
      <c r="F97" s="29"/>
      <c r="G97" s="29"/>
      <c r="H97" s="29"/>
      <c r="I97" s="29"/>
      <c r="J97" s="29"/>
      <c r="K97" s="29"/>
      <c r="L97" s="29"/>
      <c r="M97" s="29"/>
      <c r="N97" s="29"/>
      <c r="O97" s="29"/>
      <c r="P97" s="29"/>
      <c r="Q97" s="29"/>
      <c r="R97" s="29"/>
    </row>
    <row r="98" spans="1:20" s="28" customFormat="1" ht="15.75">
      <c r="A98" s="30"/>
      <c r="D98" s="207"/>
      <c r="E98" s="496" t="s">
        <v>254</v>
      </c>
      <c r="F98" s="496"/>
      <c r="G98" s="496"/>
      <c r="H98" s="496"/>
      <c r="I98" s="496"/>
      <c r="J98" s="496"/>
      <c r="K98" s="496"/>
      <c r="L98" s="496"/>
      <c r="M98" s="496"/>
      <c r="N98" s="496"/>
      <c r="O98" s="496"/>
      <c r="P98" s="496"/>
      <c r="Q98" s="496"/>
      <c r="R98" s="496"/>
      <c r="T98" s="452" t="s">
        <v>547</v>
      </c>
    </row>
    <row r="99" spans="1:20" s="28" customFormat="1" ht="3" customHeight="1">
      <c r="A99" s="30"/>
      <c r="D99" s="207"/>
      <c r="E99" s="31"/>
      <c r="F99" s="208"/>
      <c r="G99" s="208"/>
      <c r="H99" s="208"/>
      <c r="I99" s="208"/>
      <c r="J99" s="208"/>
      <c r="K99" s="208"/>
      <c r="L99" s="208"/>
      <c r="M99" s="208"/>
      <c r="N99" s="208"/>
      <c r="O99" s="208"/>
      <c r="P99" s="208"/>
      <c r="Q99" s="208"/>
      <c r="R99" s="208"/>
    </row>
    <row r="100" spans="1:20" s="28" customFormat="1" ht="12" customHeight="1">
      <c r="A100" s="30"/>
      <c r="D100" s="207"/>
      <c r="E100" s="31"/>
      <c r="F100" s="252">
        <f>F8</f>
        <v>2000</v>
      </c>
      <c r="G100" s="252">
        <f t="shared" ref="G100:R100" si="29">G8</f>
        <v>2001</v>
      </c>
      <c r="H100" s="252">
        <f t="shared" si="29"/>
        <v>2002</v>
      </c>
      <c r="I100" s="252">
        <f t="shared" si="29"/>
        <v>2003</v>
      </c>
      <c r="J100" s="252">
        <f t="shared" si="29"/>
        <v>2004</v>
      </c>
      <c r="K100" s="252">
        <f t="shared" si="29"/>
        <v>2005</v>
      </c>
      <c r="L100" s="252">
        <f t="shared" si="29"/>
        <v>2006</v>
      </c>
      <c r="M100" s="252">
        <f t="shared" si="29"/>
        <v>2007</v>
      </c>
      <c r="N100" s="252">
        <f t="shared" si="29"/>
        <v>2008</v>
      </c>
      <c r="O100" s="252">
        <f t="shared" si="29"/>
        <v>2009</v>
      </c>
      <c r="P100" s="252">
        <f t="shared" si="29"/>
        <v>2010</v>
      </c>
      <c r="Q100" s="252">
        <f t="shared" si="29"/>
        <v>2011</v>
      </c>
      <c r="R100" s="252">
        <f t="shared" si="29"/>
        <v>2012</v>
      </c>
      <c r="S100" s="252">
        <f>S8</f>
        <v>2013</v>
      </c>
      <c r="T100" s="252">
        <f>T8</f>
        <v>2014</v>
      </c>
    </row>
    <row r="101" spans="1:20" s="28" customFormat="1" ht="24">
      <c r="A101" s="245" t="s">
        <v>272</v>
      </c>
      <c r="D101" s="251" t="s">
        <v>287</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209" t="s">
        <v>227</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209" t="s">
        <v>231</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209" t="s">
        <v>232</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228</v>
      </c>
      <c r="E105" s="209" t="s">
        <v>233</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229</v>
      </c>
      <c r="E106" s="209" t="s">
        <v>234</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230</v>
      </c>
      <c r="E107" s="209" t="s">
        <v>235</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210">
        <f>SUM(F102:F107)</f>
        <v>16657</v>
      </c>
      <c r="G108" s="210">
        <f t="shared" ref="G108:R108" si="36">SUM(G102:G107)</f>
        <v>17880</v>
      </c>
      <c r="H108" s="210">
        <f t="shared" si="36"/>
        <v>21973</v>
      </c>
      <c r="I108" s="210">
        <f t="shared" si="36"/>
        <v>23291</v>
      </c>
      <c r="J108" s="210">
        <f t="shared" si="36"/>
        <v>20494</v>
      </c>
      <c r="K108" s="210">
        <f t="shared" si="36"/>
        <v>23822</v>
      </c>
      <c r="L108" s="210">
        <f t="shared" si="36"/>
        <v>21026</v>
      </c>
      <c r="M108" s="210">
        <f t="shared" si="36"/>
        <v>25480</v>
      </c>
      <c r="N108" s="210">
        <f t="shared" si="36"/>
        <v>26568</v>
      </c>
      <c r="O108" s="210">
        <f t="shared" si="36"/>
        <v>31565</v>
      </c>
      <c r="P108" s="210">
        <f t="shared" si="36"/>
        <v>34303</v>
      </c>
      <c r="Q108" s="210">
        <f t="shared" si="36"/>
        <v>36543.852941999998</v>
      </c>
      <c r="R108" s="210">
        <f t="shared" si="36"/>
        <v>36396</v>
      </c>
      <c r="S108" s="210">
        <f>SUM(S102:S107)</f>
        <v>30758</v>
      </c>
      <c r="T108" s="210">
        <f>SUM(T102:T107)</f>
        <v>31347</v>
      </c>
    </row>
    <row r="109" spans="1:20" s="28" customFormat="1">
      <c r="A109" s="30">
        <v>8</v>
      </c>
      <c r="C109" s="28" t="s">
        <v>162</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284</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285</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286</v>
      </c>
      <c r="D112" s="28"/>
      <c r="E112" s="28"/>
      <c r="F112" s="211">
        <v>0</v>
      </c>
      <c r="G112" s="211">
        <v>0</v>
      </c>
      <c r="H112" s="211">
        <v>0</v>
      </c>
      <c r="I112" s="211">
        <v>0</v>
      </c>
      <c r="J112" s="211">
        <v>0</v>
      </c>
      <c r="K112" s="211">
        <v>0</v>
      </c>
      <c r="L112" s="211">
        <v>0</v>
      </c>
      <c r="M112" s="211">
        <f>'Riders and Gas Cost Revenue'!V35+'Riders and Gas Cost Revenue'!V40</f>
        <v>0</v>
      </c>
      <c r="N112" s="211">
        <f>'Riders and Gas Cost Revenue'!Y35+'Riders and Gas Cost Revenue'!Y40</f>
        <v>-3</v>
      </c>
      <c r="O112" s="211">
        <f>'Riders and Gas Cost Revenue'!AB35+'Riders and Gas Cost Revenue'!AB40</f>
        <v>-5</v>
      </c>
      <c r="P112" s="211">
        <f>'Riders and Gas Cost Revenue'!AE35+'Riders and Gas Cost Revenue'!AE40</f>
        <v>-4</v>
      </c>
      <c r="Q112" s="211">
        <f>'Riders and Gas Cost Revenue'!AH35+'Riders and Gas Cost Revenue'!AH40</f>
        <v>-4</v>
      </c>
      <c r="R112" s="211">
        <f>'Riders and Gas Cost Revenue'!AK35+'Riders and Gas Cost Revenue'!AK40</f>
        <v>-1</v>
      </c>
      <c r="S112" s="211">
        <f>'Riders and Gas Cost Revenue'!AN35+'Riders and Gas Cost Revenue'!AN40</f>
        <v>0</v>
      </c>
      <c r="T112" s="211">
        <f>'Riders and Gas Cost Revenue'!AQ35+'Riders and Gas Cost Revenue'!AQ40</f>
        <v>0</v>
      </c>
    </row>
    <row r="113" spans="1:20" ht="12.75" thickBot="1">
      <c r="A113" s="30">
        <v>12</v>
      </c>
      <c r="B113" s="66" t="s">
        <v>283</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75" thickTop="1">
      <c r="A114" s="30"/>
      <c r="D114" s="3" t="s">
        <v>274</v>
      </c>
      <c r="G114" s="126">
        <f>(G113-F113)/F113</f>
        <v>-0.50087094704030799</v>
      </c>
      <c r="H114" s="126">
        <f t="shared" ref="H114:T114" si="39">(H113-G113)/G113</f>
        <v>0.20461642074328049</v>
      </c>
      <c r="I114" s="126">
        <f t="shared" si="39"/>
        <v>5.6315120711562895E-2</v>
      </c>
      <c r="J114" s="126">
        <f t="shared" si="39"/>
        <v>-3.8589231583505752E-2</v>
      </c>
      <c r="K114" s="126">
        <f t="shared" si="39"/>
        <v>3.1129573094439717E-2</v>
      </c>
      <c r="L114" s="126">
        <f t="shared" si="39"/>
        <v>-3.7858564286754356E-3</v>
      </c>
      <c r="M114" s="126">
        <f t="shared" si="39"/>
        <v>3.3130328867235076E-2</v>
      </c>
      <c r="N114" s="126">
        <f t="shared" si="39"/>
        <v>2.7917943881160104E-2</v>
      </c>
      <c r="O114" s="126">
        <f t="shared" si="39"/>
        <v>0.12859567830435381</v>
      </c>
      <c r="P114" s="126">
        <f t="shared" si="39"/>
        <v>5.727642276422764E-2</v>
      </c>
      <c r="Q114" s="126">
        <f t="shared" si="39"/>
        <v>7.0854432773270706E-2</v>
      </c>
      <c r="R114" s="126">
        <f t="shared" si="39"/>
        <v>0.10437894613525288</v>
      </c>
      <c r="S114" s="126">
        <f t="shared" si="39"/>
        <v>9.6882213335934206E-3</v>
      </c>
      <c r="T114" s="126">
        <f t="shared" si="39"/>
        <v>1.3555720127507486E-2</v>
      </c>
    </row>
    <row r="115" spans="1:20" ht="9.75" customHeight="1">
      <c r="A115" s="30"/>
      <c r="E115" s="28"/>
      <c r="F115" s="29"/>
      <c r="G115" s="29"/>
      <c r="R115" s="4"/>
      <c r="S115" s="4"/>
      <c r="T115" s="4"/>
    </row>
    <row r="116" spans="1:20">
      <c r="A116" s="30"/>
      <c r="D116" s="250" t="s">
        <v>47</v>
      </c>
      <c r="R116" s="4"/>
      <c r="S116" s="4"/>
      <c r="T116" s="4"/>
    </row>
    <row r="117" spans="1:20">
      <c r="A117" s="30">
        <v>13</v>
      </c>
      <c r="C117" s="28" t="s">
        <v>16</v>
      </c>
      <c r="D117" s="250"/>
      <c r="E117" s="209" t="s">
        <v>275</v>
      </c>
      <c r="F117" s="249">
        <f>F26</f>
        <v>314</v>
      </c>
      <c r="G117" s="249">
        <f t="shared" ref="G117:R117" si="40">G26</f>
        <v>314</v>
      </c>
      <c r="H117" s="249">
        <f t="shared" si="40"/>
        <v>297</v>
      </c>
      <c r="I117" s="249">
        <f t="shared" si="40"/>
        <v>309</v>
      </c>
      <c r="J117" s="249">
        <f t="shared" si="40"/>
        <v>309</v>
      </c>
      <c r="K117" s="249">
        <f t="shared" si="40"/>
        <v>310</v>
      </c>
      <c r="L117" s="249">
        <f t="shared" si="40"/>
        <v>312</v>
      </c>
      <c r="M117" s="249">
        <f t="shared" si="40"/>
        <v>310</v>
      </c>
      <c r="N117" s="249">
        <f t="shared" si="40"/>
        <v>276</v>
      </c>
      <c r="O117" s="249">
        <f t="shared" si="40"/>
        <v>393</v>
      </c>
      <c r="P117" s="249">
        <f t="shared" si="40"/>
        <v>348</v>
      </c>
      <c r="Q117" s="249">
        <f t="shared" si="40"/>
        <v>395</v>
      </c>
      <c r="R117" s="249">
        <f t="shared" si="40"/>
        <v>438</v>
      </c>
      <c r="S117" s="249">
        <f>S26</f>
        <v>380</v>
      </c>
      <c r="T117" s="249">
        <f>T26</f>
        <v>402</v>
      </c>
    </row>
    <row r="118" spans="1:20">
      <c r="A118" s="30">
        <v>14</v>
      </c>
      <c r="C118" s="28" t="s">
        <v>19</v>
      </c>
      <c r="E118" s="209" t="s">
        <v>276</v>
      </c>
      <c r="F118" s="249">
        <f>F32</f>
        <v>4184</v>
      </c>
      <c r="G118" s="249">
        <f t="shared" ref="G118:R118" si="41">G32</f>
        <v>4390</v>
      </c>
      <c r="H118" s="249">
        <f t="shared" si="41"/>
        <v>4496</v>
      </c>
      <c r="I118" s="249">
        <f t="shared" si="41"/>
        <v>4707</v>
      </c>
      <c r="J118" s="249">
        <f t="shared" si="41"/>
        <v>4902</v>
      </c>
      <c r="K118" s="249">
        <f t="shared" si="41"/>
        <v>5088</v>
      </c>
      <c r="L118" s="249">
        <f t="shared" si="41"/>
        <v>5369</v>
      </c>
      <c r="M118" s="249">
        <f t="shared" si="41"/>
        <v>5605</v>
      </c>
      <c r="N118" s="249">
        <f t="shared" si="41"/>
        <v>5673</v>
      </c>
      <c r="O118" s="249">
        <f t="shared" si="41"/>
        <v>6064</v>
      </c>
      <c r="P118" s="249">
        <f t="shared" si="41"/>
        <v>6367</v>
      </c>
      <c r="Q118" s="249">
        <f t="shared" si="41"/>
        <v>6649</v>
      </c>
      <c r="R118" s="249">
        <f t="shared" si="41"/>
        <v>6978</v>
      </c>
      <c r="S118" s="249">
        <f>S32</f>
        <v>7925</v>
      </c>
      <c r="T118" s="249">
        <f>T32</f>
        <v>8513</v>
      </c>
    </row>
    <row r="119" spans="1:20">
      <c r="A119" s="30">
        <v>15</v>
      </c>
      <c r="C119" s="3" t="s">
        <v>24</v>
      </c>
      <c r="E119" s="209" t="s">
        <v>277</v>
      </c>
      <c r="F119" s="249">
        <f>F42</f>
        <v>1027</v>
      </c>
      <c r="G119" s="249">
        <f t="shared" ref="G119:R119" si="42">G42</f>
        <v>1020</v>
      </c>
      <c r="H119" s="249">
        <f t="shared" si="42"/>
        <v>1275</v>
      </c>
      <c r="I119" s="249">
        <f t="shared" si="42"/>
        <v>1363</v>
      </c>
      <c r="J119" s="249">
        <f t="shared" si="42"/>
        <v>1180</v>
      </c>
      <c r="K119" s="249">
        <f t="shared" si="42"/>
        <v>1343</v>
      </c>
      <c r="L119" s="249">
        <f t="shared" si="42"/>
        <v>1282</v>
      </c>
      <c r="M119" s="249">
        <f t="shared" si="42"/>
        <v>1498</v>
      </c>
      <c r="N119" s="249">
        <f t="shared" si="42"/>
        <v>1803</v>
      </c>
      <c r="O119" s="249">
        <f t="shared" si="42"/>
        <v>1999</v>
      </c>
      <c r="P119" s="249">
        <f t="shared" si="42"/>
        <v>2412</v>
      </c>
      <c r="Q119" s="249">
        <f t="shared" si="42"/>
        <v>2734</v>
      </c>
      <c r="R119" s="249">
        <f t="shared" si="42"/>
        <v>3276</v>
      </c>
      <c r="S119" s="249">
        <f>S42</f>
        <v>3868</v>
      </c>
      <c r="T119" s="249">
        <f>T42</f>
        <v>4389</v>
      </c>
    </row>
    <row r="120" spans="1:20" ht="12.75" thickBot="1">
      <c r="A120" s="30">
        <v>16</v>
      </c>
      <c r="B120" s="257" t="s">
        <v>273</v>
      </c>
      <c r="E120" s="209"/>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75" thickTop="1">
      <c r="A121" s="30"/>
      <c r="B121" s="250"/>
      <c r="D121" s="3" t="s">
        <v>274</v>
      </c>
      <c r="E121" s="209"/>
      <c r="F121" s="93"/>
      <c r="G121" s="126">
        <f>(G120-F120)/F120</f>
        <v>3.6018099547511312E-2</v>
      </c>
      <c r="H121" s="126">
        <f t="shared" ref="H121:T121" si="44">(H120-G120)/G120</f>
        <v>6.0097833682739341E-2</v>
      </c>
      <c r="I121" s="126">
        <f t="shared" si="44"/>
        <v>5.1252471984179301E-2</v>
      </c>
      <c r="J121" s="126">
        <f t="shared" si="44"/>
        <v>1.8811725975858284E-3</v>
      </c>
      <c r="K121" s="126">
        <f t="shared" si="44"/>
        <v>5.4764512595837894E-2</v>
      </c>
      <c r="L121" s="126">
        <f t="shared" si="44"/>
        <v>3.2932799287939477E-2</v>
      </c>
      <c r="M121" s="126">
        <f t="shared" si="44"/>
        <v>6.4627315812149935E-2</v>
      </c>
      <c r="N121" s="126">
        <f t="shared" si="44"/>
        <v>4.5730473492513156E-2</v>
      </c>
      <c r="O121" s="126">
        <f t="shared" si="44"/>
        <v>9.0815273477812181E-2</v>
      </c>
      <c r="P121" s="126">
        <f t="shared" si="44"/>
        <v>7.9351939451277206E-2</v>
      </c>
      <c r="Q121" s="126">
        <f t="shared" si="44"/>
        <v>7.1326832475073959E-2</v>
      </c>
      <c r="R121" s="126">
        <f t="shared" si="44"/>
        <v>9.3475148292084267E-2</v>
      </c>
      <c r="S121" s="126">
        <f t="shared" si="44"/>
        <v>0.1385147774036663</v>
      </c>
      <c r="T121" s="126">
        <f t="shared" si="44"/>
        <v>9.2910539719050361E-2</v>
      </c>
    </row>
    <row r="122" spans="1:20">
      <c r="A122" s="30"/>
      <c r="E122" s="209"/>
      <c r="F122" s="249"/>
      <c r="R122" s="4"/>
      <c r="S122" s="4"/>
      <c r="T122" s="4"/>
    </row>
    <row r="123" spans="1:20">
      <c r="A123" s="30"/>
      <c r="D123" s="3" t="s">
        <v>281</v>
      </c>
      <c r="E123" s="209"/>
      <c r="F123" s="249"/>
      <c r="R123" s="4"/>
      <c r="S123" s="4"/>
      <c r="T123" s="4"/>
    </row>
    <row r="124" spans="1:20">
      <c r="A124" s="30">
        <v>17</v>
      </c>
      <c r="B124" s="250" t="s">
        <v>52</v>
      </c>
      <c r="D124" s="250"/>
      <c r="E124" s="209" t="s">
        <v>278</v>
      </c>
      <c r="F124" s="249">
        <f>F43</f>
        <v>0</v>
      </c>
      <c r="G124" s="249">
        <f t="shared" ref="G124:R124" si="45">G43</f>
        <v>167</v>
      </c>
      <c r="H124" s="249">
        <f t="shared" si="45"/>
        <v>185</v>
      </c>
      <c r="I124" s="249">
        <f t="shared" si="45"/>
        <v>159</v>
      </c>
      <c r="J124" s="249">
        <f t="shared" si="45"/>
        <v>169</v>
      </c>
      <c r="K124" s="249">
        <f t="shared" si="45"/>
        <v>0</v>
      </c>
      <c r="L124" s="249">
        <f t="shared" si="45"/>
        <v>0</v>
      </c>
      <c r="M124" s="249">
        <f t="shared" si="45"/>
        <v>-815</v>
      </c>
      <c r="N124" s="249">
        <f t="shared" si="45"/>
        <v>-242</v>
      </c>
      <c r="O124" s="249">
        <f t="shared" si="45"/>
        <v>440</v>
      </c>
      <c r="P124" s="249">
        <f t="shared" si="45"/>
        <v>216</v>
      </c>
      <c r="Q124" s="249">
        <f t="shared" si="45"/>
        <v>-186</v>
      </c>
      <c r="R124" s="249">
        <f t="shared" si="45"/>
        <v>171</v>
      </c>
      <c r="S124" s="83">
        <f>S43</f>
        <v>91</v>
      </c>
      <c r="T124" s="83">
        <f>T43</f>
        <v>-91</v>
      </c>
    </row>
    <row r="125" spans="1:20">
      <c r="A125" s="30">
        <v>18</v>
      </c>
      <c r="B125" s="28"/>
      <c r="C125" s="28" t="str">
        <f>C112</f>
        <v>Deduct Decoupling Surcharge/Rebate Expenses</v>
      </c>
      <c r="F125" s="249">
        <f>-'Reg Amort and Other RB'!E22</f>
        <v>0</v>
      </c>
      <c r="G125" s="249">
        <f>-'Reg Amort and Other RB'!F22</f>
        <v>0</v>
      </c>
      <c r="H125" s="249">
        <f>-'Reg Amort and Other RB'!G22</f>
        <v>0</v>
      </c>
      <c r="I125" s="249">
        <f>-'Reg Amort and Other RB'!H22</f>
        <v>0</v>
      </c>
      <c r="J125" s="249">
        <f>-'Reg Amort and Other RB'!I22</f>
        <v>0</v>
      </c>
      <c r="K125" s="249">
        <f>-'Reg Amort and Other RB'!J22</f>
        <v>0</v>
      </c>
      <c r="L125" s="249">
        <f>-'Reg Amort and Other RB'!K22</f>
        <v>0</v>
      </c>
      <c r="M125" s="249">
        <f>-'Reg Amort and Other RB'!L22</f>
        <v>-85</v>
      </c>
      <c r="N125" s="249">
        <f>-'Reg Amort and Other RB'!M22</f>
        <v>-432</v>
      </c>
      <c r="O125" s="249">
        <f>-'Reg Amort and Other RB'!N22</f>
        <v>-710</v>
      </c>
      <c r="P125" s="249">
        <f>-'Reg Amort and Other RB'!O22</f>
        <v>-494</v>
      </c>
      <c r="Q125" s="249">
        <f>-'Reg Amort and Other RB'!P22</f>
        <v>-494</v>
      </c>
      <c r="R125" s="249">
        <f>-'Reg Amort and Other RB'!Q22</f>
        <v>-184</v>
      </c>
      <c r="S125" s="83">
        <f>-'Reg Amort and Other RB'!R22</f>
        <v>0</v>
      </c>
      <c r="T125" s="83">
        <f>-'Reg Amort and Other RB'!S22</f>
        <v>0</v>
      </c>
    </row>
    <row r="126" spans="1:20" ht="12.75" thickBot="1">
      <c r="A126" s="30">
        <v>19</v>
      </c>
      <c r="B126" s="66" t="s">
        <v>282</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288</v>
      </c>
      <c r="R128" s="4"/>
      <c r="S128" s="4"/>
      <c r="T128" s="4"/>
    </row>
    <row r="129" spans="1:20">
      <c r="A129" s="30">
        <v>20</v>
      </c>
      <c r="C129" s="28" t="s">
        <v>16</v>
      </c>
      <c r="D129" s="250"/>
      <c r="E129" s="209" t="s">
        <v>290</v>
      </c>
      <c r="F129" s="249">
        <f>F27</f>
        <v>111</v>
      </c>
      <c r="G129" s="249">
        <f t="shared" ref="G129:R129" si="47">G27</f>
        <v>108</v>
      </c>
      <c r="H129" s="249">
        <f t="shared" si="47"/>
        <v>120</v>
      </c>
      <c r="I129" s="249">
        <f t="shared" si="47"/>
        <v>118</v>
      </c>
      <c r="J129" s="249">
        <f t="shared" si="47"/>
        <v>120</v>
      </c>
      <c r="K129" s="249">
        <f t="shared" si="47"/>
        <v>115</v>
      </c>
      <c r="L129" s="249">
        <f t="shared" si="47"/>
        <v>122</v>
      </c>
      <c r="M129" s="249">
        <f t="shared" si="47"/>
        <v>95</v>
      </c>
      <c r="N129" s="249">
        <f t="shared" si="47"/>
        <v>113</v>
      </c>
      <c r="O129" s="249">
        <f t="shared" si="47"/>
        <v>121</v>
      </c>
      <c r="P129" s="249">
        <f t="shared" si="47"/>
        <v>116</v>
      </c>
      <c r="Q129" s="249">
        <f t="shared" si="47"/>
        <v>19</v>
      </c>
      <c r="R129" s="249">
        <f t="shared" si="47"/>
        <v>17</v>
      </c>
      <c r="S129" s="249">
        <f>S27</f>
        <v>158</v>
      </c>
      <c r="T129" s="249">
        <f>T27</f>
        <v>184</v>
      </c>
    </row>
    <row r="130" spans="1:20">
      <c r="A130" s="30">
        <v>21</v>
      </c>
      <c r="C130" s="28" t="s">
        <v>19</v>
      </c>
      <c r="E130" s="209" t="s">
        <v>291</v>
      </c>
      <c r="F130" s="249">
        <f>F33</f>
        <v>4919</v>
      </c>
      <c r="G130" s="249">
        <f t="shared" ref="G130:R130" si="48">G33</f>
        <v>7315</v>
      </c>
      <c r="H130" s="249">
        <f t="shared" si="48"/>
        <v>8070</v>
      </c>
      <c r="I130" s="249">
        <f t="shared" si="48"/>
        <v>7205</v>
      </c>
      <c r="J130" s="249">
        <f t="shared" si="48"/>
        <v>8213</v>
      </c>
      <c r="K130" s="249">
        <f t="shared" si="48"/>
        <v>8573</v>
      </c>
      <c r="L130" s="249">
        <f t="shared" si="48"/>
        <v>9457</v>
      </c>
      <c r="M130" s="249">
        <f t="shared" si="48"/>
        <v>9844</v>
      </c>
      <c r="N130" s="249">
        <f t="shared" si="48"/>
        <v>8941</v>
      </c>
      <c r="O130" s="249">
        <f t="shared" si="48"/>
        <v>8746</v>
      </c>
      <c r="P130" s="249">
        <f t="shared" si="48"/>
        <v>7223</v>
      </c>
      <c r="Q130" s="249">
        <f t="shared" si="48"/>
        <v>8050.6743270000006</v>
      </c>
      <c r="R130" s="249">
        <f t="shared" si="48"/>
        <v>7825</v>
      </c>
      <c r="S130" s="249">
        <f>S33</f>
        <v>8116</v>
      </c>
      <c r="T130" s="249">
        <f>T33</f>
        <v>8719</v>
      </c>
    </row>
    <row r="131" spans="1:20">
      <c r="A131" s="30">
        <v>22</v>
      </c>
      <c r="C131" s="3" t="s">
        <v>24</v>
      </c>
      <c r="E131" s="209" t="s">
        <v>292</v>
      </c>
      <c r="F131" s="249">
        <f>F44</f>
        <v>22</v>
      </c>
      <c r="G131" s="249">
        <f t="shared" ref="G131:R131" si="49">G44</f>
        <v>21</v>
      </c>
      <c r="H131" s="249">
        <f t="shared" si="49"/>
        <v>23</v>
      </c>
      <c r="I131" s="249">
        <f t="shared" si="49"/>
        <v>24</v>
      </c>
      <c r="J131" s="249">
        <f t="shared" si="49"/>
        <v>24</v>
      </c>
      <c r="K131" s="249">
        <f t="shared" si="49"/>
        <v>23</v>
      </c>
      <c r="L131" s="249">
        <f t="shared" si="49"/>
        <v>24</v>
      </c>
      <c r="M131" s="249">
        <f t="shared" si="49"/>
        <v>20</v>
      </c>
      <c r="N131" s="249">
        <f t="shared" si="49"/>
        <v>17</v>
      </c>
      <c r="O131" s="249">
        <f t="shared" si="49"/>
        <v>19</v>
      </c>
      <c r="P131" s="249">
        <f t="shared" si="49"/>
        <v>24</v>
      </c>
      <c r="Q131" s="249">
        <f t="shared" si="49"/>
        <v>0</v>
      </c>
      <c r="R131" s="249">
        <f t="shared" si="49"/>
        <v>-1</v>
      </c>
      <c r="S131" s="249">
        <f>S44</f>
        <v>0</v>
      </c>
      <c r="T131" s="249">
        <f>T44</f>
        <v>0</v>
      </c>
    </row>
    <row r="132" spans="1:20">
      <c r="A132" s="30">
        <v>23</v>
      </c>
      <c r="B132" s="3" t="s">
        <v>293</v>
      </c>
      <c r="F132" s="248">
        <f>F27+F33+F44</f>
        <v>5052</v>
      </c>
      <c r="G132" s="248">
        <f t="shared" ref="G132:R132" si="50">G27+G33+G44</f>
        <v>7444</v>
      </c>
      <c r="H132" s="248">
        <f t="shared" si="50"/>
        <v>8213</v>
      </c>
      <c r="I132" s="248">
        <f t="shared" si="50"/>
        <v>7347</v>
      </c>
      <c r="J132" s="248">
        <f t="shared" si="50"/>
        <v>8357</v>
      </c>
      <c r="K132" s="248">
        <f t="shared" si="50"/>
        <v>8711</v>
      </c>
      <c r="L132" s="248">
        <f t="shared" si="50"/>
        <v>9603</v>
      </c>
      <c r="M132" s="248">
        <f t="shared" si="50"/>
        <v>9959</v>
      </c>
      <c r="N132" s="248">
        <f t="shared" si="50"/>
        <v>9071</v>
      </c>
      <c r="O132" s="248">
        <f t="shared" si="50"/>
        <v>8886</v>
      </c>
      <c r="P132" s="248">
        <f t="shared" si="50"/>
        <v>7363</v>
      </c>
      <c r="Q132" s="248">
        <f t="shared" si="50"/>
        <v>8069.6743270000006</v>
      </c>
      <c r="R132" s="248">
        <f t="shared" si="50"/>
        <v>7841</v>
      </c>
      <c r="S132" s="248">
        <f>S27+S33+S44</f>
        <v>8274</v>
      </c>
      <c r="T132" s="248">
        <f>T27+T33+T44</f>
        <v>8903</v>
      </c>
    </row>
    <row r="133" spans="1:20">
      <c r="A133" s="30">
        <v>24</v>
      </c>
      <c r="B133" s="28"/>
      <c r="C133" s="28" t="s">
        <v>295</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294</v>
      </c>
      <c r="F134" s="249">
        <f>'Riders and Gas Cost Revenue'!G32</f>
        <v>0</v>
      </c>
      <c r="G134" s="249">
        <f>'Riders and Gas Cost Revenue'!I32</f>
        <v>-38</v>
      </c>
      <c r="H134" s="249">
        <f>'Riders and Gas Cost Revenue'!K32</f>
        <v>-68</v>
      </c>
      <c r="I134" s="249">
        <f>'Riders and Gas Cost Revenue'!M32</f>
        <v>-81</v>
      </c>
      <c r="J134" s="249">
        <f>'Riders and Gas Cost Revenue'!O32</f>
        <v>0</v>
      </c>
      <c r="K134" s="249">
        <f>'Riders and Gas Cost Revenue'!Q32</f>
        <v>-114</v>
      </c>
      <c r="L134" s="249">
        <f>'Riders and Gas Cost Revenue'!S32</f>
        <v>0</v>
      </c>
      <c r="M134" s="249">
        <f>'Riders and Gas Cost Revenue'!U32</f>
        <v>-154</v>
      </c>
      <c r="N134" s="249">
        <f>'Riders and Gas Cost Revenue'!X32</f>
        <v>-176</v>
      </c>
      <c r="O134" s="249">
        <f>'Riders and Gas Cost Revenue'!AA32</f>
        <v>-272</v>
      </c>
      <c r="P134" s="249">
        <f>'Riders and Gas Cost Revenue'!AD32</f>
        <v>-338</v>
      </c>
      <c r="Q134" s="249">
        <f>'Riders and Gas Cost Revenue'!AG32</f>
        <v>-359</v>
      </c>
      <c r="R134" s="249">
        <f>'Riders and Gas Cost Revenue'!AJ32</f>
        <v>-239</v>
      </c>
      <c r="S134" s="249">
        <f>'Riders and Gas Cost Revenue'!AM32</f>
        <v>0</v>
      </c>
      <c r="T134" s="249">
        <f>'Riders and Gas Cost Revenue'!AP32</f>
        <v>0</v>
      </c>
    </row>
    <row r="135" spans="1:20">
      <c r="A135" s="30">
        <v>26</v>
      </c>
      <c r="C135" s="3" t="s">
        <v>296</v>
      </c>
      <c r="F135" s="247">
        <v>0</v>
      </c>
      <c r="G135" s="247">
        <v>0</v>
      </c>
      <c r="H135" s="247">
        <v>0</v>
      </c>
      <c r="I135" s="247">
        <v>0</v>
      </c>
      <c r="J135" s="247">
        <v>0</v>
      </c>
      <c r="K135" s="247">
        <v>0</v>
      </c>
      <c r="L135" s="247">
        <v>0</v>
      </c>
      <c r="M135" s="247">
        <f>'Riders and Gas Cost Revenue'!V32</f>
        <v>-3</v>
      </c>
      <c r="N135" s="247">
        <f>'Riders and Gas Cost Revenue'!Y32</f>
        <v>-17</v>
      </c>
      <c r="O135" s="247">
        <f>'Riders and Gas Cost Revenue'!AB32</f>
        <v>-28</v>
      </c>
      <c r="P135" s="247">
        <f>'Riders and Gas Cost Revenue'!AE32</f>
        <v>-20</v>
      </c>
      <c r="Q135" s="247">
        <f>'Riders and Gas Cost Revenue'!AH32</f>
        <v>-20</v>
      </c>
      <c r="R135" s="247">
        <f>'Riders and Gas Cost Revenue'!AK32</f>
        <v>-7</v>
      </c>
      <c r="S135" s="247">
        <f>'Riders and Gas Cost Revenue'!AN32</f>
        <v>0</v>
      </c>
      <c r="T135" s="247">
        <f>'Riders and Gas Cost Revenue'!AQ32</f>
        <v>0</v>
      </c>
    </row>
    <row r="136" spans="1:20" ht="12.75" thickBot="1">
      <c r="A136" s="30">
        <v>27</v>
      </c>
      <c r="B136" s="67" t="s">
        <v>289</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75" thickTop="1">
      <c r="A137" s="158"/>
      <c r="B137" s="67"/>
      <c r="C137" s="67"/>
      <c r="D137" s="3" t="s">
        <v>274</v>
      </c>
      <c r="E137" s="67"/>
      <c r="F137" s="93"/>
      <c r="G137" s="126">
        <f>(G136-F136)/F136</f>
        <v>0.13500727802037846</v>
      </c>
      <c r="H137" s="126">
        <f t="shared" ref="H137:T137" si="54">(H136-G136)/G136</f>
        <v>0.192689964732286</v>
      </c>
      <c r="I137" s="126">
        <f t="shared" si="54"/>
        <v>-9.4892473118279572E-2</v>
      </c>
      <c r="J137" s="126">
        <f t="shared" si="54"/>
        <v>0.1182061182061182</v>
      </c>
      <c r="K137" s="126">
        <f t="shared" si="54"/>
        <v>-0.10836653386454183</v>
      </c>
      <c r="L137" s="126">
        <f t="shared" si="54"/>
        <v>6.9109323801012812E-2</v>
      </c>
      <c r="M137" s="126">
        <f t="shared" si="54"/>
        <v>-1.337419894120925E-2</v>
      </c>
      <c r="N137" s="126">
        <f t="shared" si="54"/>
        <v>-0.16379553798362045</v>
      </c>
      <c r="O137" s="126">
        <f t="shared" si="54"/>
        <v>0.25903411009793986</v>
      </c>
      <c r="P137" s="126">
        <f t="shared" si="54"/>
        <v>2.8433476394849784E-2</v>
      </c>
      <c r="Q137" s="126">
        <f t="shared" si="54"/>
        <v>0.12589314736567569</v>
      </c>
      <c r="R137" s="126">
        <f t="shared" si="54"/>
        <v>6.3781896002181149E-2</v>
      </c>
      <c r="S137" s="126">
        <f t="shared" si="54"/>
        <v>0.13044425087108014</v>
      </c>
      <c r="T137" s="126">
        <f t="shared" si="54"/>
        <v>6.3956848391446733E-2</v>
      </c>
    </row>
    <row r="138" spans="1:20">
      <c r="A138" s="158"/>
      <c r="B138" s="67"/>
      <c r="C138" s="67"/>
      <c r="E138" s="67"/>
      <c r="F138" s="93"/>
      <c r="G138" s="126"/>
      <c r="H138" s="126"/>
      <c r="I138" s="126"/>
      <c r="J138" s="126"/>
      <c r="K138" s="126"/>
      <c r="L138" s="126"/>
      <c r="M138" s="126"/>
      <c r="N138" s="126"/>
      <c r="O138" s="126"/>
      <c r="P138" s="126"/>
      <c r="Q138" s="126"/>
      <c r="R138" s="126"/>
      <c r="S138" s="126"/>
      <c r="T138" s="126"/>
    </row>
    <row r="139" spans="1:20" ht="12.75" thickBot="1">
      <c r="A139" s="30">
        <v>28</v>
      </c>
      <c r="B139" s="67" t="s">
        <v>297</v>
      </c>
      <c r="C139" s="67"/>
      <c r="E139" s="209" t="s">
        <v>298</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75" thickTop="1">
      <c r="A140" s="158"/>
      <c r="B140" s="67"/>
      <c r="C140" s="67"/>
      <c r="D140" s="3" t="s">
        <v>274</v>
      </c>
      <c r="E140" s="67"/>
      <c r="F140" s="93"/>
      <c r="G140" s="126">
        <f>(G139-F139)/F139</f>
        <v>3.6953997677863636E-2</v>
      </c>
      <c r="H140" s="126">
        <f t="shared" ref="H140:T140" si="56">(H139-G139)/G139</f>
        <v>1.8532818532818532E-3</v>
      </c>
      <c r="I140" s="126">
        <f t="shared" si="56"/>
        <v>-3.619546785879451E-2</v>
      </c>
      <c r="J140" s="126">
        <f t="shared" si="56"/>
        <v>-7.5173538914302164E-4</v>
      </c>
      <c r="K140" s="126">
        <f t="shared" si="56"/>
        <v>6.1360544217687073E-2</v>
      </c>
      <c r="L140" s="126">
        <f t="shared" si="56"/>
        <v>6.1621059140230888E-2</v>
      </c>
      <c r="M140" s="126">
        <f t="shared" si="56"/>
        <v>3.3461420991696793E-2</v>
      </c>
      <c r="N140" s="126">
        <f t="shared" si="56"/>
        <v>5.8790378006872854E-2</v>
      </c>
      <c r="O140" s="126">
        <f t="shared" si="56"/>
        <v>0.12821478182974802</v>
      </c>
      <c r="P140" s="126">
        <f t="shared" si="56"/>
        <v>2.3560751642636043E-2</v>
      </c>
      <c r="Q140" s="126">
        <f t="shared" si="56"/>
        <v>3.177047908668304E-2</v>
      </c>
      <c r="R140" s="126">
        <f t="shared" si="56"/>
        <v>6.3927040146442723E-2</v>
      </c>
      <c r="S140" s="126">
        <f t="shared" si="56"/>
        <v>6.3864978211555304E-2</v>
      </c>
      <c r="T140" s="126">
        <f t="shared" si="56"/>
        <v>8.7322330199895076E-2</v>
      </c>
    </row>
    <row r="141" spans="1:20">
      <c r="A141" s="158"/>
      <c r="B141" s="67"/>
      <c r="C141" s="67"/>
      <c r="E141" s="67"/>
      <c r="F141" s="93"/>
      <c r="G141" s="126"/>
      <c r="H141" s="126"/>
      <c r="I141" s="126"/>
      <c r="J141" s="126"/>
      <c r="K141" s="126"/>
      <c r="L141" s="126"/>
      <c r="M141" s="126"/>
      <c r="N141" s="126"/>
      <c r="O141" s="126"/>
      <c r="P141" s="126"/>
      <c r="Q141" s="126"/>
      <c r="R141" s="126"/>
      <c r="S141" s="126"/>
      <c r="T141" s="126"/>
    </row>
    <row r="142" spans="1:20" ht="12.75" thickBot="1">
      <c r="A142" s="30">
        <v>29</v>
      </c>
      <c r="B142" s="67" t="s">
        <v>299</v>
      </c>
      <c r="C142" s="67"/>
      <c r="E142" s="209" t="s">
        <v>300</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75" thickTop="1">
      <c r="A143" s="158"/>
      <c r="B143" s="67"/>
      <c r="C143" s="67"/>
      <c r="E143" s="67"/>
      <c r="F143" s="93"/>
      <c r="G143" s="126">
        <f>(G142-F142)/F142</f>
        <v>3.516651390161931E-2</v>
      </c>
      <c r="H143" s="126">
        <f t="shared" ref="H143:T143" si="58">(H142-G142)/G142</f>
        <v>6.1834066290841474E-3</v>
      </c>
      <c r="I143" s="126">
        <f t="shared" si="58"/>
        <v>-3.4723750018333555E-2</v>
      </c>
      <c r="J143" s="126">
        <f t="shared" si="58"/>
        <v>-6.9058779733641275E-3</v>
      </c>
      <c r="K143" s="126">
        <f t="shared" si="58"/>
        <v>7.709726281001851E-2</v>
      </c>
      <c r="L143" s="126">
        <f t="shared" si="58"/>
        <v>6.0839796585130258E-2</v>
      </c>
      <c r="M143" s="126">
        <f t="shared" si="58"/>
        <v>1.5646549992635341E-2</v>
      </c>
      <c r="N143" s="126">
        <f t="shared" si="58"/>
        <v>0.11853736675917442</v>
      </c>
      <c r="O143" s="126">
        <f t="shared" si="58"/>
        <v>6.5399190245224864E-2</v>
      </c>
      <c r="P143" s="126">
        <f t="shared" si="58"/>
        <v>3.3975373109559795E-2</v>
      </c>
      <c r="Q143" s="126">
        <f t="shared" si="58"/>
        <v>5.0074898352236254E-2</v>
      </c>
      <c r="R143" s="126">
        <f t="shared" si="58"/>
        <v>5.7560627674750356E-2</v>
      </c>
      <c r="S143" s="126">
        <f t="shared" si="58"/>
        <v>8.3082022179614412E-2</v>
      </c>
      <c r="T143" s="126">
        <f t="shared" si="58"/>
        <v>0.11312404369640251</v>
      </c>
    </row>
    <row r="144" spans="1:20" ht="7.5" customHeight="1">
      <c r="A144" s="158"/>
      <c r="B144" s="67"/>
      <c r="C144" s="67"/>
      <c r="E144" s="67"/>
      <c r="F144" s="93"/>
      <c r="G144" s="126"/>
      <c r="H144" s="126"/>
      <c r="I144" s="126"/>
      <c r="J144" s="126"/>
      <c r="K144" s="126"/>
      <c r="L144" s="126"/>
      <c r="M144" s="126"/>
      <c r="N144" s="126"/>
      <c r="O144" s="126"/>
      <c r="P144" s="126"/>
      <c r="Q144" s="126"/>
      <c r="R144" s="126"/>
      <c r="S144" s="126"/>
      <c r="T144" s="126"/>
    </row>
    <row r="145" spans="1:20">
      <c r="A145" s="158"/>
      <c r="B145" s="67"/>
      <c r="C145" s="67"/>
      <c r="D145" s="3" t="s">
        <v>303</v>
      </c>
      <c r="E145" s="67"/>
      <c r="F145" s="93"/>
      <c r="G145" s="93"/>
      <c r="H145" s="93"/>
      <c r="I145" s="93"/>
      <c r="J145" s="93"/>
      <c r="K145" s="93"/>
      <c r="L145" s="93"/>
      <c r="M145" s="93"/>
      <c r="N145" s="93"/>
      <c r="O145" s="93"/>
      <c r="P145" s="93"/>
      <c r="Q145" s="93"/>
      <c r="R145" s="93"/>
      <c r="S145" s="93"/>
      <c r="T145" s="93"/>
    </row>
    <row r="146" spans="1:20">
      <c r="A146" s="30">
        <v>30</v>
      </c>
      <c r="B146" s="3" t="s">
        <v>305</v>
      </c>
      <c r="C146" s="67"/>
      <c r="D146" s="67"/>
      <c r="E146" s="209" t="s">
        <v>301</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302</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86">
        <f>'Riders and Gas Cost Revenue'!AO13</f>
        <v>0</v>
      </c>
      <c r="T147" s="286">
        <f>'Riders and Gas Cost Revenue'!AR13</f>
        <v>0</v>
      </c>
    </row>
    <row r="148" spans="1:20">
      <c r="A148" s="30">
        <v>32</v>
      </c>
      <c r="B148" s="3" t="s">
        <v>306</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75" thickBot="1">
      <c r="A149" s="30">
        <v>33</v>
      </c>
      <c r="B149" s="67" t="s">
        <v>304</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75" thickTop="1">
      <c r="A150" s="30"/>
      <c r="B150" s="67"/>
      <c r="C150" s="67"/>
      <c r="D150" s="3" t="s">
        <v>274</v>
      </c>
      <c r="E150" s="67"/>
      <c r="F150" s="93"/>
      <c r="G150" s="126">
        <f>(G149-F149)/F149</f>
        <v>0.6</v>
      </c>
      <c r="H150" s="126">
        <f t="shared" ref="H150:T150" si="61">(H149-G149)/G149</f>
        <v>0.125</v>
      </c>
      <c r="I150" s="126">
        <f t="shared" si="61"/>
        <v>0</v>
      </c>
      <c r="J150" s="126">
        <f t="shared" si="61"/>
        <v>0.33333333333333331</v>
      </c>
      <c r="K150" s="126">
        <f t="shared" si="61"/>
        <v>5.166666666666667</v>
      </c>
      <c r="L150" s="126">
        <f t="shared" si="61"/>
        <v>-0.85135135135135132</v>
      </c>
      <c r="M150" s="126">
        <f t="shared" si="61"/>
        <v>0.18181818181818182</v>
      </c>
      <c r="N150" s="126">
        <f t="shared" si="61"/>
        <v>4.7692307692307692</v>
      </c>
      <c r="O150" s="126">
        <f t="shared" si="61"/>
        <v>0.24</v>
      </c>
      <c r="P150" s="126">
        <f t="shared" si="61"/>
        <v>-0.31182795698924731</v>
      </c>
      <c r="Q150" s="126">
        <f t="shared" si="61"/>
        <v>-0.265625</v>
      </c>
      <c r="R150" s="126">
        <f t="shared" si="61"/>
        <v>5.0638297872340425</v>
      </c>
      <c r="S150" s="126">
        <f t="shared" si="61"/>
        <v>0.41403508771929826</v>
      </c>
      <c r="T150" s="126">
        <f t="shared" si="61"/>
        <v>-0.17617866004962779</v>
      </c>
    </row>
    <row r="151" spans="1:20" ht="6.75" customHeight="1">
      <c r="A151" s="158"/>
      <c r="B151" s="67"/>
      <c r="C151" s="67"/>
      <c r="D151" s="67"/>
      <c r="E151" s="67"/>
      <c r="F151" s="93"/>
      <c r="G151" s="93"/>
      <c r="H151" s="93"/>
      <c r="I151" s="93"/>
      <c r="J151" s="93"/>
      <c r="K151" s="93"/>
      <c r="L151" s="93"/>
      <c r="M151" s="93"/>
      <c r="N151" s="93"/>
      <c r="O151" s="93"/>
      <c r="P151" s="93"/>
      <c r="Q151" s="93"/>
      <c r="R151" s="93"/>
    </row>
    <row r="152" spans="1:20" ht="12.75">
      <c r="A152" s="244" t="s">
        <v>43</v>
      </c>
      <c r="B152"/>
      <c r="C152"/>
      <c r="D152"/>
      <c r="E152"/>
      <c r="F152"/>
      <c r="G152"/>
      <c r="H152"/>
      <c r="I152"/>
      <c r="J152"/>
      <c r="K152"/>
      <c r="L152"/>
      <c r="M152"/>
      <c r="N152"/>
      <c r="O152"/>
      <c r="R152" s="4"/>
    </row>
    <row r="153" spans="1:20" ht="12.75">
      <c r="A153" s="244" t="s">
        <v>48</v>
      </c>
      <c r="B153"/>
      <c r="C153"/>
      <c r="D153"/>
      <c r="E153"/>
      <c r="F153"/>
      <c r="G153"/>
      <c r="H153"/>
      <c r="I153"/>
      <c r="J153"/>
      <c r="K153"/>
      <c r="L153"/>
      <c r="M153"/>
      <c r="N153"/>
      <c r="O153"/>
      <c r="R153" s="4"/>
    </row>
    <row r="154" spans="1:20" ht="12.75">
      <c r="A154" s="244"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75">
      <c r="A156" s="30" t="s">
        <v>0</v>
      </c>
      <c r="B156"/>
      <c r="C156"/>
      <c r="D156"/>
      <c r="E156" s="496" t="s">
        <v>255</v>
      </c>
      <c r="F156" s="496"/>
      <c r="G156" s="496"/>
      <c r="H156" s="496"/>
      <c r="I156" s="496"/>
      <c r="J156" s="496"/>
      <c r="K156" s="496"/>
      <c r="L156" s="496"/>
      <c r="M156" s="496"/>
      <c r="N156" s="496"/>
      <c r="O156" s="496"/>
      <c r="P156" s="496"/>
      <c r="Q156" s="496"/>
      <c r="R156" s="496"/>
      <c r="T156" s="452" t="s">
        <v>548</v>
      </c>
    </row>
    <row r="157" spans="1:20" ht="12.75">
      <c r="A157" s="74" t="s">
        <v>2</v>
      </c>
      <c r="B157" s="72" t="s">
        <v>73</v>
      </c>
      <c r="C157" s="72"/>
      <c r="D157" s="73"/>
      <c r="E157" s="73"/>
      <c r="F157" s="62"/>
      <c r="G157" s="246"/>
      <c r="H157" s="246" t="s">
        <v>74</v>
      </c>
      <c r="I157" s="246" t="s">
        <v>75</v>
      </c>
      <c r="J157" s="246" t="s">
        <v>76</v>
      </c>
      <c r="K157" s="246" t="s">
        <v>77</v>
      </c>
      <c r="L157" s="246" t="s">
        <v>78</v>
      </c>
      <c r="M157" s="246" t="s">
        <v>79</v>
      </c>
      <c r="N157" s="246" t="s">
        <v>80</v>
      </c>
      <c r="O157" s="246" t="s">
        <v>81</v>
      </c>
      <c r="P157" s="246" t="s">
        <v>82</v>
      </c>
      <c r="Q157" s="246" t="s">
        <v>83</v>
      </c>
      <c r="R157" s="246" t="s">
        <v>133</v>
      </c>
      <c r="S157" s="246" t="s">
        <v>406</v>
      </c>
      <c r="T157" s="246" t="s">
        <v>532</v>
      </c>
    </row>
    <row r="158" spans="1:20" ht="12.75">
      <c r="B158"/>
      <c r="C158"/>
      <c r="D158"/>
      <c r="E158"/>
      <c r="F158"/>
      <c r="G158"/>
      <c r="H158"/>
      <c r="I158"/>
      <c r="J158"/>
      <c r="K158"/>
      <c r="L158"/>
      <c r="M158"/>
      <c r="N158"/>
      <c r="O158"/>
      <c r="R158" s="4"/>
      <c r="S158" s="4"/>
      <c r="T158" s="4"/>
    </row>
    <row r="159" spans="1:20" ht="12.75">
      <c r="A159" s="22">
        <v>1</v>
      </c>
      <c r="B159" s="66" t="s">
        <v>283</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2.75">
      <c r="B160"/>
      <c r="C160"/>
      <c r="D160"/>
      <c r="E160"/>
      <c r="F160"/>
      <c r="G160"/>
      <c r="H160"/>
      <c r="I160"/>
      <c r="J160"/>
      <c r="K160"/>
      <c r="L160"/>
      <c r="M160"/>
      <c r="N160"/>
      <c r="O160"/>
      <c r="R160" s="4"/>
      <c r="S160" s="4"/>
      <c r="T160" s="4"/>
    </row>
    <row r="161" spans="1:25" ht="12.75">
      <c r="A161" s="22">
        <v>2</v>
      </c>
      <c r="B161" s="66" t="s">
        <v>511</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2.75">
      <c r="B162"/>
      <c r="C162"/>
      <c r="D162"/>
      <c r="E162"/>
      <c r="F162"/>
      <c r="G162"/>
      <c r="H162"/>
      <c r="I162"/>
      <c r="J162"/>
      <c r="K162"/>
      <c r="L162"/>
      <c r="M162"/>
      <c r="N162"/>
      <c r="O162"/>
      <c r="R162" s="4"/>
      <c r="S162" s="4"/>
      <c r="T162" s="4"/>
    </row>
    <row r="163" spans="1:25" ht="12.75">
      <c r="A163" s="22">
        <v>3</v>
      </c>
      <c r="B163" s="67" t="s">
        <v>518</v>
      </c>
      <c r="C163"/>
      <c r="D163"/>
      <c r="E163"/>
      <c r="F163"/>
      <c r="G163" s="71"/>
      <c r="H163" s="71">
        <f t="shared" ref="H163:T163" si="64">(H136-G136)/G136</f>
        <v>0.192689964732286</v>
      </c>
      <c r="I163" s="71">
        <f t="shared" si="64"/>
        <v>-9.4892473118279572E-2</v>
      </c>
      <c r="J163" s="71">
        <f t="shared" si="64"/>
        <v>0.1182061182061182</v>
      </c>
      <c r="K163" s="100">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2.75">
      <c r="B164"/>
      <c r="C164"/>
      <c r="D164"/>
      <c r="E164"/>
      <c r="F164"/>
      <c r="G164"/>
      <c r="H164"/>
      <c r="I164"/>
      <c r="J164"/>
      <c r="K164"/>
      <c r="L164"/>
      <c r="M164"/>
      <c r="N164"/>
      <c r="O164"/>
      <c r="R164" s="4"/>
      <c r="S164" s="4"/>
      <c r="T164" s="4"/>
    </row>
    <row r="165" spans="1:25" ht="12.75">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2.75">
      <c r="B166" s="68"/>
      <c r="C166"/>
      <c r="D166"/>
      <c r="E166"/>
      <c r="F166"/>
      <c r="G166" s="71"/>
      <c r="H166" s="71"/>
      <c r="I166" s="71"/>
      <c r="J166" s="71"/>
      <c r="K166" s="71"/>
      <c r="L166" s="71"/>
      <c r="M166" s="71"/>
      <c r="N166" s="71"/>
      <c r="O166" s="71"/>
      <c r="P166" s="71"/>
      <c r="Q166" s="71"/>
      <c r="R166" s="71"/>
      <c r="S166" s="71"/>
      <c r="T166" s="71"/>
    </row>
    <row r="167" spans="1:25" ht="12.75">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2.75">
      <c r="B168" s="68"/>
      <c r="C168"/>
      <c r="D168"/>
      <c r="E168"/>
      <c r="F168"/>
      <c r="G168" s="71"/>
      <c r="H168" s="71"/>
      <c r="I168" s="71"/>
      <c r="J168" s="71"/>
      <c r="K168" s="71"/>
      <c r="L168" s="71"/>
      <c r="M168" s="71"/>
      <c r="N168" s="71"/>
      <c r="O168" s="71"/>
      <c r="P168" s="71"/>
      <c r="Q168" s="71"/>
      <c r="R168" s="71"/>
      <c r="S168" s="71"/>
      <c r="T168" s="71"/>
    </row>
    <row r="169" spans="1:25" ht="12.75">
      <c r="A169" s="22">
        <v>6</v>
      </c>
      <c r="B169" s="68" t="s">
        <v>166</v>
      </c>
      <c r="C169"/>
      <c r="D169"/>
      <c r="E169"/>
      <c r="F169"/>
      <c r="H169" s="258" t="s">
        <v>309</v>
      </c>
      <c r="I169" s="71"/>
      <c r="J169" s="71"/>
      <c r="K169" s="71"/>
      <c r="L169" s="71"/>
      <c r="M169" s="71"/>
      <c r="N169" s="71"/>
      <c r="O169" s="71"/>
      <c r="P169" s="71"/>
      <c r="Q169" s="71"/>
      <c r="R169" s="71"/>
      <c r="S169" s="71"/>
      <c r="T169" s="71"/>
      <c r="Y169" s="372"/>
    </row>
    <row r="170" spans="1:25" ht="12.75">
      <c r="B170"/>
      <c r="C170"/>
      <c r="D170"/>
      <c r="E170"/>
      <c r="F170"/>
      <c r="G170"/>
      <c r="H170"/>
      <c r="I170"/>
      <c r="J170"/>
      <c r="K170"/>
      <c r="L170"/>
      <c r="M170"/>
      <c r="N170"/>
      <c r="O170"/>
      <c r="R170" s="4"/>
      <c r="S170" s="4"/>
      <c r="T170" s="4"/>
    </row>
    <row r="171" spans="1:25" ht="12.75">
      <c r="B171" s="72" t="s">
        <v>135</v>
      </c>
      <c r="C171" s="72"/>
      <c r="D171" s="73"/>
      <c r="E171" s="73"/>
      <c r="F171" s="62"/>
      <c r="G171" s="246"/>
      <c r="H171" s="246" t="s">
        <v>533</v>
      </c>
      <c r="I171" s="246" t="s">
        <v>534</v>
      </c>
      <c r="J171" s="246" t="s">
        <v>535</v>
      </c>
      <c r="K171" s="246" t="s">
        <v>536</v>
      </c>
      <c r="L171" s="246" t="s">
        <v>537</v>
      </c>
      <c r="M171" s="246" t="s">
        <v>538</v>
      </c>
      <c r="N171" s="246" t="s">
        <v>539</v>
      </c>
      <c r="O171" s="246" t="s">
        <v>540</v>
      </c>
      <c r="P171" s="246" t="s">
        <v>541</v>
      </c>
      <c r="Q171" s="246" t="s">
        <v>542</v>
      </c>
      <c r="R171" s="246" t="s">
        <v>543</v>
      </c>
      <c r="S171" s="246" t="s">
        <v>531</v>
      </c>
      <c r="T171" s="246" t="s">
        <v>532</v>
      </c>
    </row>
    <row r="172" spans="1:25" ht="6.75" customHeight="1" thickBot="1">
      <c r="B172"/>
      <c r="C172"/>
      <c r="D172"/>
      <c r="E172"/>
      <c r="F172"/>
      <c r="G172"/>
      <c r="H172"/>
      <c r="I172"/>
      <c r="J172"/>
      <c r="K172"/>
      <c r="L172"/>
      <c r="M172"/>
      <c r="N172"/>
      <c r="O172"/>
      <c r="R172" s="4"/>
      <c r="S172" s="4"/>
      <c r="T172" s="4"/>
    </row>
    <row r="173" spans="1:25" ht="12.75">
      <c r="A173" s="22">
        <v>7</v>
      </c>
      <c r="B173" s="66" t="s">
        <v>283</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420">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419"/>
      <c r="O174" s="71"/>
      <c r="P174" s="71"/>
      <c r="Q174" s="71"/>
      <c r="R174" s="71"/>
      <c r="S174" s="71"/>
      <c r="T174" s="71"/>
    </row>
    <row r="175" spans="1:25" ht="12.75">
      <c r="A175" s="22" t="s">
        <v>256</v>
      </c>
      <c r="B175" s="253" t="s">
        <v>519</v>
      </c>
      <c r="C175"/>
      <c r="D175"/>
      <c r="E175"/>
      <c r="F175"/>
      <c r="G175" s="71"/>
      <c r="H175" s="71"/>
      <c r="I175" s="71"/>
      <c r="J175" s="71"/>
      <c r="K175" s="71"/>
      <c r="L175" s="71"/>
      <c r="M175" s="71"/>
      <c r="N175" s="425">
        <v>0.03</v>
      </c>
      <c r="O175" s="71"/>
      <c r="P175" s="71"/>
      <c r="Q175" s="71"/>
      <c r="R175" s="71"/>
      <c r="S175" s="71"/>
      <c r="T175" s="71"/>
    </row>
    <row r="176" spans="1:25" ht="4.5" customHeight="1">
      <c r="B176" s="66"/>
      <c r="C176"/>
      <c r="D176"/>
      <c r="E176"/>
      <c r="F176"/>
      <c r="G176" s="139"/>
      <c r="H176" s="71"/>
      <c r="I176" s="71"/>
      <c r="J176" s="71"/>
      <c r="K176" s="71"/>
      <c r="L176" s="71"/>
      <c r="M176" s="71"/>
      <c r="N176" s="421"/>
      <c r="O176" s="71"/>
      <c r="P176" s="71"/>
      <c r="Q176" s="71"/>
      <c r="R176" s="71"/>
      <c r="S176" s="71"/>
      <c r="T176" s="71"/>
    </row>
    <row r="177" spans="1:25" ht="12.75">
      <c r="A177" s="22">
        <v>9</v>
      </c>
      <c r="B177" s="66" t="s">
        <v>511</v>
      </c>
      <c r="C177"/>
      <c r="D177"/>
      <c r="E177"/>
      <c r="F177"/>
      <c r="G177" s="139"/>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422">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6" customHeight="1">
      <c r="B178" s="66"/>
      <c r="C178"/>
      <c r="D178" s="70"/>
      <c r="E178" s="70"/>
      <c r="F178"/>
      <c r="G178" s="140"/>
      <c r="H178" s="84"/>
      <c r="I178" s="84"/>
      <c r="J178" s="84"/>
      <c r="K178" s="84"/>
      <c r="L178" s="84"/>
      <c r="M178" s="84"/>
      <c r="N178" s="421"/>
      <c r="O178" s="84"/>
      <c r="P178" s="84"/>
      <c r="Q178" s="84"/>
      <c r="R178" s="84"/>
      <c r="S178" s="84"/>
      <c r="T178" s="84"/>
      <c r="U178" s="28"/>
      <c r="Y178" s="379"/>
    </row>
    <row r="179" spans="1:25" ht="12.75">
      <c r="A179" s="22" t="s">
        <v>512</v>
      </c>
      <c r="B179" s="66" t="s">
        <v>520</v>
      </c>
      <c r="C179"/>
      <c r="D179"/>
      <c r="E179" s="70"/>
      <c r="F179"/>
      <c r="G179" s="140"/>
      <c r="H179" s="84"/>
      <c r="I179" s="84"/>
      <c r="J179" s="84"/>
      <c r="K179" s="84"/>
      <c r="L179" s="84"/>
      <c r="M179" s="84"/>
      <c r="N179" s="425">
        <f>H222</f>
        <v>0.13103462657796142</v>
      </c>
      <c r="O179" s="84" t="s">
        <v>522</v>
      </c>
      <c r="P179" s="84"/>
      <c r="Q179" s="84"/>
      <c r="R179" s="84"/>
      <c r="S179" s="84"/>
      <c r="T179" s="84"/>
      <c r="U179" s="28"/>
      <c r="Y179" s="379"/>
    </row>
    <row r="180" spans="1:25" ht="5.25" customHeight="1">
      <c r="B180" s="66"/>
      <c r="C180"/>
      <c r="D180" s="70"/>
      <c r="E180" s="70"/>
      <c r="F180"/>
      <c r="G180" s="140"/>
      <c r="H180" s="84"/>
      <c r="I180" s="84"/>
      <c r="J180" s="84"/>
      <c r="K180" s="84"/>
      <c r="L180" s="84"/>
      <c r="M180" s="84"/>
      <c r="N180" s="421"/>
      <c r="O180" s="84"/>
      <c r="P180" s="84"/>
      <c r="Q180" s="84"/>
      <c r="R180" s="84"/>
      <c r="S180" s="84"/>
      <c r="T180" s="84"/>
      <c r="U180" s="28"/>
      <c r="Y180" s="379"/>
    </row>
    <row r="181" spans="1:25" ht="12.75">
      <c r="A181" s="22">
        <v>10</v>
      </c>
      <c r="B181" s="67" t="s">
        <v>518</v>
      </c>
      <c r="C181"/>
      <c r="D181"/>
      <c r="E181"/>
      <c r="F181"/>
      <c r="G181" s="139"/>
      <c r="H181" s="71">
        <f>RATE(13,,-G136,$T136)</f>
        <v>4.4934829633029992E-2</v>
      </c>
      <c r="I181" s="71">
        <f>RATE(12,,-H136,$T136)</f>
        <v>3.3481424809416356E-2</v>
      </c>
      <c r="J181" s="71">
        <f>RATE(11,,-I136,$T136)</f>
        <v>4.6018260340206694E-2</v>
      </c>
      <c r="K181" s="71">
        <f>RATE(10,,-J136,$T136)</f>
        <v>3.9060908848030214E-2</v>
      </c>
      <c r="L181" s="100">
        <f>RATE(9,,-K136,$T136)</f>
        <v>5.6877995291895043E-2</v>
      </c>
      <c r="M181" s="71">
        <f>RATE(8,,-L136,$T136)</f>
        <v>5.5358951389711968E-2</v>
      </c>
      <c r="N181" s="425">
        <f>RATE(7,,-M136,$T136)</f>
        <v>6.5561315184392552E-2</v>
      </c>
      <c r="O181" s="71">
        <f>RATE(6,,-N136,$T136)</f>
        <v>0.10948841714983193</v>
      </c>
      <c r="P181" s="71">
        <f>RATE(5,,-O136,$T136)</f>
        <v>8.178219194971563E-2</v>
      </c>
      <c r="Q181" s="71">
        <f>RATE(4,,-P136,$T136)</f>
        <v>9.5546292996307972E-2</v>
      </c>
      <c r="R181" s="71">
        <f>RATE(3,,-Q136,$T136)</f>
        <v>8.5613544114414325E-2</v>
      </c>
      <c r="S181" s="71">
        <f>RATE(2,,-R136,$T136)</f>
        <v>9.6696814274166792E-2</v>
      </c>
      <c r="T181" s="71">
        <f>RATE(1,,-S136,$T136)</f>
        <v>6.3956848391446858E-2</v>
      </c>
      <c r="U181" s="28"/>
      <c r="Y181" s="379"/>
    </row>
    <row r="182" spans="1:25" ht="9" customHeight="1">
      <c r="B182"/>
      <c r="C182"/>
      <c r="D182" s="70"/>
      <c r="E182" s="70"/>
      <c r="F182"/>
      <c r="G182" s="84"/>
      <c r="H182" s="84"/>
      <c r="I182" s="84"/>
      <c r="J182" s="84"/>
      <c r="K182" s="84"/>
      <c r="L182" s="84"/>
      <c r="M182" s="84"/>
      <c r="N182" s="421"/>
      <c r="O182" s="84"/>
      <c r="P182" s="84"/>
      <c r="Q182" s="84"/>
      <c r="R182" s="84"/>
      <c r="S182" s="84"/>
      <c r="T182" s="84"/>
      <c r="Y182" s="379"/>
    </row>
    <row r="183" spans="1:25" ht="12.75">
      <c r="A183" s="22">
        <v>11</v>
      </c>
      <c r="B183" s="68" t="s">
        <v>517</v>
      </c>
      <c r="D183" s="70"/>
      <c r="E183" s="70"/>
      <c r="G183" s="71"/>
      <c r="H183" s="71">
        <f>RATE(13,,-G84,$T84)</f>
        <v>4.3730410255582379E-2</v>
      </c>
      <c r="I183" s="71">
        <f>RATE(12,,-H84,$T84)</f>
        <v>4.7298194879917793E-2</v>
      </c>
      <c r="J183" s="71">
        <f>RATE(11,,-I84,$T84)</f>
        <v>5.5238144078790206E-2</v>
      </c>
      <c r="K183" s="71">
        <f>RATE(10,,-J84,$T84)</f>
        <v>6.10068537216331E-2</v>
      </c>
      <c r="L183" s="71">
        <f>RATE(9,,-K84,$T84)</f>
        <v>6.0967562053945878E-2</v>
      </c>
      <c r="M183" s="71">
        <f>RATE(8,,-L84,$T84)</f>
        <v>6.0885903207858326E-2</v>
      </c>
      <c r="N183" s="422">
        <f>RATE(7,,-M84,$T84)</f>
        <v>6.4862649639835332E-2</v>
      </c>
      <c r="O183" s="71">
        <f>RATE(6,,-N84,$T84)</f>
        <v>6.5878075306076089E-2</v>
      </c>
      <c r="P183" s="71">
        <f>RATE(5,,-O84,$T84)</f>
        <v>5.3830291191638957E-2</v>
      </c>
      <c r="Q183" s="71">
        <f>RATE(4,,-P84,$T84)</f>
        <v>6.1536523065830108E-2</v>
      </c>
      <c r="R183" s="71">
        <f>RATE(3,,-Q84,$T84)</f>
        <v>7.1648158788648622E-2</v>
      </c>
      <c r="S183" s="71">
        <f>RATE(2,,-R84,$T84)</f>
        <v>7.5529705367104349E-2</v>
      </c>
      <c r="T183" s="71">
        <f>RATE(1,,-S84,$T84)</f>
        <v>8.7322330199895007E-2</v>
      </c>
      <c r="Y183" s="379"/>
    </row>
    <row r="184" spans="1:25" ht="7.5" customHeight="1">
      <c r="B184" s="68"/>
      <c r="D184" s="70"/>
      <c r="E184" s="70"/>
      <c r="G184" s="71"/>
      <c r="H184" s="71"/>
      <c r="I184" s="71"/>
      <c r="J184" s="71"/>
      <c r="K184" s="71"/>
      <c r="L184" s="71"/>
      <c r="M184" s="71"/>
      <c r="N184" s="421"/>
      <c r="O184" s="71"/>
      <c r="P184" s="71"/>
      <c r="Q184" s="71"/>
      <c r="R184" s="71"/>
      <c r="S184" s="71"/>
      <c r="T184" s="71"/>
      <c r="Y184" s="379"/>
    </row>
    <row r="185" spans="1:25" ht="12.75">
      <c r="A185" s="22" t="s">
        <v>513</v>
      </c>
      <c r="B185" s="68" t="s">
        <v>521</v>
      </c>
      <c r="D185" s="70"/>
      <c r="E185" s="70"/>
      <c r="G185" s="71"/>
      <c r="H185" s="71"/>
      <c r="I185" s="71"/>
      <c r="J185" s="71"/>
      <c r="K185" s="71"/>
      <c r="L185" s="71"/>
      <c r="M185" s="71"/>
      <c r="N185" s="425">
        <f>H228</f>
        <v>6.7537535354999359E-2</v>
      </c>
      <c r="O185" s="84" t="s">
        <v>522</v>
      </c>
      <c r="P185" s="84"/>
      <c r="Q185" s="71"/>
      <c r="R185" s="71"/>
      <c r="S185" s="71"/>
      <c r="T185" s="71"/>
      <c r="Y185" s="379"/>
    </row>
    <row r="186" spans="1:25" ht="8.25" customHeight="1">
      <c r="B186" s="68"/>
      <c r="D186" s="70"/>
      <c r="E186" s="70"/>
      <c r="G186" s="71"/>
      <c r="H186" s="71"/>
      <c r="I186" s="71"/>
      <c r="J186" s="71"/>
      <c r="K186" s="71"/>
      <c r="L186" s="71"/>
      <c r="M186" s="71"/>
      <c r="N186" s="421"/>
      <c r="O186" s="71"/>
      <c r="P186" s="71"/>
      <c r="Q186" s="71"/>
      <c r="R186" s="71"/>
      <c r="S186" s="71"/>
      <c r="T186" s="71"/>
      <c r="Y186" s="379"/>
    </row>
    <row r="187" spans="1:25" ht="13.5" thickBot="1">
      <c r="A187" s="22">
        <v>12</v>
      </c>
      <c r="B187" s="68" t="s">
        <v>72</v>
      </c>
      <c r="C187"/>
      <c r="D187"/>
      <c r="E187"/>
      <c r="F187"/>
      <c r="G187" s="71"/>
      <c r="H187" s="71">
        <f>RATE(13,,-G91,$T91)</f>
        <v>4.8310659267959646E-2</v>
      </c>
      <c r="I187" s="71">
        <f>RATE(12,,-H91,$T91)</f>
        <v>5.1899880999887391E-2</v>
      </c>
      <c r="J187" s="71">
        <f>RATE(11,,-I91,$T91)</f>
        <v>6.0150167870031787E-2</v>
      </c>
      <c r="K187" s="71">
        <f>RATE(10,,-J91,$T91)</f>
        <v>6.7099911677334187E-2</v>
      </c>
      <c r="L187" s="71">
        <f>RATE(9,,-K91,$T91)</f>
        <v>6.599483866669191E-2</v>
      </c>
      <c r="M187" s="71">
        <f>RATE(8,,-L91,$T91)</f>
        <v>6.6640977792237432E-2</v>
      </c>
      <c r="N187" s="426">
        <f>RATE(7,,-M91,$T91)</f>
        <v>7.4131975528255734E-2</v>
      </c>
      <c r="O187" s="71">
        <f>RATE(6,,-N91,$T91)</f>
        <v>6.6904392588354428E-2</v>
      </c>
      <c r="P187" s="71">
        <f>RATE(5,,-O91,$T91)</f>
        <v>6.7205688147962531E-2</v>
      </c>
      <c r="Q187" s="71">
        <f>RATE(4,,-P91,$T91)</f>
        <v>7.567881488245097E-2</v>
      </c>
      <c r="R187" s="71">
        <f>RATE(3,,-Q91,$T91)</f>
        <v>8.4351442625100928E-2</v>
      </c>
      <c r="S187" s="71">
        <f>RATE(2,,-R91,$T91)</f>
        <v>9.800029152248374E-2</v>
      </c>
      <c r="T187" s="71">
        <f>RATE(1,,-S91,$T91)</f>
        <v>0.11312404369640242</v>
      </c>
      <c r="Y187" s="379"/>
    </row>
    <row r="188" spans="1:25" ht="9.75" customHeight="1">
      <c r="B188" s="68"/>
      <c r="D188" s="70"/>
      <c r="E188" s="70"/>
      <c r="G188" s="84"/>
      <c r="H188" s="84"/>
      <c r="I188" s="84"/>
      <c r="J188" s="84"/>
      <c r="K188" s="84"/>
      <c r="L188" s="84"/>
      <c r="M188" s="84"/>
      <c r="N188" s="140"/>
      <c r="O188" s="84"/>
      <c r="P188" s="84"/>
      <c r="Q188" s="84"/>
      <c r="R188" s="84"/>
      <c r="S188" s="84"/>
      <c r="T188" s="84"/>
      <c r="V188" s="379"/>
      <c r="W188" s="379"/>
      <c r="X188" s="379"/>
      <c r="Y188" s="379"/>
    </row>
    <row r="189" spans="1:25" ht="12.75">
      <c r="A189" s="22">
        <v>13</v>
      </c>
      <c r="B189" s="68" t="s">
        <v>166</v>
      </c>
      <c r="D189" s="70"/>
      <c r="E189" s="70"/>
      <c r="G189" s="71" t="str">
        <f>H169</f>
        <v>Not used due to deminimus values that resulted in extraordinary variablility</v>
      </c>
      <c r="H189" s="71"/>
      <c r="I189" s="71"/>
      <c r="J189" s="71"/>
      <c r="K189" s="71"/>
      <c r="L189" s="71"/>
      <c r="M189" s="71"/>
      <c r="N189" s="139"/>
      <c r="O189" s="71"/>
      <c r="P189" s="71"/>
      <c r="Q189" s="71"/>
      <c r="R189" s="71"/>
      <c r="S189" s="71"/>
      <c r="T189" s="71"/>
    </row>
    <row r="190" spans="1:25" ht="12.75">
      <c r="D190" s="70"/>
      <c r="E190" s="70"/>
      <c r="G190" s="84"/>
      <c r="H190" s="84"/>
      <c r="I190" s="84"/>
      <c r="J190" s="84"/>
      <c r="K190" s="84"/>
      <c r="L190" s="84"/>
      <c r="M190" s="84"/>
      <c r="N190" s="140"/>
      <c r="O190" s="84"/>
      <c r="P190" s="84"/>
      <c r="Q190" s="84"/>
      <c r="R190" s="84"/>
      <c r="S190" s="84"/>
      <c r="T190" s="84"/>
      <c r="U190" s="28"/>
    </row>
    <row r="191" spans="1:25" ht="12.75">
      <c r="B191" s="72" t="s">
        <v>199</v>
      </c>
      <c r="C191" s="72"/>
      <c r="D191" s="73"/>
      <c r="E191" s="73"/>
      <c r="F191" s="62"/>
      <c r="G191" s="246"/>
      <c r="H191" s="246" t="s">
        <v>533</v>
      </c>
      <c r="I191" s="246" t="s">
        <v>534</v>
      </c>
      <c r="J191" s="246" t="s">
        <v>535</v>
      </c>
      <c r="K191" s="246" t="s">
        <v>536</v>
      </c>
      <c r="L191" s="246" t="s">
        <v>537</v>
      </c>
      <c r="M191" s="246" t="s">
        <v>538</v>
      </c>
      <c r="N191" s="246" t="s">
        <v>539</v>
      </c>
      <c r="O191" s="246" t="s">
        <v>540</v>
      </c>
      <c r="P191" s="246" t="s">
        <v>541</v>
      </c>
      <c r="Q191" s="246" t="s">
        <v>542</v>
      </c>
      <c r="R191" s="246" t="s">
        <v>543</v>
      </c>
      <c r="S191" s="246" t="s">
        <v>531</v>
      </c>
      <c r="T191" s="246" t="s">
        <v>532</v>
      </c>
      <c r="U191" s="28"/>
    </row>
    <row r="192" spans="1:25" ht="9" customHeight="1" thickBot="1">
      <c r="F192" s="93"/>
      <c r="G192"/>
      <c r="H192"/>
      <c r="I192"/>
      <c r="J192"/>
      <c r="K192"/>
      <c r="L192"/>
      <c r="M192"/>
      <c r="N192"/>
      <c r="O192"/>
      <c r="R192" s="4"/>
      <c r="S192" s="4"/>
      <c r="T192" s="4"/>
      <c r="U192" s="28"/>
    </row>
    <row r="193" spans="1:25" ht="12.75">
      <c r="A193" s="22">
        <v>14</v>
      </c>
      <c r="B193" s="66" t="s">
        <v>283</v>
      </c>
      <c r="F193" s="93" t="s">
        <v>200</v>
      </c>
      <c r="G193" s="289" t="s">
        <v>544</v>
      </c>
      <c r="H193" s="71">
        <f>(1+H173)^2-1</f>
        <v>0.10620878450505433</v>
      </c>
      <c r="I193" s="71">
        <f t="shared" ref="I193:M193" si="67">(1+I173)^2-1</f>
        <v>8.1472295273766315E-2</v>
      </c>
      <c r="J193" s="71">
        <f t="shared" si="67"/>
        <v>7.8404315143208558E-2</v>
      </c>
      <c r="K193" s="71">
        <f t="shared" si="67"/>
        <v>9.516103175801649E-2</v>
      </c>
      <c r="L193" s="71">
        <f t="shared" si="67"/>
        <v>9.8767806680037484E-2</v>
      </c>
      <c r="M193" s="71">
        <f t="shared" si="67"/>
        <v>0.11283555098986819</v>
      </c>
      <c r="N193" s="418">
        <f>(1+N173)^2-1</f>
        <v>0.11948859283476421</v>
      </c>
      <c r="O193" s="71">
        <f>(1+O173)^2-1</f>
        <v>0.1303253532296027</v>
      </c>
      <c r="P193" s="71">
        <f t="shared" ref="P193:T193" si="68">(1+P173)^2-1</f>
        <v>0.10364349937869544</v>
      </c>
      <c r="Q193" s="71">
        <f t="shared" si="68"/>
        <v>0.10012425066964958</v>
      </c>
      <c r="R193" s="71">
        <f t="shared" si="68"/>
        <v>8.5014041115135663E-2</v>
      </c>
      <c r="S193" s="71">
        <f t="shared" si="68"/>
        <v>2.3375272278032044E-2</v>
      </c>
      <c r="T193" s="71">
        <f t="shared" si="68"/>
        <v>2.7295197803190119E-2</v>
      </c>
      <c r="U193" s="28"/>
    </row>
    <row r="194" spans="1:25" ht="12.75">
      <c r="B194" s="66"/>
      <c r="F194" s="93"/>
      <c r="G194" s="3"/>
      <c r="H194" s="71"/>
      <c r="I194" s="71"/>
      <c r="J194" s="71"/>
      <c r="K194" s="71"/>
      <c r="L194" s="71"/>
      <c r="M194" s="71"/>
      <c r="N194" s="419"/>
      <c r="O194" s="71"/>
      <c r="P194" s="71"/>
      <c r="Q194" s="71"/>
      <c r="R194" s="71"/>
      <c r="S194" s="71"/>
      <c r="T194" s="71"/>
      <c r="U194" s="28"/>
    </row>
    <row r="195" spans="1:25" ht="12.75">
      <c r="A195" s="22" t="s">
        <v>257</v>
      </c>
      <c r="B195" s="253" t="s">
        <v>519</v>
      </c>
      <c r="F195" s="93" t="s">
        <v>200</v>
      </c>
      <c r="G195" s="289" t="s">
        <v>544</v>
      </c>
      <c r="H195" s="71"/>
      <c r="I195" s="71"/>
      <c r="J195" s="71"/>
      <c r="K195" s="71"/>
      <c r="L195" s="71"/>
      <c r="M195" s="71"/>
      <c r="N195" s="427">
        <f>(1+N175)^2-1</f>
        <v>6.0899999999999954E-2</v>
      </c>
      <c r="O195" s="71"/>
      <c r="P195" s="71"/>
      <c r="Q195" s="71"/>
      <c r="R195" s="71"/>
      <c r="S195" s="71"/>
      <c r="T195" s="71"/>
      <c r="U195" s="28"/>
      <c r="V195" s="76"/>
    </row>
    <row r="196" spans="1:25" ht="12.75">
      <c r="B196" s="66"/>
      <c r="F196" s="93"/>
      <c r="G196" s="3"/>
      <c r="H196" s="71"/>
      <c r="I196" s="71"/>
      <c r="J196" s="71"/>
      <c r="K196" s="71"/>
      <c r="L196" s="71"/>
      <c r="M196" s="71"/>
      <c r="N196" s="419"/>
      <c r="O196" s="71"/>
      <c r="P196" s="71"/>
      <c r="Q196" s="71"/>
      <c r="R196" s="71"/>
      <c r="S196" s="71"/>
      <c r="T196" s="71"/>
    </row>
    <row r="197" spans="1:25" ht="12.75">
      <c r="A197" s="22">
        <v>16</v>
      </c>
      <c r="B197" s="66" t="s">
        <v>511</v>
      </c>
      <c r="F197" s="93" t="s">
        <v>201</v>
      </c>
      <c r="G197" s="289" t="s">
        <v>544</v>
      </c>
      <c r="H197" s="71">
        <f>(1+H177)^2-1</f>
        <v>0.13854754436836259</v>
      </c>
      <c r="I197" s="71">
        <f t="shared" ref="I197:T197" si="69">(1+I177)^2-1</f>
        <v>0.13978458048940645</v>
      </c>
      <c r="J197" s="71">
        <f t="shared" si="69"/>
        <v>0.1429882126469868</v>
      </c>
      <c r="K197" s="71">
        <f t="shared" si="69"/>
        <v>0.15793100736587995</v>
      </c>
      <c r="L197" s="71">
        <f t="shared" si="69"/>
        <v>0.16308878657761428</v>
      </c>
      <c r="M197" s="71">
        <f t="shared" si="69"/>
        <v>0.17569984315104414</v>
      </c>
      <c r="N197" s="459">
        <f t="shared" si="69"/>
        <v>0.18186553312342801</v>
      </c>
      <c r="O197" s="71">
        <f t="shared" si="69"/>
        <v>0.19726280528794904</v>
      </c>
      <c r="P197" s="71">
        <f t="shared" si="69"/>
        <v>0.19874526508298795</v>
      </c>
      <c r="Q197" s="71">
        <f t="shared" si="69"/>
        <v>0.20733305973343796</v>
      </c>
      <c r="R197" s="71">
        <f t="shared" si="69"/>
        <v>0.22787682398087572</v>
      </c>
      <c r="S197" s="71">
        <f t="shared" si="69"/>
        <v>0.24429479985035507</v>
      </c>
      <c r="T197" s="71">
        <f t="shared" si="69"/>
        <v>0.19445344782898544</v>
      </c>
      <c r="V197" s="382"/>
      <c r="W197" s="27"/>
      <c r="X197" s="27"/>
      <c r="Y197" s="27"/>
    </row>
    <row r="198" spans="1:25" ht="9.75" customHeight="1">
      <c r="B198" s="66"/>
      <c r="F198" s="93"/>
      <c r="G198" s="3"/>
      <c r="H198" s="84"/>
      <c r="I198" s="84"/>
      <c r="J198" s="84"/>
      <c r="K198" s="84"/>
      <c r="L198" s="84"/>
      <c r="M198" s="84"/>
      <c r="N198" s="419"/>
      <c r="O198" s="84"/>
      <c r="P198" s="84"/>
      <c r="Q198" s="84"/>
      <c r="R198" s="84"/>
      <c r="S198" s="84"/>
      <c r="T198" s="84"/>
      <c r="U198" s="28"/>
      <c r="V198" s="27"/>
      <c r="W198" s="27"/>
      <c r="X198" s="27"/>
      <c r="Y198" s="27"/>
    </row>
    <row r="199" spans="1:25" ht="12.75">
      <c r="A199" s="22" t="s">
        <v>514</v>
      </c>
      <c r="B199" s="66" t="s">
        <v>520</v>
      </c>
      <c r="F199" s="93" t="s">
        <v>201</v>
      </c>
      <c r="G199" s="289" t="s">
        <v>544</v>
      </c>
      <c r="H199" s="84"/>
      <c r="I199" s="84"/>
      <c r="J199" s="84"/>
      <c r="K199" s="84"/>
      <c r="L199" s="84"/>
      <c r="M199" s="84"/>
      <c r="N199" s="427">
        <f>(1+N179)^2-1</f>
        <v>0.2792393265183486</v>
      </c>
      <c r="O199" s="84" t="s">
        <v>522</v>
      </c>
      <c r="P199" s="84"/>
      <c r="Q199" s="84"/>
      <c r="R199" s="84"/>
      <c r="S199" s="84"/>
      <c r="T199" s="84"/>
      <c r="U199" s="28"/>
      <c r="V199" s="27"/>
      <c r="W199" s="27"/>
      <c r="X199" s="27"/>
      <c r="Y199" s="27"/>
    </row>
    <row r="200" spans="1:25" ht="12.75">
      <c r="B200" s="66"/>
      <c r="F200" s="93"/>
      <c r="G200" s="3"/>
      <c r="H200" s="84"/>
      <c r="I200" s="84"/>
      <c r="J200" s="84"/>
      <c r="K200" s="84"/>
      <c r="L200" s="84"/>
      <c r="M200" s="84"/>
      <c r="N200" s="419"/>
      <c r="O200" s="84"/>
      <c r="P200" s="84"/>
      <c r="Q200" s="84"/>
      <c r="R200" s="84"/>
      <c r="S200" s="84"/>
      <c r="T200" s="84"/>
      <c r="U200" s="28"/>
      <c r="V200" s="27"/>
      <c r="W200" s="27"/>
      <c r="X200" s="27"/>
      <c r="Y200" s="27"/>
    </row>
    <row r="201" spans="1:25" ht="12.75">
      <c r="A201" s="22">
        <v>17</v>
      </c>
      <c r="B201" s="67" t="s">
        <v>67</v>
      </c>
      <c r="C201" s="67" t="s">
        <v>518</v>
      </c>
      <c r="F201" s="93" t="s">
        <v>201</v>
      </c>
      <c r="G201" s="289" t="s">
        <v>544</v>
      </c>
      <c r="H201" s="71">
        <f>(1+H181)^2-1</f>
        <v>9.1888798180209674E-2</v>
      </c>
      <c r="I201" s="71">
        <f t="shared" ref="I201:M201" si="70">(1+I181)^2-1</f>
        <v>6.8083855426101403E-2</v>
      </c>
      <c r="J201" s="71">
        <f t="shared" si="70"/>
        <v>9.4154200965152368E-2</v>
      </c>
      <c r="K201" s="71">
        <f t="shared" si="70"/>
        <v>7.964757229609476E-2</v>
      </c>
      <c r="L201" s="71">
        <f t="shared" si="70"/>
        <v>0.11699109693221477</v>
      </c>
      <c r="M201" s="71">
        <f t="shared" si="70"/>
        <v>0.11378251627839231</v>
      </c>
      <c r="N201" s="428">
        <f>(1+N181)^2-1</f>
        <v>0.13542091641749243</v>
      </c>
      <c r="O201" s="71">
        <f>(1+O181)^2-1</f>
        <v>0.23096454778963915</v>
      </c>
      <c r="P201" s="71">
        <f t="shared" ref="P201:T201" si="71">(1+P181)^2-1</f>
        <v>0.17025271081953153</v>
      </c>
      <c r="Q201" s="71">
        <f t="shared" si="71"/>
        <v>0.20022168009795238</v>
      </c>
      <c r="R201" s="71">
        <f t="shared" si="71"/>
        <v>0.17855676716465951</v>
      </c>
      <c r="S201" s="71">
        <f t="shared" si="71"/>
        <v>0.20274390243910645</v>
      </c>
      <c r="T201" s="71">
        <f t="shared" si="71"/>
        <v>0.13200417523906016</v>
      </c>
      <c r="U201" s="28"/>
      <c r="V201" s="383"/>
      <c r="W201" s="383"/>
      <c r="X201" s="157"/>
      <c r="Y201" s="27"/>
    </row>
    <row r="202" spans="1:25" ht="12.75">
      <c r="B202"/>
      <c r="F202" s="93"/>
      <c r="G202" s="3"/>
      <c r="H202" s="84"/>
      <c r="I202" s="84"/>
      <c r="J202" s="84"/>
      <c r="K202" s="84"/>
      <c r="L202" s="84"/>
      <c r="M202" s="84"/>
      <c r="N202" s="423"/>
      <c r="O202" s="84"/>
      <c r="P202" s="84"/>
      <c r="Q202" s="84"/>
      <c r="R202" s="84"/>
      <c r="S202" s="84"/>
      <c r="T202" s="84"/>
      <c r="U202" s="28"/>
      <c r="V202" s="27"/>
      <c r="W202" s="27"/>
      <c r="X202" s="27"/>
      <c r="Y202" s="27"/>
    </row>
    <row r="203" spans="1:25" ht="12.75">
      <c r="A203" s="22">
        <v>18</v>
      </c>
      <c r="B203" s="68" t="s">
        <v>517</v>
      </c>
      <c r="F203" s="4" t="s">
        <v>201</v>
      </c>
      <c r="G203" s="289" t="s">
        <v>544</v>
      </c>
      <c r="H203" s="71">
        <f>(1+H183)^2-1</f>
        <v>8.9373169292286336E-2</v>
      </c>
      <c r="I203" s="71">
        <f t="shared" ref="I203:T203" si="72">(1+I183)^2-1</f>
        <v>9.6833508998734219E-2</v>
      </c>
      <c r="J203" s="71">
        <f t="shared" si="72"/>
        <v>0.11352754071884941</v>
      </c>
      <c r="K203" s="71">
        <f t="shared" si="72"/>
        <v>0.12573554364427886</v>
      </c>
      <c r="L203" s="71">
        <f t="shared" si="72"/>
        <v>0.12565216773069343</v>
      </c>
      <c r="M203" s="71">
        <f t="shared" si="72"/>
        <v>0.12547889962515346</v>
      </c>
      <c r="N203" s="459">
        <f t="shared" si="72"/>
        <v>0.13393246259797054</v>
      </c>
      <c r="O203" s="71">
        <f t="shared" si="72"/>
        <v>0.13609607141818536</v>
      </c>
      <c r="P203" s="71">
        <f t="shared" si="72"/>
        <v>0.11055828263305423</v>
      </c>
      <c r="Q203" s="71">
        <f t="shared" si="72"/>
        <v>0.12685978980269152</v>
      </c>
      <c r="R203" s="71">
        <f t="shared" si="72"/>
        <v>0.14842977623510056</v>
      </c>
      <c r="S203" s="71">
        <f t="shared" si="72"/>
        <v>0.15676414712705</v>
      </c>
      <c r="T203" s="71">
        <f t="shared" si="72"/>
        <v>0.18226984975132976</v>
      </c>
      <c r="U203" s="28"/>
      <c r="V203" s="27"/>
      <c r="W203" s="157"/>
      <c r="X203" s="27"/>
      <c r="Y203" s="27"/>
    </row>
    <row r="204" spans="1:25" ht="12.75">
      <c r="B204" s="68"/>
      <c r="G204" s="289"/>
      <c r="H204" s="71"/>
      <c r="I204" s="71"/>
      <c r="J204" s="71"/>
      <c r="K204" s="71"/>
      <c r="L204" s="71"/>
      <c r="M204" s="71"/>
      <c r="N204" s="423"/>
      <c r="O204" s="71"/>
      <c r="P204" s="71"/>
      <c r="Q204" s="71"/>
      <c r="R204" s="71"/>
      <c r="S204" s="71"/>
      <c r="T204" s="71"/>
      <c r="U204" s="28"/>
      <c r="V204" s="27"/>
      <c r="W204" s="157"/>
      <c r="X204" s="27"/>
      <c r="Y204" s="27"/>
    </row>
    <row r="205" spans="1:25" ht="12.75">
      <c r="A205" s="22" t="s">
        <v>515</v>
      </c>
      <c r="B205" s="68" t="s">
        <v>521</v>
      </c>
      <c r="F205" s="93" t="s">
        <v>201</v>
      </c>
      <c r="G205" s="289" t="s">
        <v>544</v>
      </c>
      <c r="H205" s="71"/>
      <c r="I205" s="71"/>
      <c r="J205" s="71"/>
      <c r="K205" s="71"/>
      <c r="L205" s="71"/>
      <c r="M205" s="71"/>
      <c r="N205" s="427">
        <f>(1+N185)^2-1</f>
        <v>0.13963638939182665</v>
      </c>
      <c r="O205" s="84" t="s">
        <v>522</v>
      </c>
      <c r="P205" s="71"/>
      <c r="Q205" s="71"/>
      <c r="R205" s="71"/>
      <c r="S205" s="71"/>
      <c r="T205" s="71"/>
      <c r="U205" s="28"/>
      <c r="V205" s="27"/>
      <c r="W205" s="157"/>
      <c r="X205" s="27"/>
      <c r="Y205" s="27"/>
    </row>
    <row r="206" spans="1:25" ht="12.75">
      <c r="B206" s="68"/>
      <c r="G206" s="3"/>
      <c r="H206" s="71"/>
      <c r="I206" s="71"/>
      <c r="J206" s="71"/>
      <c r="K206" s="71"/>
      <c r="L206" s="71"/>
      <c r="M206" s="71"/>
      <c r="N206" s="423"/>
      <c r="O206" s="71"/>
      <c r="P206" s="71"/>
      <c r="Q206" s="71"/>
      <c r="R206" s="71"/>
      <c r="S206" s="71"/>
      <c r="T206" s="71"/>
      <c r="U206" s="28"/>
      <c r="V206" s="76"/>
    </row>
    <row r="207" spans="1:25" ht="13.5" thickBot="1">
      <c r="A207" s="22">
        <v>19</v>
      </c>
      <c r="B207" s="68" t="s">
        <v>72</v>
      </c>
      <c r="F207" s="93" t="s">
        <v>201</v>
      </c>
      <c r="G207" s="289" t="s">
        <v>544</v>
      </c>
      <c r="H207" s="71">
        <f>(1+H187)^2-1</f>
        <v>9.8955238334824225E-2</v>
      </c>
      <c r="I207" s="71">
        <f t="shared" ref="I207:M207" si="73">(1+I187)^2-1</f>
        <v>0.10649335964757722</v>
      </c>
      <c r="J207" s="71">
        <f t="shared" si="73"/>
        <v>0.12391837843485654</v>
      </c>
      <c r="K207" s="71">
        <f t="shared" si="73"/>
        <v>0.13870222150177414</v>
      </c>
      <c r="L207" s="71">
        <f t="shared" si="73"/>
        <v>0.13634499606402661</v>
      </c>
      <c r="M207" s="71">
        <f t="shared" si="73"/>
        <v>0.13772297550558044</v>
      </c>
      <c r="N207" s="424">
        <f>(1+N187)^2-1</f>
        <v>0.15375950085223322</v>
      </c>
      <c r="O207" s="71">
        <f>(1+O187)^2-1</f>
        <v>0.13828498292432534</v>
      </c>
      <c r="P207" s="71">
        <f t="shared" ref="P207:T207" si="74">(1+P187)^2-1</f>
        <v>0.13892798081536628</v>
      </c>
      <c r="Q207" s="71">
        <f t="shared" si="74"/>
        <v>0.15708491278691428</v>
      </c>
      <c r="R207" s="71">
        <f t="shared" si="74"/>
        <v>0.17581805112313731</v>
      </c>
      <c r="S207" s="71">
        <f t="shared" si="74"/>
        <v>0.20560464018345948</v>
      </c>
      <c r="T207" s="71">
        <f t="shared" si="74"/>
        <v>0.23904513665503058</v>
      </c>
      <c r="U207" s="28"/>
    </row>
    <row r="208" spans="1:25">
      <c r="B208" s="68"/>
      <c r="G208" s="84"/>
      <c r="H208" s="84"/>
      <c r="I208" s="84"/>
      <c r="J208" s="84"/>
      <c r="K208" s="84"/>
      <c r="L208" s="84"/>
      <c r="M208" s="84"/>
      <c r="N208" s="140"/>
      <c r="O208" s="84"/>
      <c r="P208" s="84"/>
      <c r="Q208" s="84"/>
      <c r="R208" s="84"/>
      <c r="U208" s="28"/>
    </row>
    <row r="209" spans="1:21" ht="12.75">
      <c r="A209" s="22">
        <v>20</v>
      </c>
      <c r="B209" s="68" t="s">
        <v>166</v>
      </c>
      <c r="F209" s="4" t="s">
        <v>200</v>
      </c>
      <c r="G209" s="71" t="str">
        <f>G189</f>
        <v>Not used due to deminimus values that resulted in extraordinary variablility</v>
      </c>
      <c r="H209" s="71"/>
      <c r="I209" s="71"/>
      <c r="J209" s="71"/>
      <c r="K209" s="71"/>
      <c r="L209" s="71"/>
      <c r="M209" s="71"/>
      <c r="N209" s="139"/>
      <c r="O209" s="71"/>
      <c r="P209" s="71"/>
      <c r="Q209" s="71"/>
      <c r="R209" s="71"/>
      <c r="U209" s="28"/>
    </row>
    <row r="210" spans="1:21">
      <c r="T210" s="28"/>
      <c r="U210" s="28"/>
    </row>
    <row r="211" spans="1:21" ht="18.75" customHeight="1">
      <c r="A211" s="244" t="s">
        <v>43</v>
      </c>
      <c r="B211" s="166"/>
      <c r="C211" s="166"/>
      <c r="D211" s="166"/>
      <c r="E211" s="166"/>
      <c r="F211" s="166"/>
      <c r="G211" s="495" t="s">
        <v>525</v>
      </c>
      <c r="H211" s="495"/>
      <c r="I211" s="495"/>
      <c r="J211" s="495"/>
      <c r="K211" s="495"/>
      <c r="L211" s="495"/>
      <c r="M211" s="495"/>
      <c r="N211" s="495"/>
      <c r="O211" s="495"/>
      <c r="P211" s="495"/>
      <c r="Q211" s="495"/>
      <c r="R211" s="495"/>
      <c r="S211" s="495"/>
      <c r="T211" s="398"/>
    </row>
    <row r="212" spans="1:21" ht="12.75">
      <c r="A212" s="244" t="s">
        <v>48</v>
      </c>
      <c r="B212" s="166"/>
      <c r="C212" s="166"/>
      <c r="D212" s="166"/>
      <c r="E212" s="166"/>
      <c r="F212" s="166"/>
      <c r="G212" s="166"/>
      <c r="H212" s="166"/>
      <c r="I212" s="166"/>
      <c r="J212" s="166"/>
      <c r="K212" s="166"/>
      <c r="L212" s="166"/>
      <c r="M212" s="166"/>
      <c r="N212" s="166"/>
      <c r="O212" s="166"/>
      <c r="R212" s="4"/>
    </row>
    <row r="213" spans="1:21" ht="12.75">
      <c r="A213" s="244" t="s">
        <v>118</v>
      </c>
      <c r="B213" s="166"/>
      <c r="C213" s="166"/>
      <c r="D213" s="166"/>
      <c r="E213" s="166"/>
      <c r="F213" s="166"/>
      <c r="G213" s="166"/>
      <c r="H213" s="166"/>
      <c r="I213" s="166"/>
      <c r="J213" s="166"/>
      <c r="K213" s="166"/>
      <c r="L213" s="166"/>
      <c r="M213" s="166"/>
      <c r="N213" s="166"/>
      <c r="O213" s="166"/>
      <c r="R213" s="4"/>
    </row>
    <row r="214" spans="1:21" ht="3.6" customHeight="1">
      <c r="A214" s="166"/>
      <c r="B214" s="166"/>
      <c r="C214" s="166"/>
      <c r="D214" s="166"/>
      <c r="E214" s="166"/>
      <c r="F214" s="166"/>
      <c r="G214" s="166"/>
      <c r="H214" s="166"/>
      <c r="I214" s="166"/>
      <c r="J214" s="166"/>
      <c r="K214" s="166"/>
      <c r="L214" s="166"/>
      <c r="M214" s="166"/>
      <c r="N214" s="166"/>
      <c r="O214" s="166"/>
      <c r="R214" s="4"/>
    </row>
    <row r="215" spans="1:21" ht="15.75">
      <c r="A215" s="166"/>
      <c r="B215" s="166"/>
      <c r="C215" s="166"/>
      <c r="D215" s="166"/>
      <c r="E215" s="397"/>
      <c r="F215" s="397"/>
      <c r="G215" s="494" t="s">
        <v>548</v>
      </c>
      <c r="H215" s="494"/>
      <c r="I215" s="397"/>
      <c r="J215" s="397"/>
      <c r="K215" s="397"/>
      <c r="L215" s="397"/>
      <c r="M215" s="397"/>
      <c r="N215" s="397"/>
      <c r="O215" s="397"/>
      <c r="P215" s="397"/>
      <c r="Q215" s="397"/>
      <c r="R215" s="397"/>
    </row>
    <row r="216" spans="1:21" ht="12.75">
      <c r="B216" s="166"/>
      <c r="C216" s="166"/>
      <c r="D216" s="72" t="s">
        <v>507</v>
      </c>
      <c r="E216" s="287"/>
      <c r="F216" s="402"/>
      <c r="G216" s="403"/>
      <c r="H216" s="403"/>
      <c r="I216" s="400"/>
      <c r="J216" s="430" t="s">
        <v>550</v>
      </c>
      <c r="K216" s="430"/>
      <c r="L216" s="403"/>
      <c r="M216" s="430"/>
      <c r="N216" s="430"/>
      <c r="O216" s="430"/>
      <c r="P216" s="401"/>
      <c r="Q216" s="401"/>
      <c r="R216" s="401"/>
    </row>
    <row r="217" spans="1:21" ht="12.75">
      <c r="B217" s="68"/>
      <c r="C217" s="166"/>
      <c r="D217" s="400"/>
      <c r="E217" s="400"/>
      <c r="F217" s="399"/>
      <c r="G217" s="405">
        <v>42004</v>
      </c>
      <c r="H217" s="405">
        <v>42735</v>
      </c>
      <c r="I217" s="400"/>
      <c r="J217" s="404"/>
      <c r="K217" s="404" t="s">
        <v>498</v>
      </c>
      <c r="L217" s="400"/>
      <c r="M217" s="404"/>
      <c r="N217" s="404"/>
      <c r="O217" s="404"/>
      <c r="P217" s="404"/>
      <c r="Q217" s="404"/>
      <c r="R217" s="404"/>
    </row>
    <row r="218" spans="1:21" ht="12.75">
      <c r="D218" s="400"/>
      <c r="E218" s="400"/>
      <c r="F218" s="399"/>
      <c r="G218" s="453">
        <f>'Attrition 09.2014 to 2016'!I26</f>
        <v>402</v>
      </c>
      <c r="H218" s="454">
        <f>440</f>
        <v>440</v>
      </c>
      <c r="I218" s="400"/>
      <c r="J218" s="399"/>
      <c r="K218" s="406" t="s">
        <v>499</v>
      </c>
      <c r="L218" s="407">
        <v>145500</v>
      </c>
      <c r="M218" s="415" t="s">
        <v>506</v>
      </c>
      <c r="N218" s="407"/>
      <c r="O218" s="400"/>
      <c r="P218" s="407"/>
      <c r="Q218" s="399"/>
      <c r="R218" s="400"/>
    </row>
    <row r="219" spans="1:21" ht="12.75">
      <c r="D219" s="400"/>
      <c r="E219" s="400"/>
      <c r="F219" s="399"/>
      <c r="G219" s="453">
        <f>'Attrition 09.2014 to 2016'!I32</f>
        <v>8513</v>
      </c>
      <c r="H219" s="454">
        <f>9603</f>
        <v>9603</v>
      </c>
      <c r="I219" s="400"/>
      <c r="J219" s="399"/>
      <c r="K219" s="406" t="s">
        <v>500</v>
      </c>
      <c r="L219" s="407">
        <v>154054</v>
      </c>
      <c r="M219" s="407">
        <f>L219-L218</f>
        <v>8554</v>
      </c>
      <c r="N219" s="407"/>
      <c r="O219" s="400"/>
      <c r="P219" s="407"/>
      <c r="Q219" s="399"/>
      <c r="R219" s="400"/>
    </row>
    <row r="220" spans="1:21" ht="12.75">
      <c r="D220" s="400"/>
      <c r="E220" s="400"/>
      <c r="F220" s="399"/>
      <c r="G220" s="455">
        <f>'Attrition 09.2014 to 2016'!I42</f>
        <v>4389</v>
      </c>
      <c r="H220" s="456">
        <f>4135+2840+1</f>
        <v>6976</v>
      </c>
      <c r="I220" s="400"/>
      <c r="J220" s="399"/>
      <c r="K220" s="406" t="s">
        <v>501</v>
      </c>
      <c r="L220" s="407">
        <v>173806</v>
      </c>
      <c r="M220" s="407">
        <f t="shared" ref="M220:M226" si="75">L220-L219</f>
        <v>19752</v>
      </c>
      <c r="N220" s="407"/>
      <c r="O220" s="400"/>
      <c r="P220" s="407"/>
      <c r="Q220" s="399"/>
      <c r="R220" s="400"/>
    </row>
    <row r="221" spans="1:21" ht="12.75">
      <c r="D221" s="410"/>
      <c r="E221" s="166"/>
      <c r="F221" s="399"/>
      <c r="G221" s="408">
        <f>SUM(G218:G220)</f>
        <v>13304</v>
      </c>
      <c r="H221" s="408">
        <f>SUM(H218:H220)</f>
        <v>17019</v>
      </c>
      <c r="I221" s="400"/>
      <c r="J221" s="409"/>
      <c r="K221" s="406" t="s">
        <v>502</v>
      </c>
      <c r="L221" s="407">
        <v>177901</v>
      </c>
      <c r="M221" s="407">
        <f t="shared" si="75"/>
        <v>4095</v>
      </c>
      <c r="N221" s="409"/>
      <c r="O221" s="400"/>
      <c r="P221" s="409"/>
      <c r="Q221" s="409"/>
      <c r="R221" s="409"/>
    </row>
    <row r="222" spans="1:21" ht="13.5" thickBot="1">
      <c r="B222" s="66"/>
      <c r="C222" s="166"/>
      <c r="D222" s="429" t="s">
        <v>523</v>
      </c>
      <c r="E222" s="166"/>
      <c r="F222" s="399"/>
      <c r="G222" s="400"/>
      <c r="H222" s="416">
        <f>RATE(2,,-G221,H221)</f>
        <v>0.13103462657796142</v>
      </c>
      <c r="I222" s="400"/>
      <c r="J222" s="409"/>
      <c r="K222" s="406" t="s">
        <v>503</v>
      </c>
      <c r="L222" s="407">
        <v>183553</v>
      </c>
      <c r="M222" s="407">
        <f t="shared" si="75"/>
        <v>5652</v>
      </c>
      <c r="N222" s="409"/>
      <c r="O222" s="400"/>
      <c r="P222" s="409"/>
      <c r="Q222" s="409"/>
      <c r="R222" s="409"/>
    </row>
    <row r="223" spans="1:21" ht="13.5" thickBot="1">
      <c r="B223" s="166"/>
      <c r="C223" s="166"/>
      <c r="D223" s="429" t="s">
        <v>524</v>
      </c>
      <c r="E223" s="166"/>
      <c r="F223" s="399"/>
      <c r="G223" s="400"/>
      <c r="H223" s="417">
        <f>(H221-G221)/G221</f>
        <v>0.27923932651834033</v>
      </c>
      <c r="I223" s="400"/>
      <c r="J223" s="399"/>
      <c r="K223" s="406" t="s">
        <v>504</v>
      </c>
      <c r="L223" s="407">
        <v>195287</v>
      </c>
      <c r="M223" s="407">
        <f t="shared" si="75"/>
        <v>11734</v>
      </c>
      <c r="N223" s="407"/>
      <c r="O223" s="400"/>
      <c r="P223" s="407"/>
      <c r="Q223" s="399"/>
      <c r="R223" s="399"/>
    </row>
    <row r="224" spans="1:21" ht="12.75">
      <c r="B224" s="66"/>
      <c r="C224" s="166"/>
      <c r="F224" s="3"/>
      <c r="G224" s="3"/>
      <c r="H224" s="3"/>
      <c r="I224" s="3"/>
      <c r="J224" s="409"/>
      <c r="K224" s="406" t="s">
        <v>505</v>
      </c>
      <c r="L224" s="407">
        <v>207759</v>
      </c>
      <c r="M224" s="407">
        <f t="shared" si="75"/>
        <v>12472</v>
      </c>
      <c r="N224" s="458" t="s">
        <v>549</v>
      </c>
      <c r="O224" s="456"/>
      <c r="P224" s="409"/>
      <c r="Q224" s="409"/>
      <c r="R224" s="409"/>
    </row>
    <row r="225" spans="2:18" ht="12.75">
      <c r="B225" s="166"/>
      <c r="C225" s="166"/>
      <c r="D225" s="72" t="s">
        <v>508</v>
      </c>
      <c r="E225" s="400"/>
      <c r="F225" s="399"/>
      <c r="G225" s="400"/>
      <c r="H225" s="400"/>
      <c r="I225" s="400"/>
      <c r="J225" s="399"/>
      <c r="K225" s="406" t="s">
        <v>545</v>
      </c>
      <c r="L225" s="457">
        <f>G227</f>
        <v>225901</v>
      </c>
      <c r="M225" s="407">
        <f t="shared" si="75"/>
        <v>18142</v>
      </c>
      <c r="N225" s="457">
        <f>SUM(M219:M225)/7</f>
        <v>11485.857142857143</v>
      </c>
      <c r="O225" s="400"/>
      <c r="P225" s="407"/>
      <c r="Q225" s="399"/>
      <c r="R225" s="399"/>
    </row>
    <row r="226" spans="2:18" ht="12.75">
      <c r="B226" s="67"/>
      <c r="C226" s="166"/>
      <c r="D226" s="166"/>
      <c r="E226" s="166"/>
      <c r="F226" s="399"/>
      <c r="G226" s="405">
        <v>42004</v>
      </c>
      <c r="H226" s="405">
        <v>42735</v>
      </c>
      <c r="I226" s="400"/>
      <c r="J226" s="399"/>
      <c r="K226" s="406" t="s">
        <v>546</v>
      </c>
      <c r="L226" s="457">
        <f>H227</f>
        <v>257445</v>
      </c>
      <c r="M226" s="457">
        <f t="shared" si="75"/>
        <v>31544</v>
      </c>
      <c r="N226" s="409"/>
      <c r="O226" s="400"/>
      <c r="P226" s="409"/>
      <c r="Q226" s="409"/>
      <c r="R226" s="409"/>
    </row>
    <row r="227" spans="2:18" ht="12.75">
      <c r="B227" s="166"/>
      <c r="C227" s="166"/>
      <c r="D227" s="166"/>
      <c r="E227" s="166"/>
      <c r="F227" s="399"/>
      <c r="G227" s="453">
        <f>'Attrition 09.2014 to 2016'!I81</f>
        <v>225901</v>
      </c>
      <c r="H227" s="453">
        <v>257445</v>
      </c>
      <c r="I227" s="400"/>
      <c r="J227" s="399"/>
      <c r="K227" s="399"/>
      <c r="L227" s="406"/>
      <c r="M227" s="407"/>
      <c r="N227" s="407"/>
      <c r="O227" s="407"/>
      <c r="P227" s="407"/>
      <c r="Q227" s="399"/>
      <c r="R227" s="399"/>
    </row>
    <row r="228" spans="2:18" ht="13.5" thickBot="1">
      <c r="B228" s="68"/>
      <c r="C228" s="166"/>
      <c r="D228" s="429" t="s">
        <v>523</v>
      </c>
      <c r="E228" s="166"/>
      <c r="F228" s="399"/>
      <c r="G228" s="400"/>
      <c r="H228" s="416">
        <f>RATE(2,,-G227,H227)</f>
        <v>6.7537535354999359E-2</v>
      </c>
      <c r="I228" s="400"/>
      <c r="J228" s="411"/>
      <c r="K228" s="411"/>
      <c r="L228" s="406"/>
      <c r="M228" s="407"/>
      <c r="N228" s="409"/>
      <c r="O228" s="409"/>
      <c r="P228" s="409"/>
      <c r="Q228" s="409"/>
      <c r="R228" s="409"/>
    </row>
    <row r="229" spans="2:18" ht="13.5" thickBot="1">
      <c r="D229" s="429" t="s">
        <v>524</v>
      </c>
      <c r="E229" s="166"/>
      <c r="F229" s="399"/>
      <c r="G229" s="400"/>
      <c r="H229" s="417">
        <f>(H227-G227)/G227</f>
        <v>0.13963638939181322</v>
      </c>
      <c r="I229" s="400"/>
      <c r="J229" s="412"/>
      <c r="K229" s="412"/>
      <c r="L229" s="413"/>
      <c r="M229" s="399"/>
      <c r="N229" s="399"/>
      <c r="O229" s="399"/>
      <c r="P229" s="399"/>
      <c r="Q229" s="399"/>
      <c r="R229" s="400"/>
    </row>
    <row r="230" spans="2:18" ht="12.75">
      <c r="F230" s="3"/>
      <c r="G230" s="3"/>
      <c r="H230" s="3"/>
      <c r="I230" s="3"/>
      <c r="J230" s="411"/>
      <c r="K230" s="411"/>
      <c r="L230" s="413"/>
      <c r="M230" s="399"/>
      <c r="N230" s="399"/>
      <c r="O230" s="399"/>
      <c r="P230" s="399"/>
      <c r="Q230" s="399"/>
      <c r="R230" s="400"/>
    </row>
    <row r="231" spans="2:18" ht="12.75">
      <c r="D231" s="166" t="s">
        <v>516</v>
      </c>
      <c r="F231" s="3"/>
      <c r="G231" s="3"/>
      <c r="H231" s="3"/>
      <c r="I231" s="400"/>
      <c r="J231" s="412"/>
      <c r="K231" s="412"/>
      <c r="L231" s="399"/>
      <c r="M231" s="399"/>
      <c r="N231" s="399"/>
      <c r="O231" s="399"/>
      <c r="P231" s="399"/>
      <c r="Q231" s="399"/>
      <c r="R231" s="400"/>
    </row>
    <row r="232" spans="2:18" ht="12.75">
      <c r="B232" s="66"/>
      <c r="E232" s="166"/>
      <c r="F232" s="399"/>
      <c r="G232" s="414"/>
      <c r="H232" s="414"/>
      <c r="I232" s="414"/>
      <c r="J232" s="411"/>
      <c r="K232" s="411"/>
      <c r="L232" s="411"/>
      <c r="M232" s="411"/>
      <c r="N232" s="411"/>
      <c r="O232" s="411"/>
      <c r="P232" s="411"/>
      <c r="Q232" s="411"/>
      <c r="R232" s="411"/>
    </row>
    <row r="233" spans="2:18" ht="12.75">
      <c r="B233"/>
      <c r="C233"/>
      <c r="D233" s="70"/>
      <c r="E233" s="70"/>
      <c r="F233" s="399"/>
      <c r="G233" s="412"/>
      <c r="H233" s="412"/>
      <c r="I233" s="412"/>
      <c r="J233" s="412"/>
      <c r="K233" s="412"/>
      <c r="L233" s="412"/>
      <c r="M233" s="412"/>
      <c r="N233" s="412"/>
      <c r="O233" s="412"/>
      <c r="P233" s="412"/>
      <c r="Q233" s="412"/>
      <c r="R233" s="412"/>
    </row>
    <row r="234" spans="2:18" ht="12.75">
      <c r="B234" s="66"/>
      <c r="C234"/>
      <c r="D234" s="70"/>
      <c r="E234" s="70"/>
      <c r="F234" s="399"/>
      <c r="G234" s="411"/>
      <c r="H234" s="411"/>
      <c r="I234" s="411"/>
      <c r="J234" s="411"/>
      <c r="K234" s="411"/>
      <c r="L234" s="411"/>
      <c r="M234" s="411"/>
      <c r="N234" s="411"/>
      <c r="O234" s="411"/>
      <c r="P234" s="411"/>
      <c r="Q234" s="411"/>
      <c r="R234" s="411"/>
    </row>
    <row r="235" spans="2:18" ht="12.75">
      <c r="B235"/>
      <c r="C235"/>
      <c r="D235" s="70"/>
      <c r="E235" s="70"/>
      <c r="F235" s="399"/>
      <c r="G235" s="412"/>
      <c r="H235" s="412"/>
      <c r="I235" s="412"/>
      <c r="J235" s="412"/>
      <c r="K235" s="412"/>
      <c r="L235" s="412"/>
      <c r="M235" s="412"/>
      <c r="N235" s="412"/>
      <c r="O235" s="412"/>
      <c r="P235" s="412"/>
      <c r="Q235" s="412"/>
      <c r="R235" s="412"/>
    </row>
    <row r="236" spans="2:18" ht="12.75">
      <c r="B236" s="67"/>
      <c r="C236"/>
      <c r="D236" s="400"/>
      <c r="E236" s="400"/>
      <c r="F236" s="399"/>
      <c r="G236" s="399"/>
      <c r="H236" s="399"/>
      <c r="I236" s="399"/>
      <c r="J236" s="399"/>
      <c r="K236" s="399"/>
      <c r="L236" s="411"/>
      <c r="M236" s="411"/>
      <c r="N236" s="411"/>
      <c r="O236" s="411"/>
      <c r="P236" s="411"/>
      <c r="Q236" s="411"/>
      <c r="R236" s="411"/>
    </row>
    <row r="237" spans="2:18" ht="12.75">
      <c r="B237"/>
      <c r="C237"/>
      <c r="D237" s="400"/>
      <c r="E237" s="400"/>
      <c r="F237" s="399"/>
      <c r="G237" s="399"/>
      <c r="H237" s="399"/>
      <c r="I237" s="399"/>
      <c r="J237" s="399"/>
      <c r="K237" s="399"/>
      <c r="L237" s="412"/>
      <c r="M237" s="412"/>
      <c r="N237" s="412"/>
      <c r="O237" s="412"/>
      <c r="P237" s="412"/>
      <c r="Q237" s="412"/>
      <c r="R237" s="412"/>
    </row>
    <row r="238" spans="2:18" ht="12.75">
      <c r="B238" s="68"/>
      <c r="C238"/>
      <c r="D238" s="400"/>
      <c r="E238" s="400"/>
      <c r="F238" s="399"/>
      <c r="G238" s="399"/>
      <c r="H238" s="399"/>
      <c r="I238" s="399"/>
      <c r="J238" s="399"/>
      <c r="K238" s="399"/>
      <c r="L238" s="411"/>
      <c r="M238" s="411"/>
      <c r="N238" s="411"/>
      <c r="O238" s="411"/>
      <c r="P238" s="411"/>
      <c r="Q238" s="411"/>
      <c r="R238" s="411"/>
    </row>
    <row r="239" spans="2:18">
      <c r="L239" s="126"/>
      <c r="M239" s="126"/>
      <c r="N239" s="126"/>
      <c r="O239" s="126"/>
      <c r="P239" s="126"/>
      <c r="Q239" s="126"/>
      <c r="R239" s="126"/>
    </row>
    <row r="262" spans="7:7">
      <c r="G262" s="83"/>
    </row>
    <row r="263" spans="7:7">
      <c r="G263" s="249"/>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9">
    <mergeCell ref="G215:H215"/>
    <mergeCell ref="G211:S211"/>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Footer xml:space="preserve">&amp;LStaff_DR_130-Attachment C&amp;RPage &amp;P of &amp;N  </oddFooter>
  </headerFooter>
  <rowBreaks count="4" manualBreakCount="4">
    <brk id="58" max="19" man="1"/>
    <brk id="93" max="19" man="1"/>
    <brk id="150" max="19" man="1"/>
    <brk id="209" max="19" man="1"/>
  </rowBreaks>
  <drawing r:id="rId4"/>
  <legacyDrawing r:id="rId5"/>
</worksheet>
</file>

<file path=xl/worksheets/sheet5.xml><?xml version="1.0" encoding="utf-8"?>
<worksheet xmlns="http://schemas.openxmlformats.org/spreadsheetml/2006/main" xmlns:r="http://schemas.openxmlformats.org/officeDocument/2006/relationships">
  <dimension ref="A1:M207"/>
  <sheetViews>
    <sheetView tabSelected="1" view="pageBreakPreview" zoomScale="85" zoomScaleNormal="100" zoomScaleSheetLayoutView="85" workbookViewId="0">
      <selection activeCell="C34" sqref="C34:M34"/>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32" customWidth="1"/>
    <col min="6" max="6" width="11.85546875" style="132" customWidth="1"/>
    <col min="7" max="7" width="11.28515625" bestFit="1" customWidth="1"/>
    <col min="8" max="8" width="13.28515625" style="132" customWidth="1"/>
    <col min="9" max="9" width="11.85546875" bestFit="1" customWidth="1"/>
    <col min="10" max="10" width="9.5703125" customWidth="1"/>
    <col min="11" max="11" width="1.42578125" customWidth="1"/>
    <col min="12" max="12" width="11.140625" bestFit="1" customWidth="1"/>
    <col min="13" max="13" width="9.140625" customWidth="1"/>
    <col min="14" max="14" width="8.85546875" customWidth="1"/>
  </cols>
  <sheetData>
    <row r="1" spans="1:13">
      <c r="A1" s="166" t="s">
        <v>43</v>
      </c>
    </row>
    <row r="2" spans="1:13">
      <c r="A2" s="166" t="s">
        <v>84</v>
      </c>
    </row>
    <row r="3" spans="1:13">
      <c r="A3" s="500" t="s">
        <v>85</v>
      </c>
      <c r="B3" s="500"/>
      <c r="C3" s="500"/>
      <c r="D3" s="500"/>
      <c r="E3" s="500"/>
      <c r="F3" s="500"/>
      <c r="G3" s="500"/>
      <c r="H3" s="500"/>
      <c r="I3" s="500"/>
      <c r="J3" s="500"/>
    </row>
    <row r="4" spans="1:13">
      <c r="A4" s="500" t="s">
        <v>443</v>
      </c>
      <c r="B4" s="500"/>
      <c r="C4" s="500"/>
      <c r="D4" s="500"/>
      <c r="E4" s="500"/>
      <c r="F4" s="500"/>
      <c r="G4" s="500"/>
      <c r="H4" s="500"/>
      <c r="I4" s="500"/>
      <c r="J4" s="500"/>
    </row>
    <row r="6" spans="1:13">
      <c r="E6" s="352" t="s">
        <v>100</v>
      </c>
      <c r="F6" s="134"/>
      <c r="G6" s="41" t="s">
        <v>97</v>
      </c>
    </row>
    <row r="7" spans="1:13">
      <c r="A7" s="40" t="s">
        <v>0</v>
      </c>
      <c r="D7" s="41" t="s">
        <v>97</v>
      </c>
      <c r="E7" s="352" t="s">
        <v>101</v>
      </c>
      <c r="F7" s="352" t="s">
        <v>102</v>
      </c>
      <c r="G7" s="41" t="s">
        <v>98</v>
      </c>
      <c r="H7" s="352" t="s">
        <v>100</v>
      </c>
      <c r="J7" s="41" t="s">
        <v>108</v>
      </c>
      <c r="K7" s="41"/>
    </row>
    <row r="8" spans="1:13">
      <c r="A8" s="43" t="s">
        <v>2</v>
      </c>
      <c r="B8" s="69" t="s">
        <v>88</v>
      </c>
      <c r="C8" s="69" t="s">
        <v>89</v>
      </c>
      <c r="D8" s="43" t="s">
        <v>98</v>
      </c>
      <c r="E8" s="353" t="s">
        <v>444</v>
      </c>
      <c r="F8" s="135">
        <v>2016</v>
      </c>
      <c r="G8" s="43" t="s">
        <v>103</v>
      </c>
      <c r="H8" s="358" t="s">
        <v>444</v>
      </c>
      <c r="I8" s="43" t="s">
        <v>107</v>
      </c>
      <c r="J8" s="43" t="s">
        <v>103</v>
      </c>
      <c r="K8" s="43"/>
    </row>
    <row r="9" spans="1:13">
      <c r="A9" s="43"/>
      <c r="B9" s="41" t="s">
        <v>109</v>
      </c>
      <c r="C9" s="41" t="s">
        <v>110</v>
      </c>
      <c r="D9" s="41" t="s">
        <v>111</v>
      </c>
      <c r="E9" s="352" t="s">
        <v>112</v>
      </c>
      <c r="F9" s="352" t="s">
        <v>113</v>
      </c>
      <c r="G9" s="41" t="s">
        <v>114</v>
      </c>
      <c r="H9" s="352" t="s">
        <v>115</v>
      </c>
      <c r="I9" s="41" t="s">
        <v>116</v>
      </c>
      <c r="J9" s="41" t="s">
        <v>117</v>
      </c>
      <c r="K9" s="41"/>
      <c r="M9" s="501" t="s">
        <v>469</v>
      </c>
    </row>
    <row r="10" spans="1:13">
      <c r="A10" s="43"/>
      <c r="B10" s="69"/>
      <c r="C10" s="69"/>
      <c r="D10" s="43"/>
      <c r="E10" s="135"/>
      <c r="F10" s="135"/>
      <c r="G10" s="43"/>
      <c r="M10" s="501"/>
    </row>
    <row r="11" spans="1:13">
      <c r="A11" s="40">
        <v>1</v>
      </c>
      <c r="B11" t="s">
        <v>86</v>
      </c>
      <c r="C11" s="40">
        <v>101</v>
      </c>
      <c r="D11" s="70" t="s">
        <v>104</v>
      </c>
      <c r="E11" s="127">
        <f>'09.2014 Revenue Model'!D25</f>
        <v>1787943</v>
      </c>
      <c r="F11" s="127">
        <f>'Forecast Bill Determinants'!F35</f>
        <v>1828181.5921</v>
      </c>
      <c r="G11" s="100">
        <f>(F11-E11)/E11</f>
        <v>2.250552288300019E-2</v>
      </c>
      <c r="H11" s="128">
        <f>'09.2014 Revenue Model'!D106</f>
        <v>16091487</v>
      </c>
      <c r="I11" s="100">
        <f>H11/H$19</f>
        <v>9.6511882351302022E-2</v>
      </c>
      <c r="J11" s="100">
        <f>G11*I11</f>
        <v>2.1720503767386498E-3</v>
      </c>
      <c r="K11" s="100"/>
      <c r="L11" s="366">
        <f>H$19*J11</f>
        <v>362147.32890000008</v>
      </c>
      <c r="M11" s="366">
        <f>L11</f>
        <v>362147.32890000008</v>
      </c>
    </row>
    <row r="12" spans="1:13">
      <c r="A12" s="40">
        <v>2</v>
      </c>
      <c r="B12" t="s">
        <v>87</v>
      </c>
      <c r="C12" s="41" t="s">
        <v>91</v>
      </c>
      <c r="D12" s="70" t="s">
        <v>104</v>
      </c>
      <c r="E12" s="127">
        <f>'09.2014 Revenue Model'!E26</f>
        <v>30696.999999999956</v>
      </c>
      <c r="F12" s="127">
        <f>'Forecast Bill Determinants'!F36</f>
        <v>31373.728499999997</v>
      </c>
      <c r="G12" s="100">
        <f t="shared" ref="G12:G22" si="0">(F12-E12)/E12</f>
        <v>2.2045427891977786E-2</v>
      </c>
      <c r="H12" s="128">
        <f>'09.2014 Revenue Model'!E107</f>
        <v>2671866.8799999962</v>
      </c>
      <c r="I12" s="100">
        <f t="shared" ref="I12:I18" si="1">H12/H$19</f>
        <v>1.602505113299349E-2</v>
      </c>
      <c r="J12" s="100">
        <f t="shared" ref="J12:J24" si="2">G12*I12</f>
        <v>3.5327910921766488E-4</v>
      </c>
      <c r="K12" s="100"/>
      <c r="L12" s="366">
        <f t="shared" ref="L12:L18" si="3">H$19*J12</f>
        <v>58902.448640003575</v>
      </c>
      <c r="M12" s="366">
        <f>L12</f>
        <v>58902.448640003575</v>
      </c>
    </row>
    <row r="13" spans="1:13">
      <c r="A13" s="40">
        <v>3</v>
      </c>
      <c r="B13" s="70" t="s">
        <v>90</v>
      </c>
      <c r="C13" s="41" t="s">
        <v>92</v>
      </c>
      <c r="D13" s="70" t="s">
        <v>104</v>
      </c>
      <c r="E13" s="127">
        <f>'09.2014 Revenue Model'!F26</f>
        <v>336</v>
      </c>
      <c r="F13" s="127">
        <f>'Forecast Bill Determinants'!F37</f>
        <v>338.77711400111377</v>
      </c>
      <c r="G13" s="100">
        <f t="shared" si="0"/>
        <v>8.2652202414100397E-3</v>
      </c>
      <c r="H13" s="128">
        <f>'09.2014 Revenue Model'!F107</f>
        <v>72320.639999999999</v>
      </c>
      <c r="I13" s="100">
        <f t="shared" si="1"/>
        <v>4.3375737116469512E-4</v>
      </c>
      <c r="J13" s="100">
        <f t="shared" si="2"/>
        <v>3.5851002040112457E-6</v>
      </c>
      <c r="K13" s="100"/>
      <c r="L13" s="366">
        <f t="shared" si="3"/>
        <v>597.74601759972859</v>
      </c>
      <c r="M13" s="366">
        <f>L13</f>
        <v>597.74601759972859</v>
      </c>
    </row>
    <row r="14" spans="1:13">
      <c r="A14" s="40">
        <v>4</v>
      </c>
      <c r="B14" s="70" t="s">
        <v>93</v>
      </c>
      <c r="C14" s="41" t="s">
        <v>94</v>
      </c>
      <c r="D14" s="70" t="s">
        <v>104</v>
      </c>
      <c r="E14" s="127">
        <f>'09.2014 Revenue Model'!G25</f>
        <v>24</v>
      </c>
      <c r="F14" s="127">
        <f>'Forecast Bill Determinants'!F38</f>
        <v>24</v>
      </c>
      <c r="G14" s="100">
        <f t="shared" si="0"/>
        <v>0</v>
      </c>
      <c r="H14" s="128">
        <f>'09.2014 Revenue Model'!G106+'09.2014 Revenue Model'!G107</f>
        <v>0</v>
      </c>
      <c r="I14" s="100">
        <f t="shared" si="1"/>
        <v>0</v>
      </c>
      <c r="J14" s="100">
        <f t="shared" si="2"/>
        <v>0</v>
      </c>
      <c r="K14" s="100"/>
      <c r="L14" s="366">
        <f t="shared" si="3"/>
        <v>0</v>
      </c>
      <c r="M14" s="366">
        <f>L14</f>
        <v>0</v>
      </c>
    </row>
    <row r="15" spans="1:13">
      <c r="A15" s="40">
        <v>5</v>
      </c>
      <c r="B15" t="s">
        <v>86</v>
      </c>
      <c r="C15" s="40">
        <v>101</v>
      </c>
      <c r="D15" s="70" t="s">
        <v>99</v>
      </c>
      <c r="E15" s="354">
        <f>'09.2014 Revenue Model'!D23</f>
        <v>120721607</v>
      </c>
      <c r="F15" s="364">
        <f>'Forecast Bill Determinants'!D5</f>
        <v>119462330.63324322</v>
      </c>
      <c r="G15" s="100">
        <f>(F15-E15)/E15</f>
        <v>-1.0431242575794919E-2</v>
      </c>
      <c r="H15" s="128">
        <f>H27-H11</f>
        <v>107498749.48</v>
      </c>
      <c r="I15" s="100">
        <f t="shared" si="1"/>
        <v>0.64474505449532715</v>
      </c>
      <c r="J15" s="100">
        <f>G15*I15</f>
        <v>-6.7254920629848721E-3</v>
      </c>
      <c r="K15" s="100"/>
      <c r="L15" s="366">
        <f t="shared" si="3"/>
        <v>-1121345.5324204878</v>
      </c>
      <c r="M15" s="366">
        <f>L15-I37</f>
        <v>-487589.51532280224</v>
      </c>
    </row>
    <row r="16" spans="1:13">
      <c r="A16" s="40">
        <v>6</v>
      </c>
      <c r="B16" t="s">
        <v>87</v>
      </c>
      <c r="C16" s="41" t="s">
        <v>91</v>
      </c>
      <c r="D16" s="70" t="s">
        <v>99</v>
      </c>
      <c r="E16" s="355">
        <f>'09.2014 Revenue Model'!E23</f>
        <v>47537282</v>
      </c>
      <c r="F16" s="363">
        <f>'Forecast Bill Determinants'!D6</f>
        <v>47624382.497314692</v>
      </c>
      <c r="G16" s="100">
        <f>(F16-E16)/E16</f>
        <v>1.83225657105704E-3</v>
      </c>
      <c r="H16" s="128">
        <f>H28-H12</f>
        <v>35598366.25</v>
      </c>
      <c r="I16" s="100">
        <f t="shared" si="1"/>
        <v>0.21350825659670608</v>
      </c>
      <c r="J16" s="100">
        <f>G16*I16</f>
        <v>3.9120190612424734E-4</v>
      </c>
      <c r="K16" s="100"/>
      <c r="L16" s="366">
        <f t="shared" si="3"/>
        <v>65225.340480457657</v>
      </c>
      <c r="M16" s="366">
        <f>L16-I38</f>
        <v>21584.507305904604</v>
      </c>
    </row>
    <row r="17" spans="1:13">
      <c r="A17" s="40">
        <v>7</v>
      </c>
      <c r="B17" s="70" t="s">
        <v>90</v>
      </c>
      <c r="C17" s="41" t="s">
        <v>92</v>
      </c>
      <c r="D17" s="70" t="s">
        <v>99</v>
      </c>
      <c r="E17" s="355">
        <f>'09.2014 Revenue Model'!F23</f>
        <v>5735037</v>
      </c>
      <c r="F17" s="363">
        <f>'Forecast Bill Determinants'!D7</f>
        <v>5939603.5239413138</v>
      </c>
      <c r="G17" s="100">
        <f>(F17-E17)/E17</f>
        <v>3.5669608398570724E-2</v>
      </c>
      <c r="H17" s="128">
        <f>H29-H13</f>
        <v>4064021.01</v>
      </c>
      <c r="I17" s="100">
        <f t="shared" si="1"/>
        <v>2.4374771429783934E-2</v>
      </c>
      <c r="J17" s="100">
        <f>G17*I17</f>
        <v>8.6943855170506276E-4</v>
      </c>
      <c r="K17" s="100"/>
      <c r="L17" s="366">
        <f t="shared" si="3"/>
        <v>144962.03795026388</v>
      </c>
      <c r="M17" s="366">
        <f>L17-I39</f>
        <v>46197.32019139755</v>
      </c>
    </row>
    <row r="18" spans="1:13" ht="13.5" thickBot="1">
      <c r="A18" s="40">
        <v>8</v>
      </c>
      <c r="B18" s="70" t="s">
        <v>93</v>
      </c>
      <c r="C18" s="41" t="s">
        <v>94</v>
      </c>
      <c r="D18" s="70" t="s">
        <v>99</v>
      </c>
      <c r="E18" s="356">
        <f>'09.2014 Revenue Model'!G23</f>
        <v>1115704</v>
      </c>
      <c r="F18" s="362">
        <f>'Forecast Bill Determinants'!D8</f>
        <v>1252782.6386017113</v>
      </c>
      <c r="G18" s="100">
        <f>(F18-E18)/E18</f>
        <v>0.12286290862245833</v>
      </c>
      <c r="H18" s="128">
        <f>H30-H14</f>
        <v>733819.29</v>
      </c>
      <c r="I18" s="129">
        <f t="shared" si="1"/>
        <v>4.4012266227226845E-3</v>
      </c>
      <c r="J18" s="130">
        <f>G18*I18</f>
        <v>5.40747504374308E-4</v>
      </c>
      <c r="K18" s="130"/>
      <c r="L18" s="366">
        <f t="shared" si="3"/>
        <v>90159.17237266725</v>
      </c>
      <c r="M18" s="366">
        <f>L18-I40</f>
        <v>27797.987313590747</v>
      </c>
    </row>
    <row r="19" spans="1:13" ht="14.25" thickTop="1" thickBot="1">
      <c r="A19" s="40">
        <v>9</v>
      </c>
      <c r="B19" s="70" t="s">
        <v>106</v>
      </c>
      <c r="C19" s="41"/>
      <c r="D19" s="70"/>
      <c r="E19" s="356">
        <f>SUM(E15:E18)</f>
        <v>175109630</v>
      </c>
      <c r="F19" s="362">
        <f>SUM(F15:F18)</f>
        <v>174279099.29310092</v>
      </c>
      <c r="G19" s="100"/>
      <c r="H19" s="359">
        <f>SUM(H11:H18)</f>
        <v>166730630.54999998</v>
      </c>
      <c r="I19" s="100">
        <f>SUM(I11:I18)</f>
        <v>1</v>
      </c>
      <c r="J19" s="131">
        <f>SUM(J11:J18)</f>
        <v>-2.3951895146209273E-3</v>
      </c>
      <c r="K19" s="130"/>
      <c r="L19" s="367">
        <f>SUM(L11:L18)</f>
        <v>-399351.45805949572</v>
      </c>
      <c r="M19" s="367">
        <f>SUM(M11:M18)</f>
        <v>29637.823045694022</v>
      </c>
    </row>
    <row r="20" spans="1:13" ht="13.5" thickTop="1">
      <c r="A20" s="40"/>
      <c r="B20" s="70"/>
      <c r="C20" s="41"/>
      <c r="D20" s="70"/>
      <c r="E20" s="127"/>
      <c r="F20" s="127"/>
      <c r="G20" s="100"/>
      <c r="H20" s="128"/>
      <c r="I20" s="100"/>
      <c r="J20" s="100"/>
      <c r="K20" s="100"/>
    </row>
    <row r="21" spans="1:13">
      <c r="A21" s="40">
        <v>10</v>
      </c>
      <c r="B21" s="70" t="s">
        <v>95</v>
      </c>
      <c r="C21" s="40">
        <v>146</v>
      </c>
      <c r="D21" s="70" t="s">
        <v>104</v>
      </c>
      <c r="E21" s="127">
        <f>'09.2014 Revenue Model'!H25</f>
        <v>456</v>
      </c>
      <c r="F21" s="127">
        <f>'Forecast Bill Determinants'!F39</f>
        <v>515.80946824049408</v>
      </c>
      <c r="G21" s="100">
        <f t="shared" si="0"/>
        <v>0.13116111456248702</v>
      </c>
      <c r="H21" s="128">
        <f>'09.2014 Revenue Model'!H106+'09.2014 Revenue Model'!H107</f>
        <v>255207.10263000001</v>
      </c>
      <c r="I21" s="100">
        <f>H21/H$25</f>
        <v>6.1005130388575857E-2</v>
      </c>
      <c r="J21" s="100">
        <f t="shared" si="2"/>
        <v>8.0015008957954568E-3</v>
      </c>
      <c r="K21" s="100"/>
      <c r="L21" s="366">
        <f>H$25*J21</f>
        <v>33473.248025213819</v>
      </c>
      <c r="M21" s="366">
        <f>L21</f>
        <v>33473.248025213819</v>
      </c>
    </row>
    <row r="22" spans="1:13">
      <c r="A22" s="40">
        <v>11</v>
      </c>
      <c r="B22" s="70" t="s">
        <v>96</v>
      </c>
      <c r="C22" s="40">
        <v>148</v>
      </c>
      <c r="D22" s="70" t="s">
        <v>104</v>
      </c>
      <c r="E22" s="127">
        <f>'09.2014 Revenue Model'!I25+'09.2014 Revenue Model'!J25</f>
        <v>60</v>
      </c>
      <c r="F22" s="127">
        <f>'Forecast Bill Determinants'!F40</f>
        <v>65.701937481317373</v>
      </c>
      <c r="G22" s="100">
        <f t="shared" si="0"/>
        <v>9.5032291355289539E-2</v>
      </c>
      <c r="H22" s="128">
        <f>'09.2014 Revenue Model'!I106+'09.2014 Revenue Model'!J106</f>
        <v>325584</v>
      </c>
      <c r="I22" s="100">
        <f>H22/H$25</f>
        <v>7.7828141018592617E-2</v>
      </c>
      <c r="J22" s="100">
        <f t="shared" si="2"/>
        <v>7.396186572919454E-3</v>
      </c>
      <c r="K22" s="100"/>
      <c r="L22" s="366">
        <f>H$25*J22</f>
        <v>30940.993548620587</v>
      </c>
      <c r="M22" s="366">
        <f>L22</f>
        <v>30940.993548620587</v>
      </c>
    </row>
    <row r="23" spans="1:13">
      <c r="A23" s="40">
        <v>12</v>
      </c>
      <c r="B23" s="70" t="s">
        <v>95</v>
      </c>
      <c r="C23" s="40">
        <v>146</v>
      </c>
      <c r="D23" s="70" t="s">
        <v>99</v>
      </c>
      <c r="E23" s="354">
        <f>'09.2014 Revenue Model'!H23</f>
        <v>30580202</v>
      </c>
      <c r="F23" s="364">
        <f>'Forecast Bill Determinants'!D9</f>
        <v>30484400.609234795</v>
      </c>
      <c r="G23" s="100">
        <f>(F23-E23)/E23</f>
        <v>-3.1327912995867402E-3</v>
      </c>
      <c r="H23" s="128">
        <f>H31-H21</f>
        <v>2321588.5299999998</v>
      </c>
      <c r="I23" s="100">
        <f>H23/H$25</f>
        <v>0.55495638452745566</v>
      </c>
      <c r="J23" s="100">
        <f t="shared" si="2"/>
        <v>-1.7385625330977265E-3</v>
      </c>
      <c r="K23" s="100"/>
      <c r="L23" s="366">
        <f>H$25*J23</f>
        <v>-7273.0523480043685</v>
      </c>
      <c r="M23" s="366">
        <f>L23-I42</f>
        <v>-7221.3195969911576</v>
      </c>
    </row>
    <row r="24" spans="1:13" ht="13.5" thickBot="1">
      <c r="A24" s="40">
        <v>13</v>
      </c>
      <c r="B24" s="70" t="s">
        <v>96</v>
      </c>
      <c r="C24" s="40">
        <v>148</v>
      </c>
      <c r="D24" s="70" t="s">
        <v>99</v>
      </c>
      <c r="E24" s="356">
        <f>'09.2014 Revenue Model'!I23+'09.2014 Revenue Model'!J23</f>
        <v>49497099</v>
      </c>
      <c r="F24" s="362">
        <f>'Forecast Bill Determinants'!D10</f>
        <v>47057044</v>
      </c>
      <c r="G24" s="100">
        <f>(F24-E24)/E24</f>
        <v>-4.9296929502878541E-2</v>
      </c>
      <c r="H24" s="360">
        <f>H32-H22</f>
        <v>1280991.52</v>
      </c>
      <c r="I24" s="129">
        <f>H24/H$25</f>
        <v>0.30621034406537578</v>
      </c>
      <c r="J24" s="130">
        <f t="shared" si="2"/>
        <v>-1.5095229744443012E-2</v>
      </c>
      <c r="K24" s="130"/>
      <c r="L24" s="366">
        <f>H$25*J24</f>
        <v>-63148.94865522522</v>
      </c>
      <c r="M24" s="366">
        <f>L24-I43</f>
        <v>-63148.94865522522</v>
      </c>
    </row>
    <row r="25" spans="1:13" ht="14.25" thickTop="1" thickBot="1">
      <c r="A25" s="40">
        <v>14</v>
      </c>
      <c r="B25" s="70" t="s">
        <v>106</v>
      </c>
      <c r="C25" s="40"/>
      <c r="D25" s="70"/>
      <c r="E25" s="356">
        <f>SUM(E23:E24)</f>
        <v>80077301</v>
      </c>
      <c r="F25" s="362">
        <f>SUM(F23:F24)</f>
        <v>77541444.609234795</v>
      </c>
      <c r="G25" s="100"/>
      <c r="H25" s="128">
        <f>SUM(H21:H24)</f>
        <v>4183371.1526299999</v>
      </c>
      <c r="I25" s="100">
        <f>SUM(I21:I24)</f>
        <v>1</v>
      </c>
      <c r="J25" s="131">
        <f>SUM(J21:J24)</f>
        <v>-1.436104808825828E-3</v>
      </c>
      <c r="K25" s="130"/>
      <c r="L25" s="367">
        <f>SUM(L21:L24)</f>
        <v>-6007.7594293951843</v>
      </c>
      <c r="M25" s="367">
        <f>SUM(M21:M24)</f>
        <v>-5956.0266783819679</v>
      </c>
    </row>
    <row r="26" spans="1:13" ht="13.5" thickTop="1">
      <c r="A26" s="40"/>
      <c r="E26" s="127"/>
      <c r="G26" s="132"/>
      <c r="H26" s="128"/>
      <c r="I26" s="132"/>
      <c r="J26" s="132"/>
      <c r="K26" s="132"/>
    </row>
    <row r="27" spans="1:13">
      <c r="A27" s="40">
        <v>15</v>
      </c>
      <c r="B27" t="s">
        <v>86</v>
      </c>
      <c r="C27" s="40">
        <v>101</v>
      </c>
      <c r="D27" t="s">
        <v>105</v>
      </c>
      <c r="E27" s="127"/>
      <c r="G27" s="132"/>
      <c r="H27" s="128">
        <f>'09.2014 Revenue Model'!D145</f>
        <v>123590236.48</v>
      </c>
      <c r="I27" s="132"/>
      <c r="J27" s="132"/>
      <c r="K27" s="132"/>
    </row>
    <row r="28" spans="1:13">
      <c r="A28" s="40">
        <v>16</v>
      </c>
      <c r="B28" t="s">
        <v>87</v>
      </c>
      <c r="C28" s="41" t="s">
        <v>91</v>
      </c>
      <c r="D28" t="s">
        <v>105</v>
      </c>
      <c r="G28" s="132"/>
      <c r="H28" s="128">
        <f>'09.2014 Revenue Model'!E145</f>
        <v>38270233.129999995</v>
      </c>
      <c r="I28" s="132"/>
      <c r="J28" s="132"/>
      <c r="K28" s="132"/>
    </row>
    <row r="29" spans="1:13">
      <c r="A29" s="40">
        <v>17</v>
      </c>
      <c r="B29" s="70" t="s">
        <v>90</v>
      </c>
      <c r="C29" s="41" t="s">
        <v>92</v>
      </c>
      <c r="D29" t="s">
        <v>105</v>
      </c>
      <c r="G29" s="132"/>
      <c r="H29" s="128">
        <f>'09.2014 Revenue Model'!F145</f>
        <v>4136341.65</v>
      </c>
      <c r="I29" s="132"/>
      <c r="J29" s="132"/>
      <c r="K29" s="132"/>
    </row>
    <row r="30" spans="1:13">
      <c r="A30" s="40">
        <v>18</v>
      </c>
      <c r="B30" s="70" t="s">
        <v>93</v>
      </c>
      <c r="C30" s="41" t="s">
        <v>94</v>
      </c>
      <c r="D30" t="s">
        <v>105</v>
      </c>
      <c r="G30" s="132"/>
      <c r="H30" s="128">
        <f>'09.2014 Revenue Model'!G145</f>
        <v>733819.29</v>
      </c>
      <c r="I30" s="132"/>
      <c r="J30" s="132"/>
      <c r="K30" s="132"/>
    </row>
    <row r="31" spans="1:13">
      <c r="A31" s="40">
        <v>19</v>
      </c>
      <c r="B31" s="70" t="s">
        <v>95</v>
      </c>
      <c r="C31" s="40">
        <v>146</v>
      </c>
      <c r="D31" t="s">
        <v>105</v>
      </c>
      <c r="G31" s="132"/>
      <c r="H31" s="128">
        <f>'09.2014 Revenue Model'!H145</f>
        <v>2576795.6326299999</v>
      </c>
      <c r="I31" s="132"/>
      <c r="J31" s="132"/>
      <c r="K31" s="132"/>
    </row>
    <row r="32" spans="1:13">
      <c r="A32" s="40">
        <v>20</v>
      </c>
      <c r="B32" s="70" t="s">
        <v>96</v>
      </c>
      <c r="C32" s="40">
        <v>148</v>
      </c>
      <c r="D32" t="s">
        <v>105</v>
      </c>
      <c r="G32" s="132"/>
      <c r="H32" s="360">
        <f>'09.2014 Revenue Model'!I145+'09.2014 Revenue Model'!J145</f>
        <v>1606575.52</v>
      </c>
      <c r="I32" s="132"/>
      <c r="J32" s="132"/>
      <c r="K32" s="132"/>
    </row>
    <row r="33" spans="1:11">
      <c r="A33" s="40">
        <v>21</v>
      </c>
      <c r="B33" s="70" t="s">
        <v>106</v>
      </c>
      <c r="G33" s="132"/>
      <c r="H33" s="128">
        <f>SUM(H27:H32)</f>
        <v>170914001.70263001</v>
      </c>
      <c r="I33" s="100"/>
      <c r="J33" s="132"/>
      <c r="K33" s="132"/>
    </row>
    <row r="34" spans="1:11">
      <c r="A34" s="85"/>
      <c r="B34" s="86"/>
      <c r="C34" s="287"/>
      <c r="D34" s="87"/>
      <c r="E34" s="133"/>
      <c r="F34" s="133"/>
      <c r="G34" s="133"/>
      <c r="H34" s="360"/>
      <c r="I34" s="129"/>
      <c r="J34" s="133"/>
      <c r="K34" s="159"/>
    </row>
    <row r="35" spans="1:11">
      <c r="B35" s="69" t="s">
        <v>123</v>
      </c>
      <c r="G35" s="134" t="s">
        <v>119</v>
      </c>
      <c r="H35" s="134" t="s">
        <v>121</v>
      </c>
      <c r="I35" s="132"/>
      <c r="J35" s="132"/>
      <c r="K35" s="132"/>
    </row>
    <row r="36" spans="1:11">
      <c r="E36" s="353" t="str">
        <f>E8</f>
        <v>Sept 2014</v>
      </c>
      <c r="F36" s="135">
        <f>F8</f>
        <v>2016</v>
      </c>
      <c r="G36" s="135" t="s">
        <v>120</v>
      </c>
      <c r="H36" s="135" t="s">
        <v>122</v>
      </c>
      <c r="I36" s="132"/>
      <c r="J36" s="132"/>
      <c r="K36" s="132"/>
    </row>
    <row r="37" spans="1:11">
      <c r="A37" s="40">
        <v>22</v>
      </c>
      <c r="B37" t="s">
        <v>86</v>
      </c>
      <c r="C37" s="40">
        <v>101</v>
      </c>
      <c r="D37" s="70" t="s">
        <v>99</v>
      </c>
      <c r="E37" s="127">
        <f t="shared" ref="E37:F40" si="4">E15</f>
        <v>120721607</v>
      </c>
      <c r="F37" s="127">
        <f t="shared" si="4"/>
        <v>119462330.63324322</v>
      </c>
      <c r="G37" s="127">
        <f>F37-E37</f>
        <v>-1259276.3667567819</v>
      </c>
      <c r="H37" s="361">
        <v>0.50327</v>
      </c>
      <c r="I37" s="128">
        <f>G37*H37</f>
        <v>-633756.0170976856</v>
      </c>
      <c r="J37" s="132"/>
      <c r="K37" s="132"/>
    </row>
    <row r="38" spans="1:11">
      <c r="A38" s="40">
        <v>23</v>
      </c>
      <c r="B38" t="s">
        <v>87</v>
      </c>
      <c r="C38" s="41" t="s">
        <v>91</v>
      </c>
      <c r="D38" s="70" t="s">
        <v>99</v>
      </c>
      <c r="E38" s="127">
        <f t="shared" si="4"/>
        <v>47537282</v>
      </c>
      <c r="F38" s="127">
        <f t="shared" si="4"/>
        <v>47624382.497314692</v>
      </c>
      <c r="G38" s="127">
        <f>F38-E38</f>
        <v>87100.497314691544</v>
      </c>
      <c r="H38" s="361">
        <v>0.50104000000000004</v>
      </c>
      <c r="I38" s="128">
        <f>G38*H38</f>
        <v>43640.833174553052</v>
      </c>
      <c r="J38" s="132"/>
      <c r="K38" s="132"/>
    </row>
    <row r="39" spans="1:11">
      <c r="A39" s="40">
        <v>24</v>
      </c>
      <c r="B39" s="70" t="s">
        <v>90</v>
      </c>
      <c r="C39" s="41" t="s">
        <v>92</v>
      </c>
      <c r="D39" s="70" t="s">
        <v>99</v>
      </c>
      <c r="E39" s="127">
        <f t="shared" si="4"/>
        <v>5735037</v>
      </c>
      <c r="F39" s="127">
        <f t="shared" si="4"/>
        <v>5939603.5239413138</v>
      </c>
      <c r="G39" s="127">
        <f>F39-E39</f>
        <v>204566.52394131385</v>
      </c>
      <c r="H39" s="361">
        <v>0.48280000000000001</v>
      </c>
      <c r="I39" s="128">
        <f>G39*H39</f>
        <v>98764.717758866333</v>
      </c>
      <c r="J39" s="132"/>
      <c r="K39" s="132"/>
    </row>
    <row r="40" spans="1:11">
      <c r="A40" s="40">
        <v>25</v>
      </c>
      <c r="B40" s="70" t="s">
        <v>93</v>
      </c>
      <c r="C40" s="41" t="s">
        <v>94</v>
      </c>
      <c r="D40" s="70" t="s">
        <v>99</v>
      </c>
      <c r="E40" s="136">
        <f t="shared" si="4"/>
        <v>1115704</v>
      </c>
      <c r="F40" s="136">
        <f t="shared" si="4"/>
        <v>1252782.6386017113</v>
      </c>
      <c r="G40" s="136">
        <f>F40-E40</f>
        <v>137078.63860171125</v>
      </c>
      <c r="H40" s="361">
        <v>0.45493</v>
      </c>
      <c r="I40" s="128">
        <f>G40*H40</f>
        <v>62361.185059076503</v>
      </c>
      <c r="J40" s="132"/>
      <c r="K40" s="132"/>
    </row>
    <row r="41" spans="1:11">
      <c r="A41" s="40">
        <v>26</v>
      </c>
      <c r="B41" s="70" t="s">
        <v>106</v>
      </c>
      <c r="E41" s="127">
        <f>SUM(E37:E40)</f>
        <v>175109630</v>
      </c>
      <c r="F41" s="127">
        <f>SUM(F37:F40)</f>
        <v>174279099.29310092</v>
      </c>
      <c r="G41" s="127">
        <f>SUM(G37:G40)</f>
        <v>-830530.70689906529</v>
      </c>
      <c r="H41" s="361"/>
      <c r="I41" s="132"/>
      <c r="J41" s="132"/>
      <c r="K41" s="132"/>
    </row>
    <row r="42" spans="1:11">
      <c r="A42" s="40">
        <v>27</v>
      </c>
      <c r="B42" s="70" t="s">
        <v>168</v>
      </c>
      <c r="C42" s="41">
        <v>146</v>
      </c>
      <c r="D42" s="70" t="s">
        <v>99</v>
      </c>
      <c r="E42" s="127">
        <f>E23</f>
        <v>30580202</v>
      </c>
      <c r="F42" s="127">
        <f>F23</f>
        <v>30484400.609234795</v>
      </c>
      <c r="G42" s="127">
        <f>F42-E42</f>
        <v>-95801.390765205026</v>
      </c>
      <c r="H42" s="361">
        <v>5.4000000000000001E-4</v>
      </c>
      <c r="I42" s="137">
        <f>G42*H42</f>
        <v>-51.732751013210716</v>
      </c>
      <c r="J42" s="132"/>
      <c r="K42" s="132"/>
    </row>
    <row r="43" spans="1:11" ht="13.5" thickBot="1">
      <c r="A43" s="40">
        <v>28</v>
      </c>
      <c r="B43" s="70" t="s">
        <v>169</v>
      </c>
      <c r="C43" s="41">
        <v>148</v>
      </c>
      <c r="D43" s="70" t="s">
        <v>99</v>
      </c>
      <c r="E43" s="127">
        <f>E24</f>
        <v>49497099</v>
      </c>
      <c r="F43" s="127">
        <f>F24</f>
        <v>47057044</v>
      </c>
      <c r="G43" s="127">
        <f>F43-E43</f>
        <v>-2440055</v>
      </c>
      <c r="H43" s="361">
        <v>0</v>
      </c>
      <c r="I43" s="137"/>
      <c r="J43" s="132"/>
      <c r="K43" s="132"/>
    </row>
    <row r="44" spans="1:11" ht="14.25" thickTop="1" thickBot="1">
      <c r="A44" s="40">
        <v>29</v>
      </c>
      <c r="B44" s="70" t="s">
        <v>106</v>
      </c>
      <c r="E44" s="357">
        <f>SUM(E42:E43)</f>
        <v>80077301</v>
      </c>
      <c r="F44" s="357">
        <f>SUM(F42:F43)</f>
        <v>77541444.609234795</v>
      </c>
      <c r="G44" s="120">
        <f>SUM(G42:G43)</f>
        <v>-2535856.390765205</v>
      </c>
      <c r="I44" s="138">
        <f>SUM(I37:I42)</f>
        <v>-429041.01385620295</v>
      </c>
      <c r="J44" s="132"/>
      <c r="K44" s="132"/>
    </row>
    <row r="45" spans="1:11" ht="13.5" thickTop="1">
      <c r="G45" s="132"/>
      <c r="I45" s="132"/>
      <c r="J45" s="132"/>
      <c r="K45" s="132"/>
    </row>
    <row r="46" spans="1:11">
      <c r="E46" s="127">
        <f>E41+E44</f>
        <v>255186931</v>
      </c>
      <c r="F46" s="127">
        <f>F41+F44</f>
        <v>251820543.9023357</v>
      </c>
      <c r="G46" s="127">
        <f>G41+G44</f>
        <v>-3366387.0976642706</v>
      </c>
    </row>
    <row r="193" spans="7:7">
      <c r="G193" s="132"/>
    </row>
    <row r="194" spans="7:7">
      <c r="G194" s="132"/>
    </row>
    <row r="195" spans="7:7">
      <c r="G195" s="132"/>
    </row>
    <row r="196" spans="7:7">
      <c r="G196" s="132"/>
    </row>
    <row r="197" spans="7:7">
      <c r="G197" s="132"/>
    </row>
    <row r="198" spans="7:7">
      <c r="G198" s="132"/>
    </row>
    <row r="199" spans="7:7">
      <c r="G199" s="132"/>
    </row>
    <row r="200" spans="7:7">
      <c r="G200" s="132"/>
    </row>
    <row r="201" spans="7:7">
      <c r="G201" s="132"/>
    </row>
    <row r="202" spans="7:7">
      <c r="G202" s="132"/>
    </row>
    <row r="203" spans="7:7">
      <c r="G203" s="132"/>
    </row>
    <row r="204" spans="7:7">
      <c r="G204" s="132"/>
    </row>
    <row r="205" spans="7:7">
      <c r="G205" s="132"/>
    </row>
    <row r="206" spans="7:7">
      <c r="G206" s="132"/>
    </row>
    <row r="207" spans="7:7">
      <c r="G207" s="132"/>
    </row>
  </sheetData>
  <mergeCells count="3">
    <mergeCell ref="A4:J4"/>
    <mergeCell ref="A3:J3"/>
    <mergeCell ref="M9:M10"/>
  </mergeCells>
  <pageMargins left="0.65" right="0.42" top="0.62" bottom="0.28999999999999998" header="0.68" footer="0.43"/>
  <pageSetup scale="90" orientation="landscape" r:id="rId1"/>
  <headerFooter scaleWithDoc="0">
    <oddFooter>&amp;LStaff_DR_130-Attachment C&amp;RPage &amp;P of &amp;N</oddFooter>
  </headerFooter>
</worksheet>
</file>

<file path=xl/worksheets/sheet6.xml><?xml version="1.0" encoding="utf-8"?>
<worksheet xmlns="http://schemas.openxmlformats.org/spreadsheetml/2006/main" xmlns:r="http://schemas.openxmlformats.org/officeDocument/2006/relationships">
  <sheetPr>
    <tabColor theme="8" tint="0.39997558519241921"/>
  </sheetPr>
  <dimension ref="A1:S277"/>
  <sheetViews>
    <sheetView view="pageBreakPreview" zoomScale="115" zoomScaleNormal="100" zoomScaleSheetLayoutView="115" workbookViewId="0">
      <selection activeCell="J230" sqref="J230"/>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19">
      <c r="A1" s="291"/>
      <c r="B1" s="292"/>
      <c r="C1" s="292"/>
      <c r="D1" s="292"/>
      <c r="E1" s="292"/>
      <c r="F1" s="292"/>
      <c r="G1" s="292"/>
      <c r="H1" s="292"/>
      <c r="I1" s="292"/>
      <c r="J1" s="292"/>
      <c r="K1" s="292"/>
      <c r="L1" s="292"/>
      <c r="M1" s="292"/>
      <c r="N1" s="292"/>
      <c r="O1" s="292"/>
      <c r="P1" s="292"/>
      <c r="Q1" s="292"/>
      <c r="R1" s="292"/>
      <c r="S1" s="292"/>
    </row>
    <row r="2" spans="1:19">
      <c r="A2" s="291"/>
      <c r="B2" s="292"/>
      <c r="C2" s="292"/>
      <c r="D2" s="292"/>
      <c r="E2" s="292"/>
      <c r="F2" s="292"/>
      <c r="G2" s="292"/>
      <c r="H2" s="292"/>
      <c r="I2" s="292"/>
      <c r="J2" s="293" t="s">
        <v>310</v>
      </c>
      <c r="K2" s="292"/>
      <c r="L2" s="292"/>
      <c r="M2" s="292"/>
      <c r="N2" s="292"/>
      <c r="O2" s="292"/>
      <c r="P2" s="292"/>
      <c r="Q2" s="292"/>
      <c r="R2" s="292"/>
      <c r="S2" s="292"/>
    </row>
    <row r="3" spans="1:19">
      <c r="A3" s="291"/>
      <c r="B3" s="292"/>
      <c r="C3" s="292"/>
      <c r="D3" s="292"/>
      <c r="E3" s="292"/>
      <c r="F3" s="292"/>
      <c r="G3" s="292"/>
      <c r="H3" s="292"/>
      <c r="I3" s="292"/>
      <c r="J3" s="259" t="s">
        <v>311</v>
      </c>
      <c r="K3" s="292"/>
      <c r="L3" s="292"/>
      <c r="M3" s="292"/>
      <c r="N3" s="292"/>
      <c r="O3" s="292"/>
      <c r="P3" s="292"/>
      <c r="Q3" s="292"/>
      <c r="R3" s="292"/>
      <c r="S3" s="292"/>
    </row>
    <row r="4" spans="1:19">
      <c r="A4" s="294" t="s">
        <v>312</v>
      </c>
      <c r="B4" s="293"/>
      <c r="C4" s="293" t="s">
        <v>313</v>
      </c>
      <c r="D4" s="293" t="s">
        <v>314</v>
      </c>
      <c r="E4" s="293" t="s">
        <v>315</v>
      </c>
      <c r="F4" s="293" t="s">
        <v>316</v>
      </c>
      <c r="G4" s="293" t="s">
        <v>317</v>
      </c>
      <c r="H4" s="293" t="s">
        <v>310</v>
      </c>
      <c r="I4" s="293" t="s">
        <v>310</v>
      </c>
      <c r="J4" s="293" t="s">
        <v>318</v>
      </c>
      <c r="K4" s="293"/>
      <c r="L4" s="293"/>
      <c r="M4" s="293"/>
      <c r="N4" s="293"/>
      <c r="O4" s="293"/>
      <c r="P4" s="293"/>
      <c r="Q4" s="293"/>
      <c r="R4" s="293"/>
      <c r="S4" s="293"/>
    </row>
    <row r="5" spans="1:19">
      <c r="A5" s="294" t="s">
        <v>319</v>
      </c>
      <c r="B5" s="260"/>
      <c r="C5" s="260" t="s">
        <v>320</v>
      </c>
      <c r="D5" s="260" t="s">
        <v>321</v>
      </c>
      <c r="E5" s="260" t="s">
        <v>322</v>
      </c>
      <c r="F5" s="260" t="s">
        <v>323</v>
      </c>
      <c r="G5" s="260" t="s">
        <v>324</v>
      </c>
      <c r="H5" s="260" t="s">
        <v>325</v>
      </c>
      <c r="I5" s="260" t="s">
        <v>326</v>
      </c>
      <c r="J5" s="260" t="s">
        <v>327</v>
      </c>
      <c r="K5" s="293"/>
      <c r="L5" s="295"/>
      <c r="M5" s="295"/>
      <c r="N5" s="295"/>
      <c r="O5" s="295"/>
      <c r="P5" s="295"/>
      <c r="Q5" s="296" t="s">
        <v>420</v>
      </c>
      <c r="R5" s="295"/>
      <c r="S5" s="295"/>
    </row>
    <row r="6" spans="1:19">
      <c r="A6" s="291"/>
      <c r="B6" s="261" t="s">
        <v>328</v>
      </c>
      <c r="C6" s="292"/>
      <c r="D6" s="292"/>
      <c r="E6" s="292"/>
      <c r="F6" s="292"/>
      <c r="G6" s="292"/>
      <c r="H6" s="292"/>
      <c r="I6" s="292"/>
      <c r="J6" s="292"/>
      <c r="K6" s="292"/>
      <c r="L6" s="295"/>
      <c r="M6" s="297" t="s">
        <v>421</v>
      </c>
      <c r="N6" s="295"/>
      <c r="O6" s="295"/>
      <c r="P6" s="298"/>
      <c r="Q6" s="502" t="str">
        <f>"AVISTA UTILITIES
WASHINGTON GAS
PRO FORMA REVENUE UNDER PRESENT AND PROPOSED "&amp;O9&amp;" RATES
12 MONTHS ENDED SEPTEMBER 30, 2014"</f>
        <v>AVISTA UTILITIES
WASHINGTON GAS
PRO FORMA REVENUE UNDER PRESENT AND PROPOSED  RATES
12 MONTHS ENDED SEPTEMBER 30, 2014</v>
      </c>
      <c r="R6" s="502"/>
      <c r="S6" s="502"/>
    </row>
    <row r="7" spans="1:19">
      <c r="A7" s="291"/>
      <c r="B7" s="262" t="s">
        <v>329</v>
      </c>
      <c r="C7" s="292"/>
      <c r="D7" s="292"/>
      <c r="E7" s="292"/>
      <c r="F7" s="292"/>
      <c r="G7" s="292"/>
      <c r="H7" s="292"/>
      <c r="I7" s="292"/>
      <c r="J7" s="292"/>
      <c r="K7" s="292"/>
      <c r="L7" s="299" t="s">
        <v>422</v>
      </c>
      <c r="M7" s="298" t="s">
        <v>423</v>
      </c>
      <c r="N7" s="295"/>
      <c r="O7" s="295"/>
      <c r="P7" s="298"/>
      <c r="Q7" s="502"/>
      <c r="R7" s="502"/>
      <c r="S7" s="502"/>
    </row>
    <row r="8" spans="1:19">
      <c r="A8" s="291" t="s">
        <v>424</v>
      </c>
      <c r="B8" s="292" t="s">
        <v>330</v>
      </c>
      <c r="C8" s="300"/>
      <c r="D8" s="300">
        <v>73705663.25597468</v>
      </c>
      <c r="E8" s="300">
        <v>5462682.2359244339</v>
      </c>
      <c r="F8" s="300">
        <v>166500</v>
      </c>
      <c r="G8" s="300">
        <v>236967</v>
      </c>
      <c r="H8" s="300">
        <v>7902777</v>
      </c>
      <c r="I8" s="300">
        <v>21174700</v>
      </c>
      <c r="J8" s="300">
        <v>10420461</v>
      </c>
      <c r="K8" s="292"/>
      <c r="L8" s="298"/>
      <c r="M8" s="295" t="s">
        <v>425</v>
      </c>
      <c r="N8" s="298"/>
      <c r="O8" s="301">
        <v>1</v>
      </c>
      <c r="P8" s="298"/>
      <c r="Q8" s="502"/>
      <c r="R8" s="502"/>
      <c r="S8" s="502"/>
    </row>
    <row r="9" spans="1:19">
      <c r="A9" s="291" t="s">
        <v>424</v>
      </c>
      <c r="B9" s="292" t="s">
        <v>331</v>
      </c>
      <c r="C9" s="300"/>
      <c r="D9" s="300">
        <v>49375177.74402532</v>
      </c>
      <c r="E9" s="300">
        <v>14596426.301056234</v>
      </c>
      <c r="F9" s="300">
        <v>166500</v>
      </c>
      <c r="G9" s="300">
        <v>312302</v>
      </c>
      <c r="H9" s="300">
        <v>7418409</v>
      </c>
      <c r="I9" s="300">
        <v>6811343</v>
      </c>
      <c r="J9" s="300"/>
      <c r="K9" s="292"/>
      <c r="L9" s="299" t="s">
        <v>426</v>
      </c>
      <c r="M9" s="298" t="s">
        <v>427</v>
      </c>
      <c r="N9" s="298"/>
      <c r="O9" s="298"/>
      <c r="P9" s="298"/>
      <c r="Q9" s="502"/>
      <c r="R9" s="502"/>
      <c r="S9" s="502"/>
    </row>
    <row r="10" spans="1:19">
      <c r="A10" s="291" t="s">
        <v>424</v>
      </c>
      <c r="B10" s="292" t="s">
        <v>332</v>
      </c>
      <c r="C10" s="300"/>
      <c r="D10" s="300"/>
      <c r="E10" s="300">
        <v>28197173.46301933</v>
      </c>
      <c r="F10" s="300">
        <v>2699784</v>
      </c>
      <c r="G10" s="300">
        <v>362324</v>
      </c>
      <c r="H10" s="300">
        <v>11869734</v>
      </c>
      <c r="I10" s="300">
        <v>1912058</v>
      </c>
      <c r="J10" s="300"/>
      <c r="K10" s="292"/>
      <c r="L10" s="298"/>
      <c r="M10" s="298"/>
      <c r="N10" s="298"/>
      <c r="O10" s="298"/>
      <c r="P10" s="298"/>
      <c r="Q10" s="502"/>
      <c r="R10" s="502"/>
      <c r="S10" s="502"/>
    </row>
    <row r="11" spans="1:19">
      <c r="A11" s="291" t="s">
        <v>424</v>
      </c>
      <c r="B11" s="292" t="s">
        <v>333</v>
      </c>
      <c r="C11" s="300"/>
      <c r="D11" s="300"/>
      <c r="E11" s="300"/>
      <c r="F11" s="300">
        <v>1805732</v>
      </c>
      <c r="G11" s="300">
        <v>204111</v>
      </c>
      <c r="H11" s="300">
        <v>2879938</v>
      </c>
      <c r="I11" s="300">
        <v>6085002</v>
      </c>
      <c r="J11" s="300"/>
      <c r="K11" s="292"/>
      <c r="L11" s="298"/>
      <c r="M11" s="298"/>
      <c r="N11" s="298"/>
      <c r="O11" s="298"/>
      <c r="P11" s="298"/>
      <c r="Q11" s="502"/>
      <c r="R11" s="502"/>
      <c r="S11" s="502"/>
    </row>
    <row r="12" spans="1:19">
      <c r="A12" s="291" t="s">
        <v>424</v>
      </c>
      <c r="B12" s="292" t="s">
        <v>334</v>
      </c>
      <c r="C12" s="263"/>
      <c r="D12" s="263"/>
      <c r="E12" s="263"/>
      <c r="F12" s="263">
        <v>993694</v>
      </c>
      <c r="G12" s="263"/>
      <c r="H12" s="263">
        <v>509344</v>
      </c>
      <c r="I12" s="263">
        <v>3093535</v>
      </c>
      <c r="J12" s="263"/>
      <c r="K12" s="292"/>
      <c r="L12" s="298"/>
      <c r="M12" s="298"/>
      <c r="N12" s="298"/>
      <c r="O12" s="298"/>
      <c r="P12" s="298"/>
      <c r="Q12" s="298"/>
      <c r="R12" s="298"/>
      <c r="S12" s="298"/>
    </row>
    <row r="13" spans="1:19">
      <c r="A13" s="291"/>
      <c r="B13" s="292"/>
      <c r="C13" s="264"/>
      <c r="D13" s="264"/>
      <c r="E13" s="264"/>
      <c r="F13" s="264"/>
      <c r="G13" s="264"/>
      <c r="H13" s="264"/>
      <c r="I13" s="264"/>
      <c r="J13" s="264"/>
      <c r="K13" s="292"/>
      <c r="L13" s="292"/>
      <c r="M13" s="292"/>
      <c r="N13" s="292"/>
      <c r="O13" s="292"/>
      <c r="P13" s="292"/>
      <c r="Q13" s="292"/>
      <c r="R13" s="292"/>
      <c r="S13" s="292"/>
    </row>
    <row r="14" spans="1:19">
      <c r="A14" s="291"/>
      <c r="B14" s="292" t="s">
        <v>335</v>
      </c>
      <c r="C14" s="300">
        <f>SUM(D14:J14)</f>
        <v>258362338</v>
      </c>
      <c r="D14" s="300">
        <f t="shared" ref="D14:J14" si="0">SUM(D8:D12)</f>
        <v>123080841</v>
      </c>
      <c r="E14" s="300">
        <f t="shared" si="0"/>
        <v>48256282</v>
      </c>
      <c r="F14" s="300">
        <f t="shared" si="0"/>
        <v>5832210</v>
      </c>
      <c r="G14" s="300">
        <f t="shared" si="0"/>
        <v>1115704</v>
      </c>
      <c r="H14" s="300">
        <f>SUM(H8:H12)</f>
        <v>30580202</v>
      </c>
      <c r="I14" s="300">
        <f>SUM(I8:I12)</f>
        <v>39076638</v>
      </c>
      <c r="J14" s="300">
        <f t="shared" si="0"/>
        <v>10420461</v>
      </c>
      <c r="K14" s="292"/>
      <c r="L14" s="292"/>
      <c r="M14" s="292"/>
      <c r="N14" s="292"/>
      <c r="O14" s="292"/>
      <c r="P14" s="292"/>
      <c r="Q14" s="292"/>
      <c r="R14" s="292"/>
      <c r="S14" s="292"/>
    </row>
    <row r="15" spans="1:19">
      <c r="A15" s="291"/>
      <c r="B15" s="292" t="s">
        <v>336</v>
      </c>
      <c r="C15" s="265"/>
      <c r="D15" s="265"/>
      <c r="E15" s="265"/>
      <c r="F15" s="265"/>
      <c r="G15" s="265"/>
      <c r="H15" s="265"/>
      <c r="I15" s="265"/>
      <c r="J15" s="265"/>
      <c r="K15" s="292"/>
      <c r="L15" s="292"/>
      <c r="M15" s="292"/>
      <c r="N15" s="292"/>
      <c r="O15" s="292"/>
      <c r="P15" s="292"/>
      <c r="Q15" s="292"/>
      <c r="R15" s="292"/>
      <c r="S15" s="292"/>
    </row>
    <row r="16" spans="1:19">
      <c r="A16" s="291"/>
      <c r="B16" s="292"/>
      <c r="C16" s="300"/>
      <c r="D16" s="300"/>
      <c r="E16" s="300"/>
      <c r="F16" s="300"/>
      <c r="G16" s="300"/>
      <c r="H16" s="300"/>
      <c r="I16" s="300"/>
      <c r="J16" s="300"/>
      <c r="K16" s="292"/>
      <c r="L16" s="292"/>
      <c r="M16" s="292"/>
      <c r="N16" s="292"/>
      <c r="O16" s="292"/>
      <c r="P16" s="292"/>
      <c r="Q16" s="292"/>
      <c r="R16" s="292"/>
      <c r="S16" s="292"/>
    </row>
    <row r="17" spans="1:19">
      <c r="A17" s="291"/>
      <c r="B17" s="292" t="s">
        <v>335</v>
      </c>
      <c r="C17" s="300">
        <f>SUM(D17:J17)</f>
        <v>258362338</v>
      </c>
      <c r="D17" s="300">
        <f t="shared" ref="D17:J17" si="1">D14+D15</f>
        <v>123080841</v>
      </c>
      <c r="E17" s="300">
        <f t="shared" si="1"/>
        <v>48256282</v>
      </c>
      <c r="F17" s="300">
        <f t="shared" si="1"/>
        <v>5832210</v>
      </c>
      <c r="G17" s="300">
        <f t="shared" si="1"/>
        <v>1115704</v>
      </c>
      <c r="H17" s="300">
        <f>H14+H15</f>
        <v>30580202</v>
      </c>
      <c r="I17" s="300">
        <f t="shared" si="1"/>
        <v>39076638</v>
      </c>
      <c r="J17" s="300">
        <f t="shared" si="1"/>
        <v>10420461</v>
      </c>
      <c r="K17" s="292"/>
      <c r="L17" s="292"/>
      <c r="M17" s="292"/>
      <c r="N17" s="292"/>
      <c r="O17" s="292"/>
      <c r="P17" s="292"/>
      <c r="Q17" s="292"/>
      <c r="R17" s="292"/>
      <c r="S17" s="292"/>
    </row>
    <row r="18" spans="1:19">
      <c r="A18" s="291" t="s">
        <v>424</v>
      </c>
      <c r="B18" s="292" t="s">
        <v>337</v>
      </c>
      <c r="C18" s="265">
        <f>SUM(D18:J18)</f>
        <v>0</v>
      </c>
      <c r="D18" s="265">
        <v>0</v>
      </c>
      <c r="E18" s="265">
        <v>0</v>
      </c>
      <c r="F18" s="265"/>
      <c r="G18" s="265"/>
      <c r="H18" s="265"/>
      <c r="I18" s="265"/>
      <c r="J18" s="265"/>
      <c r="K18" s="292"/>
      <c r="L18" s="292"/>
      <c r="M18" s="292"/>
      <c r="N18" s="292"/>
      <c r="O18" s="292"/>
      <c r="P18" s="292"/>
      <c r="Q18" s="292"/>
      <c r="R18" s="292"/>
      <c r="S18" s="292"/>
    </row>
    <row r="19" spans="1:19">
      <c r="A19" s="291"/>
      <c r="B19" s="292"/>
      <c r="C19" s="300"/>
      <c r="D19" s="300"/>
      <c r="E19" s="300"/>
      <c r="F19" s="300"/>
      <c r="G19" s="300"/>
      <c r="H19" s="300"/>
      <c r="I19" s="300"/>
      <c r="J19" s="300"/>
      <c r="K19" s="292"/>
      <c r="L19" s="292"/>
      <c r="M19" s="292"/>
      <c r="N19" s="292"/>
      <c r="O19" s="292"/>
      <c r="P19" s="292"/>
      <c r="Q19" s="292"/>
      <c r="R19" s="292"/>
      <c r="S19" s="292"/>
    </row>
    <row r="20" spans="1:19">
      <c r="A20" s="291"/>
      <c r="B20" s="292" t="s">
        <v>338</v>
      </c>
      <c r="C20" s="300">
        <f>SUM(D20:J20)</f>
        <v>258362338</v>
      </c>
      <c r="D20" s="300">
        <f t="shared" ref="D20:J20" si="2">D17+D18</f>
        <v>123080841</v>
      </c>
      <c r="E20" s="300">
        <f t="shared" si="2"/>
        <v>48256282</v>
      </c>
      <c r="F20" s="300">
        <f t="shared" si="2"/>
        <v>5832210</v>
      </c>
      <c r="G20" s="300">
        <f t="shared" si="2"/>
        <v>1115704</v>
      </c>
      <c r="H20" s="300">
        <f>H17+I18</f>
        <v>30580202</v>
      </c>
      <c r="I20" s="300">
        <f>I17+I18</f>
        <v>39076638</v>
      </c>
      <c r="J20" s="300">
        <f t="shared" si="2"/>
        <v>10420461</v>
      </c>
      <c r="K20" s="292"/>
      <c r="L20" s="292"/>
      <c r="M20" s="292"/>
      <c r="N20" s="292"/>
      <c r="O20" s="292"/>
      <c r="P20" s="292"/>
      <c r="Q20" s="292"/>
      <c r="R20" s="292"/>
      <c r="S20" s="292"/>
    </row>
    <row r="21" spans="1:19">
      <c r="A21" s="291" t="s">
        <v>339</v>
      </c>
      <c r="B21" s="292" t="s">
        <v>340</v>
      </c>
      <c r="C21" s="265">
        <f>SUM(D21:J21)</f>
        <v>-3175407</v>
      </c>
      <c r="D21" s="265">
        <f>D134+D137</f>
        <v>-2359234</v>
      </c>
      <c r="E21" s="265">
        <f t="shared" ref="E21:J21" si="3">E134+E137</f>
        <v>-719000</v>
      </c>
      <c r="F21" s="265">
        <f t="shared" si="3"/>
        <v>-97173</v>
      </c>
      <c r="G21" s="265">
        <f t="shared" si="3"/>
        <v>0</v>
      </c>
      <c r="H21" s="265">
        <f>H134+H137</f>
        <v>0</v>
      </c>
      <c r="I21" s="265">
        <f t="shared" si="3"/>
        <v>0</v>
      </c>
      <c r="J21" s="265">
        <f t="shared" si="3"/>
        <v>0</v>
      </c>
      <c r="K21" s="292"/>
      <c r="L21" s="292"/>
      <c r="M21" s="292"/>
      <c r="N21" s="292"/>
      <c r="O21" s="292"/>
      <c r="P21" s="292"/>
      <c r="Q21" s="292"/>
      <c r="R21" s="292"/>
      <c r="S21" s="292"/>
    </row>
    <row r="22" spans="1:19">
      <c r="A22" s="291"/>
      <c r="B22" s="292"/>
      <c r="C22" s="300"/>
      <c r="D22" s="300"/>
      <c r="E22" s="300"/>
      <c r="F22" s="300"/>
      <c r="G22" s="300"/>
      <c r="H22" s="300"/>
      <c r="I22" s="300"/>
      <c r="J22" s="300"/>
      <c r="K22" s="292"/>
      <c r="L22" s="292"/>
      <c r="M22" s="292"/>
      <c r="N22" s="292"/>
      <c r="O22" s="292"/>
      <c r="P22" s="292"/>
      <c r="Q22" s="292"/>
      <c r="R22" s="292"/>
      <c r="S22" s="292"/>
    </row>
    <row r="23" spans="1:19">
      <c r="A23" s="291"/>
      <c r="B23" s="292" t="s">
        <v>341</v>
      </c>
      <c r="C23" s="300">
        <f>IF(ROUND(SUM(C20:C21),3)&lt;&gt;ROUND(SUM(D23:J23),3),#VALUE!,SUM(D23:J23))</f>
        <v>255186931</v>
      </c>
      <c r="D23" s="300">
        <f t="shared" ref="D23:J23" si="4">SUM(D20:D21)</f>
        <v>120721607</v>
      </c>
      <c r="E23" s="300">
        <f t="shared" si="4"/>
        <v>47537282</v>
      </c>
      <c r="F23" s="300">
        <f t="shared" si="4"/>
        <v>5735037</v>
      </c>
      <c r="G23" s="300">
        <f t="shared" si="4"/>
        <v>1115704</v>
      </c>
      <c r="H23" s="300">
        <f>SUM(H20:H21)</f>
        <v>30580202</v>
      </c>
      <c r="I23" s="300">
        <f t="shared" si="4"/>
        <v>39076638</v>
      </c>
      <c r="J23" s="300">
        <f t="shared" si="4"/>
        <v>10420461</v>
      </c>
      <c r="K23" s="292"/>
      <c r="L23" s="292"/>
      <c r="M23" s="292"/>
      <c r="N23" s="292"/>
      <c r="O23" s="292"/>
      <c r="P23" s="292"/>
      <c r="Q23" s="292"/>
      <c r="R23" s="292"/>
      <c r="S23" s="292"/>
    </row>
    <row r="24" spans="1:19">
      <c r="A24" s="291"/>
      <c r="B24" s="292"/>
      <c r="C24" s="300"/>
      <c r="D24" s="300"/>
      <c r="E24" s="300"/>
      <c r="F24" s="300"/>
      <c r="G24" s="300"/>
      <c r="H24" s="300"/>
      <c r="I24" s="300"/>
      <c r="J24" s="300"/>
      <c r="K24" s="292"/>
      <c r="L24" s="292"/>
      <c r="M24" s="292"/>
      <c r="N24" s="292"/>
      <c r="O24" s="292"/>
      <c r="P24" s="292"/>
      <c r="Q24" s="292"/>
      <c r="R24" s="292"/>
      <c r="S24" s="292"/>
    </row>
    <row r="25" spans="1:19">
      <c r="A25" s="291" t="s">
        <v>424</v>
      </c>
      <c r="B25" s="292" t="s">
        <v>342</v>
      </c>
      <c r="C25" s="300"/>
      <c r="D25" s="300">
        <v>1787943</v>
      </c>
      <c r="E25" s="300"/>
      <c r="F25" s="300"/>
      <c r="G25" s="300">
        <v>24</v>
      </c>
      <c r="H25" s="300">
        <v>456</v>
      </c>
      <c r="I25" s="300">
        <v>48</v>
      </c>
      <c r="J25" s="300">
        <v>12</v>
      </c>
      <c r="K25" s="292"/>
      <c r="L25" s="292"/>
      <c r="M25" s="292"/>
      <c r="N25" s="292"/>
      <c r="O25" s="292"/>
      <c r="P25" s="292"/>
      <c r="Q25" s="292"/>
      <c r="R25" s="292"/>
      <c r="S25" s="292"/>
    </row>
    <row r="26" spans="1:19">
      <c r="A26" s="291" t="s">
        <v>424</v>
      </c>
      <c r="B26" s="292" t="s">
        <v>343</v>
      </c>
      <c r="C26" s="300"/>
      <c r="D26" s="300"/>
      <c r="E26" s="300">
        <v>30696.999999999956</v>
      </c>
      <c r="F26" s="300">
        <v>336</v>
      </c>
      <c r="G26" s="300"/>
      <c r="H26" s="300"/>
      <c r="I26" s="300"/>
      <c r="J26" s="300"/>
      <c r="K26" s="292"/>
      <c r="L26" s="292"/>
      <c r="M26" s="292"/>
      <c r="N26" s="292"/>
      <c r="O26" s="292"/>
      <c r="P26" s="292"/>
      <c r="Q26" s="292"/>
      <c r="R26" s="292"/>
      <c r="S26" s="292"/>
    </row>
    <row r="27" spans="1:19">
      <c r="A27" s="291"/>
      <c r="B27" s="292"/>
      <c r="C27" s="300"/>
      <c r="D27" s="300"/>
      <c r="E27" s="300"/>
      <c r="F27" s="300"/>
      <c r="G27" s="300"/>
      <c r="H27" s="300"/>
      <c r="I27" s="300"/>
      <c r="J27" s="300"/>
      <c r="K27" s="292"/>
      <c r="L27" s="292"/>
      <c r="M27" s="292"/>
      <c r="N27" s="292"/>
      <c r="O27" s="292"/>
      <c r="P27" s="292"/>
      <c r="Q27" s="292"/>
      <c r="R27" s="292"/>
      <c r="S27" s="292"/>
    </row>
    <row r="28" spans="1:19">
      <c r="A28" s="291" t="s">
        <v>313</v>
      </c>
      <c r="B28" s="293"/>
      <c r="C28" s="302"/>
      <c r="D28" s="302"/>
      <c r="E28" s="302"/>
      <c r="F28" s="302"/>
      <c r="G28" s="302"/>
      <c r="H28" s="302"/>
      <c r="I28" s="302"/>
      <c r="J28" s="302"/>
      <c r="K28" s="293"/>
      <c r="L28" s="293"/>
      <c r="M28" s="293"/>
      <c r="N28" s="293"/>
      <c r="O28" s="293"/>
      <c r="P28" s="293"/>
      <c r="Q28" s="293"/>
      <c r="R28" s="293"/>
      <c r="S28" s="293"/>
    </row>
    <row r="29" spans="1:19">
      <c r="A29" s="291"/>
      <c r="B29" s="261" t="s">
        <v>344</v>
      </c>
      <c r="C29" s="300"/>
      <c r="D29" s="300"/>
      <c r="E29" s="300"/>
      <c r="F29" s="300"/>
      <c r="G29" s="300"/>
      <c r="H29" s="300"/>
      <c r="I29" s="300"/>
      <c r="J29" s="300"/>
      <c r="K29" s="292"/>
      <c r="L29" s="292"/>
      <c r="M29" s="292"/>
      <c r="N29" s="292"/>
      <c r="O29" s="292"/>
      <c r="P29" s="292"/>
      <c r="Q29" s="292"/>
      <c r="R29" s="292"/>
      <c r="S29" s="292"/>
    </row>
    <row r="30" spans="1:19">
      <c r="A30" s="291"/>
      <c r="B30" s="262" t="s">
        <v>329</v>
      </c>
      <c r="C30" s="300"/>
      <c r="D30" s="300"/>
      <c r="E30" s="300"/>
      <c r="F30" s="300"/>
      <c r="G30" s="300"/>
      <c r="H30" s="300"/>
      <c r="I30" s="300"/>
      <c r="J30" s="300"/>
      <c r="K30" s="292"/>
      <c r="L30" s="292"/>
      <c r="M30" s="292"/>
      <c r="N30" s="292"/>
      <c r="O30" s="292"/>
      <c r="P30" s="292"/>
      <c r="Q30" s="292"/>
      <c r="R30" s="292"/>
      <c r="S30" s="292"/>
    </row>
    <row r="31" spans="1:19">
      <c r="A31" s="291"/>
      <c r="B31" s="292" t="s">
        <v>330</v>
      </c>
      <c r="C31" s="300"/>
      <c r="D31" s="300">
        <v>73705663.25597468</v>
      </c>
      <c r="E31" s="300">
        <v>5462682.2359244339</v>
      </c>
      <c r="F31" s="300">
        <v>166500</v>
      </c>
      <c r="G31" s="300">
        <v>236967</v>
      </c>
      <c r="H31" s="300">
        <v>7902777</v>
      </c>
      <c r="I31" s="300">
        <v>21174700</v>
      </c>
      <c r="J31" s="300">
        <v>10420461</v>
      </c>
      <c r="K31" s="292"/>
      <c r="L31" s="292"/>
      <c r="M31" s="292"/>
      <c r="N31" s="292"/>
      <c r="O31" s="292"/>
      <c r="P31" s="292"/>
      <c r="Q31" s="292"/>
      <c r="R31" s="292"/>
      <c r="S31" s="292"/>
    </row>
    <row r="32" spans="1:19">
      <c r="A32" s="291"/>
      <c r="B32" s="292" t="s">
        <v>331</v>
      </c>
      <c r="C32" s="300"/>
      <c r="D32" s="300">
        <v>49375177.74402532</v>
      </c>
      <c r="E32" s="300">
        <v>14596426.301056234</v>
      </c>
      <c r="F32" s="300">
        <v>166500</v>
      </c>
      <c r="G32" s="300">
        <v>312302</v>
      </c>
      <c r="H32" s="300">
        <v>7418409</v>
      </c>
      <c r="I32" s="300">
        <v>6811343</v>
      </c>
      <c r="J32" s="300">
        <v>0</v>
      </c>
      <c r="K32" s="292"/>
      <c r="L32" s="292"/>
      <c r="M32" s="292"/>
      <c r="N32" s="292"/>
      <c r="O32" s="292"/>
      <c r="P32" s="292"/>
      <c r="Q32" s="292"/>
      <c r="R32" s="292"/>
      <c r="S32" s="292"/>
    </row>
    <row r="33" spans="1:19">
      <c r="A33" s="291"/>
      <c r="B33" s="292" t="s">
        <v>332</v>
      </c>
      <c r="C33" s="300"/>
      <c r="D33" s="300">
        <v>0</v>
      </c>
      <c r="E33" s="300">
        <v>28197173.46301933</v>
      </c>
      <c r="F33" s="300">
        <v>2699784</v>
      </c>
      <c r="G33" s="300">
        <v>362324</v>
      </c>
      <c r="H33" s="300">
        <v>11869734</v>
      </c>
      <c r="I33" s="300">
        <v>1912058</v>
      </c>
      <c r="J33" s="300">
        <v>0</v>
      </c>
      <c r="K33" s="292"/>
      <c r="L33" s="292"/>
      <c r="M33" s="292"/>
      <c r="N33" s="292"/>
      <c r="O33" s="292"/>
      <c r="P33" s="292"/>
      <c r="Q33" s="292"/>
      <c r="R33" s="292"/>
      <c r="S33" s="292"/>
    </row>
    <row r="34" spans="1:19">
      <c r="A34" s="291"/>
      <c r="B34" s="292" t="s">
        <v>333</v>
      </c>
      <c r="C34" s="300"/>
      <c r="D34" s="300">
        <v>0</v>
      </c>
      <c r="E34" s="300">
        <v>0</v>
      </c>
      <c r="F34" s="300">
        <v>1805732</v>
      </c>
      <c r="G34" s="300">
        <v>204111</v>
      </c>
      <c r="H34" s="300">
        <v>2879938</v>
      </c>
      <c r="I34" s="300">
        <v>6085002</v>
      </c>
      <c r="J34" s="300">
        <v>0</v>
      </c>
      <c r="K34" s="292"/>
      <c r="L34" s="292"/>
      <c r="M34" s="292"/>
      <c r="N34" s="292"/>
      <c r="O34" s="292"/>
      <c r="P34" s="292"/>
      <c r="Q34" s="292"/>
      <c r="R34" s="292"/>
      <c r="S34" s="292"/>
    </row>
    <row r="35" spans="1:19">
      <c r="A35" s="291"/>
      <c r="B35" s="292" t="s">
        <v>334</v>
      </c>
      <c r="C35" s="263"/>
      <c r="D35" s="300">
        <v>0</v>
      </c>
      <c r="E35" s="300">
        <v>0</v>
      </c>
      <c r="F35" s="300">
        <v>993694</v>
      </c>
      <c r="G35" s="300">
        <v>0</v>
      </c>
      <c r="H35" s="300">
        <v>509344</v>
      </c>
      <c r="I35" s="300">
        <v>3093535</v>
      </c>
      <c r="J35" s="300">
        <v>0</v>
      </c>
      <c r="K35" s="292"/>
      <c r="L35" s="292"/>
      <c r="M35" s="292"/>
      <c r="N35" s="292"/>
      <c r="O35" s="292"/>
      <c r="P35" s="292"/>
      <c r="Q35" s="292"/>
      <c r="R35" s="292"/>
      <c r="S35" s="292"/>
    </row>
    <row r="36" spans="1:19">
      <c r="A36" s="291"/>
      <c r="B36" s="292"/>
      <c r="C36" s="264"/>
      <c r="D36" s="264"/>
      <c r="E36" s="264"/>
      <c r="F36" s="264"/>
      <c r="G36" s="264"/>
      <c r="H36" s="264"/>
      <c r="I36" s="264"/>
      <c r="J36" s="264"/>
      <c r="K36" s="292"/>
      <c r="L36" s="292"/>
      <c r="M36" s="292"/>
      <c r="N36" s="292"/>
      <c r="O36" s="292"/>
      <c r="P36" s="292"/>
      <c r="Q36" s="292"/>
      <c r="R36" s="292"/>
      <c r="S36" s="292"/>
    </row>
    <row r="37" spans="1:19">
      <c r="A37" s="291"/>
      <c r="B37" s="292" t="s">
        <v>335</v>
      </c>
      <c r="C37" s="300">
        <f>SUM(D37:J37)</f>
        <v>258362338</v>
      </c>
      <c r="D37" s="300">
        <f t="shared" ref="D37:J37" si="5">SUM(D31:D35)</f>
        <v>123080841</v>
      </c>
      <c r="E37" s="300">
        <f t="shared" si="5"/>
        <v>48256282</v>
      </c>
      <c r="F37" s="300">
        <f t="shared" si="5"/>
        <v>5832210</v>
      </c>
      <c r="G37" s="300">
        <f t="shared" si="5"/>
        <v>1115704</v>
      </c>
      <c r="H37" s="300">
        <f>SUM(H31:H35)</f>
        <v>30580202</v>
      </c>
      <c r="I37" s="300">
        <f>SUM(I31:I35)</f>
        <v>39076638</v>
      </c>
      <c r="J37" s="300">
        <f t="shared" si="5"/>
        <v>10420461</v>
      </c>
      <c r="K37" s="292"/>
      <c r="L37" s="292"/>
      <c r="M37" s="292"/>
      <c r="N37" s="292"/>
      <c r="O37" s="292"/>
      <c r="P37" s="292"/>
      <c r="Q37" s="292"/>
      <c r="R37" s="292"/>
      <c r="S37" s="292"/>
    </row>
    <row r="38" spans="1:19">
      <c r="A38" s="291"/>
      <c r="B38" s="292" t="s">
        <v>345</v>
      </c>
      <c r="C38" s="265">
        <f>SUM(D38:J38)</f>
        <v>0</v>
      </c>
      <c r="D38" s="265">
        <f t="shared" ref="D38:J38" si="6">D15</f>
        <v>0</v>
      </c>
      <c r="E38" s="265">
        <f t="shared" si="6"/>
        <v>0</v>
      </c>
      <c r="F38" s="265">
        <f t="shared" si="6"/>
        <v>0</v>
      </c>
      <c r="G38" s="265">
        <f t="shared" si="6"/>
        <v>0</v>
      </c>
      <c r="H38" s="265">
        <f>H15</f>
        <v>0</v>
      </c>
      <c r="I38" s="265">
        <f t="shared" si="6"/>
        <v>0</v>
      </c>
      <c r="J38" s="265">
        <f t="shared" si="6"/>
        <v>0</v>
      </c>
      <c r="K38" s="292"/>
      <c r="L38" s="292"/>
      <c r="M38" s="292"/>
      <c r="N38" s="292"/>
      <c r="O38" s="292"/>
      <c r="P38" s="292"/>
      <c r="Q38" s="292"/>
      <c r="R38" s="292"/>
      <c r="S38" s="292"/>
    </row>
    <row r="39" spans="1:19">
      <c r="A39" s="291"/>
      <c r="B39" s="292"/>
      <c r="C39" s="300"/>
      <c r="D39" s="300"/>
      <c r="E39" s="300"/>
      <c r="F39" s="300"/>
      <c r="G39" s="300"/>
      <c r="H39" s="300"/>
      <c r="I39" s="300"/>
      <c r="J39" s="300"/>
      <c r="K39" s="292"/>
      <c r="L39" s="292"/>
      <c r="M39" s="292"/>
      <c r="N39" s="292"/>
      <c r="O39" s="292"/>
      <c r="P39" s="292"/>
      <c r="Q39" s="292"/>
      <c r="R39" s="292"/>
      <c r="S39" s="292"/>
    </row>
    <row r="40" spans="1:19">
      <c r="A40" s="291"/>
      <c r="B40" s="292" t="s">
        <v>335</v>
      </c>
      <c r="C40" s="300">
        <f>SUM(D40:J40)</f>
        <v>258362338</v>
      </c>
      <c r="D40" s="300">
        <f t="shared" ref="D40:J40" si="7">D37+D38</f>
        <v>123080841</v>
      </c>
      <c r="E40" s="300">
        <f t="shared" si="7"/>
        <v>48256282</v>
      </c>
      <c r="F40" s="300">
        <f t="shared" si="7"/>
        <v>5832210</v>
      </c>
      <c r="G40" s="300">
        <f t="shared" si="7"/>
        <v>1115704</v>
      </c>
      <c r="H40" s="300">
        <f>H37+H38</f>
        <v>30580202</v>
      </c>
      <c r="I40" s="300">
        <f t="shared" si="7"/>
        <v>39076638</v>
      </c>
      <c r="J40" s="300">
        <f t="shared" si="7"/>
        <v>10420461</v>
      </c>
      <c r="K40" s="292"/>
      <c r="L40" s="292"/>
      <c r="M40" s="292"/>
      <c r="N40" s="292"/>
      <c r="O40" s="292"/>
      <c r="P40" s="292"/>
      <c r="Q40" s="292"/>
      <c r="R40" s="292"/>
      <c r="S40" s="292"/>
    </row>
    <row r="41" spans="1:19">
      <c r="A41" s="291"/>
      <c r="B41" s="292" t="s">
        <v>337</v>
      </c>
      <c r="C41" s="265">
        <f>SUM(D41:J41)</f>
        <v>0</v>
      </c>
      <c r="D41" s="265">
        <f t="shared" ref="D41:J41" si="8">D18</f>
        <v>0</v>
      </c>
      <c r="E41" s="265">
        <f t="shared" si="8"/>
        <v>0</v>
      </c>
      <c r="F41" s="265">
        <f t="shared" si="8"/>
        <v>0</v>
      </c>
      <c r="G41" s="265">
        <f t="shared" si="8"/>
        <v>0</v>
      </c>
      <c r="H41" s="265">
        <f t="shared" si="8"/>
        <v>0</v>
      </c>
      <c r="I41" s="265">
        <f t="shared" si="8"/>
        <v>0</v>
      </c>
      <c r="J41" s="265">
        <f t="shared" si="8"/>
        <v>0</v>
      </c>
      <c r="K41" s="292"/>
      <c r="L41" s="292"/>
      <c r="M41" s="292"/>
      <c r="N41" s="292"/>
      <c r="O41" s="292"/>
      <c r="P41" s="292"/>
      <c r="Q41" s="292"/>
      <c r="R41" s="292"/>
      <c r="S41" s="292"/>
    </row>
    <row r="42" spans="1:19">
      <c r="A42" s="291"/>
      <c r="B42" s="292"/>
      <c r="C42" s="300"/>
      <c r="D42" s="300"/>
      <c r="E42" s="300"/>
      <c r="F42" s="300"/>
      <c r="G42" s="300"/>
      <c r="H42" s="300"/>
      <c r="I42" s="300"/>
      <c r="J42" s="300"/>
      <c r="K42" s="292"/>
      <c r="L42" s="292"/>
      <c r="M42" s="292"/>
      <c r="N42" s="292"/>
      <c r="O42" s="292"/>
      <c r="P42" s="292"/>
      <c r="Q42" s="292"/>
      <c r="R42" s="292"/>
      <c r="S42" s="292"/>
    </row>
    <row r="43" spans="1:19">
      <c r="A43" s="291"/>
      <c r="B43" s="292" t="s">
        <v>338</v>
      </c>
      <c r="C43" s="300">
        <f>SUM(D43:J43)</f>
        <v>258362338</v>
      </c>
      <c r="D43" s="300">
        <f t="shared" ref="D43:J43" si="9">D40+D41</f>
        <v>123080841</v>
      </c>
      <c r="E43" s="300">
        <f t="shared" si="9"/>
        <v>48256282</v>
      </c>
      <c r="F43" s="300">
        <f t="shared" si="9"/>
        <v>5832210</v>
      </c>
      <c r="G43" s="300">
        <f t="shared" si="9"/>
        <v>1115704</v>
      </c>
      <c r="H43" s="300">
        <f>H40+H41</f>
        <v>30580202</v>
      </c>
      <c r="I43" s="300">
        <f>I40+I41</f>
        <v>39076638</v>
      </c>
      <c r="J43" s="300">
        <f t="shared" si="9"/>
        <v>10420461</v>
      </c>
      <c r="K43" s="292"/>
      <c r="L43" s="292"/>
      <c r="M43" s="292"/>
      <c r="N43" s="292"/>
      <c r="O43" s="292"/>
      <c r="P43" s="292"/>
      <c r="Q43" s="292"/>
      <c r="R43" s="292"/>
      <c r="S43" s="292"/>
    </row>
    <row r="44" spans="1:19">
      <c r="A44" s="291"/>
      <c r="B44" s="292" t="s">
        <v>340</v>
      </c>
      <c r="C44" s="265">
        <f>SUM(D44:J44)</f>
        <v>-3175407</v>
      </c>
      <c r="D44" s="265">
        <f t="shared" ref="D44:J44" si="10">D21</f>
        <v>-2359234</v>
      </c>
      <c r="E44" s="265">
        <f t="shared" si="10"/>
        <v>-719000</v>
      </c>
      <c r="F44" s="265">
        <f t="shared" si="10"/>
        <v>-97173</v>
      </c>
      <c r="G44" s="265">
        <f t="shared" si="10"/>
        <v>0</v>
      </c>
      <c r="H44" s="265">
        <f>H21</f>
        <v>0</v>
      </c>
      <c r="I44" s="265">
        <f t="shared" si="10"/>
        <v>0</v>
      </c>
      <c r="J44" s="265">
        <f t="shared" si="10"/>
        <v>0</v>
      </c>
      <c r="K44" s="292"/>
      <c r="L44" s="292"/>
      <c r="M44" s="292"/>
      <c r="N44" s="292"/>
      <c r="O44" s="292"/>
      <c r="P44" s="292"/>
      <c r="Q44" s="292"/>
      <c r="R44" s="292"/>
      <c r="S44" s="292"/>
    </row>
    <row r="45" spans="1:19">
      <c r="A45" s="291"/>
      <c r="B45" s="292"/>
      <c r="C45" s="300"/>
      <c r="D45" s="300"/>
      <c r="E45" s="300"/>
      <c r="F45" s="300"/>
      <c r="G45" s="300"/>
      <c r="H45" s="300"/>
      <c r="I45" s="300"/>
      <c r="J45" s="300"/>
      <c r="K45" s="292"/>
      <c r="L45" s="292"/>
      <c r="M45" s="292"/>
      <c r="N45" s="292"/>
      <c r="O45" s="292"/>
      <c r="P45" s="292"/>
      <c r="Q45" s="292"/>
      <c r="R45" s="292"/>
      <c r="S45" s="292"/>
    </row>
    <row r="46" spans="1:19">
      <c r="A46" s="291"/>
      <c r="B46" s="292" t="s">
        <v>341</v>
      </c>
      <c r="C46" s="300">
        <f>IF(ROUND(SUM(C43:C44),3)&lt;&gt;ROUND(SUM(D46:J46),3),#VALUE!,SUM(D46:J46))</f>
        <v>255186931</v>
      </c>
      <c r="D46" s="300">
        <f t="shared" ref="D46:J46" si="11">D43+D44</f>
        <v>120721607</v>
      </c>
      <c r="E46" s="300">
        <f t="shared" si="11"/>
        <v>47537282</v>
      </c>
      <c r="F46" s="300">
        <f t="shared" si="11"/>
        <v>5735037</v>
      </c>
      <c r="G46" s="300">
        <f t="shared" si="11"/>
        <v>1115704</v>
      </c>
      <c r="H46" s="300">
        <f>H43+H44</f>
        <v>30580202</v>
      </c>
      <c r="I46" s="300">
        <f t="shared" si="11"/>
        <v>39076638</v>
      </c>
      <c r="J46" s="300">
        <f t="shared" si="11"/>
        <v>10420461</v>
      </c>
      <c r="K46" s="292"/>
      <c r="L46" s="292"/>
      <c r="M46" s="292"/>
      <c r="N46" s="292"/>
      <c r="O46" s="292"/>
      <c r="P46" s="292"/>
      <c r="Q46" s="292"/>
      <c r="R46" s="292"/>
      <c r="S46" s="292"/>
    </row>
    <row r="47" spans="1:19">
      <c r="A47" s="291"/>
      <c r="B47" s="292"/>
      <c r="C47" s="300"/>
      <c r="D47" s="300"/>
      <c r="E47" s="300"/>
      <c r="F47" s="300"/>
      <c r="G47" s="300"/>
      <c r="H47" s="300"/>
      <c r="I47" s="300"/>
      <c r="J47" s="300"/>
      <c r="K47" s="292"/>
      <c r="L47" s="292"/>
      <c r="M47" s="292"/>
      <c r="N47" s="292"/>
      <c r="O47" s="292"/>
      <c r="P47" s="292"/>
      <c r="Q47" s="292"/>
      <c r="R47" s="292"/>
      <c r="S47" s="292"/>
    </row>
    <row r="48" spans="1:19">
      <c r="A48" s="291"/>
      <c r="B48" s="292" t="s">
        <v>342</v>
      </c>
      <c r="C48" s="300"/>
      <c r="D48" s="300">
        <f t="shared" ref="D48:F49" si="12">D25</f>
        <v>1787943</v>
      </c>
      <c r="E48" s="300">
        <f t="shared" si="12"/>
        <v>0</v>
      </c>
      <c r="F48" s="300">
        <f t="shared" si="12"/>
        <v>0</v>
      </c>
      <c r="G48" s="300">
        <f>G25</f>
        <v>24</v>
      </c>
      <c r="H48" s="300">
        <f>H25</f>
        <v>456</v>
      </c>
      <c r="I48" s="300">
        <f>I25</f>
        <v>48</v>
      </c>
      <c r="J48" s="300">
        <f>J25</f>
        <v>12</v>
      </c>
      <c r="K48" s="292"/>
      <c r="L48" s="292"/>
      <c r="M48" s="292"/>
      <c r="N48" s="292"/>
      <c r="O48" s="292"/>
      <c r="P48" s="292"/>
      <c r="Q48" s="292"/>
      <c r="R48" s="292"/>
      <c r="S48" s="292"/>
    </row>
    <row r="49" spans="1:19">
      <c r="A49" s="291"/>
      <c r="B49" s="292" t="s">
        <v>343</v>
      </c>
      <c r="C49" s="300"/>
      <c r="D49" s="300">
        <f t="shared" si="12"/>
        <v>0</v>
      </c>
      <c r="E49" s="300">
        <f t="shared" si="12"/>
        <v>30696.999999999956</v>
      </c>
      <c r="F49" s="300">
        <f t="shared" si="12"/>
        <v>336</v>
      </c>
      <c r="G49" s="300"/>
      <c r="H49" s="300"/>
      <c r="I49" s="300"/>
      <c r="J49" s="300"/>
      <c r="K49" s="292"/>
      <c r="L49" s="292"/>
      <c r="M49" s="292"/>
      <c r="N49" s="292"/>
      <c r="O49" s="292"/>
      <c r="P49" s="292"/>
      <c r="Q49" s="292"/>
      <c r="R49" s="292"/>
      <c r="S49" s="292"/>
    </row>
    <row r="50" spans="1:19">
      <c r="A50" s="291"/>
      <c r="B50" s="292"/>
      <c r="C50" s="303"/>
      <c r="D50" s="304"/>
      <c r="E50" s="304">
        <v>2</v>
      </c>
      <c r="F50" s="304">
        <v>3</v>
      </c>
      <c r="G50" s="304">
        <v>4</v>
      </c>
      <c r="H50" s="304">
        <v>5</v>
      </c>
      <c r="I50" s="304">
        <v>6</v>
      </c>
      <c r="J50" s="304">
        <v>7</v>
      </c>
      <c r="K50" s="292"/>
      <c r="L50" s="292"/>
      <c r="M50" s="292"/>
      <c r="N50" s="292"/>
      <c r="O50" s="292"/>
      <c r="P50" s="292"/>
      <c r="Q50" s="292"/>
      <c r="R50" s="292"/>
      <c r="S50" s="292"/>
    </row>
    <row r="51" spans="1:19">
      <c r="A51" s="291"/>
      <c r="B51" s="292"/>
      <c r="C51" s="303"/>
      <c r="D51" s="305"/>
      <c r="E51" s="305"/>
      <c r="F51" s="305"/>
      <c r="G51" s="305"/>
      <c r="H51" s="305"/>
      <c r="I51" s="303"/>
      <c r="J51" s="293" t="s">
        <v>310</v>
      </c>
      <c r="K51" s="292"/>
      <c r="L51" s="292"/>
      <c r="M51" s="292"/>
      <c r="N51" s="292"/>
      <c r="O51" s="292"/>
      <c r="P51" s="292"/>
      <c r="Q51" s="292"/>
      <c r="R51" s="292"/>
      <c r="S51" s="292"/>
    </row>
    <row r="52" spans="1:19">
      <c r="A52" s="291"/>
      <c r="B52" s="292"/>
      <c r="C52" s="303"/>
      <c r="D52" s="292"/>
      <c r="E52" s="292"/>
      <c r="F52" s="292"/>
      <c r="G52" s="292"/>
      <c r="H52" s="292"/>
      <c r="I52" s="292"/>
      <c r="J52" s="259" t="s">
        <v>311</v>
      </c>
      <c r="K52" s="292"/>
      <c r="L52" s="292"/>
      <c r="M52" s="292"/>
      <c r="N52" s="292"/>
      <c r="O52" s="292"/>
      <c r="P52" s="292"/>
      <c r="Q52" s="292"/>
      <c r="R52" s="292"/>
      <c r="S52" s="292"/>
    </row>
    <row r="53" spans="1:19">
      <c r="A53" s="294" t="s">
        <v>312</v>
      </c>
      <c r="B53" s="293"/>
      <c r="C53" s="293" t="s">
        <v>313</v>
      </c>
      <c r="D53" s="293" t="s">
        <v>314</v>
      </c>
      <c r="E53" s="293" t="s">
        <v>315</v>
      </c>
      <c r="F53" s="293" t="s">
        <v>316</v>
      </c>
      <c r="G53" s="293" t="s">
        <v>317</v>
      </c>
      <c r="H53" s="293" t="s">
        <v>310</v>
      </c>
      <c r="I53" s="293" t="s">
        <v>310</v>
      </c>
      <c r="J53" s="293" t="s">
        <v>318</v>
      </c>
      <c r="K53" s="293"/>
      <c r="L53" s="293"/>
      <c r="M53" s="298" t="e">
        <f ca="1">"selected in cell "&amp;CELL("address",Base1_Billing2)&amp;":"</f>
        <v>#REF!</v>
      </c>
      <c r="N53" s="293"/>
      <c r="O53" s="293"/>
      <c r="P53" s="293"/>
      <c r="Q53" s="293"/>
      <c r="R53" s="293"/>
      <c r="S53" s="293"/>
    </row>
    <row r="54" spans="1:19">
      <c r="A54" s="294" t="s">
        <v>319</v>
      </c>
      <c r="B54" s="260"/>
      <c r="C54" s="260" t="s">
        <v>320</v>
      </c>
      <c r="D54" s="260" t="s">
        <v>321</v>
      </c>
      <c r="E54" s="260" t="s">
        <v>346</v>
      </c>
      <c r="F54" s="260" t="s">
        <v>347</v>
      </c>
      <c r="G54" s="260" t="s">
        <v>348</v>
      </c>
      <c r="H54" s="260" t="s">
        <v>325</v>
      </c>
      <c r="I54" s="260" t="s">
        <v>326</v>
      </c>
      <c r="J54" s="260" t="s">
        <v>327</v>
      </c>
      <c r="K54" s="293"/>
      <c r="L54" s="293"/>
      <c r="M54" s="306">
        <f>O10</f>
        <v>0</v>
      </c>
      <c r="N54" s="293"/>
      <c r="O54" s="293"/>
      <c r="P54" s="293"/>
      <c r="Q54" s="293"/>
      <c r="R54" s="293"/>
      <c r="S54" s="293"/>
    </row>
    <row r="55" spans="1:19">
      <c r="A55" s="291"/>
      <c r="B55" s="261" t="s">
        <v>349</v>
      </c>
      <c r="C55" s="292"/>
      <c r="D55" s="292"/>
      <c r="E55" s="292"/>
      <c r="F55" s="292"/>
      <c r="G55" s="292"/>
      <c r="H55" s="292"/>
      <c r="I55" s="307">
        <v>-1</v>
      </c>
      <c r="J55" s="307">
        <v>-2</v>
      </c>
      <c r="K55" s="292"/>
      <c r="L55" s="292"/>
      <c r="M55" s="298" t="str">
        <f>"Rates_"&amp;$M$54&amp;"_Present"</f>
        <v>Rates_0_Present</v>
      </c>
      <c r="N55" s="292"/>
      <c r="O55" s="308" t="s">
        <v>428</v>
      </c>
      <c r="P55" s="292"/>
      <c r="Q55" s="292"/>
      <c r="R55" s="292"/>
      <c r="S55" s="292"/>
    </row>
    <row r="56" spans="1:19" ht="13.5">
      <c r="A56" s="309" t="s">
        <v>429</v>
      </c>
      <c r="B56" s="292" t="s">
        <v>350</v>
      </c>
      <c r="C56" s="292"/>
      <c r="D56" s="310">
        <v>9</v>
      </c>
      <c r="E56" s="310">
        <v>0</v>
      </c>
      <c r="F56" s="310">
        <v>0</v>
      </c>
      <c r="G56" s="310">
        <v>0</v>
      </c>
      <c r="H56" s="310">
        <v>500</v>
      </c>
      <c r="I56" s="311">
        <v>200</v>
      </c>
      <c r="J56" s="311">
        <v>26332</v>
      </c>
      <c r="K56" s="312">
        <v>1</v>
      </c>
      <c r="L56" s="292"/>
      <c r="M56" s="298" t="str">
        <f>"Rates_"&amp;$M$54&amp;"_Proposed"</f>
        <v>Rates_0_Proposed</v>
      </c>
      <c r="N56" s="292"/>
      <c r="O56" s="308" t="s">
        <v>430</v>
      </c>
      <c r="P56" s="292"/>
      <c r="Q56" s="292"/>
      <c r="R56" s="292"/>
      <c r="S56" s="292"/>
    </row>
    <row r="57" spans="1:19" ht="13.5">
      <c r="A57" s="309" t="s">
        <v>429</v>
      </c>
      <c r="B57" s="292" t="s">
        <v>431</v>
      </c>
      <c r="C57" s="292"/>
      <c r="D57" s="310">
        <v>0</v>
      </c>
      <c r="E57" s="310">
        <v>87.04</v>
      </c>
      <c r="F57" s="310">
        <v>215.24</v>
      </c>
      <c r="G57" s="310">
        <v>0</v>
      </c>
      <c r="H57" s="313"/>
      <c r="I57" s="311">
        <v>0</v>
      </c>
      <c r="J57" s="311">
        <v>0</v>
      </c>
      <c r="K57" s="312">
        <v>2</v>
      </c>
      <c r="L57" s="292"/>
      <c r="M57" s="292"/>
      <c r="N57" s="292"/>
      <c r="O57" s="292"/>
      <c r="P57" s="292"/>
      <c r="Q57" s="292"/>
      <c r="R57" s="292"/>
      <c r="S57" s="292"/>
    </row>
    <row r="58" spans="1:19">
      <c r="A58" s="291"/>
      <c r="B58" s="292"/>
      <c r="C58" s="292"/>
      <c r="D58" s="292"/>
      <c r="E58" s="292"/>
      <c r="F58" s="292"/>
      <c r="G58" s="292"/>
      <c r="H58" s="292"/>
      <c r="I58" s="312"/>
      <c r="J58" s="312"/>
      <c r="K58" s="292"/>
      <c r="L58" s="292"/>
      <c r="M58" s="292"/>
      <c r="N58" s="292"/>
      <c r="O58" s="292"/>
      <c r="P58" s="292"/>
      <c r="Q58" s="292"/>
      <c r="R58" s="292"/>
      <c r="S58" s="292"/>
    </row>
    <row r="59" spans="1:19" ht="13.5">
      <c r="A59" s="309" t="s">
        <v>429</v>
      </c>
      <c r="B59" s="292" t="s">
        <v>352</v>
      </c>
      <c r="C59" s="292"/>
      <c r="D59" s="314">
        <v>84.807999999999993</v>
      </c>
      <c r="E59" s="314">
        <v>52.454999999999998</v>
      </c>
      <c r="F59" s="314">
        <v>50.545000000000002</v>
      </c>
      <c r="G59" s="314">
        <v>70.180999999999997</v>
      </c>
      <c r="H59" s="314">
        <v>8.770999999999999</v>
      </c>
      <c r="I59" s="315">
        <v>2.8</v>
      </c>
      <c r="J59" s="315">
        <v>1</v>
      </c>
      <c r="K59" s="312">
        <v>3</v>
      </c>
      <c r="L59" s="292"/>
      <c r="M59" s="292"/>
      <c r="N59" s="292"/>
      <c r="O59" s="292"/>
      <c r="P59" s="292"/>
      <c r="Q59" s="292"/>
      <c r="R59" s="292"/>
      <c r="S59" s="292"/>
    </row>
    <row r="60" spans="1:19" ht="13.5">
      <c r="A60" s="309" t="s">
        <v>429</v>
      </c>
      <c r="B60" s="292" t="s">
        <v>353</v>
      </c>
      <c r="C60" s="292"/>
      <c r="D60" s="314">
        <v>95.420999999999992</v>
      </c>
      <c r="E60" s="314">
        <v>82.834000000000003</v>
      </c>
      <c r="F60" s="314">
        <v>82.771000000000001</v>
      </c>
      <c r="G60" s="314">
        <v>65.424999999999997</v>
      </c>
      <c r="H60" s="314">
        <v>7.8090000000000002</v>
      </c>
      <c r="I60" s="316">
        <v>4.5</v>
      </c>
      <c r="J60" s="315">
        <v>0</v>
      </c>
      <c r="K60" s="312">
        <v>4</v>
      </c>
      <c r="L60" s="292"/>
      <c r="M60" s="292"/>
      <c r="N60" s="292"/>
      <c r="O60" s="292"/>
      <c r="P60" s="292"/>
      <c r="Q60" s="292"/>
      <c r="R60" s="292"/>
      <c r="S60" s="292"/>
    </row>
    <row r="61" spans="1:19" ht="13.5">
      <c r="A61" s="309" t="s">
        <v>429</v>
      </c>
      <c r="B61" s="292" t="s">
        <v>354</v>
      </c>
      <c r="C61" s="292"/>
      <c r="D61" s="314">
        <v>0</v>
      </c>
      <c r="E61" s="314">
        <v>75.152999999999992</v>
      </c>
      <c r="F61" s="314">
        <v>74.88900000000001</v>
      </c>
      <c r="G61" s="314">
        <v>64.25800000000001</v>
      </c>
      <c r="H61" s="314">
        <v>7.0460000000000003</v>
      </c>
      <c r="I61" s="315">
        <v>3.1680000000000001</v>
      </c>
      <c r="J61" s="315">
        <v>0</v>
      </c>
      <c r="K61" s="312">
        <v>5</v>
      </c>
      <c r="L61" s="292"/>
      <c r="M61" s="292"/>
      <c r="N61" s="292"/>
      <c r="O61" s="292"/>
      <c r="P61" s="292"/>
      <c r="Q61" s="292"/>
      <c r="R61" s="292"/>
      <c r="S61" s="292"/>
    </row>
    <row r="62" spans="1:19" ht="13.5">
      <c r="A62" s="309" t="s">
        <v>429</v>
      </c>
      <c r="B62" s="292" t="s">
        <v>355</v>
      </c>
      <c r="C62" s="292"/>
      <c r="D62" s="314">
        <v>0</v>
      </c>
      <c r="E62" s="314">
        <v>0</v>
      </c>
      <c r="F62" s="314">
        <v>69.94</v>
      </c>
      <c r="G62" s="314">
        <v>63.871000000000002</v>
      </c>
      <c r="H62" s="314">
        <v>6.5200000000000005</v>
      </c>
      <c r="I62" s="315">
        <v>2.5</v>
      </c>
      <c r="J62" s="315">
        <v>0</v>
      </c>
      <c r="K62" s="312">
        <v>6</v>
      </c>
      <c r="L62" s="292"/>
      <c r="M62" s="292"/>
      <c r="N62" s="292"/>
      <c r="O62" s="292"/>
      <c r="P62" s="292"/>
      <c r="Q62" s="292"/>
      <c r="R62" s="292"/>
      <c r="S62" s="292"/>
    </row>
    <row r="63" spans="1:19" ht="13.5">
      <c r="A63" s="309" t="s">
        <v>429</v>
      </c>
      <c r="B63" s="292" t="s">
        <v>356</v>
      </c>
      <c r="C63" s="292"/>
      <c r="D63" s="314">
        <v>0</v>
      </c>
      <c r="E63" s="314">
        <v>0</v>
      </c>
      <c r="F63" s="314">
        <v>62.817</v>
      </c>
      <c r="G63" s="314">
        <v>0</v>
      </c>
      <c r="H63" s="314">
        <v>4.9119999999999999</v>
      </c>
      <c r="I63" s="315">
        <v>2.0910000000000002</v>
      </c>
      <c r="J63" s="315">
        <v>0</v>
      </c>
      <c r="K63" s="312">
        <v>7</v>
      </c>
      <c r="L63" s="292"/>
      <c r="M63" s="292"/>
      <c r="N63" s="292"/>
      <c r="O63" s="292"/>
      <c r="P63" s="292"/>
      <c r="Q63" s="292"/>
      <c r="R63" s="292"/>
      <c r="S63" s="292"/>
    </row>
    <row r="64" spans="1:19">
      <c r="A64" s="291"/>
      <c r="B64" s="292"/>
      <c r="C64" s="292"/>
      <c r="D64" s="314"/>
      <c r="E64" s="314"/>
      <c r="F64" s="314"/>
      <c r="G64" s="314"/>
      <c r="H64" s="314"/>
      <c r="I64" s="314"/>
      <c r="J64" s="314"/>
      <c r="K64" s="292"/>
      <c r="L64" s="292"/>
      <c r="M64" s="292"/>
      <c r="N64" s="292"/>
      <c r="O64" s="292"/>
      <c r="P64" s="292"/>
      <c r="Q64" s="292"/>
      <c r="R64" s="292"/>
      <c r="S64" s="292"/>
    </row>
    <row r="65" spans="1:19">
      <c r="A65" s="291"/>
      <c r="B65" s="292" t="s">
        <v>357</v>
      </c>
      <c r="C65" s="292"/>
      <c r="D65" s="314">
        <v>89.065516906892114</v>
      </c>
      <c r="E65" s="314">
        <v>74.906880517649498</v>
      </c>
      <c r="F65" s="314">
        <v>70.829927420308934</v>
      </c>
      <c r="G65" s="314">
        <v>65.771861533166515</v>
      </c>
      <c r="H65" s="314"/>
      <c r="I65" s="314"/>
      <c r="J65" s="314"/>
      <c r="K65" s="292"/>
      <c r="L65" s="292"/>
      <c r="M65" s="292"/>
      <c r="N65" s="292"/>
      <c r="O65" s="292"/>
      <c r="P65" s="292"/>
      <c r="Q65" s="292"/>
      <c r="R65" s="292"/>
      <c r="S65" s="292"/>
    </row>
    <row r="66" spans="1:19">
      <c r="A66" s="291"/>
      <c r="B66" s="292"/>
      <c r="C66" s="292"/>
      <c r="D66" s="317"/>
      <c r="E66" s="317"/>
      <c r="F66" s="317"/>
      <c r="G66" s="317"/>
      <c r="H66" s="317"/>
      <c r="I66" s="317"/>
      <c r="J66" s="317"/>
      <c r="K66" s="292"/>
      <c r="L66" s="292"/>
      <c r="M66" s="292"/>
      <c r="N66" s="292"/>
      <c r="O66" s="292"/>
      <c r="P66" s="292"/>
      <c r="Q66" s="292"/>
      <c r="R66" s="292"/>
      <c r="S66" s="292"/>
    </row>
    <row r="67" spans="1:19">
      <c r="A67" s="292"/>
      <c r="B67" s="292"/>
      <c r="C67" s="292"/>
      <c r="D67" s="292"/>
      <c r="E67" s="292"/>
      <c r="F67" s="292"/>
      <c r="G67" s="292"/>
      <c r="H67" s="292"/>
      <c r="I67" s="292"/>
      <c r="J67" s="292"/>
      <c r="K67" s="292"/>
      <c r="L67" s="292"/>
      <c r="M67" s="292"/>
      <c r="N67" s="292"/>
      <c r="O67" s="292"/>
      <c r="P67" s="292"/>
      <c r="Q67" s="292"/>
      <c r="R67" s="292"/>
      <c r="S67" s="292"/>
    </row>
    <row r="68" spans="1:19">
      <c r="A68" s="292"/>
      <c r="B68" s="292"/>
      <c r="C68" s="292"/>
      <c r="D68" s="292"/>
      <c r="E68" s="292"/>
      <c r="F68" s="292"/>
      <c r="G68" s="292"/>
      <c r="H68" s="292"/>
      <c r="I68" s="292"/>
      <c r="J68" s="292"/>
      <c r="K68" s="292"/>
      <c r="L68" s="292"/>
      <c r="M68" s="292"/>
      <c r="N68" s="292"/>
      <c r="O68" s="292"/>
      <c r="P68" s="292"/>
      <c r="Q68" s="292"/>
      <c r="R68" s="292"/>
      <c r="S68" s="292"/>
    </row>
    <row r="69" spans="1:19">
      <c r="A69" s="292"/>
      <c r="B69" s="292"/>
      <c r="C69" s="292"/>
      <c r="D69" s="292"/>
      <c r="E69" s="292"/>
      <c r="F69" s="292"/>
      <c r="G69" s="292"/>
      <c r="H69" s="292"/>
      <c r="I69" s="292"/>
      <c r="J69" s="292"/>
      <c r="K69" s="292"/>
      <c r="L69" s="292"/>
      <c r="M69" s="292"/>
      <c r="N69" s="292"/>
      <c r="O69" s="292"/>
      <c r="P69" s="292"/>
      <c r="Q69" s="292"/>
      <c r="R69" s="292"/>
      <c r="S69" s="292"/>
    </row>
    <row r="70" spans="1:19">
      <c r="A70" s="291"/>
      <c r="B70" s="292"/>
      <c r="C70" s="292"/>
      <c r="D70" s="317"/>
      <c r="E70" s="317"/>
      <c r="F70" s="317"/>
      <c r="G70" s="317"/>
      <c r="H70" s="317"/>
      <c r="I70" s="317"/>
      <c r="J70" s="317"/>
      <c r="K70" s="292"/>
      <c r="L70" s="292"/>
      <c r="M70" s="292"/>
      <c r="N70" s="292"/>
      <c r="O70" s="292"/>
      <c r="P70" s="292"/>
      <c r="Q70" s="292"/>
      <c r="R70" s="292"/>
      <c r="S70" s="292"/>
    </row>
    <row r="71" spans="1:19">
      <c r="A71" s="291"/>
      <c r="B71" s="292"/>
      <c r="C71" s="292"/>
      <c r="D71" s="317"/>
      <c r="E71" s="317"/>
      <c r="F71" s="317"/>
      <c r="G71" s="317"/>
      <c r="H71" s="317"/>
      <c r="I71" s="317"/>
      <c r="J71" s="317"/>
      <c r="K71" s="292"/>
      <c r="L71" s="292"/>
      <c r="M71" s="292"/>
      <c r="N71" s="292"/>
      <c r="O71" s="292"/>
      <c r="P71" s="292"/>
      <c r="Q71" s="292"/>
      <c r="R71" s="292"/>
      <c r="S71" s="292"/>
    </row>
    <row r="72" spans="1:19">
      <c r="A72" s="291"/>
      <c r="B72" s="292"/>
      <c r="C72" s="292"/>
      <c r="D72" s="317"/>
      <c r="E72" s="317"/>
      <c r="F72" s="317"/>
      <c r="G72" s="317"/>
      <c r="H72" s="317"/>
      <c r="I72" s="317"/>
      <c r="J72" s="317"/>
      <c r="K72" s="292"/>
      <c r="L72" s="292"/>
      <c r="M72" s="292"/>
      <c r="N72" s="292"/>
      <c r="O72" s="292"/>
      <c r="P72" s="292"/>
      <c r="Q72" s="292"/>
      <c r="R72" s="292"/>
      <c r="S72" s="292"/>
    </row>
    <row r="73" spans="1:19">
      <c r="A73" s="291"/>
      <c r="B73" s="261" t="s">
        <v>358</v>
      </c>
      <c r="C73" s="292"/>
      <c r="D73" s="292"/>
      <c r="E73" s="292"/>
      <c r="F73" s="292"/>
      <c r="G73" s="292"/>
      <c r="H73" s="292"/>
      <c r="I73" s="292"/>
      <c r="J73" s="292"/>
      <c r="K73" s="292"/>
      <c r="L73" s="292"/>
      <c r="M73" s="292"/>
      <c r="N73" s="292"/>
      <c r="O73" s="292"/>
      <c r="P73" s="292"/>
      <c r="Q73" s="292"/>
      <c r="R73" s="292"/>
      <c r="S73" s="292"/>
    </row>
    <row r="74" spans="1:19">
      <c r="A74" s="291"/>
      <c r="B74" s="292" t="s">
        <v>350</v>
      </c>
      <c r="C74" s="292"/>
      <c r="D74" s="310">
        <v>9</v>
      </c>
      <c r="E74" s="310">
        <v>0</v>
      </c>
      <c r="F74" s="310">
        <v>0</v>
      </c>
      <c r="G74" s="310">
        <v>0</v>
      </c>
      <c r="H74" s="310">
        <v>500</v>
      </c>
      <c r="I74" s="311">
        <v>200</v>
      </c>
      <c r="J74" s="311">
        <v>26332</v>
      </c>
      <c r="K74" s="312">
        <v>1</v>
      </c>
      <c r="L74" s="292"/>
      <c r="M74" s="292"/>
      <c r="N74" s="292"/>
      <c r="O74" s="292"/>
      <c r="P74" s="292"/>
      <c r="Q74" s="292"/>
      <c r="R74" s="292"/>
      <c r="S74" s="292"/>
    </row>
    <row r="75" spans="1:19">
      <c r="A75" s="291"/>
      <c r="B75" s="292" t="s">
        <v>351</v>
      </c>
      <c r="C75" s="292"/>
      <c r="D75" s="310">
        <v>0</v>
      </c>
      <c r="E75" s="310">
        <v>87.04</v>
      </c>
      <c r="F75" s="310">
        <v>215.24</v>
      </c>
      <c r="G75" s="310">
        <v>0</v>
      </c>
      <c r="H75" s="310">
        <v>0</v>
      </c>
      <c r="I75" s="311">
        <v>0</v>
      </c>
      <c r="J75" s="311">
        <v>0</v>
      </c>
      <c r="K75" s="312">
        <v>2</v>
      </c>
      <c r="L75" s="292"/>
      <c r="M75" s="292"/>
      <c r="N75" s="292"/>
      <c r="O75" s="292"/>
      <c r="P75" s="292"/>
      <c r="Q75" s="292"/>
      <c r="R75" s="292"/>
      <c r="S75" s="292"/>
    </row>
    <row r="76" spans="1:19">
      <c r="A76" s="291"/>
      <c r="B76" s="292"/>
      <c r="C76" s="292"/>
      <c r="D76" s="292"/>
      <c r="E76" s="292"/>
      <c r="F76" s="292"/>
      <c r="G76" s="292"/>
      <c r="H76" s="292"/>
      <c r="I76" s="312"/>
      <c r="J76" s="312"/>
      <c r="K76" s="292"/>
      <c r="L76" s="292"/>
      <c r="M76" s="292"/>
      <c r="N76" s="292"/>
      <c r="O76" s="292"/>
      <c r="P76" s="292"/>
      <c r="Q76" s="292"/>
      <c r="R76" s="292"/>
      <c r="S76" s="292"/>
    </row>
    <row r="77" spans="1:19">
      <c r="A77" s="291"/>
      <c r="B77" s="292" t="s">
        <v>352</v>
      </c>
      <c r="C77" s="292"/>
      <c r="D77" s="314">
        <v>84.808000000000007</v>
      </c>
      <c r="E77" s="314">
        <v>52.454999999999998</v>
      </c>
      <c r="F77" s="314">
        <v>50.545000000000002</v>
      </c>
      <c r="G77" s="314">
        <v>70.180999999999997</v>
      </c>
      <c r="H77" s="314">
        <v>8.7710000000000008</v>
      </c>
      <c r="I77" s="315">
        <v>2.8</v>
      </c>
      <c r="J77" s="315">
        <v>1</v>
      </c>
      <c r="K77" s="312">
        <v>3</v>
      </c>
      <c r="L77" s="292"/>
      <c r="M77" s="292"/>
      <c r="N77" s="292"/>
      <c r="O77" s="292"/>
      <c r="P77" s="292"/>
      <c r="Q77" s="292"/>
      <c r="R77" s="292"/>
      <c r="S77" s="292"/>
    </row>
    <row r="78" spans="1:19">
      <c r="A78" s="291"/>
      <c r="B78" s="292" t="s">
        <v>353</v>
      </c>
      <c r="C78" s="292"/>
      <c r="D78" s="314">
        <v>95.421000000000006</v>
      </c>
      <c r="E78" s="314">
        <v>82.834000000000003</v>
      </c>
      <c r="F78" s="314">
        <v>82.771000000000001</v>
      </c>
      <c r="G78" s="314">
        <v>65.424999999999997</v>
      </c>
      <c r="H78" s="314">
        <v>7.8090000000000002</v>
      </c>
      <c r="I78" s="316">
        <v>4.5</v>
      </c>
      <c r="J78" s="315">
        <v>0</v>
      </c>
      <c r="K78" s="312">
        <v>4</v>
      </c>
      <c r="L78" s="292"/>
      <c r="M78" s="292"/>
      <c r="N78" s="292"/>
      <c r="O78" s="292"/>
      <c r="P78" s="292"/>
      <c r="Q78" s="292"/>
      <c r="R78" s="292"/>
      <c r="S78" s="292"/>
    </row>
    <row r="79" spans="1:19">
      <c r="A79" s="291"/>
      <c r="B79" s="292" t="s">
        <v>354</v>
      </c>
      <c r="C79" s="292"/>
      <c r="D79" s="314">
        <v>0</v>
      </c>
      <c r="E79" s="314">
        <v>75.153000000000006</v>
      </c>
      <c r="F79" s="314">
        <v>74.888999999999996</v>
      </c>
      <c r="G79" s="314">
        <v>64.257999999999996</v>
      </c>
      <c r="H79" s="314">
        <v>7.0460000000000003</v>
      </c>
      <c r="I79" s="315">
        <v>3.1680000000000001</v>
      </c>
      <c r="J79" s="315">
        <v>0</v>
      </c>
      <c r="K79" s="312">
        <v>5</v>
      </c>
      <c r="L79" s="292"/>
      <c r="M79" s="292"/>
      <c r="N79" s="292"/>
      <c r="O79" s="292"/>
      <c r="P79" s="292"/>
      <c r="Q79" s="292"/>
      <c r="R79" s="292"/>
      <c r="S79" s="292"/>
    </row>
    <row r="80" spans="1:19">
      <c r="A80" s="291"/>
      <c r="B80" s="292" t="s">
        <v>355</v>
      </c>
      <c r="C80" s="292"/>
      <c r="D80" s="314">
        <v>0</v>
      </c>
      <c r="E80" s="314">
        <v>0</v>
      </c>
      <c r="F80" s="314">
        <v>69.94</v>
      </c>
      <c r="G80" s="314">
        <v>63.871000000000002</v>
      </c>
      <c r="H80" s="314">
        <v>6.52</v>
      </c>
      <c r="I80" s="315">
        <v>2.5</v>
      </c>
      <c r="J80" s="315">
        <v>0</v>
      </c>
      <c r="K80" s="312">
        <v>6</v>
      </c>
      <c r="L80" s="292"/>
      <c r="M80" s="292"/>
      <c r="N80" s="292"/>
      <c r="O80" s="292"/>
      <c r="P80" s="292"/>
      <c r="Q80" s="292"/>
      <c r="R80" s="292"/>
      <c r="S80" s="292"/>
    </row>
    <row r="81" spans="1:19">
      <c r="A81" s="291"/>
      <c r="B81" s="292" t="s">
        <v>356</v>
      </c>
      <c r="C81" s="292"/>
      <c r="D81" s="314">
        <v>0</v>
      </c>
      <c r="E81" s="314">
        <v>0</v>
      </c>
      <c r="F81" s="314">
        <v>62.817</v>
      </c>
      <c r="G81" s="314">
        <v>0</v>
      </c>
      <c r="H81" s="314">
        <v>4.9119999999999999</v>
      </c>
      <c r="I81" s="315">
        <v>2.0910000000000002</v>
      </c>
      <c r="J81" s="315">
        <v>0</v>
      </c>
      <c r="K81" s="312">
        <v>7</v>
      </c>
      <c r="L81" s="292"/>
      <c r="M81" s="292"/>
      <c r="N81" s="292"/>
      <c r="O81" s="292"/>
      <c r="P81" s="292"/>
      <c r="Q81" s="292"/>
      <c r="R81" s="292"/>
      <c r="S81" s="292"/>
    </row>
    <row r="82" spans="1:19">
      <c r="A82" s="291"/>
      <c r="B82" s="292"/>
      <c r="C82" s="292"/>
      <c r="D82" s="314"/>
      <c r="E82" s="314"/>
      <c r="F82" s="314"/>
      <c r="G82" s="314"/>
      <c r="H82" s="314"/>
      <c r="I82" s="314"/>
      <c r="J82" s="314"/>
      <c r="K82" s="292"/>
      <c r="L82" s="292"/>
      <c r="M82" s="292"/>
      <c r="N82" s="292"/>
      <c r="O82" s="292"/>
      <c r="P82" s="292"/>
      <c r="Q82" s="292"/>
      <c r="R82" s="292"/>
      <c r="S82" s="292"/>
    </row>
    <row r="83" spans="1:19">
      <c r="A83" s="291"/>
      <c r="B83" s="292" t="s">
        <v>357</v>
      </c>
      <c r="C83" s="292"/>
      <c r="D83" s="314">
        <v>89.065516906892114</v>
      </c>
      <c r="E83" s="314">
        <v>74.906880517649498</v>
      </c>
      <c r="F83" s="314">
        <v>70.829927420308934</v>
      </c>
      <c r="G83" s="314">
        <v>65.771861533166515</v>
      </c>
      <c r="H83" s="314"/>
      <c r="I83" s="314"/>
      <c r="J83" s="314"/>
      <c r="K83" s="292"/>
      <c r="L83" s="292"/>
      <c r="M83" s="292"/>
      <c r="N83" s="292"/>
      <c r="O83" s="292"/>
      <c r="P83" s="292"/>
      <c r="Q83" s="292"/>
      <c r="R83" s="292"/>
      <c r="S83" s="292"/>
    </row>
    <row r="84" spans="1:19">
      <c r="A84" s="291"/>
      <c r="B84" s="292"/>
      <c r="C84" s="292"/>
      <c r="D84" s="317"/>
      <c r="E84" s="317"/>
      <c r="F84" s="317"/>
      <c r="G84" s="317"/>
      <c r="H84" s="317"/>
      <c r="I84" s="317"/>
      <c r="J84" s="317"/>
      <c r="K84" s="292"/>
      <c r="L84" s="292"/>
      <c r="M84" s="292"/>
      <c r="N84" s="292"/>
      <c r="O84" s="292"/>
      <c r="P84" s="292"/>
      <c r="Q84" s="292"/>
      <c r="R84" s="292"/>
      <c r="S84" s="292"/>
    </row>
    <row r="85" spans="1:19">
      <c r="A85" s="292"/>
      <c r="B85" s="292"/>
      <c r="C85" s="292"/>
      <c r="D85" s="292"/>
      <c r="E85" s="292"/>
      <c r="F85" s="292"/>
      <c r="G85" s="292"/>
      <c r="H85" s="292"/>
      <c r="I85" s="292"/>
      <c r="J85" s="292"/>
      <c r="K85" s="292"/>
      <c r="L85" s="292"/>
      <c r="M85" s="292"/>
      <c r="N85" s="292"/>
      <c r="O85" s="292"/>
      <c r="P85" s="292"/>
      <c r="Q85" s="292"/>
      <c r="R85" s="292"/>
      <c r="S85" s="292"/>
    </row>
    <row r="86" spans="1:19">
      <c r="A86" s="292"/>
      <c r="B86" s="318"/>
      <c r="C86" s="292"/>
      <c r="D86" s="292"/>
      <c r="E86" s="292"/>
      <c r="F86" s="292"/>
      <c r="G86" s="292"/>
      <c r="H86" s="292"/>
      <c r="I86" s="292"/>
      <c r="J86" s="292"/>
      <c r="K86" s="292"/>
      <c r="L86" s="292"/>
      <c r="M86" s="292"/>
      <c r="N86" s="292"/>
      <c r="O86" s="292"/>
      <c r="P86" s="292"/>
      <c r="Q86" s="292"/>
      <c r="R86" s="292"/>
      <c r="S86" s="292"/>
    </row>
    <row r="87" spans="1:19">
      <c r="A87" s="291"/>
      <c r="B87" s="292" t="s">
        <v>432</v>
      </c>
      <c r="C87" s="292"/>
      <c r="D87" s="317"/>
      <c r="E87" s="317"/>
      <c r="F87" s="317"/>
      <c r="G87" s="317"/>
      <c r="H87" s="317"/>
      <c r="I87" s="317"/>
      <c r="J87" s="317"/>
      <c r="K87" s="292"/>
      <c r="L87" s="292"/>
      <c r="M87" s="292"/>
      <c r="N87" s="292"/>
      <c r="O87" s="292"/>
      <c r="P87" s="292"/>
      <c r="Q87" s="292"/>
      <c r="R87" s="292"/>
      <c r="S87" s="292"/>
    </row>
    <row r="88" spans="1:19">
      <c r="A88" s="291"/>
      <c r="B88" s="319" t="s">
        <v>433</v>
      </c>
      <c r="C88" s="292"/>
      <c r="D88" s="317"/>
      <c r="E88" s="317"/>
      <c r="F88" s="317"/>
      <c r="G88" s="317"/>
      <c r="H88" s="317"/>
      <c r="I88" s="317"/>
      <c r="J88" s="317"/>
      <c r="K88" s="292"/>
      <c r="L88" s="292"/>
      <c r="M88" s="292"/>
      <c r="N88" s="292"/>
      <c r="O88" s="292"/>
      <c r="P88" s="292"/>
      <c r="Q88" s="292"/>
      <c r="R88" s="292"/>
      <c r="S88" s="292"/>
    </row>
    <row r="89" spans="1:19">
      <c r="A89" s="291"/>
      <c r="B89" s="292" t="s">
        <v>434</v>
      </c>
      <c r="C89" s="292"/>
      <c r="D89" s="317"/>
      <c r="E89" s="317"/>
      <c r="F89" s="317"/>
      <c r="G89" s="317"/>
      <c r="H89" s="317"/>
      <c r="I89" s="317"/>
      <c r="J89" s="317"/>
      <c r="K89" s="292"/>
      <c r="L89" s="292"/>
      <c r="M89" s="292"/>
      <c r="N89" s="292"/>
      <c r="O89" s="292"/>
      <c r="P89" s="292"/>
      <c r="Q89" s="292"/>
      <c r="R89" s="292"/>
      <c r="S89" s="292"/>
    </row>
    <row r="90" spans="1:19">
      <c r="A90" s="291"/>
      <c r="B90" s="292" t="s">
        <v>435</v>
      </c>
      <c r="C90" s="292"/>
      <c r="D90" s="317"/>
      <c r="E90" s="317"/>
      <c r="F90" s="317"/>
      <c r="G90" s="317"/>
      <c r="H90" s="317"/>
      <c r="I90" s="317"/>
      <c r="J90" s="317"/>
      <c r="K90" s="292"/>
      <c r="L90" s="292"/>
      <c r="M90" s="292"/>
      <c r="N90" s="292"/>
      <c r="O90" s="292"/>
      <c r="P90" s="292"/>
      <c r="Q90" s="292"/>
      <c r="R90" s="292"/>
      <c r="S90" s="292"/>
    </row>
    <row r="91" spans="1:19">
      <c r="A91" s="291"/>
      <c r="B91" s="292" t="s">
        <v>359</v>
      </c>
      <c r="C91" s="292"/>
      <c r="D91" s="317"/>
      <c r="E91" s="317"/>
      <c r="F91" s="317"/>
      <c r="G91" s="317"/>
      <c r="H91" s="317"/>
      <c r="I91" s="317"/>
      <c r="J91" s="317"/>
      <c r="K91" s="292"/>
      <c r="L91" s="292"/>
      <c r="M91" s="292"/>
      <c r="N91" s="292"/>
      <c r="O91" s="292"/>
      <c r="P91" s="292"/>
      <c r="Q91" s="292"/>
      <c r="R91" s="292"/>
      <c r="S91" s="292"/>
    </row>
    <row r="92" spans="1:19">
      <c r="A92" s="291"/>
      <c r="B92" s="292"/>
      <c r="C92" s="292"/>
      <c r="D92" s="317"/>
      <c r="E92" s="317"/>
      <c r="F92" s="317"/>
      <c r="G92" s="317"/>
      <c r="H92" s="317"/>
      <c r="I92" s="317"/>
      <c r="J92" s="317"/>
      <c r="K92" s="292"/>
      <c r="L92" s="292"/>
      <c r="M92" s="292"/>
      <c r="N92" s="292"/>
      <c r="O92" s="292"/>
      <c r="P92" s="292"/>
      <c r="Q92" s="292"/>
      <c r="R92" s="292"/>
      <c r="S92" s="292"/>
    </row>
    <row r="93" spans="1:19">
      <c r="A93" s="291"/>
      <c r="B93" s="292" t="s">
        <v>436</v>
      </c>
      <c r="C93" s="292"/>
      <c r="D93" s="317"/>
      <c r="E93" s="317"/>
      <c r="F93" s="317"/>
      <c r="G93" s="317"/>
      <c r="H93" s="317"/>
      <c r="I93" s="317"/>
      <c r="J93" s="317"/>
      <c r="K93" s="292"/>
      <c r="L93" s="292"/>
      <c r="M93" s="292"/>
      <c r="N93" s="292"/>
      <c r="O93" s="292"/>
      <c r="P93" s="292"/>
      <c r="Q93" s="292"/>
      <c r="R93" s="292"/>
      <c r="S93" s="292"/>
    </row>
    <row r="94" spans="1:19">
      <c r="A94" s="291"/>
      <c r="B94" s="292"/>
      <c r="C94" s="292"/>
      <c r="D94" s="292"/>
      <c r="E94" s="292"/>
      <c r="F94" s="292"/>
      <c r="G94" s="292"/>
      <c r="H94" s="292"/>
      <c r="I94" s="292"/>
      <c r="J94" s="292"/>
      <c r="K94" s="292"/>
      <c r="L94" s="292"/>
      <c r="M94" s="292"/>
      <c r="N94" s="292"/>
      <c r="O94" s="292"/>
      <c r="P94" s="292"/>
      <c r="Q94" s="292"/>
      <c r="R94" s="292"/>
      <c r="S94" s="292"/>
    </row>
    <row r="95" spans="1:19">
      <c r="A95" s="291"/>
      <c r="B95" s="292"/>
      <c r="C95" s="292"/>
      <c r="D95" s="292"/>
      <c r="E95" s="292"/>
      <c r="F95" s="292"/>
      <c r="G95" s="292"/>
      <c r="H95" s="292"/>
      <c r="I95" s="292"/>
      <c r="J95" s="292"/>
      <c r="K95" s="292"/>
      <c r="L95" s="292"/>
      <c r="M95" s="292"/>
      <c r="N95" s="292"/>
      <c r="O95" s="292"/>
      <c r="P95" s="292"/>
      <c r="Q95" s="292"/>
      <c r="R95" s="292"/>
      <c r="S95" s="292"/>
    </row>
    <row r="96" spans="1:19">
      <c r="A96" s="291"/>
      <c r="B96" s="292"/>
      <c r="C96" s="292"/>
      <c r="D96" s="292"/>
      <c r="E96" s="292"/>
      <c r="F96" s="292"/>
      <c r="G96" s="292"/>
      <c r="H96" s="292"/>
      <c r="I96" s="292"/>
      <c r="J96" s="292"/>
      <c r="K96" s="292"/>
      <c r="L96" s="292"/>
      <c r="M96" s="292"/>
      <c r="N96" s="292"/>
      <c r="O96" s="292"/>
      <c r="P96" s="292"/>
      <c r="Q96" s="292"/>
      <c r="R96" s="292"/>
      <c r="S96" s="292"/>
    </row>
    <row r="97" spans="1:19">
      <c r="A97" s="291"/>
      <c r="B97" s="318" t="str">
        <f>"Note: Rates include Sch. 150 (Purch. Gas Cost Adj.)"</f>
        <v>Note: Rates include Sch. 150 (Purch. Gas Cost Adj.)</v>
      </c>
      <c r="C97" s="292"/>
      <c r="D97" s="292"/>
      <c r="E97" s="292"/>
      <c r="F97" s="292"/>
      <c r="G97" s="292"/>
      <c r="H97" s="292"/>
      <c r="I97" s="292"/>
      <c r="J97" s="292"/>
      <c r="K97" s="292"/>
      <c r="L97" s="292"/>
      <c r="M97" s="292"/>
      <c r="N97" s="292"/>
      <c r="O97" s="292"/>
      <c r="P97" s="292"/>
      <c r="Q97" s="292"/>
      <c r="R97" s="292"/>
      <c r="S97" s="292"/>
    </row>
    <row r="98" spans="1:19">
      <c r="A98" s="291"/>
      <c r="B98" s="292"/>
      <c r="C98" s="292"/>
      <c r="D98" s="292"/>
      <c r="E98" s="292"/>
      <c r="F98" s="292"/>
      <c r="G98" s="292"/>
      <c r="H98" s="292"/>
      <c r="I98" s="292"/>
      <c r="J98" s="292"/>
      <c r="K98" s="292"/>
      <c r="L98" s="292"/>
      <c r="M98" s="292"/>
      <c r="N98" s="292"/>
      <c r="O98" s="292"/>
      <c r="P98" s="292"/>
      <c r="Q98" s="292"/>
      <c r="R98" s="292"/>
      <c r="S98" s="292"/>
    </row>
    <row r="99" spans="1:19">
      <c r="A99" s="291"/>
      <c r="B99" s="292"/>
      <c r="C99" s="292"/>
      <c r="D99" s="292"/>
      <c r="E99" s="292"/>
      <c r="F99" s="292"/>
      <c r="G99" s="292"/>
      <c r="H99" s="292"/>
      <c r="I99" s="292"/>
      <c r="J99" s="292"/>
      <c r="K99" s="292"/>
      <c r="L99" s="292"/>
      <c r="M99" s="292"/>
      <c r="N99" s="292"/>
      <c r="O99" s="292"/>
      <c r="P99" s="292"/>
      <c r="Q99" s="292"/>
      <c r="R99" s="292"/>
      <c r="S99" s="292"/>
    </row>
    <row r="100" spans="1:19">
      <c r="A100" s="291"/>
      <c r="B100" s="292"/>
      <c r="C100" s="292"/>
      <c r="D100" s="292"/>
      <c r="E100" s="292"/>
      <c r="F100" s="292"/>
      <c r="G100" s="292"/>
      <c r="H100" s="292"/>
      <c r="I100" s="292"/>
      <c r="J100" s="293" t="s">
        <v>310</v>
      </c>
      <c r="K100" s="292"/>
      <c r="L100" s="292"/>
      <c r="M100" s="292"/>
      <c r="N100" s="292"/>
      <c r="O100" s="292"/>
      <c r="P100" s="292"/>
      <c r="Q100" s="292"/>
      <c r="R100" s="292"/>
      <c r="S100" s="292"/>
    </row>
    <row r="101" spans="1:19">
      <c r="A101" s="291"/>
      <c r="B101" s="292"/>
      <c r="C101" s="292"/>
      <c r="D101" s="292"/>
      <c r="E101" s="292"/>
      <c r="F101" s="292"/>
      <c r="G101" s="292"/>
      <c r="H101" s="292"/>
      <c r="I101" s="292"/>
      <c r="J101" s="259" t="s">
        <v>311</v>
      </c>
      <c r="K101" s="292"/>
      <c r="L101" s="292"/>
      <c r="M101" s="292"/>
      <c r="N101" s="292"/>
      <c r="O101" s="292"/>
      <c r="P101" s="292"/>
      <c r="Q101" s="292"/>
      <c r="R101" s="292"/>
      <c r="S101" s="292"/>
    </row>
    <row r="102" spans="1:19">
      <c r="A102" s="294" t="s">
        <v>312</v>
      </c>
      <c r="B102" s="293"/>
      <c r="C102" s="293" t="s">
        <v>313</v>
      </c>
      <c r="D102" s="293" t="s">
        <v>314</v>
      </c>
      <c r="E102" s="293" t="s">
        <v>315</v>
      </c>
      <c r="F102" s="293" t="s">
        <v>316</v>
      </c>
      <c r="G102" s="293" t="s">
        <v>317</v>
      </c>
      <c r="H102" s="293" t="s">
        <v>310</v>
      </c>
      <c r="I102" s="293" t="s">
        <v>310</v>
      </c>
      <c r="J102" s="293" t="s">
        <v>318</v>
      </c>
      <c r="K102" s="293"/>
      <c r="L102" s="293"/>
      <c r="M102" s="293"/>
      <c r="N102" s="293"/>
      <c r="O102" s="293"/>
      <c r="P102" s="293"/>
      <c r="Q102" s="293"/>
      <c r="R102" s="293"/>
      <c r="S102" s="293"/>
    </row>
    <row r="103" spans="1:19">
      <c r="A103" s="294" t="s">
        <v>319</v>
      </c>
      <c r="B103" s="260"/>
      <c r="C103" s="260" t="s">
        <v>320</v>
      </c>
      <c r="D103" s="260" t="s">
        <v>321</v>
      </c>
      <c r="E103" s="260" t="s">
        <v>346</v>
      </c>
      <c r="F103" s="260" t="s">
        <v>347</v>
      </c>
      <c r="G103" s="260" t="s">
        <v>348</v>
      </c>
      <c r="H103" s="260" t="s">
        <v>325</v>
      </c>
      <c r="I103" s="260" t="s">
        <v>326</v>
      </c>
      <c r="J103" s="260" t="s">
        <v>327</v>
      </c>
      <c r="K103" s="293"/>
      <c r="L103" s="293"/>
      <c r="M103" s="293"/>
      <c r="N103" s="293"/>
      <c r="O103" s="293"/>
      <c r="P103" s="293"/>
      <c r="Q103" s="293"/>
      <c r="R103" s="293"/>
      <c r="S103" s="293"/>
    </row>
    <row r="104" spans="1:19">
      <c r="A104" s="291"/>
      <c r="B104" s="261" t="s">
        <v>360</v>
      </c>
      <c r="C104" s="320"/>
      <c r="D104" s="320"/>
      <c r="E104" s="320"/>
      <c r="F104" s="320"/>
      <c r="G104" s="320"/>
      <c r="H104" s="320"/>
      <c r="I104" s="320"/>
      <c r="J104" s="320"/>
      <c r="K104" s="292"/>
      <c r="L104" s="292"/>
      <c r="M104" s="292"/>
      <c r="N104" s="292"/>
      <c r="O104" s="292"/>
      <c r="P104" s="292"/>
      <c r="Q104" s="292"/>
      <c r="R104" s="292"/>
      <c r="S104" s="292"/>
    </row>
    <row r="105" spans="1:19">
      <c r="A105" s="291"/>
      <c r="B105" s="292" t="s">
        <v>361</v>
      </c>
      <c r="C105" s="320"/>
      <c r="D105" s="320"/>
      <c r="E105" s="320"/>
      <c r="F105" s="320"/>
      <c r="G105" s="320"/>
      <c r="H105" s="320"/>
      <c r="I105" s="320"/>
      <c r="J105" s="320"/>
      <c r="K105" s="292"/>
      <c r="L105" s="292"/>
      <c r="M105" s="292"/>
      <c r="N105" s="292"/>
      <c r="O105" s="292"/>
      <c r="P105" s="292"/>
      <c r="Q105" s="292"/>
      <c r="R105" s="292"/>
      <c r="S105" s="292"/>
    </row>
    <row r="106" spans="1:19">
      <c r="A106" s="291"/>
      <c r="B106" s="321" t="s">
        <v>350</v>
      </c>
      <c r="C106" s="322">
        <f t="shared" ref="C106:C113" si="13">SUM(D106:J106)</f>
        <v>16645071</v>
      </c>
      <c r="D106" s="323">
        <f t="shared" ref="D106:J107" si="14">D25*D56</f>
        <v>16091487</v>
      </c>
      <c r="E106" s="323">
        <f t="shared" si="14"/>
        <v>0</v>
      </c>
      <c r="F106" s="323">
        <f t="shared" si="14"/>
        <v>0</v>
      </c>
      <c r="G106" s="323">
        <f t="shared" si="14"/>
        <v>0</v>
      </c>
      <c r="H106" s="323">
        <f>H25*H56</f>
        <v>228000</v>
      </c>
      <c r="I106" s="323">
        <f>I25*I56</f>
        <v>9600</v>
      </c>
      <c r="J106" s="323">
        <f t="shared" si="14"/>
        <v>315984</v>
      </c>
      <c r="K106" s="292"/>
      <c r="L106" s="292"/>
      <c r="M106" s="292"/>
      <c r="N106" s="292"/>
      <c r="O106" s="292"/>
      <c r="P106" s="292"/>
      <c r="Q106" s="292"/>
      <c r="R106" s="292"/>
      <c r="S106" s="292"/>
    </row>
    <row r="107" spans="1:19">
      <c r="A107" s="291"/>
      <c r="B107" s="321" t="s">
        <v>431</v>
      </c>
      <c r="C107" s="324">
        <f t="shared" si="13"/>
        <v>2771394.6226299964</v>
      </c>
      <c r="D107" s="300">
        <f>D26*D57</f>
        <v>0</v>
      </c>
      <c r="E107" s="300">
        <f>E26*E57</f>
        <v>2671866.8799999962</v>
      </c>
      <c r="F107" s="300">
        <f t="shared" si="14"/>
        <v>72320.639999999999</v>
      </c>
      <c r="G107" s="300">
        <f t="shared" si="14"/>
        <v>0</v>
      </c>
      <c r="H107" s="300">
        <v>27207.102630000001</v>
      </c>
      <c r="I107" s="300">
        <f t="shared" si="14"/>
        <v>0</v>
      </c>
      <c r="J107" s="300">
        <f t="shared" si="14"/>
        <v>0</v>
      </c>
      <c r="K107" s="292"/>
      <c r="L107" s="292"/>
      <c r="M107" s="292"/>
      <c r="N107" s="292"/>
      <c r="O107" s="292"/>
      <c r="P107" s="292"/>
      <c r="Q107" s="292"/>
      <c r="R107" s="292"/>
      <c r="S107" s="292"/>
    </row>
    <row r="108" spans="1:19">
      <c r="A108" s="291"/>
      <c r="B108" s="321" t="s">
        <v>330</v>
      </c>
      <c r="C108" s="324">
        <f t="shared" si="13"/>
        <v>67014460.880000003</v>
      </c>
      <c r="D108" s="300">
        <f>ROUND(D8*D59/100,2)</f>
        <v>62508298.890000001</v>
      </c>
      <c r="E108" s="300">
        <f t="shared" ref="D108:J112" si="15">ROUND(E8*E59/100,2)</f>
        <v>2865449.97</v>
      </c>
      <c r="F108" s="300">
        <f t="shared" si="15"/>
        <v>84157.43</v>
      </c>
      <c r="G108" s="300">
        <f t="shared" si="15"/>
        <v>166305.81</v>
      </c>
      <c r="H108" s="300">
        <f t="shared" si="15"/>
        <v>693152.57</v>
      </c>
      <c r="I108" s="300">
        <f>ROUND(I8*I59/100,2)</f>
        <v>592891.6</v>
      </c>
      <c r="J108" s="300">
        <f>ROUND(J8*J59/100,2)</f>
        <v>104204.61</v>
      </c>
      <c r="K108" s="292"/>
      <c r="L108" s="292"/>
      <c r="M108" s="292"/>
      <c r="N108" s="292"/>
      <c r="O108" s="292"/>
      <c r="P108" s="292"/>
      <c r="Q108" s="292"/>
      <c r="R108" s="292"/>
      <c r="S108" s="292"/>
    </row>
    <row r="109" spans="1:19">
      <c r="A109" s="291"/>
      <c r="B109" s="321" t="s">
        <v>331</v>
      </c>
      <c r="C109" s="324">
        <f t="shared" si="13"/>
        <v>60433043.419999994</v>
      </c>
      <c r="D109" s="300">
        <f t="shared" si="15"/>
        <v>47114288.359999999</v>
      </c>
      <c r="E109" s="300">
        <f t="shared" si="15"/>
        <v>12090803.76</v>
      </c>
      <c r="F109" s="300">
        <f t="shared" si="15"/>
        <v>137813.72</v>
      </c>
      <c r="G109" s="300">
        <f t="shared" si="15"/>
        <v>204323.58</v>
      </c>
      <c r="H109" s="300">
        <f t="shared" si="15"/>
        <v>579303.56000000006</v>
      </c>
      <c r="I109" s="300">
        <f t="shared" si="15"/>
        <v>306510.44</v>
      </c>
      <c r="J109" s="300">
        <f t="shared" si="15"/>
        <v>0</v>
      </c>
      <c r="K109" s="292"/>
      <c r="L109" s="292"/>
      <c r="M109" s="292"/>
      <c r="N109" s="292"/>
      <c r="O109" s="292"/>
      <c r="P109" s="292"/>
      <c r="Q109" s="292"/>
      <c r="R109" s="292"/>
      <c r="S109" s="292"/>
    </row>
    <row r="110" spans="1:19">
      <c r="A110" s="291"/>
      <c r="B110" s="321" t="s">
        <v>332</v>
      </c>
      <c r="C110" s="324">
        <f t="shared" si="13"/>
        <v>24342600.629999999</v>
      </c>
      <c r="D110" s="300">
        <f t="shared" si="15"/>
        <v>0</v>
      </c>
      <c r="E110" s="300">
        <f t="shared" si="15"/>
        <v>21191021.77</v>
      </c>
      <c r="F110" s="300">
        <f t="shared" si="15"/>
        <v>2021841.24</v>
      </c>
      <c r="G110" s="300">
        <f t="shared" si="15"/>
        <v>232822.16</v>
      </c>
      <c r="H110" s="300">
        <f t="shared" si="15"/>
        <v>836341.46</v>
      </c>
      <c r="I110" s="300">
        <f t="shared" si="15"/>
        <v>60574</v>
      </c>
      <c r="J110" s="300">
        <f t="shared" si="15"/>
        <v>0</v>
      </c>
      <c r="K110" s="292"/>
      <c r="L110" s="292"/>
      <c r="M110" s="292"/>
      <c r="N110" s="292"/>
      <c r="O110" s="292"/>
      <c r="P110" s="292"/>
      <c r="Q110" s="292"/>
      <c r="R110" s="292"/>
      <c r="S110" s="292"/>
    </row>
    <row r="111" spans="1:19">
      <c r="A111" s="291"/>
      <c r="B111" s="321" t="s">
        <v>333</v>
      </c>
      <c r="C111" s="324">
        <f t="shared" si="13"/>
        <v>1733193.71</v>
      </c>
      <c r="D111" s="300">
        <f t="shared" si="15"/>
        <v>0</v>
      </c>
      <c r="E111" s="300">
        <f t="shared" si="15"/>
        <v>0</v>
      </c>
      <c r="F111" s="300">
        <f t="shared" si="15"/>
        <v>1262928.96</v>
      </c>
      <c r="G111" s="300">
        <f t="shared" si="15"/>
        <v>130367.74</v>
      </c>
      <c r="H111" s="300">
        <f t="shared" si="15"/>
        <v>187771.96</v>
      </c>
      <c r="I111" s="300">
        <f t="shared" si="15"/>
        <v>152125.04999999999</v>
      </c>
      <c r="J111" s="300">
        <f t="shared" si="15"/>
        <v>0</v>
      </c>
      <c r="K111" s="292"/>
      <c r="L111" s="292"/>
      <c r="M111" s="292"/>
      <c r="N111" s="292"/>
      <c r="O111" s="292"/>
      <c r="P111" s="292"/>
      <c r="Q111" s="292"/>
      <c r="R111" s="292"/>
      <c r="S111" s="292"/>
    </row>
    <row r="112" spans="1:19">
      <c r="A112" s="291"/>
      <c r="B112" s="321" t="s">
        <v>334</v>
      </c>
      <c r="C112" s="324">
        <f t="shared" si="13"/>
        <v>713913.55999999994</v>
      </c>
      <c r="D112" s="300">
        <f t="shared" si="15"/>
        <v>0</v>
      </c>
      <c r="E112" s="300">
        <f t="shared" si="15"/>
        <v>0</v>
      </c>
      <c r="F112" s="300">
        <f t="shared" si="15"/>
        <v>624208.76</v>
      </c>
      <c r="G112" s="300">
        <f t="shared" si="15"/>
        <v>0</v>
      </c>
      <c r="H112" s="300">
        <f t="shared" si="15"/>
        <v>25018.98</v>
      </c>
      <c r="I112" s="300">
        <f t="shared" si="15"/>
        <v>64685.82</v>
      </c>
      <c r="J112" s="300">
        <f t="shared" si="15"/>
        <v>0</v>
      </c>
      <c r="K112" s="292"/>
      <c r="L112" s="292"/>
      <c r="M112" s="292"/>
      <c r="N112" s="292"/>
      <c r="O112" s="292"/>
      <c r="P112" s="292"/>
      <c r="Q112" s="292"/>
      <c r="R112" s="292"/>
      <c r="S112" s="292"/>
    </row>
    <row r="113" spans="1:19">
      <c r="A113" s="291"/>
      <c r="B113" s="321" t="s">
        <v>362</v>
      </c>
      <c r="C113" s="324">
        <f t="shared" si="13"/>
        <v>0</v>
      </c>
      <c r="D113" s="300"/>
      <c r="E113" s="300"/>
      <c r="F113" s="300"/>
      <c r="G113" s="300"/>
      <c r="H113" s="300"/>
      <c r="I113" s="300"/>
      <c r="J113" s="325">
        <v>0</v>
      </c>
      <c r="K113" s="292"/>
      <c r="L113" s="292"/>
      <c r="M113" s="292"/>
      <c r="N113" s="292"/>
      <c r="O113" s="292"/>
      <c r="P113" s="292"/>
      <c r="Q113" s="292"/>
      <c r="R113" s="292"/>
      <c r="S113" s="292"/>
    </row>
    <row r="114" spans="1:19">
      <c r="A114" s="292"/>
      <c r="B114" s="292"/>
      <c r="C114" s="269"/>
      <c r="D114" s="269"/>
      <c r="E114" s="269"/>
      <c r="F114" s="269"/>
      <c r="G114" s="269"/>
      <c r="H114" s="270"/>
      <c r="I114" s="269"/>
      <c r="J114" s="270"/>
      <c r="K114" s="292"/>
      <c r="L114" s="292"/>
      <c r="M114" s="292"/>
      <c r="N114" s="292"/>
      <c r="O114" s="292"/>
      <c r="P114" s="292"/>
      <c r="Q114" s="292"/>
      <c r="R114" s="292"/>
      <c r="S114" s="292"/>
    </row>
    <row r="115" spans="1:19">
      <c r="A115" s="291"/>
      <c r="B115" s="292" t="s">
        <v>335</v>
      </c>
      <c r="C115" s="268">
        <f>IF(ROUND(SUM(D115:J115),3)&lt;&gt;ROUND(SUM(C106:C113),3),#VALUE!,SUM(D115:J115))</f>
        <v>173653677.82262999</v>
      </c>
      <c r="D115" s="267">
        <f t="shared" ref="D115:I115" si="16">SUM(D106:D113)</f>
        <v>125714074.25</v>
      </c>
      <c r="E115" s="267">
        <f t="shared" si="16"/>
        <v>38819142.379999995</v>
      </c>
      <c r="F115" s="267">
        <f t="shared" si="16"/>
        <v>4203270.75</v>
      </c>
      <c r="G115" s="267">
        <f t="shared" si="16"/>
        <v>733819.29</v>
      </c>
      <c r="H115" s="267">
        <f>SUM(H106:H113)</f>
        <v>2576795.6326299999</v>
      </c>
      <c r="I115" s="267">
        <f t="shared" si="16"/>
        <v>1186386.9100000001</v>
      </c>
      <c r="J115" s="267">
        <f>SUM(J106:J113)</f>
        <v>420188.61</v>
      </c>
      <c r="K115" s="292"/>
      <c r="L115" s="292"/>
      <c r="M115" s="292"/>
      <c r="N115" s="292"/>
      <c r="O115" s="292"/>
      <c r="P115" s="292"/>
      <c r="Q115" s="292"/>
      <c r="R115" s="292"/>
      <c r="S115" s="292"/>
    </row>
    <row r="116" spans="1:19">
      <c r="A116" s="292"/>
      <c r="B116" s="292" t="s">
        <v>345</v>
      </c>
      <c r="C116" s="271"/>
      <c r="D116" s="272"/>
      <c r="E116" s="272"/>
      <c r="F116" s="272"/>
      <c r="G116" s="272"/>
      <c r="H116" s="272"/>
      <c r="I116" s="272"/>
      <c r="J116" s="272"/>
      <c r="K116" s="292"/>
      <c r="L116" s="292"/>
      <c r="M116" s="292"/>
      <c r="N116" s="292"/>
      <c r="O116" s="292"/>
      <c r="P116" s="292"/>
      <c r="Q116" s="292"/>
      <c r="R116" s="292"/>
      <c r="S116" s="292"/>
    </row>
    <row r="117" spans="1:19">
      <c r="A117" s="291"/>
      <c r="B117" s="292"/>
      <c r="C117" s="322"/>
      <c r="D117" s="320"/>
      <c r="E117" s="320"/>
      <c r="F117" s="320"/>
      <c r="G117" s="320"/>
      <c r="H117" s="320"/>
      <c r="I117" s="320"/>
      <c r="J117" s="320"/>
      <c r="K117" s="292"/>
      <c r="L117" s="292"/>
      <c r="M117" s="292"/>
      <c r="N117" s="292"/>
      <c r="O117" s="292"/>
      <c r="P117" s="292"/>
      <c r="Q117" s="292"/>
      <c r="R117" s="292"/>
      <c r="S117" s="292"/>
    </row>
    <row r="118" spans="1:19">
      <c r="A118" s="291"/>
      <c r="B118" s="292" t="s">
        <v>335</v>
      </c>
      <c r="C118" s="322">
        <f>SUM(D118:J118)</f>
        <v>173653677.82262999</v>
      </c>
      <c r="D118" s="320">
        <f t="shared" ref="D118:J118" si="17">D115+D116</f>
        <v>125714074.25</v>
      </c>
      <c r="E118" s="320">
        <f t="shared" si="17"/>
        <v>38819142.379999995</v>
      </c>
      <c r="F118" s="320">
        <f t="shared" si="17"/>
        <v>4203270.75</v>
      </c>
      <c r="G118" s="320">
        <f t="shared" si="17"/>
        <v>733819.29</v>
      </c>
      <c r="H118" s="320">
        <f>H115+H116</f>
        <v>2576795.6326299999</v>
      </c>
      <c r="I118" s="320">
        <f t="shared" si="17"/>
        <v>1186386.9100000001</v>
      </c>
      <c r="J118" s="320">
        <f t="shared" si="17"/>
        <v>420188.61</v>
      </c>
      <c r="K118" s="292"/>
      <c r="L118" s="292"/>
      <c r="M118" s="292"/>
      <c r="N118" s="292"/>
      <c r="O118" s="292"/>
      <c r="P118" s="292"/>
      <c r="Q118" s="292"/>
      <c r="R118" s="292"/>
      <c r="S118" s="292"/>
    </row>
    <row r="119" spans="1:19">
      <c r="A119" s="291"/>
      <c r="B119" s="292" t="s">
        <v>363</v>
      </c>
      <c r="C119" s="273">
        <f>SUM(D119:J119)</f>
        <v>0</v>
      </c>
      <c r="D119" s="326">
        <f t="shared" ref="D119:J119" si="18">ROUND(D18*D65/100,2)</f>
        <v>0</v>
      </c>
      <c r="E119" s="326">
        <f t="shared" si="18"/>
        <v>0</v>
      </c>
      <c r="F119" s="326">
        <f t="shared" si="18"/>
        <v>0</v>
      </c>
      <c r="G119" s="326">
        <f t="shared" si="18"/>
        <v>0</v>
      </c>
      <c r="H119" s="326">
        <f t="shared" si="18"/>
        <v>0</v>
      </c>
      <c r="I119" s="326">
        <f t="shared" si="18"/>
        <v>0</v>
      </c>
      <c r="J119" s="326">
        <f t="shared" si="18"/>
        <v>0</v>
      </c>
      <c r="K119" s="292"/>
      <c r="L119" s="292"/>
      <c r="M119" s="292"/>
      <c r="N119" s="292"/>
      <c r="O119" s="292"/>
      <c r="P119" s="292"/>
      <c r="Q119" s="292"/>
      <c r="R119" s="292"/>
      <c r="S119" s="292"/>
    </row>
    <row r="120" spans="1:19">
      <c r="A120" s="291"/>
      <c r="B120" s="292"/>
      <c r="C120" s="274"/>
      <c r="D120" s="270"/>
      <c r="E120" s="270"/>
      <c r="F120" s="270"/>
      <c r="G120" s="270"/>
      <c r="H120" s="270"/>
      <c r="I120" s="270"/>
      <c r="J120" s="270"/>
      <c r="K120" s="292"/>
      <c r="L120" s="292"/>
      <c r="M120" s="292"/>
      <c r="N120" s="292"/>
      <c r="O120" s="292"/>
      <c r="P120" s="292"/>
      <c r="Q120" s="292"/>
      <c r="R120" s="292"/>
      <c r="S120" s="292"/>
    </row>
    <row r="121" spans="1:19">
      <c r="A121" s="291"/>
      <c r="B121" s="298" t="s">
        <v>364</v>
      </c>
      <c r="C121" s="322">
        <f>IF(ROUND(C118+C119,3)&lt;&gt;ROUND(SUM(D121:J121),3),#VALUE!,SUM(D121:J121))</f>
        <v>173653677.82262999</v>
      </c>
      <c r="D121" s="320">
        <f t="shared" ref="D121:J121" si="19">D118+D119</f>
        <v>125714074.25</v>
      </c>
      <c r="E121" s="320">
        <f t="shared" si="19"/>
        <v>38819142.379999995</v>
      </c>
      <c r="F121" s="320">
        <f t="shared" si="19"/>
        <v>4203270.75</v>
      </c>
      <c r="G121" s="320">
        <f t="shared" si="19"/>
        <v>733819.29</v>
      </c>
      <c r="H121" s="320">
        <f>H118+H119</f>
        <v>2576795.6326299999</v>
      </c>
      <c r="I121" s="320">
        <f t="shared" si="19"/>
        <v>1186386.9100000001</v>
      </c>
      <c r="J121" s="320">
        <f t="shared" si="19"/>
        <v>420188.61</v>
      </c>
      <c r="K121" s="292"/>
      <c r="L121" s="292"/>
      <c r="M121" s="292"/>
      <c r="N121" s="292"/>
      <c r="O121" s="292"/>
      <c r="P121" s="292"/>
      <c r="Q121" s="292"/>
      <c r="R121" s="292"/>
      <c r="S121" s="292"/>
    </row>
    <row r="122" spans="1:19">
      <c r="A122" s="291"/>
      <c r="B122" s="292"/>
      <c r="C122" s="292"/>
      <c r="D122" s="292"/>
      <c r="E122" s="292"/>
      <c r="F122" s="292"/>
      <c r="G122" s="292"/>
      <c r="H122" s="292"/>
      <c r="I122" s="292"/>
      <c r="J122" s="292"/>
      <c r="K122" s="292"/>
      <c r="L122" s="292"/>
      <c r="M122" s="292"/>
      <c r="N122" s="292"/>
      <c r="O122" s="292"/>
      <c r="P122" s="292"/>
      <c r="Q122" s="292"/>
      <c r="R122" s="292"/>
      <c r="S122" s="292"/>
    </row>
    <row r="123" spans="1:19">
      <c r="A123" s="291"/>
      <c r="B123" s="292"/>
      <c r="C123" s="292"/>
      <c r="D123" s="292"/>
      <c r="E123" s="292"/>
      <c r="F123" s="292"/>
      <c r="G123" s="292"/>
      <c r="H123" s="292"/>
      <c r="I123" s="292"/>
      <c r="J123" s="292"/>
      <c r="K123" s="292"/>
      <c r="L123" s="292"/>
      <c r="M123" s="292"/>
      <c r="N123" s="292"/>
      <c r="O123" s="292"/>
      <c r="P123" s="292"/>
      <c r="Q123" s="292"/>
      <c r="R123" s="292"/>
      <c r="S123" s="292"/>
    </row>
    <row r="124" spans="1:19">
      <c r="A124" s="291"/>
      <c r="B124" s="298" t="s">
        <v>365</v>
      </c>
      <c r="C124" s="320"/>
      <c r="D124" s="320"/>
      <c r="E124" s="320"/>
      <c r="F124" s="320"/>
      <c r="G124" s="320"/>
      <c r="H124" s="320"/>
      <c r="I124" s="320"/>
      <c r="J124" s="320"/>
      <c r="K124" s="292"/>
      <c r="L124" s="292"/>
      <c r="M124" s="292"/>
      <c r="N124" s="292"/>
      <c r="O124" s="292"/>
      <c r="P124" s="292"/>
      <c r="Q124" s="292"/>
      <c r="R124" s="292"/>
      <c r="S124" s="292"/>
    </row>
    <row r="125" spans="1:19">
      <c r="A125" s="291"/>
      <c r="B125" s="275" t="s">
        <v>366</v>
      </c>
      <c r="C125" s="320"/>
      <c r="D125" s="320"/>
      <c r="E125" s="320"/>
      <c r="F125" s="320"/>
      <c r="G125" s="327"/>
      <c r="H125" s="327"/>
      <c r="I125" s="320"/>
      <c r="J125" s="320"/>
      <c r="K125" s="292"/>
      <c r="L125" s="292"/>
      <c r="M125" s="292"/>
      <c r="N125" s="292"/>
      <c r="O125" s="292"/>
      <c r="P125" s="292"/>
      <c r="Q125" s="292"/>
      <c r="R125" s="292"/>
      <c r="S125" s="292"/>
    </row>
    <row r="126" spans="1:19">
      <c r="A126" s="328" t="s">
        <v>437</v>
      </c>
      <c r="B126" s="329" t="s">
        <v>368</v>
      </c>
      <c r="C126" s="330">
        <f>SUM(D126:J126)</f>
        <v>-413938</v>
      </c>
      <c r="D126" s="331">
        <v>-282348</v>
      </c>
      <c r="E126" s="331">
        <v>-70921</v>
      </c>
      <c r="F126" s="331">
        <v>-60669</v>
      </c>
      <c r="G126" s="331"/>
      <c r="H126" s="331"/>
      <c r="I126" s="303"/>
      <c r="J126" s="303"/>
      <c r="K126" s="303"/>
      <c r="L126" s="303"/>
      <c r="M126" s="303"/>
      <c r="N126" s="303"/>
      <c r="O126" s="303"/>
      <c r="P126" s="303"/>
      <c r="Q126" s="303"/>
      <c r="R126" s="303"/>
      <c r="S126" s="303"/>
    </row>
    <row r="127" spans="1:19">
      <c r="A127" s="291" t="s">
        <v>438</v>
      </c>
      <c r="B127" s="332" t="s">
        <v>370</v>
      </c>
      <c r="C127" s="322"/>
      <c r="D127" s="317">
        <f>D65</f>
        <v>89.065516906892114</v>
      </c>
      <c r="E127" s="317">
        <f>E65</f>
        <v>74.906880517649498</v>
      </c>
      <c r="F127" s="317">
        <f>F65</f>
        <v>70.829927420308934</v>
      </c>
      <c r="G127" s="317"/>
      <c r="H127" s="317"/>
      <c r="I127" s="317"/>
      <c r="J127" s="317"/>
      <c r="K127" s="317"/>
      <c r="L127" s="317"/>
      <c r="M127" s="317"/>
      <c r="N127" s="317"/>
      <c r="O127" s="317"/>
      <c r="P127" s="317"/>
      <c r="Q127" s="317"/>
      <c r="R127" s="317"/>
      <c r="S127" s="317"/>
    </row>
    <row r="128" spans="1:19">
      <c r="A128" s="291"/>
      <c r="B128" s="333" t="s">
        <v>371</v>
      </c>
      <c r="C128" s="334">
        <f>SUM(D128:J128)</f>
        <v>-347571.23</v>
      </c>
      <c r="D128" s="270">
        <f>ROUND(D126*D127/100,2)</f>
        <v>-251474.71</v>
      </c>
      <c r="E128" s="270">
        <f>ROUND(E126*E127/100,2)</f>
        <v>-53124.71</v>
      </c>
      <c r="F128" s="270">
        <f>ROUND(F126*F127/100,2)</f>
        <v>-42971.81</v>
      </c>
      <c r="G128" s="270"/>
      <c r="H128" s="270"/>
      <c r="I128" s="270"/>
      <c r="J128" s="270"/>
      <c r="K128" s="320"/>
      <c r="L128" s="320"/>
      <c r="M128" s="320"/>
      <c r="N128" s="320"/>
      <c r="O128" s="320"/>
      <c r="P128" s="320"/>
      <c r="Q128" s="320"/>
      <c r="R128" s="320"/>
      <c r="S128" s="320"/>
    </row>
    <row r="129" spans="1:19">
      <c r="A129" s="291"/>
      <c r="B129" s="333"/>
      <c r="C129" s="334"/>
      <c r="D129" s="320"/>
      <c r="E129" s="320"/>
      <c r="F129" s="320"/>
      <c r="G129" s="320"/>
      <c r="H129" s="320"/>
      <c r="I129" s="320"/>
      <c r="J129" s="320"/>
      <c r="K129" s="320"/>
      <c r="L129" s="320"/>
      <c r="M129" s="320"/>
      <c r="N129" s="320"/>
      <c r="O129" s="320"/>
      <c r="P129" s="320"/>
      <c r="Q129" s="320"/>
      <c r="R129" s="320"/>
      <c r="S129" s="320"/>
    </row>
    <row r="130" spans="1:19">
      <c r="A130" s="328" t="s">
        <v>367</v>
      </c>
      <c r="B130" s="329" t="s">
        <v>372</v>
      </c>
      <c r="C130" s="330">
        <f>SUM(D130:J130)</f>
        <v>0</v>
      </c>
      <c r="D130" s="335">
        <v>0</v>
      </c>
      <c r="E130" s="335">
        <v>0</v>
      </c>
      <c r="F130" s="336"/>
      <c r="G130" s="303"/>
      <c r="H130" s="303"/>
      <c r="I130" s="303"/>
      <c r="J130" s="303"/>
      <c r="K130" s="303"/>
      <c r="L130" s="303"/>
      <c r="M130" s="303"/>
      <c r="N130" s="303"/>
      <c r="O130" s="303"/>
      <c r="P130" s="303"/>
      <c r="Q130" s="303"/>
      <c r="R130" s="303"/>
      <c r="S130" s="303"/>
    </row>
    <row r="131" spans="1:19">
      <c r="A131" s="291" t="s">
        <v>369</v>
      </c>
      <c r="B131" s="332" t="s">
        <v>373</v>
      </c>
      <c r="C131" s="334"/>
      <c r="D131" s="317">
        <f>D59</f>
        <v>84.807999999999993</v>
      </c>
      <c r="E131" s="317">
        <f>I230</f>
        <v>76.500633485366365</v>
      </c>
      <c r="F131" s="337"/>
      <c r="G131" s="317"/>
      <c r="H131" s="317"/>
      <c r="I131" s="317"/>
      <c r="J131" s="317"/>
      <c r="K131" s="317"/>
      <c r="L131" s="317"/>
      <c r="M131" s="317"/>
      <c r="N131" s="317"/>
      <c r="O131" s="317"/>
      <c r="P131" s="317"/>
      <c r="Q131" s="317"/>
      <c r="R131" s="317"/>
      <c r="S131" s="317"/>
    </row>
    <row r="132" spans="1:19">
      <c r="A132" s="291"/>
      <c r="B132" s="333" t="s">
        <v>374</v>
      </c>
      <c r="C132" s="334">
        <f>SUM(D132:J132)</f>
        <v>0</v>
      </c>
      <c r="D132" s="270">
        <f>ROUND(D130*D131/100,2)</f>
        <v>0</v>
      </c>
      <c r="E132" s="270">
        <f>ROUND(E130*E131/100,2)</f>
        <v>0</v>
      </c>
      <c r="F132" s="270"/>
      <c r="G132" s="270"/>
      <c r="H132" s="270"/>
      <c r="I132" s="269"/>
      <c r="J132" s="270"/>
      <c r="K132" s="320"/>
      <c r="L132" s="320"/>
      <c r="M132" s="320"/>
      <c r="N132" s="320"/>
      <c r="O132" s="320"/>
      <c r="P132" s="320"/>
      <c r="Q132" s="320"/>
      <c r="R132" s="320"/>
      <c r="S132" s="320"/>
    </row>
    <row r="133" spans="1:19">
      <c r="A133" s="291"/>
      <c r="B133" s="333"/>
      <c r="C133" s="334"/>
      <c r="D133" s="320"/>
      <c r="E133" s="320"/>
      <c r="F133" s="320"/>
      <c r="G133" s="320"/>
      <c r="H133" s="320"/>
      <c r="I133" s="292"/>
      <c r="J133" s="320"/>
      <c r="K133" s="320"/>
      <c r="L133" s="320"/>
      <c r="M133" s="320"/>
      <c r="N133" s="320"/>
      <c r="O133" s="320"/>
      <c r="P133" s="320"/>
      <c r="Q133" s="320"/>
      <c r="R133" s="320"/>
      <c r="S133" s="320"/>
    </row>
    <row r="134" spans="1:19">
      <c r="A134" s="291"/>
      <c r="B134" s="329" t="s">
        <v>375</v>
      </c>
      <c r="C134" s="330">
        <f>IF(ROUND(SUM(D134:J134),3)&lt;&gt;ROUND(C126+C130,3),#VALUE!,SUM(D134:J134))</f>
        <v>-413938</v>
      </c>
      <c r="D134" s="330">
        <f>D126+D130</f>
        <v>-282348</v>
      </c>
      <c r="E134" s="330">
        <f>E126+E130</f>
        <v>-70921</v>
      </c>
      <c r="F134" s="326">
        <f>F126+F130</f>
        <v>-60669</v>
      </c>
      <c r="G134" s="326"/>
      <c r="H134" s="326"/>
      <c r="I134" s="326"/>
      <c r="J134" s="326"/>
      <c r="K134" s="303"/>
      <c r="L134" s="303"/>
      <c r="M134" s="303"/>
      <c r="N134" s="303"/>
      <c r="O134" s="303"/>
      <c r="P134" s="303"/>
      <c r="Q134" s="303"/>
      <c r="R134" s="303"/>
      <c r="S134" s="303"/>
    </row>
    <row r="135" spans="1:19">
      <c r="A135" s="291"/>
      <c r="B135" s="333" t="s">
        <v>376</v>
      </c>
      <c r="C135" s="334">
        <f>IF(ROUND(SUM(D135:J135),3)&lt;&gt;ROUND(C128+C132,3),#VALUE!,SUM(D135:J135))</f>
        <v>-347571.23</v>
      </c>
      <c r="D135" s="320">
        <f>D128+D132</f>
        <v>-251474.71</v>
      </c>
      <c r="E135" s="320">
        <f>E128+E132</f>
        <v>-53124.71</v>
      </c>
      <c r="F135" s="320">
        <f>F128+F132</f>
        <v>-42971.81</v>
      </c>
      <c r="G135" s="320"/>
      <c r="H135" s="320"/>
      <c r="I135" s="320"/>
      <c r="J135" s="320"/>
      <c r="K135" s="320"/>
      <c r="L135" s="320"/>
      <c r="M135" s="320"/>
      <c r="N135" s="320"/>
      <c r="O135" s="320"/>
      <c r="P135" s="320"/>
      <c r="Q135" s="320"/>
      <c r="R135" s="320"/>
      <c r="S135" s="320"/>
    </row>
    <row r="136" spans="1:19">
      <c r="A136" s="291"/>
      <c r="B136" s="275" t="s">
        <v>377</v>
      </c>
      <c r="C136" s="334"/>
      <c r="D136" s="320"/>
      <c r="E136" s="320"/>
      <c r="F136" s="320"/>
      <c r="G136" s="320"/>
      <c r="H136" s="320"/>
      <c r="I136" s="320"/>
      <c r="J136" s="320"/>
      <c r="K136" s="292"/>
      <c r="L136" s="292"/>
      <c r="M136" s="292"/>
      <c r="N136" s="292"/>
      <c r="O136" s="292"/>
      <c r="P136" s="292"/>
      <c r="Q136" s="292"/>
      <c r="R136" s="292"/>
      <c r="S136" s="292"/>
    </row>
    <row r="137" spans="1:19">
      <c r="A137" s="328" t="s">
        <v>439</v>
      </c>
      <c r="B137" s="329" t="s">
        <v>372</v>
      </c>
      <c r="C137" s="330">
        <f>SUM(D137:J137)</f>
        <v>-2761469</v>
      </c>
      <c r="D137" s="338">
        <v>-2076886</v>
      </c>
      <c r="E137" s="338">
        <v>-648079</v>
      </c>
      <c r="F137" s="338">
        <v>-36504</v>
      </c>
      <c r="G137" s="339"/>
      <c r="H137" s="326"/>
      <c r="I137" s="303"/>
      <c r="J137" s="303"/>
      <c r="K137" s="303"/>
      <c r="L137" s="303"/>
      <c r="M137" s="303"/>
      <c r="N137" s="303"/>
      <c r="O137" s="303"/>
      <c r="P137" s="303"/>
      <c r="Q137" s="303"/>
      <c r="R137" s="303"/>
      <c r="S137" s="303"/>
    </row>
    <row r="138" spans="1:19">
      <c r="A138" s="291" t="s">
        <v>438</v>
      </c>
      <c r="B138" s="332" t="s">
        <v>373</v>
      </c>
      <c r="C138" s="334"/>
      <c r="D138" s="317">
        <f>I208</f>
        <v>90.152423158940337</v>
      </c>
      <c r="E138" s="317">
        <f>I230</f>
        <v>76.500633485366365</v>
      </c>
      <c r="F138" s="337">
        <f>I258</f>
        <v>65.629232242803397</v>
      </c>
      <c r="G138" s="317"/>
      <c r="H138" s="317"/>
      <c r="I138" s="317"/>
      <c r="J138" s="317"/>
      <c r="K138" s="317"/>
      <c r="L138" s="317"/>
      <c r="M138" s="317"/>
      <c r="N138" s="317"/>
      <c r="O138" s="317"/>
      <c r="P138" s="317"/>
      <c r="Q138" s="317"/>
      <c r="R138" s="317"/>
      <c r="S138" s="317"/>
    </row>
    <row r="139" spans="1:19">
      <c r="A139" s="291"/>
      <c r="B139" s="333" t="s">
        <v>374</v>
      </c>
      <c r="C139" s="334">
        <f>SUM(D139:J139)</f>
        <v>-2392104.89</v>
      </c>
      <c r="D139" s="270">
        <f>ROUND(D137*D138/100,2)</f>
        <v>-1872363.06</v>
      </c>
      <c r="E139" s="270">
        <f>ROUND(E137*E138/100,2)</f>
        <v>-495784.54</v>
      </c>
      <c r="F139" s="270">
        <f>ROUND(F137*F138/100,2)</f>
        <v>-23957.29</v>
      </c>
      <c r="G139" s="270"/>
      <c r="H139" s="270"/>
      <c r="I139" s="270"/>
      <c r="J139" s="270"/>
      <c r="K139" s="320"/>
      <c r="L139" s="320"/>
      <c r="M139" s="320"/>
      <c r="N139" s="320"/>
      <c r="O139" s="320"/>
      <c r="P139" s="320"/>
      <c r="Q139" s="320"/>
      <c r="R139" s="320"/>
      <c r="S139" s="320"/>
    </row>
    <row r="140" spans="1:19">
      <c r="A140" s="291"/>
      <c r="B140" s="333" t="s">
        <v>378</v>
      </c>
      <c r="C140" s="276"/>
      <c r="D140" s="277"/>
      <c r="E140" s="277"/>
      <c r="F140" s="277"/>
      <c r="G140" s="277"/>
      <c r="H140" s="277"/>
      <c r="I140" s="277"/>
      <c r="J140" s="277"/>
      <c r="K140" s="320"/>
      <c r="L140" s="320"/>
      <c r="M140" s="320"/>
      <c r="N140" s="320"/>
      <c r="O140" s="320"/>
      <c r="P140" s="320"/>
      <c r="Q140" s="320"/>
      <c r="R140" s="320"/>
      <c r="S140" s="320"/>
    </row>
    <row r="141" spans="1:19">
      <c r="A141" s="291"/>
      <c r="B141" s="292"/>
      <c r="C141" s="334"/>
      <c r="D141" s="320"/>
      <c r="E141" s="320"/>
      <c r="F141" s="320"/>
      <c r="G141" s="320"/>
      <c r="H141" s="320"/>
      <c r="I141" s="320"/>
      <c r="J141" s="320"/>
      <c r="K141" s="292"/>
      <c r="L141" s="292"/>
      <c r="M141" s="292"/>
      <c r="N141" s="292"/>
      <c r="O141" s="292"/>
      <c r="P141" s="292"/>
      <c r="Q141" s="292"/>
      <c r="R141" s="292"/>
      <c r="S141" s="292"/>
    </row>
    <row r="142" spans="1:19">
      <c r="A142" s="291"/>
      <c r="B142" s="292" t="s">
        <v>379</v>
      </c>
      <c r="C142" s="334">
        <f>IF(ROUND(SUM(D142:J142),3)&lt;&gt;ROUND(C135+C139+C140,3),#VALUE!,SUM(D142:J142))</f>
        <v>-2739676.12</v>
      </c>
      <c r="D142" s="320">
        <f>D135+D139+D140</f>
        <v>-2123837.77</v>
      </c>
      <c r="E142" s="320">
        <f t="shared" ref="E142:J142" si="20">E135+E139+E140</f>
        <v>-548909.25</v>
      </c>
      <c r="F142" s="320">
        <f>F135+F139+F140</f>
        <v>-66929.100000000006</v>
      </c>
      <c r="G142" s="320">
        <f t="shared" si="20"/>
        <v>0</v>
      </c>
      <c r="H142" s="320">
        <f t="shared" si="20"/>
        <v>0</v>
      </c>
      <c r="I142" s="320">
        <f t="shared" si="20"/>
        <v>0</v>
      </c>
      <c r="J142" s="320">
        <f t="shared" si="20"/>
        <v>0</v>
      </c>
      <c r="K142" s="292"/>
      <c r="L142" s="292"/>
      <c r="M142" s="292"/>
      <c r="N142" s="292"/>
      <c r="O142" s="292"/>
      <c r="P142" s="292"/>
      <c r="Q142" s="292"/>
      <c r="R142" s="292"/>
      <c r="S142" s="292"/>
    </row>
    <row r="143" spans="1:19">
      <c r="A143" s="291"/>
      <c r="B143" s="292" t="s">
        <v>364</v>
      </c>
      <c r="C143" s="271">
        <f>SUM(D143:J143)</f>
        <v>173653677.82262999</v>
      </c>
      <c r="D143" s="272">
        <f t="shared" ref="D143:J143" si="21">D121</f>
        <v>125714074.25</v>
      </c>
      <c r="E143" s="272">
        <f t="shared" si="21"/>
        <v>38819142.379999995</v>
      </c>
      <c r="F143" s="272">
        <f t="shared" si="21"/>
        <v>4203270.75</v>
      </c>
      <c r="G143" s="272">
        <f t="shared" si="21"/>
        <v>733819.29</v>
      </c>
      <c r="H143" s="272">
        <f>H121</f>
        <v>2576795.6326299999</v>
      </c>
      <c r="I143" s="272">
        <f t="shared" si="21"/>
        <v>1186386.9100000001</v>
      </c>
      <c r="J143" s="272">
        <f t="shared" si="21"/>
        <v>420188.61</v>
      </c>
      <c r="K143" s="292"/>
      <c r="L143" s="292"/>
      <c r="M143" s="292"/>
      <c r="N143" s="292"/>
      <c r="O143" s="292"/>
      <c r="P143" s="292"/>
      <c r="Q143" s="292"/>
      <c r="R143" s="292"/>
      <c r="S143" s="292"/>
    </row>
    <row r="144" spans="1:19">
      <c r="A144" s="291"/>
      <c r="B144" s="292"/>
      <c r="C144" s="322"/>
      <c r="D144" s="320"/>
      <c r="E144" s="320"/>
      <c r="F144" s="320"/>
      <c r="G144" s="320"/>
      <c r="H144" s="320"/>
      <c r="I144" s="320"/>
      <c r="J144" s="320"/>
      <c r="K144" s="292"/>
      <c r="L144" s="292"/>
      <c r="M144" s="292"/>
      <c r="N144" s="292"/>
      <c r="O144" s="292"/>
      <c r="P144" s="292"/>
      <c r="Q144" s="292"/>
      <c r="R144" s="292"/>
      <c r="S144" s="292"/>
    </row>
    <row r="145" spans="1:19">
      <c r="A145" s="291"/>
      <c r="B145" s="292" t="s">
        <v>380</v>
      </c>
      <c r="C145" s="322">
        <f>IF(ROUND(SUM(D145:J145),3)&lt;&gt;ROUND(C142+C143,3),#VALUE!,SUM(D145:J145))</f>
        <v>170914001.70263001</v>
      </c>
      <c r="D145" s="320">
        <f t="shared" ref="D145:J145" si="22">D142+D143</f>
        <v>123590236.48</v>
      </c>
      <c r="E145" s="320">
        <f t="shared" si="22"/>
        <v>38270233.129999995</v>
      </c>
      <c r="F145" s="320">
        <f>F142+F143</f>
        <v>4136341.65</v>
      </c>
      <c r="G145" s="320">
        <f t="shared" si="22"/>
        <v>733819.29</v>
      </c>
      <c r="H145" s="320">
        <f>H142+H143</f>
        <v>2576795.6326299999</v>
      </c>
      <c r="I145" s="320">
        <f t="shared" si="22"/>
        <v>1186386.9100000001</v>
      </c>
      <c r="J145" s="320">
        <f t="shared" si="22"/>
        <v>420188.61</v>
      </c>
      <c r="K145" s="292"/>
      <c r="L145" s="292"/>
      <c r="M145" s="292"/>
      <c r="N145" s="292"/>
      <c r="O145" s="292"/>
      <c r="P145" s="292"/>
      <c r="Q145" s="292"/>
      <c r="R145" s="292"/>
      <c r="S145" s="292"/>
    </row>
    <row r="146" spans="1:19">
      <c r="A146" s="291"/>
      <c r="B146" s="292"/>
      <c r="C146" s="322"/>
      <c r="D146" s="320"/>
      <c r="E146" s="320"/>
      <c r="F146" s="320"/>
      <c r="G146" s="320"/>
      <c r="H146" s="320"/>
      <c r="I146" s="320"/>
      <c r="J146" s="320"/>
      <c r="K146" s="292"/>
      <c r="L146" s="292"/>
      <c r="M146" s="292"/>
      <c r="N146" s="292"/>
      <c r="O146" s="292"/>
      <c r="P146" s="292"/>
      <c r="Q146" s="292"/>
      <c r="R146" s="292"/>
      <c r="S146" s="292"/>
    </row>
    <row r="147" spans="1:19">
      <c r="A147" s="291"/>
      <c r="B147" s="292"/>
      <c r="C147" s="322"/>
      <c r="D147" s="320"/>
      <c r="E147" s="320"/>
      <c r="F147" s="320"/>
      <c r="G147" s="320"/>
      <c r="H147" s="320"/>
      <c r="I147" s="320"/>
      <c r="J147" s="320"/>
      <c r="K147" s="292"/>
      <c r="L147" s="292"/>
      <c r="M147" s="292"/>
      <c r="N147" s="292"/>
      <c r="O147" s="292"/>
      <c r="P147" s="292"/>
      <c r="Q147" s="292"/>
      <c r="R147" s="292"/>
      <c r="S147" s="292"/>
    </row>
    <row r="148" spans="1:19">
      <c r="A148" s="291"/>
      <c r="B148" s="293"/>
      <c r="C148" s="320"/>
      <c r="D148" s="320"/>
      <c r="E148" s="320"/>
      <c r="F148" s="320"/>
      <c r="G148" s="320"/>
      <c r="H148" s="320"/>
      <c r="I148" s="320"/>
      <c r="J148" s="320"/>
      <c r="K148" s="293"/>
      <c r="L148" s="293"/>
      <c r="M148" s="293"/>
      <c r="N148" s="293"/>
      <c r="O148" s="293"/>
      <c r="P148" s="293"/>
      <c r="Q148" s="293"/>
      <c r="R148" s="293"/>
      <c r="S148" s="293"/>
    </row>
    <row r="149" spans="1:19">
      <c r="A149" s="291"/>
      <c r="B149" s="293"/>
      <c r="C149" s="320"/>
      <c r="D149" s="320"/>
      <c r="E149" s="320"/>
      <c r="F149" s="320"/>
      <c r="G149" s="320"/>
      <c r="H149" s="320"/>
      <c r="I149" s="320"/>
      <c r="J149" s="293" t="s">
        <v>310</v>
      </c>
      <c r="K149" s="293"/>
      <c r="L149" s="293"/>
      <c r="M149" s="293"/>
      <c r="N149" s="293"/>
      <c r="O149" s="293"/>
      <c r="P149" s="293"/>
      <c r="Q149" s="293"/>
      <c r="R149" s="293"/>
      <c r="S149" s="293"/>
    </row>
    <row r="150" spans="1:19">
      <c r="A150" s="291"/>
      <c r="B150" s="293"/>
      <c r="C150" s="320"/>
      <c r="D150" s="320"/>
      <c r="E150" s="320"/>
      <c r="F150" s="320"/>
      <c r="G150" s="320"/>
      <c r="H150" s="320"/>
      <c r="I150" s="320"/>
      <c r="J150" s="259" t="s">
        <v>311</v>
      </c>
      <c r="K150" s="293"/>
      <c r="L150" s="293"/>
      <c r="M150" s="293"/>
      <c r="N150" s="293"/>
      <c r="O150" s="293"/>
      <c r="P150" s="293"/>
      <c r="Q150" s="293"/>
      <c r="R150" s="293"/>
      <c r="S150" s="293"/>
    </row>
    <row r="151" spans="1:19">
      <c r="A151" s="294" t="s">
        <v>312</v>
      </c>
      <c r="B151" s="293"/>
      <c r="C151" s="293" t="s">
        <v>313</v>
      </c>
      <c r="D151" s="293" t="s">
        <v>314</v>
      </c>
      <c r="E151" s="293" t="s">
        <v>315</v>
      </c>
      <c r="F151" s="293" t="s">
        <v>316</v>
      </c>
      <c r="G151" s="293" t="s">
        <v>317</v>
      </c>
      <c r="H151" s="293" t="s">
        <v>310</v>
      </c>
      <c r="I151" s="293" t="s">
        <v>310</v>
      </c>
      <c r="J151" s="293" t="s">
        <v>318</v>
      </c>
      <c r="K151" s="293"/>
      <c r="L151" s="293"/>
      <c r="M151" s="293"/>
      <c r="N151" s="293"/>
      <c r="O151" s="293"/>
      <c r="P151" s="293"/>
      <c r="Q151" s="293"/>
      <c r="R151" s="293"/>
      <c r="S151" s="293"/>
    </row>
    <row r="152" spans="1:19">
      <c r="A152" s="294" t="s">
        <v>319</v>
      </c>
      <c r="B152" s="260"/>
      <c r="C152" s="260" t="s">
        <v>320</v>
      </c>
      <c r="D152" s="260" t="s">
        <v>321</v>
      </c>
      <c r="E152" s="260" t="s">
        <v>346</v>
      </c>
      <c r="F152" s="260" t="s">
        <v>347</v>
      </c>
      <c r="G152" s="260" t="s">
        <v>348</v>
      </c>
      <c r="H152" s="260" t="s">
        <v>325</v>
      </c>
      <c r="I152" s="260" t="s">
        <v>326</v>
      </c>
      <c r="J152" s="260" t="s">
        <v>327</v>
      </c>
      <c r="K152" s="293"/>
      <c r="L152" s="293"/>
      <c r="M152" s="293"/>
      <c r="N152" s="293"/>
      <c r="O152" s="293"/>
      <c r="P152" s="293"/>
      <c r="Q152" s="293"/>
      <c r="R152" s="293"/>
      <c r="S152" s="293"/>
    </row>
    <row r="153" spans="1:19">
      <c r="A153" s="291"/>
      <c r="B153" s="261" t="s">
        <v>381</v>
      </c>
      <c r="C153" s="320"/>
      <c r="D153" s="320"/>
      <c r="E153" s="320"/>
      <c r="F153" s="320"/>
      <c r="G153" s="320"/>
      <c r="H153" s="320"/>
      <c r="I153" s="320"/>
      <c r="J153" s="320"/>
      <c r="K153" s="292"/>
      <c r="L153" s="292"/>
      <c r="M153" s="292"/>
      <c r="N153" s="292"/>
      <c r="O153" s="292"/>
      <c r="P153" s="292"/>
      <c r="Q153" s="292"/>
      <c r="R153" s="292"/>
      <c r="S153" s="292"/>
    </row>
    <row r="154" spans="1:19">
      <c r="A154" s="291"/>
      <c r="B154" s="292" t="s">
        <v>361</v>
      </c>
      <c r="C154" s="320"/>
      <c r="D154" s="320"/>
      <c r="E154" s="320"/>
      <c r="F154" s="320"/>
      <c r="G154" s="320"/>
      <c r="H154" s="320"/>
      <c r="I154" s="320"/>
      <c r="J154" s="320"/>
      <c r="K154" s="292"/>
      <c r="L154" s="292"/>
      <c r="M154" s="292"/>
      <c r="N154" s="292"/>
      <c r="O154" s="292"/>
      <c r="P154" s="292"/>
      <c r="Q154" s="292"/>
      <c r="R154" s="292"/>
      <c r="S154" s="292"/>
    </row>
    <row r="155" spans="1:19">
      <c r="A155" s="291"/>
      <c r="B155" s="321" t="s">
        <v>350</v>
      </c>
      <c r="C155" s="322">
        <f t="shared" ref="C155:C162" si="23">SUM(D155:J155)</f>
        <v>16645071</v>
      </c>
      <c r="D155" s="323">
        <f>D48*D74</f>
        <v>16091487</v>
      </c>
      <c r="E155" s="323">
        <f t="shared" ref="E155:J156" si="24">E48*E74</f>
        <v>0</v>
      </c>
      <c r="F155" s="323">
        <f t="shared" si="24"/>
        <v>0</v>
      </c>
      <c r="G155" s="323">
        <f t="shared" si="24"/>
        <v>0</v>
      </c>
      <c r="H155" s="323">
        <f t="shared" si="24"/>
        <v>228000</v>
      </c>
      <c r="I155" s="323">
        <f t="shared" si="24"/>
        <v>9600</v>
      </c>
      <c r="J155" s="323">
        <f t="shared" si="24"/>
        <v>315984</v>
      </c>
      <c r="K155" s="292"/>
      <c r="L155" s="292"/>
      <c r="M155" s="292"/>
      <c r="N155" s="292"/>
      <c r="O155" s="292"/>
      <c r="P155" s="292"/>
      <c r="Q155" s="292"/>
      <c r="R155" s="292"/>
      <c r="S155" s="292"/>
    </row>
    <row r="156" spans="1:19">
      <c r="A156" s="291"/>
      <c r="B156" s="321" t="s">
        <v>431</v>
      </c>
      <c r="C156" s="324">
        <f t="shared" si="23"/>
        <v>2771394.6226299964</v>
      </c>
      <c r="D156" s="300">
        <f>D49*D75</f>
        <v>0</v>
      </c>
      <c r="E156" s="300">
        <f t="shared" si="24"/>
        <v>2671866.8799999962</v>
      </c>
      <c r="F156" s="300">
        <f t="shared" si="24"/>
        <v>72320.639999999999</v>
      </c>
      <c r="G156" s="300">
        <f t="shared" si="24"/>
        <v>0</v>
      </c>
      <c r="H156" s="300">
        <v>27207.102630000001</v>
      </c>
      <c r="I156" s="300">
        <f t="shared" si="24"/>
        <v>0</v>
      </c>
      <c r="J156" s="300">
        <f t="shared" si="24"/>
        <v>0</v>
      </c>
      <c r="K156" s="292"/>
      <c r="L156" s="292"/>
      <c r="M156" s="292"/>
      <c r="N156" s="292"/>
      <c r="O156" s="292"/>
      <c r="P156" s="292"/>
      <c r="Q156" s="292"/>
      <c r="R156" s="292"/>
      <c r="S156" s="292"/>
    </row>
    <row r="157" spans="1:19">
      <c r="A157" s="291"/>
      <c r="B157" s="321" t="s">
        <v>330</v>
      </c>
      <c r="C157" s="324">
        <f t="shared" si="23"/>
        <v>67014460.880000003</v>
      </c>
      <c r="D157" s="300">
        <f>ROUND(D31*D77/100,2)</f>
        <v>62508298.890000001</v>
      </c>
      <c r="E157" s="300">
        <f t="shared" ref="E157:J157" si="25">ROUND(E31*E77/100,2)</f>
        <v>2865449.97</v>
      </c>
      <c r="F157" s="300">
        <f t="shared" si="25"/>
        <v>84157.43</v>
      </c>
      <c r="G157" s="300">
        <f t="shared" si="25"/>
        <v>166305.81</v>
      </c>
      <c r="H157" s="300">
        <f t="shared" si="25"/>
        <v>693152.57</v>
      </c>
      <c r="I157" s="300">
        <f t="shared" si="25"/>
        <v>592891.6</v>
      </c>
      <c r="J157" s="300">
        <f t="shared" si="25"/>
        <v>104204.61</v>
      </c>
      <c r="K157" s="292"/>
      <c r="L157" s="292"/>
      <c r="M157" s="292"/>
      <c r="N157" s="292"/>
      <c r="O157" s="292"/>
      <c r="P157" s="292"/>
      <c r="Q157" s="292"/>
      <c r="R157" s="292"/>
      <c r="S157" s="292"/>
    </row>
    <row r="158" spans="1:19">
      <c r="A158" s="291"/>
      <c r="B158" s="321" t="s">
        <v>331</v>
      </c>
      <c r="C158" s="324">
        <f t="shared" si="23"/>
        <v>60433043.419999994</v>
      </c>
      <c r="D158" s="300">
        <f t="shared" ref="D158:J161" si="26">ROUND(D32*D78/100,2)</f>
        <v>47114288.359999999</v>
      </c>
      <c r="E158" s="300">
        <f t="shared" si="26"/>
        <v>12090803.76</v>
      </c>
      <c r="F158" s="300">
        <f t="shared" si="26"/>
        <v>137813.72</v>
      </c>
      <c r="G158" s="300">
        <f t="shared" si="26"/>
        <v>204323.58</v>
      </c>
      <c r="H158" s="300">
        <f t="shared" si="26"/>
        <v>579303.56000000006</v>
      </c>
      <c r="I158" s="300">
        <f t="shared" si="26"/>
        <v>306510.44</v>
      </c>
      <c r="J158" s="300">
        <f t="shared" si="26"/>
        <v>0</v>
      </c>
      <c r="K158" s="292"/>
      <c r="L158" s="292"/>
      <c r="M158" s="292"/>
      <c r="N158" s="292"/>
      <c r="O158" s="292"/>
      <c r="P158" s="292"/>
      <c r="Q158" s="292"/>
      <c r="R158" s="292"/>
      <c r="S158" s="292"/>
    </row>
    <row r="159" spans="1:19">
      <c r="A159" s="291"/>
      <c r="B159" s="321" t="s">
        <v>332</v>
      </c>
      <c r="C159" s="324">
        <f t="shared" si="23"/>
        <v>24342600.629999999</v>
      </c>
      <c r="D159" s="300">
        <f t="shared" si="26"/>
        <v>0</v>
      </c>
      <c r="E159" s="300">
        <f t="shared" si="26"/>
        <v>21191021.77</v>
      </c>
      <c r="F159" s="300">
        <f t="shared" si="26"/>
        <v>2021841.24</v>
      </c>
      <c r="G159" s="300">
        <f t="shared" si="26"/>
        <v>232822.16</v>
      </c>
      <c r="H159" s="300">
        <f t="shared" si="26"/>
        <v>836341.46</v>
      </c>
      <c r="I159" s="300">
        <f t="shared" si="26"/>
        <v>60574</v>
      </c>
      <c r="J159" s="300">
        <f t="shared" si="26"/>
        <v>0</v>
      </c>
      <c r="K159" s="292"/>
      <c r="L159" s="292"/>
      <c r="M159" s="292"/>
      <c r="N159" s="292"/>
      <c r="O159" s="292"/>
      <c r="P159" s="292"/>
      <c r="Q159" s="292"/>
      <c r="R159" s="292"/>
      <c r="S159" s="292"/>
    </row>
    <row r="160" spans="1:19">
      <c r="A160" s="291"/>
      <c r="B160" s="321" t="s">
        <v>333</v>
      </c>
      <c r="C160" s="324">
        <f t="shared" si="23"/>
        <v>1733193.71</v>
      </c>
      <c r="D160" s="300">
        <f t="shared" si="26"/>
        <v>0</v>
      </c>
      <c r="E160" s="300">
        <f t="shared" si="26"/>
        <v>0</v>
      </c>
      <c r="F160" s="300">
        <f t="shared" si="26"/>
        <v>1262928.96</v>
      </c>
      <c r="G160" s="300">
        <f t="shared" si="26"/>
        <v>130367.74</v>
      </c>
      <c r="H160" s="300">
        <f t="shared" si="26"/>
        <v>187771.96</v>
      </c>
      <c r="I160" s="300">
        <f t="shared" si="26"/>
        <v>152125.04999999999</v>
      </c>
      <c r="J160" s="300">
        <f t="shared" si="26"/>
        <v>0</v>
      </c>
      <c r="K160" s="292"/>
      <c r="L160" s="292"/>
      <c r="M160" s="292"/>
      <c r="N160" s="292"/>
      <c r="O160" s="292"/>
      <c r="P160" s="292"/>
      <c r="Q160" s="292"/>
      <c r="R160" s="292"/>
      <c r="S160" s="292"/>
    </row>
    <row r="161" spans="1:19">
      <c r="A161" s="291"/>
      <c r="B161" s="321" t="s">
        <v>334</v>
      </c>
      <c r="C161" s="324">
        <f t="shared" si="23"/>
        <v>713913.55999999994</v>
      </c>
      <c r="D161" s="300">
        <f t="shared" si="26"/>
        <v>0</v>
      </c>
      <c r="E161" s="300">
        <f t="shared" si="26"/>
        <v>0</v>
      </c>
      <c r="F161" s="300">
        <f t="shared" si="26"/>
        <v>624208.76</v>
      </c>
      <c r="G161" s="300">
        <f t="shared" si="26"/>
        <v>0</v>
      </c>
      <c r="H161" s="300">
        <f t="shared" si="26"/>
        <v>25018.98</v>
      </c>
      <c r="I161" s="300">
        <f t="shared" si="26"/>
        <v>64685.82</v>
      </c>
      <c r="J161" s="300">
        <f t="shared" si="26"/>
        <v>0</v>
      </c>
      <c r="K161" s="292"/>
      <c r="L161" s="292"/>
      <c r="M161" s="292"/>
      <c r="N161" s="292"/>
      <c r="O161" s="292"/>
      <c r="P161" s="292"/>
      <c r="Q161" s="292"/>
      <c r="R161" s="292"/>
      <c r="S161" s="292"/>
    </row>
    <row r="162" spans="1:19">
      <c r="A162" s="291"/>
      <c r="B162" s="321" t="s">
        <v>362</v>
      </c>
      <c r="C162" s="324">
        <f t="shared" si="23"/>
        <v>0</v>
      </c>
      <c r="D162" s="300"/>
      <c r="E162" s="300"/>
      <c r="F162" s="300"/>
      <c r="G162" s="300"/>
      <c r="H162" s="300"/>
      <c r="I162" s="300"/>
      <c r="J162" s="325">
        <v>0</v>
      </c>
      <c r="K162" s="292"/>
      <c r="L162" s="292"/>
      <c r="M162" s="292"/>
      <c r="N162" s="292"/>
      <c r="O162" s="292"/>
      <c r="P162" s="292"/>
      <c r="Q162" s="292"/>
      <c r="R162" s="292"/>
      <c r="S162" s="292"/>
    </row>
    <row r="163" spans="1:19">
      <c r="A163" s="292"/>
      <c r="B163" s="292"/>
      <c r="C163" s="274"/>
      <c r="D163" s="269"/>
      <c r="E163" s="269"/>
      <c r="F163" s="269"/>
      <c r="G163" s="269"/>
      <c r="H163" s="269"/>
      <c r="I163" s="269"/>
      <c r="J163" s="269"/>
      <c r="K163" s="292"/>
      <c r="L163" s="292"/>
      <c r="M163" s="292"/>
      <c r="N163" s="292"/>
      <c r="O163" s="292"/>
      <c r="P163" s="292"/>
      <c r="Q163" s="292"/>
      <c r="R163" s="292"/>
      <c r="S163" s="292"/>
    </row>
    <row r="164" spans="1:19">
      <c r="A164" s="291"/>
      <c r="B164" s="292" t="s">
        <v>335</v>
      </c>
      <c r="C164" s="322">
        <f>IF(ROUND(SUM(D164:J164),3)&lt;&gt;ROUND(SUM(C155:C162),3),#VALUE!,SUM(D164:J164))</f>
        <v>173653677.82262999</v>
      </c>
      <c r="D164" s="320">
        <f t="shared" ref="D164:J164" si="27">SUM(D155:D163)</f>
        <v>125714074.25</v>
      </c>
      <c r="E164" s="320">
        <f t="shared" si="27"/>
        <v>38819142.379999995</v>
      </c>
      <c r="F164" s="320">
        <f t="shared" si="27"/>
        <v>4203270.75</v>
      </c>
      <c r="G164" s="320">
        <f t="shared" si="27"/>
        <v>733819.29</v>
      </c>
      <c r="H164" s="320">
        <f>SUM(H155:H163)</f>
        <v>2576795.6326299999</v>
      </c>
      <c r="I164" s="320">
        <f t="shared" si="27"/>
        <v>1186386.9100000001</v>
      </c>
      <c r="J164" s="320">
        <f t="shared" si="27"/>
        <v>420188.61</v>
      </c>
      <c r="K164" s="292"/>
      <c r="L164" s="292"/>
      <c r="M164" s="292"/>
      <c r="N164" s="292"/>
      <c r="O164" s="292"/>
      <c r="P164" s="292"/>
      <c r="Q164" s="292"/>
      <c r="R164" s="292"/>
      <c r="S164" s="292"/>
    </row>
    <row r="165" spans="1:19">
      <c r="A165" s="292"/>
      <c r="B165" s="292" t="s">
        <v>345</v>
      </c>
      <c r="C165" s="271"/>
      <c r="D165" s="272"/>
      <c r="E165" s="272"/>
      <c r="F165" s="272"/>
      <c r="G165" s="272"/>
      <c r="H165" s="272"/>
      <c r="I165" s="272"/>
      <c r="J165" s="272"/>
      <c r="K165" s="292"/>
      <c r="L165" s="292"/>
      <c r="M165" s="292"/>
      <c r="N165" s="292"/>
      <c r="O165" s="292"/>
      <c r="P165" s="292"/>
      <c r="Q165" s="292"/>
      <c r="R165" s="292"/>
      <c r="S165" s="292"/>
    </row>
    <row r="166" spans="1:19">
      <c r="A166" s="291"/>
      <c r="B166" s="292"/>
      <c r="C166" s="322"/>
      <c r="D166" s="320"/>
      <c r="E166" s="320"/>
      <c r="F166" s="320"/>
      <c r="G166" s="320"/>
      <c r="H166" s="320"/>
      <c r="I166" s="320"/>
      <c r="J166" s="320"/>
      <c r="K166" s="292"/>
      <c r="L166" s="292"/>
      <c r="M166" s="292"/>
      <c r="N166" s="292"/>
      <c r="O166" s="292"/>
      <c r="P166" s="292"/>
      <c r="Q166" s="292"/>
      <c r="R166" s="292"/>
      <c r="S166" s="292"/>
    </row>
    <row r="167" spans="1:19">
      <c r="A167" s="291"/>
      <c r="B167" s="292" t="s">
        <v>335</v>
      </c>
      <c r="C167" s="322">
        <f>SUM(D167:J167)</f>
        <v>173653677.82262999</v>
      </c>
      <c r="D167" s="320">
        <f t="shared" ref="D167:J167" si="28">D164+D165</f>
        <v>125714074.25</v>
      </c>
      <c r="E167" s="320">
        <f t="shared" si="28"/>
        <v>38819142.379999995</v>
      </c>
      <c r="F167" s="320">
        <f t="shared" si="28"/>
        <v>4203270.75</v>
      </c>
      <c r="G167" s="320">
        <f t="shared" si="28"/>
        <v>733819.29</v>
      </c>
      <c r="H167" s="320">
        <f>H164+H165</f>
        <v>2576795.6326299999</v>
      </c>
      <c r="I167" s="320">
        <f t="shared" si="28"/>
        <v>1186386.9100000001</v>
      </c>
      <c r="J167" s="320">
        <f t="shared" si="28"/>
        <v>420188.61</v>
      </c>
      <c r="K167" s="292"/>
      <c r="L167" s="292"/>
      <c r="M167" s="292"/>
      <c r="N167" s="292"/>
      <c r="O167" s="292"/>
      <c r="P167" s="292"/>
      <c r="Q167" s="292"/>
      <c r="R167" s="292"/>
      <c r="S167" s="292"/>
    </row>
    <row r="168" spans="1:19">
      <c r="A168" s="291"/>
      <c r="B168" s="292" t="s">
        <v>363</v>
      </c>
      <c r="C168" s="271">
        <f>SUM(D168:J168)</f>
        <v>0</v>
      </c>
      <c r="D168" s="272">
        <f>ROUND(D41*D83/100,2)</f>
        <v>0</v>
      </c>
      <c r="E168" s="272">
        <f t="shared" ref="E168:J168" si="29">ROUND(E41*E83/100,2)</f>
        <v>0</v>
      </c>
      <c r="F168" s="272">
        <f t="shared" si="29"/>
        <v>0</v>
      </c>
      <c r="G168" s="272">
        <f t="shared" si="29"/>
        <v>0</v>
      </c>
      <c r="H168" s="272">
        <f t="shared" si="29"/>
        <v>0</v>
      </c>
      <c r="I168" s="272">
        <f t="shared" si="29"/>
        <v>0</v>
      </c>
      <c r="J168" s="272">
        <f t="shared" si="29"/>
        <v>0</v>
      </c>
      <c r="K168" s="292"/>
      <c r="L168" s="292"/>
      <c r="M168" s="292"/>
      <c r="N168" s="292"/>
      <c r="O168" s="292"/>
      <c r="P168" s="292"/>
      <c r="Q168" s="292"/>
      <c r="R168" s="292"/>
      <c r="S168" s="292"/>
    </row>
    <row r="169" spans="1:19">
      <c r="A169" s="291"/>
      <c r="B169" s="292"/>
      <c r="C169" s="322"/>
      <c r="D169" s="320"/>
      <c r="E169" s="320"/>
      <c r="F169" s="320"/>
      <c r="G169" s="320"/>
      <c r="H169" s="320"/>
      <c r="I169" s="320"/>
      <c r="J169" s="320"/>
      <c r="K169" s="292"/>
      <c r="L169" s="292"/>
      <c r="M169" s="292"/>
      <c r="N169" s="292"/>
      <c r="O169" s="292"/>
      <c r="P169" s="292"/>
      <c r="Q169" s="292"/>
      <c r="R169" s="292"/>
      <c r="S169" s="292"/>
    </row>
    <row r="170" spans="1:19">
      <c r="A170" s="291"/>
      <c r="B170" s="292" t="s">
        <v>364</v>
      </c>
      <c r="C170" s="322">
        <f>IF(ROUND(SUM(D170:J170),3)&lt;&gt;ROUND(C167+C168,3),#VALUE!,SUM(D170:J170))</f>
        <v>173653677.82262999</v>
      </c>
      <c r="D170" s="320">
        <f t="shared" ref="D170:J170" si="30">D167+D168</f>
        <v>125714074.25</v>
      </c>
      <c r="E170" s="320">
        <f t="shared" si="30"/>
        <v>38819142.379999995</v>
      </c>
      <c r="F170" s="320">
        <f t="shared" si="30"/>
        <v>4203270.75</v>
      </c>
      <c r="G170" s="320">
        <f t="shared" si="30"/>
        <v>733819.29</v>
      </c>
      <c r="H170" s="320">
        <f>H167+H168</f>
        <v>2576795.6326299999</v>
      </c>
      <c r="I170" s="320">
        <f t="shared" si="30"/>
        <v>1186386.9100000001</v>
      </c>
      <c r="J170" s="320">
        <f t="shared" si="30"/>
        <v>420188.61</v>
      </c>
      <c r="K170" s="292"/>
      <c r="L170" s="292"/>
      <c r="M170" s="292"/>
      <c r="N170" s="292"/>
      <c r="O170" s="292"/>
      <c r="P170" s="292"/>
      <c r="Q170" s="292"/>
      <c r="R170" s="292"/>
      <c r="S170" s="292"/>
    </row>
    <row r="171" spans="1:19">
      <c r="A171" s="291"/>
      <c r="B171" s="292"/>
      <c r="C171" s="322"/>
      <c r="D171" s="320"/>
      <c r="E171" s="320"/>
      <c r="F171" s="320"/>
      <c r="G171" s="320"/>
      <c r="H171" s="320"/>
      <c r="I171" s="320"/>
      <c r="J171" s="320"/>
      <c r="K171" s="292"/>
      <c r="L171" s="292"/>
      <c r="M171" s="292"/>
      <c r="N171" s="292"/>
      <c r="O171" s="292"/>
      <c r="P171" s="292"/>
      <c r="Q171" s="292"/>
      <c r="R171" s="292"/>
      <c r="S171" s="292"/>
    </row>
    <row r="172" spans="1:19">
      <c r="A172" s="291"/>
      <c r="B172" s="298" t="s">
        <v>365</v>
      </c>
      <c r="C172" s="320"/>
      <c r="D172" s="320"/>
      <c r="E172" s="320"/>
      <c r="F172" s="320"/>
      <c r="G172" s="320"/>
      <c r="H172" s="320"/>
      <c r="I172" s="320"/>
      <c r="J172" s="320"/>
      <c r="K172" s="292"/>
      <c r="L172" s="292"/>
      <c r="M172" s="292"/>
      <c r="N172" s="292"/>
      <c r="O172" s="292"/>
      <c r="P172" s="292"/>
      <c r="Q172" s="292"/>
      <c r="R172" s="292"/>
      <c r="S172" s="292"/>
    </row>
    <row r="173" spans="1:19">
      <c r="A173" s="291"/>
      <c r="B173" s="275" t="s">
        <v>366</v>
      </c>
      <c r="C173" s="326"/>
      <c r="D173" s="326"/>
      <c r="E173" s="326"/>
      <c r="F173" s="326"/>
      <c r="G173" s="320"/>
      <c r="H173" s="320"/>
      <c r="I173" s="320"/>
      <c r="J173" s="320"/>
      <c r="K173" s="292"/>
      <c r="L173" s="292"/>
      <c r="M173" s="292"/>
      <c r="N173" s="292"/>
      <c r="O173" s="292"/>
      <c r="P173" s="292"/>
      <c r="Q173" s="292"/>
      <c r="R173" s="292"/>
      <c r="S173" s="292"/>
    </row>
    <row r="174" spans="1:19">
      <c r="A174" s="303"/>
      <c r="B174" s="329" t="s">
        <v>382</v>
      </c>
      <c r="C174" s="326">
        <f>SUM(D174:J174)</f>
        <v>-413938</v>
      </c>
      <c r="D174" s="326">
        <f>D126</f>
        <v>-282348</v>
      </c>
      <c r="E174" s="326">
        <f>E126</f>
        <v>-70921</v>
      </c>
      <c r="F174" s="326">
        <f>F126</f>
        <v>-60669</v>
      </c>
      <c r="G174" s="303"/>
      <c r="H174" s="303"/>
      <c r="I174" s="292"/>
      <c r="J174" s="303"/>
      <c r="K174" s="303"/>
      <c r="L174" s="303"/>
      <c r="M174" s="303"/>
      <c r="N174" s="303"/>
      <c r="O174" s="303"/>
      <c r="P174" s="303"/>
      <c r="Q174" s="303"/>
      <c r="R174" s="303"/>
      <c r="S174" s="303"/>
    </row>
    <row r="175" spans="1:19">
      <c r="A175" s="291" t="s">
        <v>438</v>
      </c>
      <c r="B175" s="332" t="s">
        <v>383</v>
      </c>
      <c r="C175" s="317"/>
      <c r="D175" s="278">
        <f>D83</f>
        <v>89.065516906892114</v>
      </c>
      <c r="E175" s="278">
        <f>E83</f>
        <v>74.906880517649498</v>
      </c>
      <c r="F175" s="278">
        <f>F83</f>
        <v>70.829927420308934</v>
      </c>
      <c r="G175" s="278"/>
      <c r="H175" s="278"/>
      <c r="I175" s="262"/>
      <c r="J175" s="279"/>
      <c r="K175" s="317"/>
      <c r="L175" s="317"/>
      <c r="M175" s="317"/>
      <c r="N175" s="317"/>
      <c r="O175" s="317"/>
      <c r="P175" s="317"/>
      <c r="Q175" s="317"/>
      <c r="R175" s="317"/>
      <c r="S175" s="317"/>
    </row>
    <row r="176" spans="1:19">
      <c r="A176" s="291"/>
      <c r="B176" s="333" t="s">
        <v>384</v>
      </c>
      <c r="C176" s="320">
        <f>SUM(D176:J176)</f>
        <v>-347571.23</v>
      </c>
      <c r="D176" s="320">
        <f>ROUND(D174*D175/100,2)</f>
        <v>-251474.71</v>
      </c>
      <c r="E176" s="320">
        <f>ROUND(E174*E175/100,2)</f>
        <v>-53124.71</v>
      </c>
      <c r="F176" s="320">
        <f>ROUND(F174*F175/100,2)</f>
        <v>-42971.81</v>
      </c>
      <c r="G176" s="320"/>
      <c r="H176" s="320"/>
      <c r="I176" s="292"/>
      <c r="J176" s="320"/>
      <c r="K176" s="320"/>
      <c r="L176" s="320"/>
      <c r="M176" s="320"/>
      <c r="N176" s="320"/>
      <c r="O176" s="320"/>
      <c r="P176" s="320"/>
      <c r="Q176" s="320"/>
      <c r="R176" s="320"/>
      <c r="S176" s="320"/>
    </row>
    <row r="177" spans="1:19">
      <c r="A177" s="291"/>
      <c r="B177" s="333"/>
      <c r="C177" s="320"/>
      <c r="D177" s="320"/>
      <c r="E177" s="320"/>
      <c r="F177" s="320"/>
      <c r="G177" s="320"/>
      <c r="H177" s="320"/>
      <c r="I177" s="292"/>
      <c r="J177" s="320"/>
      <c r="K177" s="320"/>
      <c r="L177" s="320"/>
      <c r="M177" s="320"/>
      <c r="N177" s="320"/>
      <c r="O177" s="320"/>
      <c r="P177" s="320"/>
      <c r="Q177" s="320"/>
      <c r="R177" s="320"/>
      <c r="S177" s="320"/>
    </row>
    <row r="178" spans="1:19">
      <c r="A178" s="291"/>
      <c r="B178" s="329" t="s">
        <v>372</v>
      </c>
      <c r="C178" s="326">
        <f>SUM(D178:J178)</f>
        <v>0</v>
      </c>
      <c r="D178" s="326">
        <f>D130</f>
        <v>0</v>
      </c>
      <c r="E178" s="326">
        <f>E130</f>
        <v>0</v>
      </c>
      <c r="F178" s="326">
        <f>F130</f>
        <v>0</v>
      </c>
      <c r="G178" s="303"/>
      <c r="H178" s="303"/>
      <c r="I178" s="292"/>
      <c r="J178" s="303"/>
      <c r="K178" s="303"/>
      <c r="L178" s="303"/>
      <c r="M178" s="303"/>
      <c r="N178" s="303"/>
      <c r="O178" s="303"/>
      <c r="P178" s="303"/>
      <c r="Q178" s="303"/>
      <c r="R178" s="303"/>
      <c r="S178" s="303"/>
    </row>
    <row r="179" spans="1:19">
      <c r="A179" s="291" t="s">
        <v>369</v>
      </c>
      <c r="B179" s="332" t="s">
        <v>373</v>
      </c>
      <c r="C179" s="317"/>
      <c r="D179" s="278">
        <f>D77</f>
        <v>84.808000000000007</v>
      </c>
      <c r="E179" s="278">
        <f>I240</f>
        <v>76.500633485366379</v>
      </c>
      <c r="F179" s="278">
        <f>F83</f>
        <v>70.829927420308934</v>
      </c>
      <c r="G179" s="278"/>
      <c r="H179" s="278"/>
      <c r="I179" s="262"/>
      <c r="J179" s="278"/>
      <c r="K179" s="317"/>
      <c r="L179" s="317"/>
      <c r="M179" s="317"/>
      <c r="N179" s="317"/>
      <c r="O179" s="317"/>
      <c r="P179" s="317"/>
      <c r="Q179" s="317"/>
      <c r="R179" s="317"/>
      <c r="S179" s="317"/>
    </row>
    <row r="180" spans="1:19">
      <c r="A180" s="291"/>
      <c r="B180" s="333" t="s">
        <v>374</v>
      </c>
      <c r="C180" s="320">
        <f>SUM(D180:J180)</f>
        <v>0</v>
      </c>
      <c r="D180" s="320">
        <f>ROUND(D178*D179/100,2)</f>
        <v>0</v>
      </c>
      <c r="E180" s="320">
        <f>ROUND(E178*E179/100,2)</f>
        <v>0</v>
      </c>
      <c r="F180" s="320">
        <f>ROUND(F178*F179/100,2)</f>
        <v>0</v>
      </c>
      <c r="G180" s="320"/>
      <c r="H180" s="320"/>
      <c r="I180" s="292"/>
      <c r="J180" s="320"/>
      <c r="K180" s="320"/>
      <c r="L180" s="320"/>
      <c r="M180" s="320"/>
      <c r="N180" s="320"/>
      <c r="O180" s="320"/>
      <c r="P180" s="320"/>
      <c r="Q180" s="320"/>
      <c r="R180" s="320"/>
      <c r="S180" s="320"/>
    </row>
    <row r="181" spans="1:19">
      <c r="A181" s="291"/>
      <c r="B181" s="333"/>
      <c r="C181" s="320"/>
      <c r="D181" s="320"/>
      <c r="E181" s="320"/>
      <c r="F181" s="320"/>
      <c r="G181" s="320"/>
      <c r="H181" s="320"/>
      <c r="I181" s="292"/>
      <c r="J181" s="320"/>
      <c r="K181" s="320"/>
      <c r="L181" s="320"/>
      <c r="M181" s="320"/>
      <c r="N181" s="320"/>
      <c r="O181" s="320"/>
      <c r="P181" s="320"/>
      <c r="Q181" s="320"/>
      <c r="R181" s="320"/>
      <c r="S181" s="320"/>
    </row>
    <row r="182" spans="1:19">
      <c r="A182" s="291"/>
      <c r="B182" s="329" t="s">
        <v>375</v>
      </c>
      <c r="C182" s="326">
        <f>C174+C178</f>
        <v>-413938</v>
      </c>
      <c r="D182" s="326">
        <f>D174+D178</f>
        <v>-282348</v>
      </c>
      <c r="E182" s="326">
        <f>E174+E178</f>
        <v>-70921</v>
      </c>
      <c r="F182" s="326">
        <f>F174+F178</f>
        <v>-60669</v>
      </c>
      <c r="G182" s="303"/>
      <c r="H182" s="303"/>
      <c r="I182" s="292"/>
      <c r="J182" s="303"/>
      <c r="K182" s="303"/>
      <c r="L182" s="303"/>
      <c r="M182" s="303"/>
      <c r="N182" s="303"/>
      <c r="O182" s="303"/>
      <c r="P182" s="303"/>
      <c r="Q182" s="303"/>
      <c r="R182" s="303"/>
      <c r="S182" s="303"/>
    </row>
    <row r="183" spans="1:19">
      <c r="A183" s="291"/>
      <c r="B183" s="333" t="s">
        <v>376</v>
      </c>
      <c r="C183" s="320">
        <f>C176+C180</f>
        <v>-347571.23</v>
      </c>
      <c r="D183" s="320">
        <f>D176+D180</f>
        <v>-251474.71</v>
      </c>
      <c r="E183" s="320">
        <f>E176+E180</f>
        <v>-53124.71</v>
      </c>
      <c r="F183" s="320">
        <f>F176+F180</f>
        <v>-42971.81</v>
      </c>
      <c r="G183" s="320"/>
      <c r="H183" s="320"/>
      <c r="I183" s="292"/>
      <c r="J183" s="320"/>
      <c r="K183" s="320"/>
      <c r="L183" s="320"/>
      <c r="M183" s="320"/>
      <c r="N183" s="320"/>
      <c r="O183" s="320"/>
      <c r="P183" s="320"/>
      <c r="Q183" s="320"/>
      <c r="R183" s="320"/>
      <c r="S183" s="320"/>
    </row>
    <row r="184" spans="1:19">
      <c r="A184" s="291"/>
      <c r="B184" s="275" t="s">
        <v>377</v>
      </c>
      <c r="C184" s="320"/>
      <c r="D184" s="320"/>
      <c r="E184" s="320"/>
      <c r="F184" s="320"/>
      <c r="G184" s="320"/>
      <c r="H184" s="320"/>
      <c r="I184" s="292"/>
      <c r="J184" s="320"/>
      <c r="K184" s="292"/>
      <c r="L184" s="292"/>
      <c r="M184" s="292"/>
      <c r="N184" s="292"/>
      <c r="O184" s="292"/>
      <c r="P184" s="292"/>
      <c r="Q184" s="292"/>
      <c r="R184" s="292"/>
      <c r="S184" s="292"/>
    </row>
    <row r="185" spans="1:19">
      <c r="A185" s="291"/>
      <c r="B185" s="329" t="s">
        <v>372</v>
      </c>
      <c r="C185" s="326">
        <f>SUM(D185:J185)</f>
        <v>-2761469</v>
      </c>
      <c r="D185" s="326">
        <f>D137</f>
        <v>-2076886</v>
      </c>
      <c r="E185" s="326">
        <f>E137</f>
        <v>-648079</v>
      </c>
      <c r="F185" s="326">
        <f>F137</f>
        <v>-36504</v>
      </c>
      <c r="G185" s="303"/>
      <c r="H185" s="303"/>
      <c r="I185" s="292"/>
      <c r="J185" s="303"/>
      <c r="K185" s="303"/>
      <c r="L185" s="303"/>
      <c r="M185" s="303"/>
      <c r="N185" s="303"/>
      <c r="O185" s="303"/>
      <c r="P185" s="303"/>
      <c r="Q185" s="303"/>
      <c r="R185" s="303"/>
      <c r="S185" s="303"/>
    </row>
    <row r="186" spans="1:19">
      <c r="A186" s="291" t="s">
        <v>438</v>
      </c>
      <c r="B186" s="332" t="s">
        <v>373</v>
      </c>
      <c r="C186" s="267"/>
      <c r="D186" s="278">
        <f>I217</f>
        <v>90.152423158940351</v>
      </c>
      <c r="E186" s="278">
        <f>I240</f>
        <v>76.500633485366379</v>
      </c>
      <c r="F186" s="278">
        <f>I270</f>
        <v>65.629232242803397</v>
      </c>
      <c r="G186" s="278"/>
      <c r="H186" s="278"/>
      <c r="I186" s="262"/>
      <c r="J186" s="278"/>
      <c r="K186" s="317"/>
      <c r="L186" s="317"/>
      <c r="M186" s="317"/>
      <c r="N186" s="317"/>
      <c r="O186" s="317"/>
      <c r="P186" s="317"/>
      <c r="Q186" s="317"/>
      <c r="R186" s="317"/>
      <c r="S186" s="317"/>
    </row>
    <row r="187" spans="1:19">
      <c r="A187" s="291"/>
      <c r="B187" s="333" t="s">
        <v>374</v>
      </c>
      <c r="C187" s="320">
        <f>SUM(D187:J187)</f>
        <v>-2392104.89</v>
      </c>
      <c r="D187" s="320">
        <f>ROUND(D185*D186/100,2)</f>
        <v>-1872363.06</v>
      </c>
      <c r="E187" s="320">
        <f>ROUND(E185*E186/100,2)</f>
        <v>-495784.54</v>
      </c>
      <c r="F187" s="320">
        <f>ROUND(F185*F186/100,2)</f>
        <v>-23957.29</v>
      </c>
      <c r="G187" s="320"/>
      <c r="H187" s="320"/>
      <c r="I187" s="320"/>
      <c r="J187" s="320"/>
      <c r="K187" s="320"/>
      <c r="L187" s="320"/>
      <c r="M187" s="320"/>
      <c r="N187" s="320"/>
      <c r="O187" s="320"/>
      <c r="P187" s="320"/>
      <c r="Q187" s="320"/>
      <c r="R187" s="320"/>
      <c r="S187" s="320"/>
    </row>
    <row r="188" spans="1:19">
      <c r="A188" s="291"/>
      <c r="B188" s="333" t="s">
        <v>378</v>
      </c>
      <c r="C188" s="277"/>
      <c r="D188" s="277"/>
      <c r="E188" s="277"/>
      <c r="F188" s="277"/>
      <c r="G188" s="277"/>
      <c r="H188" s="277"/>
      <c r="I188" s="277"/>
      <c r="J188" s="277"/>
      <c r="K188" s="320"/>
      <c r="L188" s="320"/>
      <c r="M188" s="320"/>
      <c r="N188" s="320"/>
      <c r="O188" s="320"/>
      <c r="P188" s="320"/>
      <c r="Q188" s="320"/>
      <c r="R188" s="320"/>
      <c r="S188" s="320"/>
    </row>
    <row r="189" spans="1:19">
      <c r="A189" s="291"/>
      <c r="B189" s="292"/>
      <c r="C189" s="320"/>
      <c r="D189" s="320"/>
      <c r="E189" s="320"/>
      <c r="F189" s="320"/>
      <c r="G189" s="320"/>
      <c r="H189" s="320"/>
      <c r="I189" s="320"/>
      <c r="J189" s="320"/>
      <c r="K189" s="292"/>
      <c r="L189" s="292"/>
      <c r="M189" s="292"/>
      <c r="N189" s="292"/>
      <c r="O189" s="292"/>
      <c r="P189" s="292"/>
      <c r="Q189" s="292"/>
      <c r="R189" s="292"/>
      <c r="S189" s="292"/>
    </row>
    <row r="190" spans="1:19">
      <c r="A190" s="291"/>
      <c r="B190" s="292" t="s">
        <v>379</v>
      </c>
      <c r="C190" s="320">
        <f>SUM(D190:J190)</f>
        <v>-2739676.12</v>
      </c>
      <c r="D190" s="320">
        <f t="shared" ref="D190:J190" si="31">D187+D183</f>
        <v>-2123837.77</v>
      </c>
      <c r="E190" s="320">
        <f t="shared" si="31"/>
        <v>-548909.25</v>
      </c>
      <c r="F190" s="320">
        <f t="shared" si="31"/>
        <v>-66929.100000000006</v>
      </c>
      <c r="G190" s="320">
        <f t="shared" si="31"/>
        <v>0</v>
      </c>
      <c r="H190" s="320">
        <f>H187+H183</f>
        <v>0</v>
      </c>
      <c r="I190" s="320">
        <f t="shared" si="31"/>
        <v>0</v>
      </c>
      <c r="J190" s="320">
        <f t="shared" si="31"/>
        <v>0</v>
      </c>
      <c r="K190" s="292"/>
      <c r="L190" s="292"/>
      <c r="M190" s="292"/>
      <c r="N190" s="292"/>
      <c r="O190" s="292"/>
      <c r="P190" s="292"/>
      <c r="Q190" s="292"/>
      <c r="R190" s="292"/>
      <c r="S190" s="292"/>
    </row>
    <row r="191" spans="1:19">
      <c r="A191" s="291"/>
      <c r="B191" s="292" t="s">
        <v>364</v>
      </c>
      <c r="C191" s="272">
        <f>SUM(D191:J191)</f>
        <v>173653677.82262999</v>
      </c>
      <c r="D191" s="272">
        <f t="shared" ref="D191:J191" si="32">D170</f>
        <v>125714074.25</v>
      </c>
      <c r="E191" s="272">
        <f t="shared" si="32"/>
        <v>38819142.379999995</v>
      </c>
      <c r="F191" s="272">
        <f t="shared" si="32"/>
        <v>4203270.75</v>
      </c>
      <c r="G191" s="272">
        <f t="shared" si="32"/>
        <v>733819.29</v>
      </c>
      <c r="H191" s="272">
        <f>H170</f>
        <v>2576795.6326299999</v>
      </c>
      <c r="I191" s="272">
        <f t="shared" si="32"/>
        <v>1186386.9100000001</v>
      </c>
      <c r="J191" s="272">
        <f t="shared" si="32"/>
        <v>420188.61</v>
      </c>
      <c r="K191" s="292"/>
      <c r="L191" s="292"/>
      <c r="M191" s="292"/>
      <c r="N191" s="292"/>
      <c r="O191" s="292"/>
      <c r="P191" s="292"/>
      <c r="Q191" s="292"/>
      <c r="R191" s="292"/>
      <c r="S191" s="292"/>
    </row>
    <row r="192" spans="1:19">
      <c r="A192" s="291"/>
      <c r="B192" s="292" t="s">
        <v>385</v>
      </c>
      <c r="C192" s="320">
        <f>SUM(D192:J192)</f>
        <v>170914001.70263001</v>
      </c>
      <c r="D192" s="320">
        <f t="shared" ref="D192:J192" si="33">D190+D191</f>
        <v>123590236.48</v>
      </c>
      <c r="E192" s="320">
        <f t="shared" si="33"/>
        <v>38270233.129999995</v>
      </c>
      <c r="F192" s="320">
        <f t="shared" si="33"/>
        <v>4136341.65</v>
      </c>
      <c r="G192" s="320">
        <f t="shared" si="33"/>
        <v>733819.29</v>
      </c>
      <c r="H192" s="320">
        <f>H190+H191</f>
        <v>2576795.6326299999</v>
      </c>
      <c r="I192" s="320">
        <f t="shared" si="33"/>
        <v>1186386.9100000001</v>
      </c>
      <c r="J192" s="320">
        <f t="shared" si="33"/>
        <v>420188.61</v>
      </c>
      <c r="K192" s="292"/>
      <c r="L192" s="292"/>
      <c r="M192" s="292"/>
      <c r="N192" s="292"/>
      <c r="O192" s="292"/>
      <c r="P192" s="292"/>
      <c r="Q192" s="292"/>
      <c r="R192" s="292"/>
      <c r="S192" s="292"/>
    </row>
    <row r="193" spans="1:19">
      <c r="A193" s="291"/>
      <c r="B193" s="292" t="s">
        <v>380</v>
      </c>
      <c r="C193" s="277">
        <f>SUM(D193:J193)</f>
        <v>170914001.70263001</v>
      </c>
      <c r="D193" s="277">
        <f t="shared" ref="D193:J193" si="34">D145</f>
        <v>123590236.48</v>
      </c>
      <c r="E193" s="277">
        <f t="shared" si="34"/>
        <v>38270233.129999995</v>
      </c>
      <c r="F193" s="277">
        <f t="shared" si="34"/>
        <v>4136341.65</v>
      </c>
      <c r="G193" s="277">
        <f t="shared" si="34"/>
        <v>733819.29</v>
      </c>
      <c r="H193" s="277">
        <f>H145</f>
        <v>2576795.6326299999</v>
      </c>
      <c r="I193" s="277">
        <f t="shared" si="34"/>
        <v>1186386.9100000001</v>
      </c>
      <c r="J193" s="277">
        <f t="shared" si="34"/>
        <v>420188.61</v>
      </c>
      <c r="K193" s="292"/>
      <c r="L193" s="292"/>
      <c r="M193" s="292"/>
      <c r="N193" s="292"/>
      <c r="O193" s="292"/>
      <c r="P193" s="292"/>
      <c r="Q193" s="292"/>
      <c r="R193" s="292"/>
      <c r="S193" s="292"/>
    </row>
    <row r="194" spans="1:19">
      <c r="A194" s="291"/>
      <c r="B194" s="292"/>
      <c r="C194" s="292"/>
      <c r="D194" s="292"/>
      <c r="E194" s="292"/>
      <c r="F194" s="292"/>
      <c r="G194" s="292"/>
      <c r="H194" s="292"/>
      <c r="I194" s="292"/>
      <c r="J194" s="292"/>
      <c r="K194" s="292"/>
      <c r="L194" s="292"/>
      <c r="M194" s="292"/>
      <c r="N194" s="292"/>
      <c r="O194" s="292"/>
      <c r="P194" s="292"/>
      <c r="Q194" s="292"/>
      <c r="R194" s="292"/>
      <c r="S194" s="292"/>
    </row>
    <row r="195" spans="1:19">
      <c r="A195" s="340"/>
      <c r="B195" s="318" t="s">
        <v>386</v>
      </c>
      <c r="C195" s="341">
        <f>SUM(D195:J195)</f>
        <v>0</v>
      </c>
      <c r="D195" s="341">
        <f>D192-D193</f>
        <v>0</v>
      </c>
      <c r="E195" s="341">
        <f t="shared" ref="E195:J195" si="35">E192-E193</f>
        <v>0</v>
      </c>
      <c r="F195" s="341">
        <f t="shared" si="35"/>
        <v>0</v>
      </c>
      <c r="G195" s="341">
        <f t="shared" si="35"/>
        <v>0</v>
      </c>
      <c r="H195" s="341">
        <f>H192-H193</f>
        <v>0</v>
      </c>
      <c r="I195" s="341">
        <f t="shared" si="35"/>
        <v>0</v>
      </c>
      <c r="J195" s="341">
        <f t="shared" si="35"/>
        <v>0</v>
      </c>
      <c r="K195" s="318"/>
      <c r="L195" s="318"/>
      <c r="M195" s="318"/>
      <c r="N195" s="318"/>
      <c r="O195" s="318"/>
      <c r="P195" s="318"/>
      <c r="Q195" s="318"/>
      <c r="R195" s="318"/>
      <c r="S195" s="318"/>
    </row>
    <row r="196" spans="1:19">
      <c r="A196" s="340"/>
      <c r="B196" s="318" t="s">
        <v>387</v>
      </c>
      <c r="C196" s="342">
        <f>C195/C193</f>
        <v>0</v>
      </c>
      <c r="D196" s="342">
        <f t="shared" ref="D196:J196" si="36">D195/D193</f>
        <v>0</v>
      </c>
      <c r="E196" s="342">
        <f t="shared" si="36"/>
        <v>0</v>
      </c>
      <c r="F196" s="342">
        <f>F195/F193</f>
        <v>0</v>
      </c>
      <c r="G196" s="342">
        <f t="shared" si="36"/>
        <v>0</v>
      </c>
      <c r="H196" s="342">
        <f t="shared" si="36"/>
        <v>0</v>
      </c>
      <c r="I196" s="342">
        <f t="shared" si="36"/>
        <v>0</v>
      </c>
      <c r="J196" s="342">
        <f t="shared" si="36"/>
        <v>0</v>
      </c>
      <c r="K196" s="318"/>
      <c r="L196" s="318"/>
      <c r="M196" s="318"/>
      <c r="N196" s="318"/>
      <c r="O196" s="318"/>
      <c r="P196" s="318"/>
      <c r="Q196" s="318"/>
      <c r="R196" s="318"/>
      <c r="S196" s="318"/>
    </row>
    <row r="197" spans="1:19">
      <c r="A197" s="291"/>
      <c r="B197" s="293"/>
      <c r="C197" s="343"/>
      <c r="D197" s="343"/>
      <c r="E197" s="344"/>
      <c r="F197" s="344"/>
      <c r="G197" s="344"/>
      <c r="H197" s="344"/>
      <c r="I197" s="344"/>
      <c r="J197" s="344"/>
      <c r="K197" s="293"/>
      <c r="L197" s="293"/>
      <c r="M197" s="293"/>
      <c r="N197" s="293"/>
      <c r="O197" s="293"/>
      <c r="P197" s="293"/>
      <c r="Q197" s="293"/>
      <c r="R197" s="293"/>
      <c r="S197" s="293"/>
    </row>
    <row r="198" spans="1:19">
      <c r="A198" s="291"/>
      <c r="B198" s="293"/>
      <c r="C198" s="343"/>
      <c r="D198" s="343"/>
      <c r="E198" s="343"/>
      <c r="F198" s="343"/>
      <c r="G198" s="343"/>
      <c r="H198" s="343"/>
      <c r="I198" s="343"/>
      <c r="J198" s="343"/>
      <c r="K198" s="293"/>
      <c r="L198" s="293"/>
      <c r="M198" s="293"/>
      <c r="N198" s="293"/>
      <c r="O198" s="293"/>
      <c r="P198" s="293"/>
      <c r="Q198" s="293"/>
      <c r="R198" s="293"/>
      <c r="S198" s="293"/>
    </row>
    <row r="199" spans="1:19">
      <c r="A199" s="291"/>
      <c r="B199" s="293"/>
      <c r="C199" s="343"/>
      <c r="D199" s="343"/>
      <c r="E199" s="343"/>
      <c r="F199" s="343"/>
      <c r="G199" s="343"/>
      <c r="H199" s="343"/>
      <c r="I199" s="343"/>
      <c r="J199" s="343"/>
      <c r="K199" s="293"/>
      <c r="L199" s="293"/>
      <c r="M199" s="293"/>
      <c r="N199" s="293"/>
      <c r="O199" s="293"/>
      <c r="P199" s="293"/>
      <c r="Q199" s="293"/>
      <c r="R199" s="293"/>
      <c r="S199" s="293"/>
    </row>
    <row r="200" spans="1:19">
      <c r="A200" s="294" t="s">
        <v>312</v>
      </c>
      <c r="B200" s="293"/>
      <c r="C200" s="293" t="s">
        <v>313</v>
      </c>
      <c r="D200" s="293" t="s">
        <v>320</v>
      </c>
      <c r="E200" s="293" t="s">
        <v>320</v>
      </c>
      <c r="F200" s="293" t="s">
        <v>388</v>
      </c>
      <c r="G200" s="293" t="s">
        <v>388</v>
      </c>
      <c r="H200" s="293" t="s">
        <v>389</v>
      </c>
      <c r="I200" s="293" t="s">
        <v>389</v>
      </c>
      <c r="J200" s="293"/>
      <c r="K200" s="293"/>
      <c r="L200" s="293"/>
      <c r="M200" s="293"/>
      <c r="N200" s="293"/>
      <c r="O200" s="293"/>
      <c r="P200" s="293"/>
      <c r="Q200" s="293"/>
      <c r="R200" s="293"/>
      <c r="S200" s="293"/>
    </row>
    <row r="201" spans="1:19">
      <c r="A201" s="294" t="s">
        <v>319</v>
      </c>
      <c r="B201" s="293"/>
      <c r="C201" s="260" t="s">
        <v>390</v>
      </c>
      <c r="D201" s="260" t="s">
        <v>329</v>
      </c>
      <c r="E201" s="260" t="s">
        <v>391</v>
      </c>
      <c r="F201" s="260" t="s">
        <v>392</v>
      </c>
      <c r="G201" s="260" t="s">
        <v>391</v>
      </c>
      <c r="H201" s="260" t="s">
        <v>329</v>
      </c>
      <c r="I201" s="260" t="s">
        <v>391</v>
      </c>
      <c r="J201" s="293"/>
      <c r="K201" s="293"/>
      <c r="L201" s="293"/>
      <c r="M201" s="293"/>
      <c r="N201" s="293"/>
      <c r="O201" s="293"/>
      <c r="P201" s="293"/>
      <c r="Q201" s="293"/>
      <c r="R201" s="293"/>
      <c r="S201" s="293"/>
    </row>
    <row r="202" spans="1:19">
      <c r="A202" s="291"/>
      <c r="B202" s="345" t="s">
        <v>393</v>
      </c>
      <c r="C202" s="292"/>
      <c r="D202" s="292"/>
      <c r="E202" s="292"/>
      <c r="F202" s="292"/>
      <c r="G202" s="292"/>
      <c r="H202" s="292"/>
      <c r="I202" s="292"/>
      <c r="J202" s="292"/>
      <c r="K202" s="292"/>
      <c r="L202" s="292"/>
      <c r="M202" s="292"/>
      <c r="N202" s="292"/>
      <c r="O202" s="292"/>
      <c r="P202" s="292"/>
      <c r="Q202" s="292"/>
      <c r="R202" s="292"/>
      <c r="S202" s="292"/>
    </row>
    <row r="203" spans="1:19">
      <c r="A203" s="291"/>
      <c r="B203" s="292" t="s">
        <v>321</v>
      </c>
      <c r="C203" s="292"/>
      <c r="D203" s="292"/>
      <c r="E203" s="292"/>
      <c r="F203" s="292"/>
      <c r="G203" s="292"/>
      <c r="H203" s="292"/>
      <c r="I203" s="292"/>
      <c r="J203" s="292"/>
      <c r="K203" s="292"/>
      <c r="L203" s="292"/>
      <c r="M203" s="292"/>
      <c r="N203" s="292"/>
      <c r="O203" s="292"/>
      <c r="P203" s="292"/>
      <c r="Q203" s="292"/>
      <c r="R203" s="292"/>
      <c r="S203" s="292"/>
    </row>
    <row r="204" spans="1:19">
      <c r="A204" s="291"/>
      <c r="B204" s="321" t="s">
        <v>394</v>
      </c>
      <c r="C204" s="317">
        <f>D59</f>
        <v>84.807999999999993</v>
      </c>
      <c r="D204" s="303">
        <f>D8</f>
        <v>73705663.25597468</v>
      </c>
      <c r="E204" s="320">
        <f>C204*D204/100</f>
        <v>62508298.894126996</v>
      </c>
      <c r="F204" s="346">
        <f>MIN(D204,F207)</f>
        <v>25031202</v>
      </c>
      <c r="G204" s="320">
        <f>F204*C204/100</f>
        <v>21228461.792159997</v>
      </c>
      <c r="H204" s="303">
        <f>D204-F204</f>
        <v>48674461.25597468</v>
      </c>
      <c r="I204" s="320">
        <f>H204*C204/100</f>
        <v>41279837.101966999</v>
      </c>
      <c r="J204" s="292"/>
      <c r="K204" s="347">
        <f>H204/H207</f>
        <v>0.49642672581359204</v>
      </c>
      <c r="L204" s="292"/>
      <c r="M204" s="292"/>
      <c r="N204" s="292"/>
      <c r="O204" s="292"/>
      <c r="P204" s="292"/>
      <c r="Q204" s="292"/>
      <c r="R204" s="292"/>
      <c r="S204" s="292"/>
    </row>
    <row r="205" spans="1:19">
      <c r="A205" s="291"/>
      <c r="B205" s="321" t="s">
        <v>395</v>
      </c>
      <c r="C205" s="317">
        <f>D60</f>
        <v>95.420999999999992</v>
      </c>
      <c r="D205" s="303">
        <f>D9</f>
        <v>49375177.74402532</v>
      </c>
      <c r="E205" s="267">
        <f>C205*D205/100</f>
        <v>47114288.355126403</v>
      </c>
      <c r="F205" s="280">
        <f>MIN(F207-F204,D205)</f>
        <v>0</v>
      </c>
      <c r="G205" s="267">
        <f>F205*C205/100</f>
        <v>0</v>
      </c>
      <c r="H205" s="303">
        <f>D205-F205</f>
        <v>49375177.74402532</v>
      </c>
      <c r="I205" s="320">
        <f>H205*C205/100</f>
        <v>47114288.355126403</v>
      </c>
      <c r="J205" s="292"/>
      <c r="K205" s="347">
        <f>H205/H207</f>
        <v>0.50357327418640796</v>
      </c>
      <c r="L205" s="292"/>
      <c r="M205" s="292"/>
      <c r="N205" s="292"/>
      <c r="O205" s="292"/>
      <c r="P205" s="292"/>
      <c r="Q205" s="292"/>
      <c r="R205" s="292"/>
      <c r="S205" s="292"/>
    </row>
    <row r="206" spans="1:19">
      <c r="A206" s="291"/>
      <c r="B206" s="292"/>
      <c r="C206" s="292"/>
      <c r="D206" s="269"/>
      <c r="E206" s="269"/>
      <c r="F206" s="269"/>
      <c r="G206" s="269"/>
      <c r="H206" s="269"/>
      <c r="I206" s="270"/>
      <c r="J206" s="292"/>
      <c r="K206" s="292"/>
      <c r="L206" s="292"/>
      <c r="M206" s="292"/>
      <c r="N206" s="292"/>
      <c r="O206" s="292"/>
      <c r="P206" s="292"/>
      <c r="Q206" s="292"/>
      <c r="R206" s="292"/>
      <c r="S206" s="292"/>
    </row>
    <row r="207" spans="1:19">
      <c r="A207" s="291"/>
      <c r="B207" s="292" t="s">
        <v>320</v>
      </c>
      <c r="C207" s="292"/>
      <c r="D207" s="303">
        <f>D204+D205</f>
        <v>123080841</v>
      </c>
      <c r="E207" s="320">
        <f>E204+E205</f>
        <v>109622587.24925339</v>
      </c>
      <c r="F207" s="348">
        <f>14*D25</f>
        <v>25031202</v>
      </c>
      <c r="G207" s="320">
        <f>G204+G205</f>
        <v>21228461.792159997</v>
      </c>
      <c r="H207" s="303">
        <f>H204+H205</f>
        <v>98049639</v>
      </c>
      <c r="I207" s="320">
        <f>I204+I205</f>
        <v>88394125.457093403</v>
      </c>
      <c r="J207" s="292"/>
      <c r="K207" s="292"/>
      <c r="L207" s="292"/>
      <c r="M207" s="292"/>
      <c r="N207" s="292"/>
      <c r="O207" s="292"/>
      <c r="P207" s="292"/>
      <c r="Q207" s="292"/>
      <c r="R207" s="292"/>
      <c r="S207" s="292"/>
    </row>
    <row r="208" spans="1:19">
      <c r="A208" s="291"/>
      <c r="B208" s="292" t="s">
        <v>396</v>
      </c>
      <c r="C208" s="292"/>
      <c r="D208" s="292"/>
      <c r="E208" s="317">
        <f>E207/D207*100</f>
        <v>89.065516906285509</v>
      </c>
      <c r="F208" s="317"/>
      <c r="G208" s="317">
        <f>G207/F207*100</f>
        <v>84.807999999999979</v>
      </c>
      <c r="H208" s="292"/>
      <c r="I208" s="317">
        <f>I207/H207*100</f>
        <v>90.152423158940337</v>
      </c>
      <c r="J208" s="292"/>
      <c r="K208" s="292"/>
      <c r="L208" s="292"/>
      <c r="M208" s="292"/>
      <c r="N208" s="292"/>
      <c r="O208" s="292"/>
      <c r="P208" s="292"/>
      <c r="Q208" s="292"/>
      <c r="R208" s="292"/>
      <c r="S208" s="292"/>
    </row>
    <row r="209" spans="1:19">
      <c r="A209" s="291"/>
      <c r="B209" s="292"/>
      <c r="C209" s="292"/>
      <c r="D209" s="292"/>
      <c r="E209" s="292"/>
      <c r="F209" s="292"/>
      <c r="G209" s="292"/>
      <c r="H209" s="292"/>
      <c r="I209" s="292"/>
      <c r="J209" s="292"/>
      <c r="K209" s="292"/>
      <c r="L209" s="292"/>
      <c r="M209" s="292"/>
      <c r="N209" s="292"/>
      <c r="O209" s="292"/>
      <c r="P209" s="292"/>
      <c r="Q209" s="292"/>
      <c r="R209" s="292"/>
      <c r="S209" s="292"/>
    </row>
    <row r="210" spans="1:19">
      <c r="A210" s="291"/>
      <c r="B210" s="292"/>
      <c r="C210" s="292"/>
      <c r="D210" s="292"/>
      <c r="E210" s="292"/>
      <c r="F210" s="292"/>
      <c r="G210" s="292"/>
      <c r="H210" s="292"/>
      <c r="I210" s="292"/>
      <c r="J210" s="292"/>
      <c r="K210" s="292"/>
      <c r="L210" s="292"/>
      <c r="M210" s="292"/>
      <c r="N210" s="292"/>
      <c r="O210" s="292"/>
      <c r="P210" s="292"/>
      <c r="Q210" s="292"/>
      <c r="R210" s="292"/>
      <c r="S210" s="292"/>
    </row>
    <row r="211" spans="1:19" hidden="1">
      <c r="A211" s="291"/>
      <c r="B211" s="345" t="s">
        <v>397</v>
      </c>
      <c r="C211" s="292"/>
      <c r="D211" s="292"/>
      <c r="E211" s="292"/>
      <c r="F211" s="292"/>
      <c r="G211" s="292"/>
      <c r="H211" s="292"/>
      <c r="I211" s="292"/>
      <c r="J211" s="292"/>
      <c r="K211" s="292"/>
      <c r="L211" s="292"/>
      <c r="M211" s="292"/>
      <c r="N211" s="292"/>
      <c r="O211" s="292"/>
      <c r="P211" s="292"/>
      <c r="Q211" s="292"/>
      <c r="R211" s="292"/>
      <c r="S211" s="292"/>
    </row>
    <row r="212" spans="1:19" hidden="1">
      <c r="A212" s="291"/>
      <c r="B212" s="292" t="s">
        <v>321</v>
      </c>
      <c r="C212" s="292"/>
      <c r="D212" s="292"/>
      <c r="E212" s="292"/>
      <c r="F212" s="292"/>
      <c r="G212" s="292"/>
      <c r="H212" s="292"/>
      <c r="I212" s="292"/>
      <c r="J212" s="292"/>
      <c r="K212" s="292"/>
      <c r="L212" s="292"/>
      <c r="M212" s="292"/>
      <c r="N212" s="292"/>
      <c r="O212" s="292"/>
      <c r="P212" s="292"/>
      <c r="Q212" s="292"/>
      <c r="R212" s="292"/>
      <c r="S212" s="292"/>
    </row>
    <row r="213" spans="1:19" hidden="1">
      <c r="A213" s="291"/>
      <c r="B213" s="321" t="s">
        <v>394</v>
      </c>
      <c r="C213" s="317">
        <f>D77</f>
        <v>84.808000000000007</v>
      </c>
      <c r="D213" s="303">
        <f>D8</f>
        <v>73705663.25597468</v>
      </c>
      <c r="E213" s="320">
        <f>C213*D213/100</f>
        <v>62508298.894127019</v>
      </c>
      <c r="F213" s="346">
        <f>MIN(D213,F216)</f>
        <v>25031202</v>
      </c>
      <c r="G213" s="320">
        <f>F213*C213/100</f>
        <v>21228461.792160001</v>
      </c>
      <c r="H213" s="303">
        <f>D213-F213</f>
        <v>48674461.25597468</v>
      </c>
      <c r="I213" s="320">
        <f>H213*C213/100</f>
        <v>41279837.101967007</v>
      </c>
      <c r="J213" s="292"/>
      <c r="K213" s="292"/>
      <c r="L213" s="292"/>
      <c r="M213" s="292"/>
      <c r="N213" s="292"/>
      <c r="O213" s="292"/>
      <c r="P213" s="292"/>
      <c r="Q213" s="292"/>
      <c r="R213" s="292"/>
      <c r="S213" s="292"/>
    </row>
    <row r="214" spans="1:19" hidden="1">
      <c r="A214" s="291"/>
      <c r="B214" s="321" t="s">
        <v>395</v>
      </c>
      <c r="C214" s="317">
        <f>D78</f>
        <v>95.421000000000006</v>
      </c>
      <c r="D214" s="266">
        <f>D9</f>
        <v>49375177.74402532</v>
      </c>
      <c r="E214" s="267">
        <f>C214*D214/100</f>
        <v>47114288.355126403</v>
      </c>
      <c r="F214" s="280">
        <f>MIN(F216-F213,D214)</f>
        <v>0</v>
      </c>
      <c r="G214" s="267">
        <f>F214*C214/100</f>
        <v>0</v>
      </c>
      <c r="H214" s="303">
        <f>D214-F214</f>
        <v>49375177.74402532</v>
      </c>
      <c r="I214" s="320">
        <f>H214*C214/100</f>
        <v>47114288.355126403</v>
      </c>
      <c r="J214" s="292"/>
      <c r="K214" s="292"/>
      <c r="L214" s="292"/>
      <c r="M214" s="292"/>
      <c r="N214" s="292"/>
      <c r="O214" s="292"/>
      <c r="P214" s="292"/>
      <c r="Q214" s="292"/>
      <c r="R214" s="292"/>
      <c r="S214" s="292"/>
    </row>
    <row r="215" spans="1:19" hidden="1">
      <c r="A215" s="291"/>
      <c r="B215" s="292"/>
      <c r="C215" s="292"/>
      <c r="D215" s="269"/>
      <c r="E215" s="269"/>
      <c r="F215" s="269"/>
      <c r="G215" s="269"/>
      <c r="H215" s="269"/>
      <c r="I215" s="269"/>
      <c r="J215" s="292"/>
      <c r="K215" s="292"/>
      <c r="L215" s="292"/>
      <c r="M215" s="292"/>
      <c r="N215" s="292"/>
      <c r="O215" s="292"/>
      <c r="P215" s="292"/>
      <c r="Q215" s="292"/>
      <c r="R215" s="292"/>
      <c r="S215" s="292"/>
    </row>
    <row r="216" spans="1:19" hidden="1">
      <c r="A216" s="291"/>
      <c r="B216" s="292" t="s">
        <v>320</v>
      </c>
      <c r="C216" s="292"/>
      <c r="D216" s="303">
        <f>D213+D214</f>
        <v>123080841</v>
      </c>
      <c r="E216" s="320">
        <f>E213+E214</f>
        <v>109622587.24925342</v>
      </c>
      <c r="F216" s="326">
        <f>F207</f>
        <v>25031202</v>
      </c>
      <c r="G216" s="320">
        <f>G213+G214</f>
        <v>21228461.792160001</v>
      </c>
      <c r="H216" s="303">
        <f>H213+H214</f>
        <v>98049639</v>
      </c>
      <c r="I216" s="303">
        <f>I212+I213+I214</f>
        <v>88394125.457093418</v>
      </c>
      <c r="J216" s="292"/>
      <c r="K216" s="292"/>
      <c r="L216" s="292"/>
      <c r="M216" s="292"/>
      <c r="N216" s="292"/>
      <c r="O216" s="292"/>
      <c r="P216" s="292"/>
      <c r="Q216" s="292"/>
      <c r="R216" s="292"/>
      <c r="S216" s="292"/>
    </row>
    <row r="217" spans="1:19" hidden="1">
      <c r="A217" s="291"/>
      <c r="B217" s="292" t="s">
        <v>396</v>
      </c>
      <c r="C217" s="292"/>
      <c r="D217" s="292"/>
      <c r="E217" s="317">
        <f>E216/D216*100</f>
        <v>89.065516906285538</v>
      </c>
      <c r="F217" s="317"/>
      <c r="G217" s="317">
        <f>G216/F216*100</f>
        <v>84.808000000000007</v>
      </c>
      <c r="H217" s="292"/>
      <c r="I217" s="317">
        <f>I216/H216*100</f>
        <v>90.152423158940351</v>
      </c>
      <c r="J217" s="292"/>
      <c r="K217" s="292"/>
      <c r="L217" s="292"/>
      <c r="M217" s="292"/>
      <c r="N217" s="292"/>
      <c r="O217" s="292"/>
      <c r="P217" s="292"/>
      <c r="Q217" s="292"/>
      <c r="R217" s="292"/>
      <c r="S217" s="292"/>
    </row>
    <row r="218" spans="1:19" hidden="1">
      <c r="A218" s="291"/>
      <c r="B218" s="292"/>
      <c r="C218" s="292"/>
      <c r="D218" s="292"/>
      <c r="E218" s="292"/>
      <c r="F218" s="292"/>
      <c r="G218" s="292"/>
      <c r="H218" s="292"/>
      <c r="I218" s="292"/>
      <c r="J218" s="292"/>
      <c r="K218" s="292"/>
      <c r="L218" s="292"/>
      <c r="M218" s="292"/>
      <c r="N218" s="292"/>
      <c r="O218" s="292"/>
      <c r="P218" s="292"/>
      <c r="Q218" s="292"/>
      <c r="R218" s="292"/>
      <c r="S218" s="292"/>
    </row>
    <row r="219" spans="1:19" hidden="1">
      <c r="A219" s="291"/>
      <c r="B219" s="292"/>
      <c r="C219" s="292"/>
      <c r="D219" s="292"/>
      <c r="E219" s="292"/>
      <c r="F219" s="292"/>
      <c r="G219" s="292"/>
      <c r="H219" s="292"/>
      <c r="I219" s="292"/>
      <c r="J219" s="292"/>
      <c r="K219" s="292"/>
      <c r="L219" s="292"/>
      <c r="M219" s="292"/>
      <c r="N219" s="292"/>
      <c r="O219" s="292"/>
      <c r="P219" s="292"/>
      <c r="Q219" s="292"/>
      <c r="R219" s="292"/>
      <c r="S219" s="292"/>
    </row>
    <row r="220" spans="1:19">
      <c r="A220" s="291"/>
      <c r="B220" s="349" t="s">
        <v>440</v>
      </c>
      <c r="C220" s="292"/>
      <c r="D220" s="292"/>
      <c r="E220" s="292"/>
      <c r="F220" s="292"/>
      <c r="G220" s="292"/>
      <c r="H220" s="292"/>
      <c r="I220" s="292"/>
      <c r="J220" s="292"/>
      <c r="K220" s="292"/>
      <c r="L220" s="292"/>
      <c r="M220" s="292"/>
      <c r="N220" s="292"/>
      <c r="O220" s="292"/>
      <c r="P220" s="292"/>
      <c r="Q220" s="292"/>
      <c r="R220" s="292"/>
      <c r="S220" s="292"/>
    </row>
    <row r="221" spans="1:19">
      <c r="A221" s="291"/>
      <c r="B221" s="350" t="str">
        <f>"14 X "&amp;TEXT(D25,"#,##0")&amp;" = "&amp;TEXT(F207,"#,##0")</f>
        <v>14 X 1,787,943 = 25,031,202</v>
      </c>
      <c r="C221" s="292"/>
      <c r="D221" s="292"/>
      <c r="E221" s="292"/>
      <c r="F221" s="292"/>
      <c r="G221" s="292"/>
      <c r="H221" s="292"/>
      <c r="I221" s="292"/>
      <c r="J221" s="292"/>
      <c r="K221" s="292"/>
      <c r="L221" s="292"/>
      <c r="M221" s="292"/>
      <c r="N221" s="292"/>
      <c r="O221" s="292"/>
      <c r="P221" s="292"/>
      <c r="Q221" s="292"/>
      <c r="R221" s="292"/>
      <c r="S221" s="292"/>
    </row>
    <row r="222" spans="1:19">
      <c r="A222" s="291"/>
      <c r="B222" s="292"/>
      <c r="C222" s="292"/>
      <c r="D222" s="292"/>
      <c r="E222" s="292"/>
      <c r="F222" s="292"/>
      <c r="G222" s="292"/>
      <c r="H222" s="292"/>
      <c r="I222" s="292"/>
      <c r="J222" s="292"/>
      <c r="K222" s="292"/>
      <c r="L222" s="292"/>
      <c r="M222" s="292"/>
      <c r="N222" s="292"/>
      <c r="O222" s="292"/>
      <c r="P222" s="292"/>
      <c r="Q222" s="292"/>
      <c r="R222" s="292"/>
      <c r="S222" s="292"/>
    </row>
    <row r="223" spans="1:19">
      <c r="A223" s="291"/>
      <c r="B223" s="345" t="s">
        <v>393</v>
      </c>
      <c r="C223" s="292"/>
      <c r="D223" s="292"/>
      <c r="E223" s="292"/>
      <c r="F223" s="292"/>
      <c r="G223" s="292"/>
      <c r="H223" s="292"/>
      <c r="I223" s="292"/>
      <c r="J223" s="292"/>
      <c r="K223" s="292"/>
      <c r="L223" s="292"/>
      <c r="M223" s="292"/>
      <c r="N223" s="292"/>
      <c r="O223" s="292"/>
      <c r="P223" s="292"/>
      <c r="Q223" s="292"/>
      <c r="R223" s="292"/>
      <c r="S223" s="292"/>
    </row>
    <row r="224" spans="1:19">
      <c r="A224" s="291"/>
      <c r="B224" s="292" t="s">
        <v>346</v>
      </c>
      <c r="C224" s="292"/>
      <c r="D224" s="292"/>
      <c r="E224" s="292"/>
      <c r="F224" s="292"/>
      <c r="G224" s="292"/>
      <c r="H224" s="292"/>
      <c r="I224" s="292"/>
      <c r="J224" s="292"/>
      <c r="K224" s="292"/>
      <c r="L224" s="292"/>
      <c r="M224" s="292"/>
      <c r="N224" s="292"/>
      <c r="O224" s="292"/>
      <c r="P224" s="292"/>
      <c r="Q224" s="292"/>
      <c r="R224" s="292"/>
      <c r="S224" s="292"/>
    </row>
    <row r="225" spans="1:19">
      <c r="A225" s="291"/>
      <c r="B225" s="321" t="s">
        <v>398</v>
      </c>
      <c r="C225" s="317">
        <f>E59</f>
        <v>52.454999999999998</v>
      </c>
      <c r="D225" s="303">
        <f>E8</f>
        <v>5462682.2359244339</v>
      </c>
      <c r="E225" s="320">
        <f>C225*D225/100</f>
        <v>2865449.9668541616</v>
      </c>
      <c r="F225" s="346">
        <f>MIN(D225,F229)</f>
        <v>5462682.2359244339</v>
      </c>
      <c r="G225" s="320">
        <f>F225*C225/100</f>
        <v>2865449.9668541616</v>
      </c>
      <c r="H225" s="303">
        <f>D225-F225</f>
        <v>0</v>
      </c>
      <c r="I225" s="320">
        <f>H225*C225/100</f>
        <v>0</v>
      </c>
      <c r="J225" s="292"/>
      <c r="K225" s="292"/>
      <c r="L225" s="292"/>
      <c r="M225" s="292"/>
      <c r="N225" s="292"/>
      <c r="O225" s="292"/>
      <c r="P225" s="292"/>
      <c r="Q225" s="292"/>
      <c r="R225" s="292"/>
      <c r="S225" s="292"/>
    </row>
    <row r="226" spans="1:19">
      <c r="A226" s="291"/>
      <c r="B226" s="321" t="s">
        <v>399</v>
      </c>
      <c r="C226" s="317">
        <f>E60</f>
        <v>82.834000000000003</v>
      </c>
      <c r="D226" s="303">
        <f>E9</f>
        <v>14596426.301056234</v>
      </c>
      <c r="E226" s="320">
        <f>C226*D226/100</f>
        <v>12090803.76221692</v>
      </c>
      <c r="F226" s="346">
        <f>MIN(F229-F225,D226)</f>
        <v>8596543.7640755456</v>
      </c>
      <c r="G226" s="320">
        <f>F226*C226/100</f>
        <v>7120861.0615343377</v>
      </c>
      <c r="H226" s="303">
        <f>D226-F226</f>
        <v>5999882.5369806886</v>
      </c>
      <c r="I226" s="320">
        <f>H226*C226/100</f>
        <v>4969942.7006825842</v>
      </c>
      <c r="J226" s="292"/>
      <c r="K226" s="292"/>
      <c r="L226" s="292"/>
      <c r="M226" s="292"/>
      <c r="N226" s="292"/>
      <c r="O226" s="292"/>
      <c r="P226" s="292"/>
      <c r="Q226" s="292"/>
      <c r="R226" s="292"/>
      <c r="S226" s="292"/>
    </row>
    <row r="227" spans="1:19">
      <c r="A227" s="291"/>
      <c r="B227" s="321" t="s">
        <v>400</v>
      </c>
      <c r="C227" s="317">
        <f>E61</f>
        <v>75.152999999999992</v>
      </c>
      <c r="D227" s="266">
        <f>E10</f>
        <v>28197173.46301933</v>
      </c>
      <c r="E227" s="267">
        <f>C227*D227/100</f>
        <v>21191021.772662915</v>
      </c>
      <c r="F227" s="280">
        <f>MIN(F229-F225-F226,D227)</f>
        <v>0</v>
      </c>
      <c r="G227" s="267">
        <f>F227*C227/100</f>
        <v>0</v>
      </c>
      <c r="H227" s="303">
        <f>D227-F227</f>
        <v>28197173.46301933</v>
      </c>
      <c r="I227" s="320">
        <f>H227*C227/100</f>
        <v>21191021.772662915</v>
      </c>
      <c r="J227" s="292"/>
      <c r="K227" s="292"/>
      <c r="L227" s="292"/>
      <c r="M227" s="292"/>
      <c r="N227" s="292"/>
      <c r="O227" s="292"/>
      <c r="P227" s="292"/>
      <c r="Q227" s="292"/>
      <c r="R227" s="292"/>
      <c r="S227" s="292"/>
    </row>
    <row r="228" spans="1:19">
      <c r="A228" s="291"/>
      <c r="B228" s="292"/>
      <c r="C228" s="292"/>
      <c r="D228" s="269"/>
      <c r="E228" s="269"/>
      <c r="F228" s="269"/>
      <c r="G228" s="269"/>
      <c r="H228" s="269"/>
      <c r="I228" s="270"/>
      <c r="J228" s="292"/>
      <c r="K228" s="292"/>
      <c r="L228" s="292"/>
      <c r="M228" s="292"/>
      <c r="N228" s="292"/>
      <c r="O228" s="292"/>
      <c r="P228" s="292"/>
      <c r="Q228" s="292"/>
      <c r="R228" s="292"/>
      <c r="S228" s="292"/>
    </row>
    <row r="229" spans="1:19">
      <c r="A229" s="291"/>
      <c r="B229" s="292" t="s">
        <v>320</v>
      </c>
      <c r="C229" s="292"/>
      <c r="D229" s="303">
        <f>D225+D226+D227</f>
        <v>48256282</v>
      </c>
      <c r="E229" s="320">
        <f>E225+E226+E227</f>
        <v>36147275.501733996</v>
      </c>
      <c r="F229" s="348">
        <f>458*E26</f>
        <v>14059225.99999998</v>
      </c>
      <c r="G229" s="320">
        <f>G225+G226+G227</f>
        <v>9986311.0283885002</v>
      </c>
      <c r="H229" s="303">
        <f>H225+H226+H227</f>
        <v>34197056.000000015</v>
      </c>
      <c r="I229" s="320">
        <f>I225+I226+I227</f>
        <v>26160964.473345499</v>
      </c>
      <c r="J229" s="292"/>
      <c r="K229" s="292"/>
      <c r="L229" s="292"/>
      <c r="M229" s="292"/>
      <c r="N229" s="292"/>
      <c r="O229" s="292"/>
      <c r="P229" s="292"/>
      <c r="Q229" s="292"/>
      <c r="R229" s="292"/>
      <c r="S229" s="292"/>
    </row>
    <row r="230" spans="1:19">
      <c r="A230" s="291"/>
      <c r="B230" s="292" t="s">
        <v>396</v>
      </c>
      <c r="C230" s="292"/>
      <c r="D230" s="292"/>
      <c r="E230" s="317">
        <f>E229/D229*100</f>
        <v>74.906880521242797</v>
      </c>
      <c r="F230" s="317"/>
      <c r="G230" s="317">
        <f>G229/F229*100</f>
        <v>71.030304430617406</v>
      </c>
      <c r="H230" s="292"/>
      <c r="I230" s="317">
        <f>I229/H229*100</f>
        <v>76.500633485366365</v>
      </c>
      <c r="J230" s="292"/>
      <c r="K230" s="292"/>
      <c r="L230" s="292"/>
      <c r="M230" s="292"/>
      <c r="N230" s="292"/>
      <c r="O230" s="292"/>
      <c r="P230" s="292"/>
      <c r="Q230" s="292"/>
      <c r="R230" s="292"/>
      <c r="S230" s="292"/>
    </row>
    <row r="231" spans="1:19">
      <c r="A231" s="291"/>
      <c r="B231" s="292"/>
      <c r="C231" s="292"/>
      <c r="D231" s="292"/>
      <c r="E231" s="292"/>
      <c r="F231" s="292"/>
      <c r="G231" s="292"/>
      <c r="H231" s="292"/>
      <c r="I231" s="292"/>
      <c r="J231" s="292"/>
      <c r="K231" s="292"/>
      <c r="L231" s="292"/>
      <c r="M231" s="292"/>
      <c r="N231" s="292"/>
      <c r="O231" s="292"/>
      <c r="P231" s="292"/>
      <c r="Q231" s="292"/>
      <c r="R231" s="292"/>
      <c r="S231" s="292"/>
    </row>
    <row r="232" spans="1:19">
      <c r="A232" s="291"/>
      <c r="B232" s="292"/>
      <c r="C232" s="292"/>
      <c r="D232" s="292"/>
      <c r="E232" s="292"/>
      <c r="F232" s="292"/>
      <c r="G232" s="292"/>
      <c r="H232" s="292"/>
      <c r="I232" s="292"/>
      <c r="J232" s="292"/>
      <c r="K232" s="292"/>
      <c r="L232" s="292"/>
      <c r="M232" s="292"/>
      <c r="N232" s="292"/>
      <c r="O232" s="292"/>
      <c r="P232" s="292"/>
      <c r="Q232" s="292"/>
      <c r="R232" s="292"/>
      <c r="S232" s="292"/>
    </row>
    <row r="233" spans="1:19" hidden="1">
      <c r="A233" s="291"/>
      <c r="B233" s="345" t="s">
        <v>397</v>
      </c>
      <c r="C233" s="292"/>
      <c r="D233" s="292"/>
      <c r="E233" s="292"/>
      <c r="F233" s="292"/>
      <c r="G233" s="292"/>
      <c r="H233" s="292"/>
      <c r="I233" s="292"/>
      <c r="J233" s="292"/>
      <c r="K233" s="292"/>
      <c r="L233" s="292"/>
      <c r="M233" s="292"/>
      <c r="N233" s="292"/>
      <c r="O233" s="292"/>
      <c r="P233" s="292"/>
      <c r="Q233" s="292"/>
      <c r="R233" s="292"/>
      <c r="S233" s="292"/>
    </row>
    <row r="234" spans="1:19" hidden="1">
      <c r="A234" s="291"/>
      <c r="B234" s="292" t="s">
        <v>346</v>
      </c>
      <c r="C234" s="292"/>
      <c r="D234" s="292"/>
      <c r="E234" s="292"/>
      <c r="F234" s="292"/>
      <c r="G234" s="292"/>
      <c r="H234" s="292"/>
      <c r="I234" s="292"/>
      <c r="J234" s="292"/>
      <c r="K234" s="292"/>
      <c r="L234" s="292"/>
      <c r="M234" s="292"/>
      <c r="N234" s="292"/>
      <c r="O234" s="292"/>
      <c r="P234" s="292"/>
      <c r="Q234" s="292"/>
      <c r="R234" s="292"/>
      <c r="S234" s="292"/>
    </row>
    <row r="235" spans="1:19" hidden="1">
      <c r="A235" s="291"/>
      <c r="B235" s="321" t="s">
        <v>398</v>
      </c>
      <c r="C235" s="317">
        <f>E77</f>
        <v>52.454999999999998</v>
      </c>
      <c r="D235" s="303">
        <f>E31</f>
        <v>5462682.2359244339</v>
      </c>
      <c r="E235" s="320">
        <f>C235*D235/100</f>
        <v>2865449.9668541616</v>
      </c>
      <c r="F235" s="346">
        <f>MIN(D235,F239)</f>
        <v>5462682.2359244339</v>
      </c>
      <c r="G235" s="320">
        <f>F235*C235/100</f>
        <v>2865449.9668541616</v>
      </c>
      <c r="H235" s="303">
        <f>D235-F235</f>
        <v>0</v>
      </c>
      <c r="I235" s="320">
        <f>H235*C235/100</f>
        <v>0</v>
      </c>
      <c r="J235" s="292"/>
      <c r="K235" s="292"/>
      <c r="L235" s="292"/>
      <c r="M235" s="292"/>
      <c r="N235" s="292"/>
      <c r="O235" s="292"/>
      <c r="P235" s="292"/>
      <c r="Q235" s="292"/>
      <c r="R235" s="292"/>
      <c r="S235" s="292"/>
    </row>
    <row r="236" spans="1:19" hidden="1">
      <c r="A236" s="291"/>
      <c r="B236" s="321" t="s">
        <v>399</v>
      </c>
      <c r="C236" s="317">
        <f>E78</f>
        <v>82.834000000000003</v>
      </c>
      <c r="D236" s="303">
        <f>E32</f>
        <v>14596426.301056234</v>
      </c>
      <c r="E236" s="320">
        <f>C236*D236/100</f>
        <v>12090803.76221692</v>
      </c>
      <c r="F236" s="346">
        <f>MIN(F239-F235,D236)</f>
        <v>8596543.7640755456</v>
      </c>
      <c r="G236" s="320">
        <f>F236*C236/100</f>
        <v>7120861.0615343377</v>
      </c>
      <c r="H236" s="303">
        <f>D236-F236</f>
        <v>5999882.5369806886</v>
      </c>
      <c r="I236" s="320">
        <f>H236*C236/100</f>
        <v>4969942.7006825842</v>
      </c>
      <c r="J236" s="292"/>
      <c r="K236" s="292"/>
      <c r="L236" s="292"/>
      <c r="M236" s="292"/>
      <c r="N236" s="292"/>
      <c r="O236" s="292"/>
      <c r="P236" s="292"/>
      <c r="Q236" s="292"/>
      <c r="R236" s="292"/>
      <c r="S236" s="292"/>
    </row>
    <row r="237" spans="1:19" hidden="1">
      <c r="A237" s="291"/>
      <c r="B237" s="321" t="s">
        <v>400</v>
      </c>
      <c r="C237" s="317">
        <f>E79</f>
        <v>75.153000000000006</v>
      </c>
      <c r="D237" s="266">
        <f>E33</f>
        <v>28197173.46301933</v>
      </c>
      <c r="E237" s="267">
        <f>C237*D237/100</f>
        <v>21191021.772662919</v>
      </c>
      <c r="F237" s="280">
        <f>MIN(F239-F235-F236,D237)</f>
        <v>0</v>
      </c>
      <c r="G237" s="267">
        <f>F237*C237/100</f>
        <v>0</v>
      </c>
      <c r="H237" s="303">
        <f>D237-F237</f>
        <v>28197173.46301933</v>
      </c>
      <c r="I237" s="320">
        <f>H237*C237/100</f>
        <v>21191021.772662919</v>
      </c>
      <c r="J237" s="292"/>
      <c r="K237" s="292"/>
      <c r="L237" s="292"/>
      <c r="M237" s="292"/>
      <c r="N237" s="292"/>
      <c r="O237" s="292"/>
      <c r="P237" s="292"/>
      <c r="Q237" s="292"/>
      <c r="R237" s="292"/>
      <c r="S237" s="292"/>
    </row>
    <row r="238" spans="1:19" hidden="1">
      <c r="A238" s="291"/>
      <c r="B238" s="292"/>
      <c r="C238" s="292"/>
      <c r="D238" s="269"/>
      <c r="E238" s="269"/>
      <c r="F238" s="269"/>
      <c r="G238" s="269"/>
      <c r="H238" s="269"/>
      <c r="I238" s="269"/>
      <c r="J238" s="292"/>
      <c r="K238" s="292"/>
      <c r="L238" s="292"/>
      <c r="M238" s="292"/>
      <c r="N238" s="292"/>
      <c r="O238" s="292"/>
      <c r="P238" s="292"/>
      <c r="Q238" s="292"/>
      <c r="R238" s="292"/>
      <c r="S238" s="292"/>
    </row>
    <row r="239" spans="1:19" hidden="1">
      <c r="A239" s="291"/>
      <c r="B239" s="292" t="s">
        <v>320</v>
      </c>
      <c r="C239" s="292"/>
      <c r="D239" s="303">
        <f>D235+D236+D237</f>
        <v>48256282</v>
      </c>
      <c r="E239" s="320">
        <f>E235+E236+E237</f>
        <v>36147275.501734003</v>
      </c>
      <c r="F239" s="326">
        <f>F229</f>
        <v>14059225.99999998</v>
      </c>
      <c r="G239" s="320">
        <f>G235+G236+G237</f>
        <v>9986311.0283885002</v>
      </c>
      <c r="H239" s="303">
        <f>H235+H236+H237</f>
        <v>34197056.000000015</v>
      </c>
      <c r="I239" s="303">
        <f>I234+I235+I236+I237</f>
        <v>26160964.473345503</v>
      </c>
      <c r="J239" s="292"/>
      <c r="K239" s="292"/>
      <c r="L239" s="292"/>
      <c r="M239" s="292"/>
      <c r="N239" s="292"/>
      <c r="O239" s="292"/>
      <c r="P239" s="292"/>
      <c r="Q239" s="292"/>
      <c r="R239" s="292"/>
      <c r="S239" s="292"/>
    </row>
    <row r="240" spans="1:19" hidden="1">
      <c r="A240" s="291"/>
      <c r="B240" s="292" t="s">
        <v>396</v>
      </c>
      <c r="C240" s="292"/>
      <c r="D240" s="292"/>
      <c r="E240" s="317">
        <f>E239/D239*100</f>
        <v>74.906880521242812</v>
      </c>
      <c r="F240" s="317"/>
      <c r="G240" s="317">
        <f>G239/F239*100</f>
        <v>71.030304430617406</v>
      </c>
      <c r="H240" s="292"/>
      <c r="I240" s="317">
        <f>I239/H239*100</f>
        <v>76.500633485366379</v>
      </c>
      <c r="J240" s="292"/>
      <c r="K240" s="292"/>
      <c r="L240" s="292"/>
      <c r="M240" s="292"/>
      <c r="N240" s="292"/>
      <c r="O240" s="292"/>
      <c r="P240" s="292"/>
      <c r="Q240" s="292"/>
      <c r="R240" s="292"/>
      <c r="S240" s="292"/>
    </row>
    <row r="241" spans="1:19" hidden="1">
      <c r="A241" s="291"/>
      <c r="B241" s="292"/>
      <c r="C241" s="292"/>
      <c r="D241" s="292"/>
      <c r="E241" s="292"/>
      <c r="F241" s="292"/>
      <c r="G241" s="292"/>
      <c r="H241" s="292"/>
      <c r="I241" s="292"/>
      <c r="J241" s="292"/>
      <c r="K241" s="292"/>
      <c r="L241" s="292"/>
      <c r="M241" s="292"/>
      <c r="N241" s="292"/>
      <c r="O241" s="292"/>
      <c r="P241" s="292"/>
      <c r="Q241" s="292"/>
      <c r="R241" s="292"/>
      <c r="S241" s="292"/>
    </row>
    <row r="242" spans="1:19" hidden="1">
      <c r="A242" s="291"/>
      <c r="B242" s="292"/>
      <c r="C242" s="292"/>
      <c r="D242" s="292"/>
      <c r="E242" s="292"/>
      <c r="F242" s="292"/>
      <c r="G242" s="292"/>
      <c r="H242" s="292"/>
      <c r="I242" s="292"/>
      <c r="J242" s="292"/>
      <c r="K242" s="292"/>
      <c r="L242" s="292"/>
      <c r="M242" s="292"/>
      <c r="N242" s="292"/>
      <c r="O242" s="292"/>
      <c r="P242" s="292"/>
      <c r="Q242" s="292"/>
      <c r="R242" s="292"/>
      <c r="S242" s="292"/>
    </row>
    <row r="243" spans="1:19">
      <c r="A243" s="291"/>
      <c r="B243" s="349" t="s">
        <v>441</v>
      </c>
      <c r="C243" s="292"/>
      <c r="D243" s="292"/>
      <c r="E243" s="292"/>
      <c r="F243" s="292"/>
      <c r="G243" s="292"/>
      <c r="H243" s="292"/>
      <c r="I243" s="292"/>
      <c r="J243" s="292"/>
      <c r="K243" s="292"/>
      <c r="L243" s="292"/>
      <c r="M243" s="292"/>
      <c r="N243" s="292"/>
      <c r="O243" s="292"/>
      <c r="P243" s="292"/>
      <c r="Q243" s="292"/>
      <c r="R243" s="292"/>
      <c r="S243" s="292"/>
    </row>
    <row r="244" spans="1:19">
      <c r="A244" s="291"/>
      <c r="B244" s="350" t="str">
        <f>"458 X "&amp;TEXT(E26,"#,##0")&amp;" = "&amp;TEXT(F229,"#,##0")</f>
        <v>458 X 30,697 = 14,059,226</v>
      </c>
      <c r="C244" s="292"/>
      <c r="D244" s="292"/>
      <c r="E244" s="292"/>
      <c r="F244" s="292"/>
      <c r="G244" s="292"/>
      <c r="H244" s="292"/>
      <c r="I244" s="292"/>
      <c r="J244" s="292"/>
      <c r="K244" s="292"/>
      <c r="L244" s="292"/>
      <c r="M244" s="292"/>
      <c r="N244" s="292"/>
      <c r="O244" s="292"/>
      <c r="P244" s="292"/>
      <c r="Q244" s="292"/>
      <c r="R244" s="292"/>
      <c r="S244" s="292"/>
    </row>
    <row r="245" spans="1:19">
      <c r="A245" s="291"/>
      <c r="B245" s="292"/>
      <c r="C245" s="292"/>
      <c r="D245" s="292"/>
      <c r="E245" s="292"/>
      <c r="F245" s="292"/>
      <c r="G245" s="292"/>
      <c r="H245" s="292"/>
      <c r="I245" s="292"/>
      <c r="J245" s="292"/>
      <c r="K245" s="292"/>
      <c r="L245" s="292"/>
      <c r="M245" s="292"/>
      <c r="N245" s="292"/>
      <c r="O245" s="292"/>
      <c r="P245" s="292"/>
      <c r="Q245" s="292"/>
      <c r="R245" s="292"/>
      <c r="S245" s="292"/>
    </row>
    <row r="246" spans="1:19">
      <c r="A246" s="294" t="s">
        <v>312</v>
      </c>
      <c r="B246" s="293"/>
      <c r="C246" s="293" t="s">
        <v>313</v>
      </c>
      <c r="D246" s="293" t="s">
        <v>320</v>
      </c>
      <c r="E246" s="293" t="s">
        <v>320</v>
      </c>
      <c r="F246" s="293" t="s">
        <v>388</v>
      </c>
      <c r="G246" s="293" t="s">
        <v>388</v>
      </c>
      <c r="H246" s="293" t="s">
        <v>389</v>
      </c>
      <c r="I246" s="293" t="s">
        <v>389</v>
      </c>
      <c r="J246" s="292"/>
      <c r="K246" s="292"/>
      <c r="L246" s="292"/>
      <c r="M246" s="292"/>
      <c r="N246" s="292"/>
      <c r="O246" s="292"/>
      <c r="P246" s="292"/>
      <c r="Q246" s="292"/>
      <c r="R246" s="292"/>
      <c r="S246" s="292"/>
    </row>
    <row r="247" spans="1:19">
      <c r="A247" s="294" t="s">
        <v>319</v>
      </c>
      <c r="B247" s="293"/>
      <c r="C247" s="260" t="s">
        <v>390</v>
      </c>
      <c r="D247" s="260" t="s">
        <v>329</v>
      </c>
      <c r="E247" s="260" t="s">
        <v>391</v>
      </c>
      <c r="F247" s="260" t="s">
        <v>392</v>
      </c>
      <c r="G247" s="260" t="s">
        <v>391</v>
      </c>
      <c r="H247" s="260" t="s">
        <v>329</v>
      </c>
      <c r="I247" s="260" t="s">
        <v>391</v>
      </c>
      <c r="J247" s="292"/>
      <c r="K247" s="292"/>
      <c r="L247" s="292"/>
      <c r="M247" s="292"/>
      <c r="N247" s="292"/>
      <c r="O247" s="292"/>
      <c r="P247" s="292"/>
      <c r="Q247" s="292"/>
      <c r="R247" s="292"/>
      <c r="S247" s="292"/>
    </row>
    <row r="248" spans="1:19">
      <c r="A248" s="291"/>
      <c r="B248" s="292"/>
      <c r="C248" s="292"/>
      <c r="D248" s="292"/>
      <c r="E248" s="292"/>
      <c r="F248" s="292"/>
      <c r="G248" s="292"/>
      <c r="H248" s="292"/>
      <c r="I248" s="292"/>
      <c r="J248" s="292"/>
      <c r="K248" s="292"/>
      <c r="L248" s="292"/>
      <c r="M248" s="292"/>
      <c r="N248" s="292"/>
      <c r="O248" s="292"/>
      <c r="P248" s="292"/>
      <c r="Q248" s="292"/>
      <c r="R248" s="292"/>
      <c r="S248" s="292"/>
    </row>
    <row r="249" spans="1:19">
      <c r="A249" s="291"/>
      <c r="B249" s="345" t="s">
        <v>393</v>
      </c>
      <c r="C249" s="292"/>
      <c r="D249" s="292"/>
      <c r="E249" s="292"/>
      <c r="F249" s="292"/>
      <c r="G249" s="292"/>
      <c r="H249" s="292"/>
      <c r="I249" s="292"/>
      <c r="J249" s="292"/>
      <c r="K249" s="292"/>
      <c r="L249" s="292"/>
      <c r="M249" s="292"/>
      <c r="N249" s="292"/>
      <c r="O249" s="292"/>
      <c r="P249" s="292"/>
      <c r="Q249" s="292"/>
      <c r="R249" s="292"/>
      <c r="S249" s="292"/>
    </row>
    <row r="250" spans="1:19">
      <c r="A250" s="291"/>
      <c r="B250" s="292" t="s">
        <v>347</v>
      </c>
      <c r="C250" s="292"/>
      <c r="D250" s="292"/>
      <c r="E250" s="292"/>
      <c r="F250" s="292"/>
      <c r="G250" s="292"/>
      <c r="H250" s="292"/>
      <c r="I250" s="292"/>
      <c r="J250" s="292"/>
      <c r="K250" s="292"/>
      <c r="L250" s="292"/>
      <c r="M250" s="292"/>
      <c r="N250" s="292"/>
      <c r="O250" s="292"/>
      <c r="P250" s="292"/>
      <c r="Q250" s="292"/>
      <c r="R250" s="292"/>
      <c r="S250" s="292"/>
    </row>
    <row r="251" spans="1:19">
      <c r="A251" s="291"/>
      <c r="B251" s="321" t="s">
        <v>401</v>
      </c>
      <c r="C251" s="317">
        <f>F59</f>
        <v>50.545000000000002</v>
      </c>
      <c r="D251" s="303">
        <f>F31</f>
        <v>166500</v>
      </c>
      <c r="E251" s="320">
        <f>C251*D251/100</f>
        <v>84157.425000000003</v>
      </c>
      <c r="F251" s="346">
        <f>MIN(D251,F257)</f>
        <v>166500</v>
      </c>
      <c r="G251" s="320">
        <f>F251*C251/100</f>
        <v>84157.425000000003</v>
      </c>
      <c r="H251" s="303">
        <f>D251-F251</f>
        <v>0</v>
      </c>
      <c r="I251" s="320">
        <f>H251*C251/100</f>
        <v>0</v>
      </c>
      <c r="J251" s="292"/>
      <c r="K251" s="292"/>
      <c r="L251" s="292"/>
      <c r="M251" s="292"/>
      <c r="N251" s="292"/>
      <c r="O251" s="292"/>
      <c r="P251" s="292"/>
      <c r="Q251" s="292"/>
      <c r="R251" s="292"/>
      <c r="S251" s="292"/>
    </row>
    <row r="252" spans="1:19">
      <c r="A252" s="291"/>
      <c r="B252" s="321" t="s">
        <v>402</v>
      </c>
      <c r="C252" s="317">
        <f>F60</f>
        <v>82.771000000000001</v>
      </c>
      <c r="D252" s="303">
        <f>F32</f>
        <v>166500</v>
      </c>
      <c r="E252" s="320">
        <f>C252*D252/100</f>
        <v>137813.715</v>
      </c>
      <c r="F252" s="346">
        <f>MIN(F257-F251,D252)</f>
        <v>166500</v>
      </c>
      <c r="G252" s="320">
        <f>F252*C252/100</f>
        <v>137813.715</v>
      </c>
      <c r="H252" s="303">
        <f>D252-F252</f>
        <v>0</v>
      </c>
      <c r="I252" s="320">
        <f>H252*C252/100</f>
        <v>0</v>
      </c>
      <c r="J252" s="292"/>
      <c r="K252" s="292"/>
      <c r="L252" s="292"/>
      <c r="M252" s="292"/>
      <c r="N252" s="292"/>
      <c r="O252" s="292"/>
      <c r="P252" s="292"/>
      <c r="Q252" s="292"/>
      <c r="R252" s="292"/>
      <c r="S252" s="292"/>
    </row>
    <row r="253" spans="1:19">
      <c r="A253" s="291"/>
      <c r="B253" s="321" t="s">
        <v>403</v>
      </c>
      <c r="C253" s="317">
        <f>F61</f>
        <v>74.88900000000001</v>
      </c>
      <c r="D253" s="303">
        <f>F33</f>
        <v>2699784</v>
      </c>
      <c r="E253" s="267">
        <f>C253*D253/100</f>
        <v>2021841.2397600005</v>
      </c>
      <c r="F253" s="280">
        <f>MIN(F257-F251-F252,D253)</f>
        <v>2699784</v>
      </c>
      <c r="G253" s="267">
        <f>F253*C253/100</f>
        <v>2021841.2397600005</v>
      </c>
      <c r="H253" s="303">
        <f>D253-F253</f>
        <v>0</v>
      </c>
      <c r="I253" s="320">
        <f>H253*C253/100</f>
        <v>0</v>
      </c>
      <c r="J253" s="292"/>
      <c r="K253" s="292"/>
      <c r="L253" s="292"/>
      <c r="M253" s="292"/>
      <c r="N253" s="292"/>
      <c r="O253" s="292"/>
      <c r="P253" s="292"/>
      <c r="Q253" s="292"/>
      <c r="R253" s="292"/>
      <c r="S253" s="292"/>
    </row>
    <row r="254" spans="1:19">
      <c r="A254" s="291"/>
      <c r="B254" s="321" t="s">
        <v>404</v>
      </c>
      <c r="C254" s="317">
        <f>F62</f>
        <v>69.94</v>
      </c>
      <c r="D254" s="303">
        <f>F34</f>
        <v>1805732</v>
      </c>
      <c r="E254" s="267">
        <f>C254*D254/100</f>
        <v>1262928.9608</v>
      </c>
      <c r="F254" s="280">
        <f>MIN(F257-F251-F252-F253,D254)</f>
        <v>1157472</v>
      </c>
      <c r="G254" s="267">
        <f>F254*C254/100</f>
        <v>809535.91679999989</v>
      </c>
      <c r="H254" s="303">
        <f>D254-F254</f>
        <v>648260</v>
      </c>
      <c r="I254" s="320">
        <f>H254*C254/100</f>
        <v>453393.04399999999</v>
      </c>
      <c r="J254" s="292"/>
      <c r="K254" s="292"/>
      <c r="L254" s="292"/>
      <c r="M254" s="292"/>
      <c r="N254" s="292"/>
      <c r="O254" s="292"/>
      <c r="P254" s="292"/>
      <c r="Q254" s="292"/>
      <c r="R254" s="292"/>
      <c r="S254" s="292"/>
    </row>
    <row r="255" spans="1:19">
      <c r="A255" s="291"/>
      <c r="B255" s="321" t="s">
        <v>405</v>
      </c>
      <c r="C255" s="317">
        <f>F63</f>
        <v>62.817</v>
      </c>
      <c r="D255" s="303">
        <f>F35</f>
        <v>993694</v>
      </c>
      <c r="E255" s="267">
        <f>C255*D255/100</f>
        <v>624208.75998000009</v>
      </c>
      <c r="F255" s="280">
        <f>MIN(F257-F251-F252-F253-F254,D255)</f>
        <v>0</v>
      </c>
      <c r="G255" s="267">
        <f>F255*C255/100</f>
        <v>0</v>
      </c>
      <c r="H255" s="303">
        <f>D255-F255</f>
        <v>993694</v>
      </c>
      <c r="I255" s="320">
        <f>H255*C255/100</f>
        <v>624208.75998000009</v>
      </c>
      <c r="J255" s="292"/>
      <c r="K255" s="292"/>
      <c r="L255" s="292"/>
      <c r="M255" s="292"/>
      <c r="N255" s="292"/>
      <c r="O255" s="292"/>
      <c r="P255" s="292"/>
      <c r="Q255" s="292"/>
      <c r="R255" s="292"/>
      <c r="S255" s="292"/>
    </row>
    <row r="256" spans="1:19">
      <c r="A256" s="291"/>
      <c r="B256" s="292"/>
      <c r="C256" s="292"/>
      <c r="D256" s="269"/>
      <c r="E256" s="269"/>
      <c r="F256" s="269"/>
      <c r="G256" s="269"/>
      <c r="H256" s="269"/>
      <c r="I256" s="270"/>
      <c r="J256" s="292"/>
      <c r="K256" s="292"/>
      <c r="L256" s="292"/>
      <c r="M256" s="292"/>
      <c r="N256" s="292"/>
      <c r="O256" s="292"/>
      <c r="P256" s="292"/>
      <c r="Q256" s="292"/>
      <c r="R256" s="292"/>
      <c r="S256" s="292"/>
    </row>
    <row r="257" spans="1:19">
      <c r="A257" s="291"/>
      <c r="B257" s="292" t="s">
        <v>320</v>
      </c>
      <c r="C257" s="292"/>
      <c r="D257" s="303">
        <f>D251+D252+D253+D254+D255</f>
        <v>5832210</v>
      </c>
      <c r="E257" s="320">
        <f>E251+E252+E253+E254+E255</f>
        <v>4130950.1005400005</v>
      </c>
      <c r="F257" s="348">
        <f>12471*F26</f>
        <v>4190256</v>
      </c>
      <c r="G257" s="320">
        <f>G251+G252+G253</f>
        <v>2243812.3797600004</v>
      </c>
      <c r="H257" s="303">
        <f>H251+H252+H253+H254+H255</f>
        <v>1641954</v>
      </c>
      <c r="I257" s="320">
        <f>I251+I252+I253+I254+I255</f>
        <v>1077601.8039800001</v>
      </c>
      <c r="J257" s="292"/>
      <c r="K257" s="292"/>
      <c r="L257" s="292"/>
      <c r="M257" s="292"/>
      <c r="N257" s="292"/>
      <c r="O257" s="292"/>
      <c r="P257" s="292"/>
      <c r="Q257" s="292"/>
      <c r="R257" s="292"/>
      <c r="S257" s="292"/>
    </row>
    <row r="258" spans="1:19">
      <c r="A258" s="291"/>
      <c r="B258" s="292" t="s">
        <v>396</v>
      </c>
      <c r="C258" s="292"/>
      <c r="D258" s="292"/>
      <c r="E258" s="317">
        <f>E257/D257*100</f>
        <v>70.829927258106281</v>
      </c>
      <c r="F258" s="317"/>
      <c r="G258" s="317">
        <f>G257/F257*100</f>
        <v>53.548336420495559</v>
      </c>
      <c r="H258" s="292"/>
      <c r="I258" s="317">
        <f>I257/H257*100</f>
        <v>65.629232242803397</v>
      </c>
      <c r="J258" s="292"/>
      <c r="K258" s="292"/>
      <c r="L258" s="292"/>
      <c r="M258" s="292"/>
      <c r="N258" s="292"/>
      <c r="O258" s="292"/>
      <c r="P258" s="292"/>
      <c r="Q258" s="292"/>
      <c r="R258" s="292"/>
      <c r="S258" s="292"/>
    </row>
    <row r="259" spans="1:19">
      <c r="A259" s="291"/>
      <c r="B259" s="292"/>
      <c r="C259" s="292"/>
      <c r="D259" s="292"/>
      <c r="E259" s="292"/>
      <c r="F259" s="292"/>
      <c r="G259" s="292"/>
      <c r="H259" s="292"/>
      <c r="I259" s="292"/>
      <c r="J259" s="292"/>
      <c r="K259" s="292"/>
      <c r="L259" s="292"/>
      <c r="M259" s="292"/>
      <c r="N259" s="292"/>
      <c r="O259" s="292"/>
      <c r="P259" s="292"/>
      <c r="Q259" s="292"/>
      <c r="R259" s="292"/>
      <c r="S259" s="292"/>
    </row>
    <row r="260" spans="1:19">
      <c r="A260" s="291"/>
      <c r="B260" s="292"/>
      <c r="C260" s="292"/>
      <c r="D260" s="292"/>
      <c r="E260" s="292"/>
      <c r="F260" s="292"/>
      <c r="G260" s="292"/>
      <c r="H260" s="292"/>
      <c r="I260" s="292"/>
      <c r="J260" s="292"/>
      <c r="K260" s="292"/>
      <c r="L260" s="292"/>
      <c r="M260" s="292"/>
      <c r="N260" s="292"/>
      <c r="O260" s="292"/>
      <c r="P260" s="292"/>
      <c r="Q260" s="292"/>
      <c r="R260" s="292"/>
      <c r="S260" s="292"/>
    </row>
    <row r="261" spans="1:19" hidden="1">
      <c r="A261" s="291"/>
      <c r="B261" s="345" t="s">
        <v>397</v>
      </c>
      <c r="C261" s="292"/>
      <c r="D261" s="292"/>
      <c r="E261" s="292"/>
      <c r="F261" s="292"/>
      <c r="G261" s="292"/>
      <c r="H261" s="292"/>
      <c r="I261" s="292"/>
      <c r="J261" s="292"/>
      <c r="K261" s="292"/>
      <c r="L261" s="292"/>
      <c r="M261" s="292"/>
      <c r="N261" s="292"/>
      <c r="O261" s="292"/>
      <c r="P261" s="292"/>
      <c r="Q261" s="292"/>
      <c r="R261" s="292"/>
      <c r="S261" s="292"/>
    </row>
    <row r="262" spans="1:19" hidden="1">
      <c r="A262" s="291"/>
      <c r="B262" s="292" t="s">
        <v>347</v>
      </c>
      <c r="C262" s="292"/>
      <c r="D262" s="292"/>
      <c r="E262" s="292"/>
      <c r="F262" s="292"/>
      <c r="G262" s="292"/>
      <c r="H262" s="292"/>
      <c r="I262" s="292"/>
      <c r="J262" s="292"/>
      <c r="K262" s="292"/>
      <c r="L262" s="292"/>
      <c r="M262" s="292"/>
      <c r="N262" s="292"/>
      <c r="O262" s="292"/>
      <c r="P262" s="292"/>
      <c r="Q262" s="292"/>
      <c r="R262" s="292"/>
      <c r="S262" s="292"/>
    </row>
    <row r="263" spans="1:19" hidden="1">
      <c r="A263" s="291"/>
      <c r="B263" s="321" t="s">
        <v>401</v>
      </c>
      <c r="C263" s="317">
        <f>F77</f>
        <v>50.545000000000002</v>
      </c>
      <c r="D263" s="303">
        <f>F31</f>
        <v>166500</v>
      </c>
      <c r="E263" s="320">
        <f>C263*D263/100</f>
        <v>84157.425000000003</v>
      </c>
      <c r="F263" s="346">
        <f>MIN(D263,F269)</f>
        <v>166500</v>
      </c>
      <c r="G263" s="320">
        <f>F263*C263/100</f>
        <v>84157.425000000003</v>
      </c>
      <c r="H263" s="303">
        <f>D263-F263</f>
        <v>0</v>
      </c>
      <c r="I263" s="320">
        <f>H263*C263/100</f>
        <v>0</v>
      </c>
      <c r="J263" s="292"/>
      <c r="K263" s="292"/>
      <c r="L263" s="292"/>
      <c r="M263" s="292"/>
      <c r="N263" s="292"/>
      <c r="O263" s="292"/>
      <c r="P263" s="292"/>
      <c r="Q263" s="292"/>
      <c r="R263" s="292"/>
      <c r="S263" s="292"/>
    </row>
    <row r="264" spans="1:19" hidden="1">
      <c r="A264" s="291"/>
      <c r="B264" s="321" t="s">
        <v>402</v>
      </c>
      <c r="C264" s="317">
        <f>F78</f>
        <v>82.771000000000001</v>
      </c>
      <c r="D264" s="303">
        <f>F32</f>
        <v>166500</v>
      </c>
      <c r="E264" s="320">
        <f>C264*D264/100</f>
        <v>137813.715</v>
      </c>
      <c r="F264" s="346">
        <f>MIN(F269-F263,D264)</f>
        <v>166500</v>
      </c>
      <c r="G264" s="320">
        <f>F264*C264/100</f>
        <v>137813.715</v>
      </c>
      <c r="H264" s="303">
        <f>D264-F264</f>
        <v>0</v>
      </c>
      <c r="I264" s="320">
        <f>H264*C264/100</f>
        <v>0</v>
      </c>
      <c r="J264" s="292"/>
      <c r="K264" s="292"/>
      <c r="L264" s="292"/>
      <c r="M264" s="292"/>
      <c r="N264" s="292"/>
      <c r="O264" s="292"/>
      <c r="P264" s="292"/>
      <c r="Q264" s="292"/>
      <c r="R264" s="292"/>
      <c r="S264" s="292"/>
    </row>
    <row r="265" spans="1:19" hidden="1">
      <c r="A265" s="291"/>
      <c r="B265" s="321" t="s">
        <v>403</v>
      </c>
      <c r="C265" s="317">
        <f>F79</f>
        <v>74.888999999999996</v>
      </c>
      <c r="D265" s="303">
        <f>F33</f>
        <v>2699784</v>
      </c>
      <c r="E265" s="320">
        <f>C265*D265/100</f>
        <v>2021841.2397599998</v>
      </c>
      <c r="F265" s="280">
        <f>MIN(F269-F263-F264,D265)</f>
        <v>2699784</v>
      </c>
      <c r="G265" s="267">
        <f>F265*C265/100</f>
        <v>2021841.2397599998</v>
      </c>
      <c r="H265" s="303">
        <f>D265-F265</f>
        <v>0</v>
      </c>
      <c r="I265" s="320">
        <f>H265*C265/100</f>
        <v>0</v>
      </c>
      <c r="J265" s="292"/>
      <c r="K265" s="292"/>
      <c r="L265" s="292"/>
      <c r="M265" s="292"/>
      <c r="N265" s="292"/>
      <c r="O265" s="292"/>
      <c r="P265" s="292"/>
      <c r="Q265" s="292"/>
      <c r="R265" s="292"/>
      <c r="S265" s="292"/>
    </row>
    <row r="266" spans="1:19" hidden="1">
      <c r="A266" s="291"/>
      <c r="B266" s="321" t="s">
        <v>404</v>
      </c>
      <c r="C266" s="317">
        <f>F80</f>
        <v>69.94</v>
      </c>
      <c r="D266" s="303">
        <f>F34</f>
        <v>1805732</v>
      </c>
      <c r="E266" s="320">
        <f>C266*D266/100</f>
        <v>1262928.9608</v>
      </c>
      <c r="F266" s="280">
        <f>MIN(F269-F263-F264-F265,D266)</f>
        <v>1157472</v>
      </c>
      <c r="G266" s="267">
        <f>F266*C266/100</f>
        <v>809535.91679999989</v>
      </c>
      <c r="H266" s="303">
        <f>D266-F266</f>
        <v>648260</v>
      </c>
      <c r="I266" s="320">
        <f>H266*C266/100</f>
        <v>453393.04399999999</v>
      </c>
      <c r="J266" s="292"/>
      <c r="K266" s="292"/>
      <c r="L266" s="292"/>
      <c r="M266" s="292"/>
      <c r="N266" s="292"/>
      <c r="O266" s="292"/>
      <c r="P266" s="292"/>
      <c r="Q266" s="292"/>
      <c r="R266" s="292"/>
      <c r="S266" s="292"/>
    </row>
    <row r="267" spans="1:19" hidden="1">
      <c r="A267" s="291"/>
      <c r="B267" s="321" t="s">
        <v>405</v>
      </c>
      <c r="C267" s="317">
        <f>F81</f>
        <v>62.817</v>
      </c>
      <c r="D267" s="303">
        <f>F35</f>
        <v>993694</v>
      </c>
      <c r="E267" s="320">
        <f>C267*D267/100</f>
        <v>624208.75998000009</v>
      </c>
      <c r="F267" s="280">
        <f>MIN(F269-F263-F264-F265-F266,D267)</f>
        <v>0</v>
      </c>
      <c r="G267" s="267">
        <f>F267*C267/100</f>
        <v>0</v>
      </c>
      <c r="H267" s="303">
        <f>D267-F267</f>
        <v>993694</v>
      </c>
      <c r="I267" s="320">
        <f>H267*C267/100</f>
        <v>624208.75998000009</v>
      </c>
      <c r="J267" s="292"/>
      <c r="K267" s="292"/>
      <c r="L267" s="292"/>
      <c r="M267" s="292"/>
      <c r="N267" s="292"/>
      <c r="O267" s="292"/>
      <c r="P267" s="292"/>
      <c r="Q267" s="292"/>
      <c r="R267" s="292"/>
      <c r="S267" s="292"/>
    </row>
    <row r="268" spans="1:19" hidden="1">
      <c r="A268" s="291"/>
      <c r="B268" s="292"/>
      <c r="C268" s="292"/>
      <c r="D268" s="269"/>
      <c r="E268" s="269"/>
      <c r="F268" s="269"/>
      <c r="G268" s="269"/>
      <c r="H268" s="269"/>
      <c r="I268" s="269"/>
      <c r="J268" s="292"/>
      <c r="K268" s="292"/>
      <c r="L268" s="292"/>
      <c r="M268" s="292"/>
      <c r="N268" s="292"/>
      <c r="O268" s="292"/>
      <c r="P268" s="292"/>
      <c r="Q268" s="292"/>
      <c r="R268" s="292"/>
      <c r="S268" s="292"/>
    </row>
    <row r="269" spans="1:19" hidden="1">
      <c r="A269" s="291"/>
      <c r="B269" s="292" t="s">
        <v>320</v>
      </c>
      <c r="C269" s="292"/>
      <c r="D269" s="303">
        <f>D263+D264+D265+D266+D267</f>
        <v>5832210</v>
      </c>
      <c r="E269" s="320">
        <f>E263+E264+E265+E266+E267</f>
        <v>4130950.10054</v>
      </c>
      <c r="F269" s="326">
        <f>F257</f>
        <v>4190256</v>
      </c>
      <c r="G269" s="320">
        <f>G263+G264+G265+G266+G267</f>
        <v>3053348.2965599997</v>
      </c>
      <c r="H269" s="303">
        <f>H263+H264+H265+H266+H267</f>
        <v>1641954</v>
      </c>
      <c r="I269" s="303">
        <f>I262+I263+I264+I265+I266+I267</f>
        <v>1077601.8039800001</v>
      </c>
      <c r="J269" s="292"/>
      <c r="K269" s="292"/>
      <c r="L269" s="292"/>
      <c r="M269" s="292"/>
      <c r="N269" s="292"/>
      <c r="O269" s="292"/>
      <c r="P269" s="292"/>
      <c r="Q269" s="292"/>
      <c r="R269" s="292"/>
      <c r="S269" s="292"/>
    </row>
    <row r="270" spans="1:19" hidden="1">
      <c r="A270" s="291"/>
      <c r="B270" s="292" t="s">
        <v>396</v>
      </c>
      <c r="C270" s="292"/>
      <c r="D270" s="292"/>
      <c r="E270" s="317">
        <f>E269/D269*100</f>
        <v>70.829927258106267</v>
      </c>
      <c r="F270" s="317"/>
      <c r="G270" s="317">
        <f>G269/F269*100</f>
        <v>72.867822313481554</v>
      </c>
      <c r="H270" s="292"/>
      <c r="I270" s="317">
        <f>I269/H269*100</f>
        <v>65.629232242803397</v>
      </c>
      <c r="J270" s="292"/>
      <c r="K270" s="292"/>
      <c r="L270" s="292"/>
      <c r="M270" s="292"/>
      <c r="N270" s="292"/>
      <c r="O270" s="292"/>
      <c r="P270" s="292"/>
      <c r="Q270" s="292"/>
      <c r="R270" s="292"/>
      <c r="S270" s="292"/>
    </row>
    <row r="271" spans="1:19" hidden="1">
      <c r="A271" s="291"/>
      <c r="B271" s="292"/>
      <c r="C271" s="292"/>
      <c r="D271" s="292"/>
      <c r="E271" s="292"/>
      <c r="F271" s="292"/>
      <c r="G271" s="292"/>
      <c r="H271" s="292"/>
      <c r="I271" s="292"/>
      <c r="J271" s="292"/>
      <c r="K271" s="292"/>
      <c r="L271" s="292"/>
      <c r="M271" s="292"/>
      <c r="N271" s="292"/>
      <c r="O271" s="292"/>
      <c r="P271" s="292"/>
      <c r="Q271" s="292"/>
      <c r="R271" s="292"/>
      <c r="S271" s="292"/>
    </row>
    <row r="272" spans="1:19">
      <c r="A272" s="291"/>
      <c r="B272" s="349" t="s">
        <v>442</v>
      </c>
      <c r="C272" s="292"/>
      <c r="D272" s="292"/>
      <c r="E272" s="292"/>
      <c r="F272" s="292"/>
      <c r="G272" s="292"/>
      <c r="H272" s="292"/>
      <c r="I272" s="292"/>
      <c r="J272" s="292"/>
      <c r="K272" s="292"/>
      <c r="L272" s="292"/>
      <c r="M272" s="292"/>
      <c r="N272" s="292"/>
      <c r="O272" s="292"/>
      <c r="P272" s="292"/>
      <c r="Q272" s="292"/>
      <c r="R272" s="292"/>
      <c r="S272" s="292"/>
    </row>
    <row r="273" spans="1:19">
      <c r="A273" s="291"/>
      <c r="B273" s="350" t="str">
        <f>"12,471 X "&amp;TEXT(F26,"#,##0")&amp;" = "&amp;TEXT(F257,"#,##0")</f>
        <v>12,471 X 336 = 4,190,256</v>
      </c>
      <c r="C273" s="292"/>
      <c r="D273" s="292"/>
      <c r="E273" s="292"/>
      <c r="F273" s="292"/>
      <c r="G273" s="292"/>
      <c r="H273" s="292"/>
      <c r="I273" s="292"/>
      <c r="J273" s="292"/>
      <c r="K273" s="292"/>
      <c r="L273" s="292"/>
      <c r="M273" s="292"/>
      <c r="N273" s="292"/>
      <c r="O273" s="292"/>
      <c r="P273" s="292"/>
      <c r="Q273" s="292"/>
      <c r="R273" s="292"/>
      <c r="S273" s="292"/>
    </row>
    <row r="274" spans="1:19">
      <c r="A274" s="291"/>
      <c r="B274" s="292"/>
      <c r="C274" s="292"/>
      <c r="D274" s="292"/>
      <c r="E274" s="292"/>
      <c r="F274" s="292"/>
      <c r="G274" s="292"/>
      <c r="H274" s="292"/>
      <c r="I274" s="292"/>
      <c r="J274" s="292"/>
      <c r="K274" s="292"/>
      <c r="L274" s="292"/>
      <c r="M274" s="292"/>
      <c r="N274" s="292"/>
      <c r="O274" s="292"/>
      <c r="P274" s="292"/>
      <c r="Q274" s="292"/>
      <c r="R274" s="292"/>
      <c r="S274" s="292"/>
    </row>
    <row r="275" spans="1:19">
      <c r="A275" s="291"/>
      <c r="B275" s="292"/>
      <c r="C275" s="292"/>
      <c r="D275" s="292"/>
      <c r="E275" s="292"/>
      <c r="F275" s="292"/>
      <c r="G275" s="292"/>
      <c r="H275" s="292"/>
      <c r="I275" s="292"/>
      <c r="J275" s="292"/>
      <c r="K275" s="292"/>
      <c r="L275" s="292"/>
      <c r="M275" s="292"/>
      <c r="N275" s="292"/>
      <c r="O275" s="292"/>
      <c r="P275" s="292"/>
      <c r="Q275" s="292"/>
      <c r="R275" s="292"/>
      <c r="S275" s="292"/>
    </row>
    <row r="276" spans="1:19">
      <c r="A276" s="291"/>
      <c r="B276" s="292"/>
      <c r="C276" s="292"/>
      <c r="D276" s="351">
        <f>D195/D48</f>
        <v>0</v>
      </c>
      <c r="E276" s="351">
        <f>E195/E49</f>
        <v>0</v>
      </c>
      <c r="F276" s="351">
        <f>F195/F49</f>
        <v>0</v>
      </c>
      <c r="G276" s="351">
        <f>G195/G48</f>
        <v>0</v>
      </c>
      <c r="H276" s="351">
        <f>H195/H48</f>
        <v>0</v>
      </c>
      <c r="I276" s="320"/>
      <c r="J276" s="292"/>
      <c r="K276" s="292"/>
      <c r="L276" s="292"/>
      <c r="M276" s="292"/>
      <c r="N276" s="292"/>
      <c r="O276" s="292"/>
      <c r="P276" s="292"/>
      <c r="Q276" s="292"/>
      <c r="R276" s="292"/>
      <c r="S276" s="292"/>
    </row>
    <row r="277" spans="1:19">
      <c r="A277" s="291"/>
      <c r="B277" s="292"/>
      <c r="C277" s="292"/>
      <c r="D277" s="303">
        <f>D46/D48</f>
        <v>67.519829770859587</v>
      </c>
      <c r="E277" s="303">
        <f>E46/E49</f>
        <v>1548.5969964491667</v>
      </c>
      <c r="F277" s="303">
        <f>F46/F49</f>
        <v>17068.5625</v>
      </c>
      <c r="G277" s="303">
        <f>G46/G48</f>
        <v>46487.666666666664</v>
      </c>
      <c r="H277" s="303">
        <f>H46/H48</f>
        <v>67061.846491228076</v>
      </c>
      <c r="I277" s="292"/>
      <c r="J277" s="292"/>
      <c r="K277" s="292"/>
      <c r="L277" s="292"/>
      <c r="M277" s="292"/>
      <c r="N277" s="292"/>
      <c r="O277" s="292"/>
      <c r="P277" s="292"/>
      <c r="Q277" s="292"/>
      <c r="R277" s="292"/>
      <c r="S277" s="292"/>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7.xml><?xml version="1.0" encoding="utf-8"?>
<worksheet xmlns="http://schemas.openxmlformats.org/spreadsheetml/2006/main" xmlns:r="http://schemas.openxmlformats.org/officeDocument/2006/relationships">
  <sheetPr>
    <tabColor theme="8" tint="0.39997558519241921"/>
  </sheetPr>
  <dimension ref="A1:G60"/>
  <sheetViews>
    <sheetView workbookViewId="0">
      <selection activeCell="Q41" sqref="Q41"/>
    </sheetView>
  </sheetViews>
  <sheetFormatPr defaultRowHeight="12.75"/>
  <cols>
    <col min="2" max="2" width="4.7109375" customWidth="1"/>
    <col min="4" max="4" width="13.28515625" customWidth="1"/>
    <col min="5" max="5" width="10.5703125" customWidth="1"/>
    <col min="6" max="6" width="14.85546875" customWidth="1"/>
    <col min="7" max="7" width="11.140625" customWidth="1"/>
    <col min="8" max="8" width="10.28515625" customWidth="1"/>
    <col min="9" max="9" width="4.7109375" customWidth="1"/>
  </cols>
  <sheetData>
    <row r="1" spans="1:7">
      <c r="A1" s="70" t="s">
        <v>445</v>
      </c>
      <c r="G1" s="70" t="s">
        <v>198</v>
      </c>
    </row>
    <row r="3" spans="1:7">
      <c r="D3" s="40">
        <v>2016</v>
      </c>
    </row>
    <row r="4" spans="1:7">
      <c r="A4" s="70" t="s">
        <v>194</v>
      </c>
      <c r="D4" s="41" t="s">
        <v>193</v>
      </c>
    </row>
    <row r="5" spans="1:7">
      <c r="A5" t="s">
        <v>170</v>
      </c>
      <c r="D5" s="104">
        <v>119462330.63324322</v>
      </c>
      <c r="E5" s="40" t="s">
        <v>446</v>
      </c>
    </row>
    <row r="6" spans="1:7">
      <c r="A6" t="s">
        <v>171</v>
      </c>
      <c r="D6" s="104">
        <v>47624382.497314692</v>
      </c>
      <c r="E6" s="40" t="s">
        <v>447</v>
      </c>
    </row>
    <row r="7" spans="1:7">
      <c r="A7" t="s">
        <v>172</v>
      </c>
      <c r="D7" s="104">
        <v>5939603.5239413138</v>
      </c>
      <c r="E7" s="40" t="s">
        <v>448</v>
      </c>
    </row>
    <row r="8" spans="1:7">
      <c r="A8" t="s">
        <v>173</v>
      </c>
      <c r="D8" s="104">
        <v>1252782.6386017113</v>
      </c>
      <c r="E8" s="40" t="s">
        <v>449</v>
      </c>
    </row>
    <row r="9" spans="1:7">
      <c r="A9" t="s">
        <v>174</v>
      </c>
      <c r="D9" s="104">
        <v>30484400.609234795</v>
      </c>
      <c r="E9" s="40" t="s">
        <v>450</v>
      </c>
    </row>
    <row r="10" spans="1:7">
      <c r="A10" t="s">
        <v>175</v>
      </c>
      <c r="D10" s="104">
        <v>47057044</v>
      </c>
      <c r="E10" s="40" t="s">
        <v>451</v>
      </c>
    </row>
    <row r="11" spans="1:7">
      <c r="A11" t="s">
        <v>176</v>
      </c>
      <c r="D11" s="104">
        <v>55305993.510589242</v>
      </c>
      <c r="E11" s="40" t="s">
        <v>452</v>
      </c>
    </row>
    <row r="12" spans="1:7">
      <c r="A12" t="s">
        <v>177</v>
      </c>
      <c r="D12" s="104">
        <v>23547561.306628376</v>
      </c>
      <c r="E12" s="40" t="s">
        <v>453</v>
      </c>
    </row>
    <row r="13" spans="1:7">
      <c r="A13" t="s">
        <v>178</v>
      </c>
      <c r="D13" s="104">
        <v>235774.13823051512</v>
      </c>
      <c r="E13" s="40" t="s">
        <v>454</v>
      </c>
    </row>
    <row r="14" spans="1:7">
      <c r="A14" t="s">
        <v>179</v>
      </c>
      <c r="D14" s="104">
        <v>2974782</v>
      </c>
      <c r="E14" s="40" t="s">
        <v>455</v>
      </c>
    </row>
    <row r="15" spans="1:7">
      <c r="A15" t="s">
        <v>180</v>
      </c>
      <c r="D15" s="104">
        <v>1938513.4686099577</v>
      </c>
      <c r="E15" s="40" t="s">
        <v>456</v>
      </c>
    </row>
    <row r="16" spans="1:7">
      <c r="A16" t="s">
        <v>181</v>
      </c>
      <c r="D16" s="104">
        <v>39459747.468320042</v>
      </c>
      <c r="E16" s="40" t="s">
        <v>457</v>
      </c>
    </row>
    <row r="17" spans="1:5">
      <c r="A17" t="s">
        <v>182</v>
      </c>
      <c r="D17" s="104">
        <v>49018942.147681557</v>
      </c>
      <c r="E17" s="40" t="s">
        <v>458</v>
      </c>
    </row>
    <row r="18" spans="1:5">
      <c r="A18" t="s">
        <v>183</v>
      </c>
      <c r="D18" s="104">
        <v>26621407.537486605</v>
      </c>
      <c r="E18" s="40" t="s">
        <v>459</v>
      </c>
    </row>
    <row r="19" spans="1:5">
      <c r="A19" t="s">
        <v>184</v>
      </c>
      <c r="D19" s="104">
        <v>4588281.1213198705</v>
      </c>
      <c r="E19" s="40" t="s">
        <v>460</v>
      </c>
    </row>
    <row r="20" spans="1:5">
      <c r="A20" t="s">
        <v>185</v>
      </c>
      <c r="D20" s="104">
        <v>3975022.8776251576</v>
      </c>
      <c r="E20" s="40" t="s">
        <v>461</v>
      </c>
    </row>
    <row r="21" spans="1:5">
      <c r="A21" t="s">
        <v>186</v>
      </c>
      <c r="D21" s="104">
        <v>258498.47033765676</v>
      </c>
      <c r="E21" s="40" t="s">
        <v>462</v>
      </c>
    </row>
    <row r="22" spans="1:5">
      <c r="A22" t="s">
        <v>187</v>
      </c>
      <c r="D22" s="104">
        <v>8658756</v>
      </c>
      <c r="E22" s="40" t="s">
        <v>463</v>
      </c>
    </row>
    <row r="23" spans="1:5">
      <c r="A23" t="s">
        <v>188</v>
      </c>
      <c r="D23" s="104">
        <v>38460264.379730739</v>
      </c>
      <c r="E23" s="40" t="s">
        <v>464</v>
      </c>
    </row>
    <row r="24" spans="1:5">
      <c r="D24" s="104"/>
      <c r="E24" s="40"/>
    </row>
    <row r="25" spans="1:5">
      <c r="A25" s="70" t="s">
        <v>195</v>
      </c>
      <c r="D25" s="104"/>
      <c r="E25" s="40"/>
    </row>
    <row r="26" spans="1:5">
      <c r="A26" t="s">
        <v>189</v>
      </c>
      <c r="D26" s="104">
        <f>SUM(D5:D10)</f>
        <v>251820543.9023357</v>
      </c>
      <c r="E26" s="40" t="s">
        <v>465</v>
      </c>
    </row>
    <row r="27" spans="1:5">
      <c r="A27" t="s">
        <v>190</v>
      </c>
      <c r="D27" s="104">
        <f>SUM(D11:D16)</f>
        <v>123462371.89237814</v>
      </c>
      <c r="E27" s="40" t="s">
        <v>466</v>
      </c>
    </row>
    <row r="28" spans="1:5">
      <c r="A28" t="s">
        <v>191</v>
      </c>
      <c r="D28" s="104">
        <f>SUM(D17:D23)</f>
        <v>131581172.53418159</v>
      </c>
      <c r="E28" s="40" t="s">
        <v>467</v>
      </c>
    </row>
    <row r="29" spans="1:5">
      <c r="D29" s="104"/>
      <c r="E29" s="40"/>
    </row>
    <row r="30" spans="1:5" ht="11.25" customHeight="1">
      <c r="A30" t="s">
        <v>192</v>
      </c>
      <c r="D30" s="104">
        <f>SUM(D26:D28)</f>
        <v>506864088.32889545</v>
      </c>
      <c r="E30" s="40" t="s">
        <v>468</v>
      </c>
    </row>
    <row r="33" spans="1:7">
      <c r="D33" s="40">
        <v>2016</v>
      </c>
      <c r="F33" s="40">
        <v>2016</v>
      </c>
    </row>
    <row r="34" spans="1:7">
      <c r="A34" s="70" t="s">
        <v>194</v>
      </c>
      <c r="D34" s="41" t="s">
        <v>196</v>
      </c>
      <c r="F34" s="70" t="s">
        <v>197</v>
      </c>
    </row>
    <row r="35" spans="1:7">
      <c r="A35" t="s">
        <v>170</v>
      </c>
      <c r="D35" s="365">
        <v>152348.46600833334</v>
      </c>
      <c r="F35" s="103">
        <f>D35*12</f>
        <v>1828181.5921</v>
      </c>
      <c r="G35" s="41" t="s">
        <v>470</v>
      </c>
    </row>
    <row r="36" spans="1:7">
      <c r="A36" t="s">
        <v>171</v>
      </c>
      <c r="D36" s="365">
        <v>2614.4773749999999</v>
      </c>
      <c r="F36" s="103">
        <f t="shared" ref="F36:F60" si="0">D36*12</f>
        <v>31373.728499999997</v>
      </c>
      <c r="G36" s="41" t="s">
        <v>471</v>
      </c>
    </row>
    <row r="37" spans="1:7">
      <c r="A37" t="s">
        <v>172</v>
      </c>
      <c r="D37" s="365">
        <v>28.23142616675948</v>
      </c>
      <c r="F37" s="103">
        <f t="shared" si="0"/>
        <v>338.77711400111377</v>
      </c>
      <c r="G37" s="41" t="s">
        <v>472</v>
      </c>
    </row>
    <row r="38" spans="1:7">
      <c r="A38" t="s">
        <v>173</v>
      </c>
      <c r="D38" s="365">
        <v>2</v>
      </c>
      <c r="F38" s="103">
        <f t="shared" si="0"/>
        <v>24</v>
      </c>
      <c r="G38" s="41" t="s">
        <v>473</v>
      </c>
    </row>
    <row r="39" spans="1:7">
      <c r="A39" t="s">
        <v>174</v>
      </c>
      <c r="D39" s="365">
        <v>42.984122353374509</v>
      </c>
      <c r="F39" s="103">
        <f t="shared" si="0"/>
        <v>515.80946824049408</v>
      </c>
      <c r="G39" s="41" t="s">
        <v>474</v>
      </c>
    </row>
    <row r="40" spans="1:7">
      <c r="A40" t="s">
        <v>175</v>
      </c>
      <c r="D40" s="365">
        <v>5.4751614567764477</v>
      </c>
      <c r="F40" s="103">
        <f t="shared" si="0"/>
        <v>65.701937481317373</v>
      </c>
      <c r="G40" s="41" t="s">
        <v>475</v>
      </c>
    </row>
    <row r="41" spans="1:7">
      <c r="A41" t="s">
        <v>176</v>
      </c>
      <c r="D41" s="365">
        <v>77779.85454568667</v>
      </c>
      <c r="F41" s="103">
        <f t="shared" si="0"/>
        <v>933358.25454823999</v>
      </c>
      <c r="G41" s="41" t="s">
        <v>476</v>
      </c>
    </row>
    <row r="42" spans="1:7">
      <c r="A42" t="s">
        <v>177</v>
      </c>
      <c r="D42" s="365">
        <v>1405.9290556080352</v>
      </c>
      <c r="F42" s="103">
        <f t="shared" si="0"/>
        <v>16871.148667296424</v>
      </c>
      <c r="G42" s="41" t="s">
        <v>477</v>
      </c>
    </row>
    <row r="43" spans="1:7">
      <c r="A43" t="s">
        <v>178</v>
      </c>
      <c r="D43" s="365">
        <v>1</v>
      </c>
      <c r="F43" s="103">
        <f t="shared" si="0"/>
        <v>12</v>
      </c>
      <c r="G43" s="41" t="s">
        <v>478</v>
      </c>
    </row>
    <row r="44" spans="1:7">
      <c r="A44" t="s">
        <v>179</v>
      </c>
      <c r="D44" s="365">
        <v>6</v>
      </c>
      <c r="F44" s="103">
        <f t="shared" si="0"/>
        <v>72</v>
      </c>
      <c r="G44" s="41" t="s">
        <v>479</v>
      </c>
    </row>
    <row r="45" spans="1:7">
      <c r="A45" t="s">
        <v>180</v>
      </c>
      <c r="D45" s="365">
        <v>1.2559464254156472</v>
      </c>
      <c r="F45" s="103">
        <f t="shared" si="0"/>
        <v>15.071357104987765</v>
      </c>
      <c r="G45" s="41" t="s">
        <v>480</v>
      </c>
    </row>
    <row r="46" spans="1:7">
      <c r="A46" t="s">
        <v>181</v>
      </c>
      <c r="D46" s="365">
        <v>1</v>
      </c>
      <c r="F46" s="103">
        <f t="shared" si="0"/>
        <v>12</v>
      </c>
      <c r="G46" s="41" t="s">
        <v>481</v>
      </c>
    </row>
    <row r="47" spans="1:7">
      <c r="A47" t="s">
        <v>182</v>
      </c>
      <c r="D47" s="365">
        <v>87064.704186120274</v>
      </c>
      <c r="F47" s="103">
        <f t="shared" si="0"/>
        <v>1044776.4502334433</v>
      </c>
      <c r="G47" s="41" t="s">
        <v>482</v>
      </c>
    </row>
    <row r="48" spans="1:7">
      <c r="A48" t="s">
        <v>183</v>
      </c>
      <c r="D48" s="365">
        <v>11416.257039637139</v>
      </c>
      <c r="F48" s="103">
        <f t="shared" si="0"/>
        <v>136995.08447564568</v>
      </c>
      <c r="G48" s="41" t="s">
        <v>483</v>
      </c>
    </row>
    <row r="49" spans="1:7">
      <c r="A49" t="s">
        <v>184</v>
      </c>
      <c r="D49" s="365">
        <v>82.795433615969401</v>
      </c>
      <c r="F49" s="103">
        <f t="shared" si="0"/>
        <v>993.54520339163287</v>
      </c>
      <c r="G49" s="41" t="s">
        <v>484</v>
      </c>
    </row>
    <row r="50" spans="1:7">
      <c r="A50" t="s">
        <v>185</v>
      </c>
      <c r="D50" s="365">
        <v>34.662696736553443</v>
      </c>
      <c r="F50" s="103">
        <f t="shared" si="0"/>
        <v>415.95236083864131</v>
      </c>
      <c r="G50" s="41" t="s">
        <v>485</v>
      </c>
    </row>
    <row r="51" spans="1:7">
      <c r="A51" t="s">
        <v>186</v>
      </c>
      <c r="D51" s="365">
        <v>3.4166666666666665</v>
      </c>
      <c r="F51" s="103">
        <f t="shared" si="0"/>
        <v>41</v>
      </c>
      <c r="G51" s="41" t="s">
        <v>486</v>
      </c>
    </row>
    <row r="52" spans="1:7">
      <c r="A52" t="s">
        <v>187</v>
      </c>
      <c r="D52" s="365">
        <v>3</v>
      </c>
      <c r="F52" s="103">
        <f t="shared" si="0"/>
        <v>36</v>
      </c>
      <c r="G52" s="41" t="s">
        <v>487</v>
      </c>
    </row>
    <row r="53" spans="1:7">
      <c r="A53" t="s">
        <v>188</v>
      </c>
      <c r="D53" s="365">
        <v>35.038620746051457</v>
      </c>
      <c r="F53" s="103">
        <f t="shared" si="0"/>
        <v>420.46344895261745</v>
      </c>
      <c r="G53" s="41" t="s">
        <v>488</v>
      </c>
    </row>
    <row r="54" spans="1:7">
      <c r="D54" s="104"/>
      <c r="F54" s="103"/>
      <c r="G54" s="40"/>
    </row>
    <row r="55" spans="1:7">
      <c r="A55" s="70" t="s">
        <v>195</v>
      </c>
      <c r="D55" s="104"/>
      <c r="F55" s="103"/>
      <c r="G55" s="40"/>
    </row>
    <row r="56" spans="1:7">
      <c r="A56" t="s">
        <v>189</v>
      </c>
      <c r="D56" s="104">
        <f>SUM(D35:D40)</f>
        <v>155041.63409331022</v>
      </c>
      <c r="F56" s="103">
        <f t="shared" si="0"/>
        <v>1860499.6091197226</v>
      </c>
      <c r="G56" s="41" t="s">
        <v>489</v>
      </c>
    </row>
    <row r="57" spans="1:7">
      <c r="A57" t="s">
        <v>190</v>
      </c>
      <c r="D57" s="104">
        <f>SUM(D41:D46)</f>
        <v>79195.039547720124</v>
      </c>
      <c r="F57" s="103">
        <f t="shared" si="0"/>
        <v>950340.47457264154</v>
      </c>
      <c r="G57" s="41" t="s">
        <v>490</v>
      </c>
    </row>
    <row r="58" spans="1:7">
      <c r="A58" t="s">
        <v>191</v>
      </c>
      <c r="D58" s="104">
        <f>SUM(D47:D53)</f>
        <v>98639.874643522679</v>
      </c>
      <c r="F58" s="103">
        <f t="shared" si="0"/>
        <v>1183678.4957222722</v>
      </c>
      <c r="G58" s="41" t="s">
        <v>491</v>
      </c>
    </row>
    <row r="59" spans="1:7">
      <c r="D59" s="104"/>
      <c r="F59" s="103">
        <f t="shared" si="0"/>
        <v>0</v>
      </c>
      <c r="G59" s="40"/>
    </row>
    <row r="60" spans="1:7">
      <c r="A60" t="s">
        <v>192</v>
      </c>
      <c r="D60" s="104">
        <f>SUM(D56:D58)</f>
        <v>332876.54828455299</v>
      </c>
      <c r="F60" s="103">
        <f t="shared" si="0"/>
        <v>3994518.5794146359</v>
      </c>
      <c r="G60" s="41" t="s">
        <v>492</v>
      </c>
    </row>
  </sheetData>
  <pageMargins left="0.7" right="0.7" top="0.75" bottom="0.75" header="0.3" footer="0.3"/>
  <pageSetup scale="92" orientation="portrait" r:id="rId1"/>
  <headerFooter>
    <oddFooter>&amp;C&amp;F / &amp;A</oddFooter>
  </headerFooter>
</worksheet>
</file>

<file path=xl/worksheets/sheet8.xml><?xml version="1.0" encoding="utf-8"?>
<worksheet xmlns="http://schemas.openxmlformats.org/spreadsheetml/2006/main" xmlns:r="http://schemas.openxmlformats.org/officeDocument/2006/relationships">
  <sheetPr>
    <tabColor theme="6" tint="0.39997558519241921"/>
  </sheetPr>
  <dimension ref="A1:AR65"/>
  <sheetViews>
    <sheetView workbookViewId="0">
      <pane xSplit="9345" ySplit="6600" topLeftCell="AE43" activePane="topRight"/>
      <selection activeCell="T39" sqref="T39"/>
      <selection pane="topRight" activeCell="AR5" sqref="AR5"/>
      <selection pane="bottomLeft" activeCell="E35" sqref="E35"/>
      <selection pane="bottomRight" activeCell="AC43" sqref="AC43"/>
    </sheetView>
  </sheetViews>
  <sheetFormatPr defaultRowHeight="12.75"/>
  <cols>
    <col min="1" max="1" width="5.7109375" style="22" customWidth="1"/>
    <col min="2" max="3" width="1.7109375" style="3" customWidth="1"/>
    <col min="4" max="4" width="23.28515625" style="3" customWidth="1"/>
    <col min="5" max="5" width="9" style="132" customWidth="1"/>
    <col min="6" max="6" width="3.85546875" style="132"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32"/>
  </cols>
  <sheetData>
    <row r="1" spans="1:44">
      <c r="A1" s="2" t="s">
        <v>43</v>
      </c>
    </row>
    <row r="2" spans="1:44">
      <c r="A2" s="2" t="s">
        <v>48</v>
      </c>
    </row>
    <row r="3" spans="1:44">
      <c r="A3" s="2" t="s">
        <v>55</v>
      </c>
      <c r="I3" s="115"/>
      <c r="M3" s="115"/>
    </row>
    <row r="4" spans="1:44">
      <c r="A4" s="2" t="s">
        <v>39</v>
      </c>
      <c r="B4" s="2"/>
      <c r="C4" s="2"/>
      <c r="D4" s="2"/>
      <c r="I4" s="115"/>
      <c r="M4" s="115"/>
    </row>
    <row r="5" spans="1:44">
      <c r="A5" s="2"/>
      <c r="G5" s="47"/>
      <c r="H5" s="115"/>
      <c r="I5" s="47"/>
      <c r="J5" s="115"/>
      <c r="K5" s="47"/>
      <c r="L5" s="115"/>
      <c r="M5" s="47"/>
      <c r="N5" s="115"/>
      <c r="O5" s="47"/>
      <c r="P5" s="115"/>
      <c r="Q5" s="47"/>
      <c r="R5" s="115"/>
      <c r="S5" s="47"/>
      <c r="T5" s="115"/>
      <c r="U5" s="47"/>
      <c r="V5" s="115"/>
      <c r="W5" s="55"/>
      <c r="X5" s="47"/>
      <c r="Y5" s="115"/>
      <c r="Z5" s="115"/>
      <c r="AA5" s="47"/>
      <c r="AD5" s="47"/>
      <c r="AG5" s="47"/>
      <c r="AJ5" s="47"/>
      <c r="AK5" s="115"/>
      <c r="AL5" s="55"/>
      <c r="AM5" s="47"/>
      <c r="AN5" s="115"/>
      <c r="AO5" s="55"/>
      <c r="AP5" s="47"/>
      <c r="AQ5" s="115"/>
      <c r="AR5" s="452" t="s">
        <v>547</v>
      </c>
    </row>
    <row r="6" spans="1:44">
      <c r="A6" s="5"/>
      <c r="B6" s="6"/>
      <c r="C6" s="6"/>
      <c r="D6" s="6"/>
      <c r="G6" s="48">
        <v>2000</v>
      </c>
      <c r="H6" s="124"/>
      <c r="I6" s="48">
        <v>2001</v>
      </c>
      <c r="J6" s="124"/>
      <c r="K6" s="48">
        <v>2002</v>
      </c>
      <c r="L6" s="124"/>
      <c r="M6" s="48">
        <v>2003</v>
      </c>
      <c r="N6" s="124"/>
      <c r="O6" s="65" t="s">
        <v>68</v>
      </c>
      <c r="P6" s="122"/>
      <c r="Q6" s="48">
        <v>2005</v>
      </c>
      <c r="R6" s="124"/>
      <c r="S6" s="65" t="s">
        <v>69</v>
      </c>
      <c r="T6" s="122"/>
      <c r="U6" s="48" t="s">
        <v>65</v>
      </c>
      <c r="V6" s="56"/>
      <c r="W6" s="116"/>
      <c r="X6" s="48" t="s">
        <v>64</v>
      </c>
      <c r="Y6" s="116"/>
      <c r="Z6" s="116"/>
      <c r="AA6" s="48" t="s">
        <v>63</v>
      </c>
      <c r="AB6" s="42"/>
      <c r="AC6" s="42"/>
      <c r="AD6" s="48" t="s">
        <v>62</v>
      </c>
      <c r="AE6" s="42"/>
      <c r="AF6" s="42"/>
      <c r="AG6" s="48" t="s">
        <v>60</v>
      </c>
      <c r="AH6" s="42"/>
      <c r="AI6" s="42"/>
      <c r="AJ6" s="503" t="s">
        <v>134</v>
      </c>
      <c r="AK6" s="504"/>
      <c r="AL6" s="505"/>
      <c r="AM6" s="503" t="s">
        <v>409</v>
      </c>
      <c r="AN6" s="504"/>
      <c r="AO6" s="505"/>
      <c r="AP6" s="503" t="s">
        <v>529</v>
      </c>
      <c r="AQ6" s="504"/>
      <c r="AR6" s="505"/>
    </row>
    <row r="7" spans="1:44">
      <c r="A7" s="8"/>
      <c r="B7" s="9"/>
      <c r="C7" s="10"/>
      <c r="D7" s="11"/>
      <c r="G7" s="49"/>
      <c r="H7" s="123"/>
      <c r="I7" s="49"/>
      <c r="J7" s="123"/>
      <c r="K7" s="49"/>
      <c r="L7" s="123"/>
      <c r="M7" s="49"/>
      <c r="N7" s="123"/>
      <c r="O7" s="49"/>
      <c r="P7" s="123"/>
      <c r="Q7" s="49"/>
      <c r="R7" s="123"/>
      <c r="S7" s="49"/>
      <c r="T7" s="123"/>
      <c r="U7" s="49"/>
      <c r="V7" s="117" t="s">
        <v>57</v>
      </c>
      <c r="W7" s="57"/>
      <c r="X7" s="49"/>
      <c r="Y7" s="117" t="s">
        <v>57</v>
      </c>
      <c r="Z7" s="57"/>
      <c r="AA7" s="49"/>
      <c r="AB7" s="41" t="s">
        <v>57</v>
      </c>
      <c r="AC7" s="41"/>
      <c r="AD7" s="49"/>
      <c r="AE7" s="41" t="s">
        <v>57</v>
      </c>
      <c r="AF7" s="41"/>
      <c r="AG7" s="49"/>
      <c r="AH7" s="41" t="s">
        <v>57</v>
      </c>
      <c r="AI7" s="41"/>
      <c r="AJ7" s="49"/>
      <c r="AK7" s="117" t="s">
        <v>57</v>
      </c>
      <c r="AL7" s="55"/>
      <c r="AM7" s="49"/>
      <c r="AN7" s="117" t="s">
        <v>57</v>
      </c>
      <c r="AO7" s="55"/>
      <c r="AP7" s="49"/>
      <c r="AQ7" s="117" t="s">
        <v>57</v>
      </c>
      <c r="AR7" s="440"/>
    </row>
    <row r="8" spans="1:44">
      <c r="A8" s="12" t="s">
        <v>0</v>
      </c>
      <c r="B8" s="13"/>
      <c r="C8" s="14"/>
      <c r="D8" s="15"/>
      <c r="G8" s="50" t="s">
        <v>57</v>
      </c>
      <c r="H8" s="117" t="s">
        <v>57</v>
      </c>
      <c r="I8" s="50" t="s">
        <v>57</v>
      </c>
      <c r="J8" s="117" t="s">
        <v>57</v>
      </c>
      <c r="K8" s="50" t="s">
        <v>57</v>
      </c>
      <c r="L8" s="117" t="s">
        <v>57</v>
      </c>
      <c r="M8" s="50" t="s">
        <v>57</v>
      </c>
      <c r="N8" s="117" t="s">
        <v>57</v>
      </c>
      <c r="O8" s="50" t="s">
        <v>57</v>
      </c>
      <c r="P8" s="117" t="s">
        <v>57</v>
      </c>
      <c r="Q8" s="50" t="s">
        <v>57</v>
      </c>
      <c r="R8" s="117" t="s">
        <v>57</v>
      </c>
      <c r="S8" s="50" t="s">
        <v>57</v>
      </c>
      <c r="T8" s="117" t="s">
        <v>57</v>
      </c>
      <c r="U8" s="50" t="s">
        <v>57</v>
      </c>
      <c r="V8" s="117" t="s">
        <v>61</v>
      </c>
      <c r="W8" s="117" t="s">
        <v>57</v>
      </c>
      <c r="X8" s="50" t="s">
        <v>57</v>
      </c>
      <c r="Y8" s="117" t="s">
        <v>61</v>
      </c>
      <c r="Z8" s="117" t="s">
        <v>57</v>
      </c>
      <c r="AA8" s="50" t="s">
        <v>57</v>
      </c>
      <c r="AB8" s="117" t="s">
        <v>61</v>
      </c>
      <c r="AC8" s="117" t="s">
        <v>57</v>
      </c>
      <c r="AD8" s="50" t="s">
        <v>57</v>
      </c>
      <c r="AE8" s="117" t="s">
        <v>61</v>
      </c>
      <c r="AF8" s="117" t="s">
        <v>57</v>
      </c>
      <c r="AG8" s="50" t="s">
        <v>57</v>
      </c>
      <c r="AH8" s="117" t="s">
        <v>61</v>
      </c>
      <c r="AI8" s="117" t="s">
        <v>57</v>
      </c>
      <c r="AJ8" s="50" t="s">
        <v>57</v>
      </c>
      <c r="AK8" s="117" t="s">
        <v>61</v>
      </c>
      <c r="AL8" s="57" t="s">
        <v>57</v>
      </c>
      <c r="AM8" s="50" t="s">
        <v>57</v>
      </c>
      <c r="AN8" s="117" t="s">
        <v>61</v>
      </c>
      <c r="AO8" s="57" t="s">
        <v>57</v>
      </c>
      <c r="AP8" s="50" t="s">
        <v>57</v>
      </c>
      <c r="AQ8" s="117" t="s">
        <v>61</v>
      </c>
      <c r="AR8" s="441" t="s">
        <v>57</v>
      </c>
    </row>
    <row r="9" spans="1:44">
      <c r="A9" s="17" t="s">
        <v>2</v>
      </c>
      <c r="B9" s="18"/>
      <c r="C9" s="19"/>
      <c r="D9" s="20" t="s">
        <v>3</v>
      </c>
      <c r="E9" s="134" t="s">
        <v>56</v>
      </c>
      <c r="F9" s="134"/>
      <c r="G9" s="51" t="s">
        <v>58</v>
      </c>
      <c r="H9" s="118" t="s">
        <v>158</v>
      </c>
      <c r="I9" s="51" t="s">
        <v>58</v>
      </c>
      <c r="J9" s="118" t="s">
        <v>158</v>
      </c>
      <c r="K9" s="51" t="s">
        <v>58</v>
      </c>
      <c r="L9" s="118" t="s">
        <v>158</v>
      </c>
      <c r="M9" s="51" t="s">
        <v>58</v>
      </c>
      <c r="N9" s="118" t="s">
        <v>158</v>
      </c>
      <c r="O9" s="51" t="s">
        <v>58</v>
      </c>
      <c r="P9" s="118" t="s">
        <v>158</v>
      </c>
      <c r="Q9" s="51" t="s">
        <v>58</v>
      </c>
      <c r="R9" s="118" t="s">
        <v>158</v>
      </c>
      <c r="S9" s="51" t="s">
        <v>58</v>
      </c>
      <c r="T9" s="118" t="s">
        <v>158</v>
      </c>
      <c r="U9" s="51" t="s">
        <v>58</v>
      </c>
      <c r="V9" s="118" t="s">
        <v>59</v>
      </c>
      <c r="W9" s="118" t="s">
        <v>158</v>
      </c>
      <c r="X9" s="51" t="s">
        <v>58</v>
      </c>
      <c r="Y9" s="118" t="s">
        <v>59</v>
      </c>
      <c r="Z9" s="118" t="s">
        <v>158</v>
      </c>
      <c r="AA9" s="51" t="s">
        <v>58</v>
      </c>
      <c r="AB9" s="118" t="s">
        <v>59</v>
      </c>
      <c r="AC9" s="118" t="s">
        <v>158</v>
      </c>
      <c r="AD9" s="51" t="s">
        <v>58</v>
      </c>
      <c r="AE9" s="118" t="s">
        <v>59</v>
      </c>
      <c r="AF9" s="118" t="s">
        <v>158</v>
      </c>
      <c r="AG9" s="51" t="s">
        <v>58</v>
      </c>
      <c r="AH9" s="118" t="s">
        <v>59</v>
      </c>
      <c r="AI9" s="118" t="s">
        <v>158</v>
      </c>
      <c r="AJ9" s="51" t="s">
        <v>58</v>
      </c>
      <c r="AK9" s="118" t="s">
        <v>59</v>
      </c>
      <c r="AL9" s="58" t="s">
        <v>158</v>
      </c>
      <c r="AM9" s="51" t="s">
        <v>58</v>
      </c>
      <c r="AN9" s="118" t="s">
        <v>59</v>
      </c>
      <c r="AO9" s="58" t="s">
        <v>158</v>
      </c>
      <c r="AP9" s="51" t="s">
        <v>58</v>
      </c>
      <c r="AQ9" s="118" t="s">
        <v>59</v>
      </c>
      <c r="AR9" s="442" t="s">
        <v>158</v>
      </c>
    </row>
    <row r="10" spans="1:44">
      <c r="B10" s="3" t="s">
        <v>6</v>
      </c>
      <c r="G10" s="47"/>
      <c r="H10" s="115"/>
      <c r="I10" s="47"/>
      <c r="J10" s="115"/>
      <c r="K10" s="47"/>
      <c r="L10" s="115"/>
      <c r="M10" s="47"/>
      <c r="N10" s="115"/>
      <c r="O10" s="47"/>
      <c r="P10" s="115"/>
      <c r="Q10" s="47"/>
      <c r="R10" s="115"/>
      <c r="S10" s="47"/>
      <c r="T10" s="115"/>
      <c r="U10" s="47"/>
      <c r="V10" s="115"/>
      <c r="W10" s="115"/>
      <c r="X10" s="47"/>
      <c r="Y10" s="115"/>
      <c r="Z10" s="115"/>
      <c r="AA10" s="47"/>
      <c r="AD10" s="47"/>
      <c r="AG10" s="47"/>
      <c r="AJ10" s="47"/>
      <c r="AK10" s="115"/>
      <c r="AL10" s="55"/>
      <c r="AM10" s="47"/>
      <c r="AN10" s="115"/>
      <c r="AO10" s="55"/>
      <c r="AP10" s="47"/>
      <c r="AQ10" s="115"/>
      <c r="AR10" s="440"/>
    </row>
    <row r="11" spans="1:44">
      <c r="A11" s="22">
        <v>1</v>
      </c>
      <c r="B11" s="23" t="s">
        <v>7</v>
      </c>
      <c r="C11" s="23"/>
      <c r="D11" s="23"/>
      <c r="E11" s="150">
        <f>ROR!N20</f>
        <v>0.95433199999999996</v>
      </c>
      <c r="F11" s="150"/>
      <c r="G11" s="52">
        <f>ROUND(G36/$E11,0)</f>
        <v>0</v>
      </c>
      <c r="H11" s="119">
        <f>ROUND((H21-H13)/$E11,0)</f>
        <v>-60123</v>
      </c>
      <c r="I11" s="52">
        <f>ROUND(I36/$E11,0)</f>
        <v>-994</v>
      </c>
      <c r="J11" s="119">
        <f>ROUND((J21-J13)/$E11,0)</f>
        <v>-111895</v>
      </c>
      <c r="K11" s="52">
        <f>ROUND(K36/$E11,0)-1</f>
        <v>-1778</v>
      </c>
      <c r="L11" s="119">
        <f>ROUND((L21-L13)/$E11,0)+1</f>
        <v>-115499</v>
      </c>
      <c r="M11" s="52">
        <f>ROUND(M36/$E11,0)+1</f>
        <v>-2125</v>
      </c>
      <c r="N11" s="119">
        <f>ROUND((N21-N13)/$E11,0)+0</f>
        <v>-101771</v>
      </c>
      <c r="O11" s="52">
        <f>ROUND(O36/$E11,0)</f>
        <v>0</v>
      </c>
      <c r="P11" s="119">
        <f>ROUND((P21-P13)/$E11,0)-1</f>
        <v>-119845</v>
      </c>
      <c r="Q11" s="52">
        <f>ROUND(Q36/$E11,0)</f>
        <v>-2978</v>
      </c>
      <c r="R11" s="119">
        <f>ROUND((R21-R13)/$E11,0)-1</f>
        <v>-136756</v>
      </c>
      <c r="S11" s="52">
        <f>ROUND(S36/$E11,0)</f>
        <v>0</v>
      </c>
      <c r="T11" s="119">
        <f>ROUND((T21-T13)/$E11,0)+1</f>
        <v>-156970</v>
      </c>
      <c r="U11" s="52">
        <f>ROUND(U36/$E11,0)</f>
        <v>-4019</v>
      </c>
      <c r="V11" s="119">
        <f>ROUND(V41/$E11,0)+1</f>
        <v>-88</v>
      </c>
      <c r="W11" s="119">
        <f>ROUND((W21-W13)/$E11,0)</f>
        <v>-163424</v>
      </c>
      <c r="X11" s="52">
        <f>ROUND(X36/$E11,0)</f>
        <v>-4591</v>
      </c>
      <c r="Y11" s="119">
        <f>ROUND(Y41/$E11,0)+1</f>
        <v>-452</v>
      </c>
      <c r="Z11" s="119">
        <f>ROUND((Z21-Z13)/$E11,0)-1</f>
        <v>-154427</v>
      </c>
      <c r="AA11" s="52">
        <f>ROUND(AA36/$E11,0)+0</f>
        <v>-7101</v>
      </c>
      <c r="AB11" s="44">
        <f>ROUND(AB41/$E11,0)+1</f>
        <v>-743</v>
      </c>
      <c r="AC11" s="119">
        <f>ROUND((AC21-AC13)/$E11,0)-1</f>
        <v>-126787</v>
      </c>
      <c r="AD11" s="52">
        <f>ROUND(AD36/$E11,0)-0</f>
        <v>-8819</v>
      </c>
      <c r="AE11" s="44">
        <f>ROUND(AE41/$E11,0)-0</f>
        <v>-518</v>
      </c>
      <c r="AF11" s="119">
        <f>ROUND((AF21-AF13)/$E11,0)-1</f>
        <v>-82759</v>
      </c>
      <c r="AG11" s="52">
        <f>ROUND(AG36/$E11,0)+0</f>
        <v>-9381</v>
      </c>
      <c r="AH11" s="44">
        <f>ROUND(AH41/$E11,0)-0</f>
        <v>-518</v>
      </c>
      <c r="AI11" s="119">
        <f>ROUND((AI21-AI13)/$E11,0)+1</f>
        <v>-88061</v>
      </c>
      <c r="AJ11" s="52">
        <f>ROUND(AJ36/$E11,0)</f>
        <v>-6226</v>
      </c>
      <c r="AK11" s="119">
        <f>ROUND(AK41/$E11,0)+1</f>
        <v>-191</v>
      </c>
      <c r="AL11" s="59">
        <f>ROUND((AL21-AL13)/$E11,0)</f>
        <v>-78385</v>
      </c>
      <c r="AM11" s="52">
        <f>ROUND(AM36/$E11,0)</f>
        <v>0</v>
      </c>
      <c r="AN11" s="119">
        <f>ROUND(AN41/$E11,0)</f>
        <v>0</v>
      </c>
      <c r="AO11" s="59">
        <f>ROUND((AO21-AO13)/$E11,0)</f>
        <v>-80476</v>
      </c>
      <c r="AP11" s="52">
        <f>ROUND(AP36/$E11,0)</f>
        <v>0</v>
      </c>
      <c r="AQ11" s="119">
        <f>ROUND(AQ41/$E11,0)</f>
        <v>0</v>
      </c>
      <c r="AR11" s="363">
        <f>ROUND((AR21-AR13)/$E11,0)+1</f>
        <v>-88215</v>
      </c>
    </row>
    <row r="12" spans="1:44">
      <c r="A12" s="22">
        <v>2</v>
      </c>
      <c r="B12" s="24" t="s">
        <v>8</v>
      </c>
      <c r="D12" s="24"/>
      <c r="E12" s="150"/>
      <c r="F12" s="150"/>
      <c r="G12" s="52"/>
      <c r="H12" s="119"/>
      <c r="I12" s="52"/>
      <c r="J12" s="119"/>
      <c r="K12" s="52"/>
      <c r="L12" s="119"/>
      <c r="M12" s="52"/>
      <c r="N12" s="119"/>
      <c r="O12" s="52"/>
      <c r="P12" s="119"/>
      <c r="Q12" s="52"/>
      <c r="R12" s="119"/>
      <c r="S12" s="52"/>
      <c r="T12" s="119"/>
      <c r="U12" s="52"/>
      <c r="V12" s="119"/>
      <c r="W12" s="119"/>
      <c r="X12" s="52"/>
      <c r="Y12" s="119"/>
      <c r="Z12" s="119"/>
      <c r="AA12" s="52"/>
      <c r="AB12" s="44"/>
      <c r="AC12" s="119"/>
      <c r="AD12" s="52"/>
      <c r="AE12" s="44"/>
      <c r="AF12" s="119"/>
      <c r="AG12" s="52"/>
      <c r="AH12" s="44"/>
      <c r="AI12" s="119"/>
      <c r="AJ12" s="52"/>
      <c r="AK12" s="119"/>
      <c r="AL12" s="59"/>
      <c r="AM12" s="52"/>
      <c r="AN12" s="119"/>
      <c r="AO12" s="59"/>
      <c r="AP12" s="52"/>
      <c r="AQ12" s="119"/>
      <c r="AR12" s="363"/>
    </row>
    <row r="13" spans="1:44">
      <c r="A13" s="22">
        <v>3</v>
      </c>
      <c r="B13" s="24" t="s">
        <v>9</v>
      </c>
      <c r="D13" s="24"/>
      <c r="E13" s="150"/>
      <c r="F13" s="150"/>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9"/>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62">
        <f>-AR61</f>
        <v>0</v>
      </c>
    </row>
    <row r="14" spans="1:44">
      <c r="A14" s="22">
        <v>4</v>
      </c>
      <c r="B14" s="3" t="s">
        <v>10</v>
      </c>
      <c r="C14" s="24"/>
      <c r="D14" s="24"/>
      <c r="E14" s="150"/>
      <c r="F14" s="150"/>
      <c r="G14" s="52">
        <f t="shared" ref="G14:P14" si="0">SUM(G11:G13)</f>
        <v>0</v>
      </c>
      <c r="H14" s="119">
        <f>SUM(H11:H13)</f>
        <v>-60365</v>
      </c>
      <c r="I14" s="52">
        <f t="shared" si="0"/>
        <v>-994</v>
      </c>
      <c r="J14" s="119">
        <f>SUM(J11:J13)</f>
        <v>-112139</v>
      </c>
      <c r="K14" s="52">
        <f t="shared" si="0"/>
        <v>-1778</v>
      </c>
      <c r="L14" s="119">
        <f t="shared" si="0"/>
        <v>-115643</v>
      </c>
      <c r="M14" s="52">
        <f t="shared" si="0"/>
        <v>-2125</v>
      </c>
      <c r="N14" s="119">
        <f t="shared" si="0"/>
        <v>-101771</v>
      </c>
      <c r="O14" s="52">
        <f t="shared" si="0"/>
        <v>0</v>
      </c>
      <c r="P14" s="119">
        <f t="shared" si="0"/>
        <v>-119845</v>
      </c>
      <c r="Q14" s="52">
        <f t="shared" ref="Q14:AI14" si="1">SUM(Q11:Q13)</f>
        <v>-2978</v>
      </c>
      <c r="R14" s="119">
        <f t="shared" si="1"/>
        <v>-165090</v>
      </c>
      <c r="S14" s="52">
        <f t="shared" si="1"/>
        <v>0</v>
      </c>
      <c r="T14" s="119">
        <f t="shared" si="1"/>
        <v>-156970</v>
      </c>
      <c r="U14" s="52">
        <f t="shared" si="1"/>
        <v>-4019</v>
      </c>
      <c r="V14" s="119">
        <f t="shared" si="1"/>
        <v>-88</v>
      </c>
      <c r="W14" s="119">
        <f t="shared" si="1"/>
        <v>-230110</v>
      </c>
      <c r="X14" s="52">
        <f t="shared" si="1"/>
        <v>-4591</v>
      </c>
      <c r="Y14" s="120">
        <f t="shared" si="1"/>
        <v>-452</v>
      </c>
      <c r="Z14" s="119">
        <f t="shared" si="1"/>
        <v>-307445</v>
      </c>
      <c r="AA14" s="52">
        <f t="shared" si="1"/>
        <v>-7101</v>
      </c>
      <c r="AB14" s="44">
        <f t="shared" si="1"/>
        <v>-743</v>
      </c>
      <c r="AC14" s="119">
        <f t="shared" si="1"/>
        <v>-210779</v>
      </c>
      <c r="AD14" s="52">
        <f t="shared" si="1"/>
        <v>-8819</v>
      </c>
      <c r="AE14" s="44">
        <f t="shared" si="1"/>
        <v>-518</v>
      </c>
      <c r="AF14" s="119">
        <f t="shared" si="1"/>
        <v>-197952</v>
      </c>
      <c r="AG14" s="52">
        <f t="shared" si="1"/>
        <v>-9381</v>
      </c>
      <c r="AH14" s="44">
        <f t="shared" si="1"/>
        <v>-518</v>
      </c>
      <c r="AI14" s="119">
        <f t="shared" si="1"/>
        <v>-186855</v>
      </c>
      <c r="AJ14" s="52">
        <f t="shared" ref="AJ14:AO14" si="2">SUM(AJ11:AJ13)</f>
        <v>-6226</v>
      </c>
      <c r="AK14" s="119">
        <f t="shared" si="2"/>
        <v>-191</v>
      </c>
      <c r="AL14" s="59">
        <f t="shared" si="2"/>
        <v>-146207</v>
      </c>
      <c r="AM14" s="52">
        <f t="shared" si="2"/>
        <v>0</v>
      </c>
      <c r="AN14" s="119">
        <f t="shared" si="2"/>
        <v>0</v>
      </c>
      <c r="AO14" s="59">
        <f t="shared" si="2"/>
        <v>-80476</v>
      </c>
      <c r="AP14" s="52">
        <f t="shared" ref="AP14:AR14" si="3">SUM(AP11:AP13)</f>
        <v>0</v>
      </c>
      <c r="AQ14" s="119">
        <f t="shared" si="3"/>
        <v>0</v>
      </c>
      <c r="AR14" s="363">
        <f t="shared" si="3"/>
        <v>-88215</v>
      </c>
    </row>
    <row r="15" spans="1:44">
      <c r="C15" s="24"/>
      <c r="D15" s="24"/>
      <c r="E15" s="150"/>
      <c r="F15" s="150"/>
      <c r="G15" s="52"/>
      <c r="H15" s="119"/>
      <c r="I15" s="52"/>
      <c r="J15" s="119"/>
      <c r="K15" s="52"/>
      <c r="L15" s="119"/>
      <c r="M15" s="52"/>
      <c r="N15" s="119"/>
      <c r="O15" s="52"/>
      <c r="P15" s="119"/>
      <c r="Q15" s="52"/>
      <c r="R15" s="119"/>
      <c r="S15" s="52"/>
      <c r="T15" s="119"/>
      <c r="U15" s="52"/>
      <c r="V15" s="119"/>
      <c r="W15" s="119"/>
      <c r="X15" s="52"/>
      <c r="Y15" s="119"/>
      <c r="Z15" s="119"/>
      <c r="AA15" s="52"/>
      <c r="AB15" s="44"/>
      <c r="AC15" s="119"/>
      <c r="AD15" s="52"/>
      <c r="AE15" s="44"/>
      <c r="AF15" s="119"/>
      <c r="AG15" s="52"/>
      <c r="AH15" s="44"/>
      <c r="AI15" s="119"/>
      <c r="AJ15" s="52"/>
      <c r="AK15" s="119"/>
      <c r="AL15" s="59"/>
      <c r="AM15" s="52"/>
      <c r="AN15" s="119"/>
      <c r="AO15" s="59"/>
      <c r="AP15" s="52"/>
      <c r="AQ15" s="119"/>
      <c r="AR15" s="363"/>
    </row>
    <row r="16" spans="1:44">
      <c r="B16" s="3" t="s">
        <v>11</v>
      </c>
      <c r="C16" s="24"/>
      <c r="D16" s="24"/>
      <c r="E16" s="150"/>
      <c r="F16" s="150"/>
      <c r="G16" s="52"/>
      <c r="H16" s="119"/>
      <c r="I16" s="52"/>
      <c r="J16" s="119"/>
      <c r="K16" s="52"/>
      <c r="L16" s="119"/>
      <c r="M16" s="52"/>
      <c r="N16" s="119"/>
      <c r="O16" s="52"/>
      <c r="P16" s="119"/>
      <c r="Q16" s="52"/>
      <c r="R16" s="119"/>
      <c r="S16" s="52"/>
      <c r="T16" s="119"/>
      <c r="U16" s="52"/>
      <c r="V16" s="119"/>
      <c r="W16" s="119"/>
      <c r="X16" s="52"/>
      <c r="Y16" s="119"/>
      <c r="Z16" s="119"/>
      <c r="AA16" s="52"/>
      <c r="AB16" s="44"/>
      <c r="AC16" s="119"/>
      <c r="AD16" s="52"/>
      <c r="AE16" s="44"/>
      <c r="AF16" s="119"/>
      <c r="AG16" s="52"/>
      <c r="AH16" s="44"/>
      <c r="AI16" s="119"/>
      <c r="AJ16" s="52"/>
      <c r="AK16" s="119"/>
      <c r="AL16" s="59"/>
      <c r="AM16" s="52"/>
      <c r="AN16" s="119"/>
      <c r="AO16" s="59"/>
      <c r="AP16" s="52"/>
      <c r="AQ16" s="119"/>
      <c r="AR16" s="363"/>
    </row>
    <row r="17" spans="1:44">
      <c r="B17" s="24" t="s">
        <v>51</v>
      </c>
      <c r="D17" s="24"/>
      <c r="E17" s="150"/>
      <c r="F17" s="150"/>
      <c r="G17" s="52"/>
      <c r="H17" s="119"/>
      <c r="I17" s="52"/>
      <c r="J17" s="119"/>
      <c r="K17" s="52"/>
      <c r="L17" s="119"/>
      <c r="M17" s="52"/>
      <c r="N17" s="119"/>
      <c r="O17" s="52"/>
      <c r="P17" s="119"/>
      <c r="Q17" s="52"/>
      <c r="R17" s="119"/>
      <c r="S17" s="52"/>
      <c r="T17" s="119"/>
      <c r="U17" s="52"/>
      <c r="V17" s="119"/>
      <c r="W17" s="119"/>
      <c r="X17" s="52"/>
      <c r="Y17" s="119"/>
      <c r="Z17" s="119"/>
      <c r="AA17" s="52"/>
      <c r="AB17" s="44"/>
      <c r="AC17" s="119"/>
      <c r="AD17" s="52"/>
      <c r="AE17" s="44"/>
      <c r="AF17" s="119"/>
      <c r="AG17" s="52"/>
      <c r="AH17" s="44"/>
      <c r="AI17" s="119"/>
      <c r="AJ17" s="52"/>
      <c r="AK17" s="119"/>
      <c r="AL17" s="59"/>
      <c r="AM17" s="52"/>
      <c r="AN17" s="119"/>
      <c r="AO17" s="59"/>
      <c r="AP17" s="52"/>
      <c r="AQ17" s="119"/>
      <c r="AR17" s="363"/>
    </row>
    <row r="18" spans="1:44">
      <c r="A18" s="22">
        <v>5</v>
      </c>
      <c r="C18" s="24" t="s">
        <v>12</v>
      </c>
      <c r="D18" s="24"/>
      <c r="E18" s="150"/>
      <c r="F18" s="150"/>
      <c r="G18" s="52"/>
      <c r="H18" s="119">
        <f>-'Cost Trends'!F19</f>
        <v>-59659</v>
      </c>
      <c r="I18" s="52"/>
      <c r="J18" s="119">
        <f>-'Cost Trends'!G19</f>
        <v>-106139</v>
      </c>
      <c r="K18" s="52"/>
      <c r="L18" s="119">
        <f>-'Cost Trends'!H19</f>
        <v>-109325</v>
      </c>
      <c r="M18" s="52"/>
      <c r="N18" s="119">
        <f>-'Cost Trends'!I19</f>
        <v>-96222</v>
      </c>
      <c r="O18" s="52"/>
      <c r="P18" s="119">
        <f>-'Cost Trends'!J19</f>
        <v>-114371</v>
      </c>
      <c r="Q18" s="52"/>
      <c r="R18" s="119">
        <f>-'Cost Trends'!K19</f>
        <v>-167251</v>
      </c>
      <c r="S18" s="52"/>
      <c r="T18" s="119">
        <f>-'Cost Trends'!L19</f>
        <v>-149802</v>
      </c>
      <c r="U18" s="52"/>
      <c r="V18" s="119"/>
      <c r="W18" s="119">
        <f>-'Cost Trends'!M19</f>
        <v>-222364</v>
      </c>
      <c r="X18" s="52"/>
      <c r="Y18" s="119"/>
      <c r="Z18" s="119">
        <f>-'Cost Trends'!N19</f>
        <v>-310276</v>
      </c>
      <c r="AA18" s="52"/>
      <c r="AB18" s="44"/>
      <c r="AC18" s="119">
        <f>-'Cost Trends'!O19</f>
        <v>-194267</v>
      </c>
      <c r="AD18" s="52"/>
      <c r="AE18" s="44"/>
      <c r="AF18" s="119">
        <f>-'Cost Trends'!P19</f>
        <v>-197494</v>
      </c>
      <c r="AG18" s="52"/>
      <c r="AH18" s="44"/>
      <c r="AI18" s="119">
        <f>-'Cost Trends'!Q19</f>
        <v>-188167</v>
      </c>
      <c r="AJ18" s="52"/>
      <c r="AK18" s="119"/>
      <c r="AL18" s="59">
        <f>-'Cost Trends'!R19</f>
        <v>-139073</v>
      </c>
      <c r="AM18" s="52"/>
      <c r="AN18" s="119"/>
      <c r="AO18" s="59">
        <f>-'Cost Trends'!S19</f>
        <v>-76801</v>
      </c>
      <c r="AP18" s="52"/>
      <c r="AQ18" s="119"/>
      <c r="AR18" s="363">
        <f>-'Cost Trends'!T19</f>
        <v>-84187</v>
      </c>
    </row>
    <row r="19" spans="1:44">
      <c r="A19" s="22">
        <v>6</v>
      </c>
      <c r="C19" s="24" t="s">
        <v>13</v>
      </c>
      <c r="D19" s="24"/>
      <c r="E19" s="150"/>
      <c r="F19" s="150"/>
      <c r="G19" s="52"/>
      <c r="H19" s="119">
        <f>-'Cost Trends'!F20+H63</f>
        <v>2078</v>
      </c>
      <c r="I19" s="52"/>
      <c r="J19" s="119">
        <f>-'Cost Trends'!G20+J63</f>
        <v>-756</v>
      </c>
      <c r="K19" s="52"/>
      <c r="L19" s="119">
        <f>-'Cost Trends'!H20+L63</f>
        <v>-916</v>
      </c>
      <c r="M19" s="52"/>
      <c r="N19" s="119">
        <f>-'Cost Trends'!I20+N63</f>
        <v>-901</v>
      </c>
      <c r="O19" s="52"/>
      <c r="P19" s="119">
        <f>-'Cost Trends'!J20+P63</f>
        <v>0</v>
      </c>
      <c r="Q19" s="52"/>
      <c r="R19" s="119">
        <f>-'Cost Trends'!K20+R63</f>
        <v>0</v>
      </c>
      <c r="S19" s="52"/>
      <c r="T19" s="119">
        <f>-'Cost Trends'!L20+T63</f>
        <v>0</v>
      </c>
      <c r="U19" s="52"/>
      <c r="V19" s="119"/>
      <c r="W19" s="119">
        <f>-'Cost Trends'!M20+W63</f>
        <v>0</v>
      </c>
      <c r="X19" s="52"/>
      <c r="Y19" s="119"/>
      <c r="Z19" s="119">
        <f>-'Cost Trends'!N20+Z63</f>
        <v>9886</v>
      </c>
      <c r="AA19" s="52"/>
      <c r="AB19" s="44"/>
      <c r="AC19" s="119">
        <f>-'Cost Trends'!O20+AC63</f>
        <v>-1</v>
      </c>
      <c r="AD19" s="52"/>
      <c r="AE19" s="44"/>
      <c r="AF19" s="119">
        <f>-'Cost Trends'!P20+AF63</f>
        <v>0</v>
      </c>
      <c r="AG19" s="52"/>
      <c r="AH19" s="44"/>
      <c r="AI19" s="119">
        <f>-'Cost Trends'!Q20+AI63</f>
        <v>967</v>
      </c>
      <c r="AJ19" s="52"/>
      <c r="AK19" s="119"/>
      <c r="AL19" s="59">
        <f>-'Cost Trends'!R20+AL63</f>
        <v>798</v>
      </c>
      <c r="AM19" s="52"/>
      <c r="AN19" s="119"/>
      <c r="AO19" s="59">
        <f>-'Cost Trends'!S20+AO63</f>
        <v>0</v>
      </c>
      <c r="AP19" s="52"/>
      <c r="AQ19" s="119"/>
      <c r="AR19" s="363">
        <f>-'Cost Trends'!T20+AR63</f>
        <v>0</v>
      </c>
    </row>
    <row r="20" spans="1:44">
      <c r="A20" s="22">
        <v>7</v>
      </c>
      <c r="C20" s="24" t="s">
        <v>14</v>
      </c>
      <c r="D20" s="24"/>
      <c r="E20" s="150"/>
      <c r="F20" s="150"/>
      <c r="G20" s="53"/>
      <c r="H20" s="119">
        <f>-'Cost Trends'!F21</f>
        <v>-38</v>
      </c>
      <c r="I20" s="53"/>
      <c r="J20" s="119">
        <f>-'Cost Trends'!G21</f>
        <v>-134</v>
      </c>
      <c r="K20" s="53"/>
      <c r="L20" s="119">
        <f>-'Cost Trends'!H21</f>
        <v>-128</v>
      </c>
      <c r="M20" s="53"/>
      <c r="N20" s="119">
        <f>-'Cost Trends'!I21</f>
        <v>0</v>
      </c>
      <c r="O20" s="53"/>
      <c r="P20" s="119">
        <f>-'Cost Trends'!J21</f>
        <v>0</v>
      </c>
      <c r="Q20" s="53"/>
      <c r="R20" s="119">
        <f>-'Cost Trends'!K21</f>
        <v>8407</v>
      </c>
      <c r="S20" s="53"/>
      <c r="T20" s="119">
        <f>-'Cost Trends'!L21</f>
        <v>0</v>
      </c>
      <c r="U20" s="53"/>
      <c r="V20" s="45"/>
      <c r="W20" s="119">
        <f>-'Cost Trends'!M21</f>
        <v>-283</v>
      </c>
      <c r="X20" s="53"/>
      <c r="Y20" s="119"/>
      <c r="Z20" s="119">
        <f>-'Cost Trends'!N21</f>
        <v>-2</v>
      </c>
      <c r="AA20" s="53"/>
      <c r="AB20" s="45"/>
      <c r="AC20" s="119">
        <f>-'Cost Trends'!O21</f>
        <v>-10720</v>
      </c>
      <c r="AD20" s="53"/>
      <c r="AE20" s="45"/>
      <c r="AF20" s="119">
        <f>-'Cost Trends'!P21</f>
        <v>3322</v>
      </c>
      <c r="AG20" s="53"/>
      <c r="AH20" s="45"/>
      <c r="AI20" s="119">
        <f>-'Cost Trends'!Q21</f>
        <v>4366</v>
      </c>
      <c r="AJ20" s="53"/>
      <c r="AK20" s="45"/>
      <c r="AL20" s="59">
        <f>-'Cost Trends'!R21</f>
        <v>-4352</v>
      </c>
      <c r="AM20" s="53"/>
      <c r="AN20" s="45"/>
      <c r="AO20" s="59">
        <f>-'Cost Trends'!S21</f>
        <v>0</v>
      </c>
      <c r="AP20" s="53"/>
      <c r="AQ20" s="45"/>
      <c r="AR20" s="363">
        <f>-'Cost Trends'!T21</f>
        <v>0</v>
      </c>
    </row>
    <row r="21" spans="1:44">
      <c r="A21" s="22">
        <v>8</v>
      </c>
      <c r="B21" s="24" t="s">
        <v>15</v>
      </c>
      <c r="C21" s="24"/>
      <c r="E21" s="150"/>
      <c r="F21" s="150"/>
      <c r="G21" s="52">
        <f t="shared" ref="G21:P21" si="4">SUM(G18:G20)</f>
        <v>0</v>
      </c>
      <c r="H21" s="121">
        <f>SUM(H18:H20)</f>
        <v>-57619</v>
      </c>
      <c r="I21" s="52">
        <f t="shared" si="4"/>
        <v>0</v>
      </c>
      <c r="J21" s="121">
        <f>SUM(J18:J20)</f>
        <v>-107029</v>
      </c>
      <c r="K21" s="52">
        <f t="shared" si="4"/>
        <v>0</v>
      </c>
      <c r="L21" s="121">
        <f t="shared" si="4"/>
        <v>-110369</v>
      </c>
      <c r="M21" s="52">
        <f t="shared" si="4"/>
        <v>0</v>
      </c>
      <c r="N21" s="121">
        <f t="shared" si="4"/>
        <v>-97123</v>
      </c>
      <c r="O21" s="52">
        <f t="shared" si="4"/>
        <v>0</v>
      </c>
      <c r="P21" s="121">
        <f t="shared" si="4"/>
        <v>-114371</v>
      </c>
      <c r="Q21" s="52">
        <f t="shared" ref="Q21:AI21" si="5">SUM(Q18:Q20)</f>
        <v>0</v>
      </c>
      <c r="R21" s="121">
        <f t="shared" si="5"/>
        <v>-158844</v>
      </c>
      <c r="S21" s="52">
        <f t="shared" si="5"/>
        <v>0</v>
      </c>
      <c r="T21" s="121">
        <f t="shared" si="5"/>
        <v>-149802</v>
      </c>
      <c r="U21" s="52">
        <f t="shared" si="5"/>
        <v>0</v>
      </c>
      <c r="V21" s="119">
        <f t="shared" si="5"/>
        <v>0</v>
      </c>
      <c r="W21" s="121">
        <f t="shared" si="5"/>
        <v>-222647</v>
      </c>
      <c r="X21" s="52">
        <f t="shared" si="5"/>
        <v>0</v>
      </c>
      <c r="Y21" s="120">
        <f t="shared" si="5"/>
        <v>0</v>
      </c>
      <c r="Z21" s="121">
        <f t="shared" si="5"/>
        <v>-300392</v>
      </c>
      <c r="AA21" s="52">
        <f t="shared" si="5"/>
        <v>0</v>
      </c>
      <c r="AB21" s="44">
        <f t="shared" si="5"/>
        <v>0</v>
      </c>
      <c r="AC21" s="121">
        <f t="shared" si="5"/>
        <v>-204988</v>
      </c>
      <c r="AD21" s="52">
        <f t="shared" si="5"/>
        <v>0</v>
      </c>
      <c r="AE21" s="44">
        <f t="shared" si="5"/>
        <v>0</v>
      </c>
      <c r="AF21" s="121">
        <f t="shared" si="5"/>
        <v>-194172</v>
      </c>
      <c r="AG21" s="52">
        <f t="shared" si="5"/>
        <v>0</v>
      </c>
      <c r="AH21" s="44">
        <f t="shared" si="5"/>
        <v>0</v>
      </c>
      <c r="AI21" s="121">
        <f t="shared" si="5"/>
        <v>-182834</v>
      </c>
      <c r="AJ21" s="52">
        <f t="shared" ref="AJ21:AO21" si="6">SUM(AJ18:AJ20)</f>
        <v>0</v>
      </c>
      <c r="AK21" s="119">
        <f t="shared" si="6"/>
        <v>0</v>
      </c>
      <c r="AL21" s="121">
        <f t="shared" si="6"/>
        <v>-142627</v>
      </c>
      <c r="AM21" s="52">
        <f t="shared" si="6"/>
        <v>0</v>
      </c>
      <c r="AN21" s="119">
        <f t="shared" si="6"/>
        <v>0</v>
      </c>
      <c r="AO21" s="121">
        <f t="shared" si="6"/>
        <v>-76801</v>
      </c>
      <c r="AP21" s="52">
        <f t="shared" ref="AP21:AR21" si="7">SUM(AP18:AP20)</f>
        <v>0</v>
      </c>
      <c r="AQ21" s="119">
        <f t="shared" si="7"/>
        <v>0</v>
      </c>
      <c r="AR21" s="364">
        <f t="shared" si="7"/>
        <v>-84187</v>
      </c>
    </row>
    <row r="22" spans="1:44">
      <c r="B22" s="24"/>
      <c r="C22" s="24"/>
      <c r="E22" s="150"/>
      <c r="F22" s="150"/>
      <c r="G22" s="52"/>
      <c r="H22" s="119"/>
      <c r="I22" s="52"/>
      <c r="J22" s="119"/>
      <c r="K22" s="52"/>
      <c r="L22" s="119"/>
      <c r="M22" s="52"/>
      <c r="N22" s="119"/>
      <c r="O22" s="52"/>
      <c r="P22" s="119"/>
      <c r="Q22" s="52"/>
      <c r="R22" s="119"/>
      <c r="S22" s="52"/>
      <c r="T22" s="119"/>
      <c r="U22" s="52"/>
      <c r="V22" s="119"/>
      <c r="W22" s="119"/>
      <c r="X22" s="52"/>
      <c r="Y22" s="119"/>
      <c r="Z22" s="119"/>
      <c r="AA22" s="52"/>
      <c r="AB22" s="44"/>
      <c r="AC22" s="119"/>
      <c r="AD22" s="52"/>
      <c r="AE22" s="44"/>
      <c r="AF22" s="119"/>
      <c r="AG22" s="52"/>
      <c r="AH22" s="44"/>
      <c r="AI22" s="119"/>
      <c r="AJ22" s="52"/>
      <c r="AK22" s="119"/>
      <c r="AL22" s="59"/>
      <c r="AM22" s="52"/>
      <c r="AN22" s="119"/>
      <c r="AO22" s="59"/>
      <c r="AP22" s="52"/>
      <c r="AQ22" s="119"/>
      <c r="AR22" s="363"/>
    </row>
    <row r="23" spans="1:44">
      <c r="B23" s="24" t="s">
        <v>16</v>
      </c>
      <c r="D23" s="24"/>
      <c r="E23" s="150"/>
      <c r="F23" s="150"/>
      <c r="G23" s="52"/>
      <c r="H23" s="119"/>
      <c r="I23" s="52"/>
      <c r="J23" s="119"/>
      <c r="K23" s="52"/>
      <c r="L23" s="119"/>
      <c r="M23" s="52"/>
      <c r="N23" s="119"/>
      <c r="O23" s="52"/>
      <c r="P23" s="119"/>
      <c r="Q23" s="52"/>
      <c r="R23" s="119"/>
      <c r="S23" s="52"/>
      <c r="T23" s="119"/>
      <c r="U23" s="52"/>
      <c r="V23" s="119"/>
      <c r="W23" s="119"/>
      <c r="X23" s="52"/>
      <c r="Y23" s="119"/>
      <c r="Z23" s="119"/>
      <c r="AA23" s="52"/>
      <c r="AB23" s="44"/>
      <c r="AC23" s="119"/>
      <c r="AD23" s="52"/>
      <c r="AE23" s="44"/>
      <c r="AF23" s="119"/>
      <c r="AG23" s="52"/>
      <c r="AH23" s="44"/>
      <c r="AI23" s="119"/>
      <c r="AJ23" s="52"/>
      <c r="AK23" s="119"/>
      <c r="AL23" s="59"/>
      <c r="AM23" s="52"/>
      <c r="AN23" s="119"/>
      <c r="AO23" s="59"/>
      <c r="AP23" s="52"/>
      <c r="AQ23" s="119"/>
      <c r="AR23" s="363"/>
    </row>
    <row r="24" spans="1:44">
      <c r="A24" s="22">
        <v>9</v>
      </c>
      <c r="C24" s="24" t="s">
        <v>17</v>
      </c>
      <c r="D24" s="24"/>
      <c r="E24" s="150"/>
      <c r="F24" s="150"/>
      <c r="G24" s="52"/>
      <c r="H24" s="119"/>
      <c r="I24" s="52"/>
      <c r="J24" s="119"/>
      <c r="K24" s="52"/>
      <c r="L24" s="119"/>
      <c r="M24" s="52"/>
      <c r="N24" s="119"/>
      <c r="O24" s="52"/>
      <c r="P24" s="119"/>
      <c r="Q24" s="52"/>
      <c r="R24" s="119"/>
      <c r="S24" s="52"/>
      <c r="T24" s="119"/>
      <c r="U24" s="52"/>
      <c r="V24" s="119"/>
      <c r="W24" s="119"/>
      <c r="X24" s="52"/>
      <c r="Y24" s="119"/>
      <c r="Z24" s="119"/>
      <c r="AA24" s="52"/>
      <c r="AB24" s="44"/>
      <c r="AC24" s="119"/>
      <c r="AD24" s="52"/>
      <c r="AE24" s="44"/>
      <c r="AF24" s="119"/>
      <c r="AG24" s="52"/>
      <c r="AH24" s="44"/>
      <c r="AI24" s="119"/>
      <c r="AJ24" s="52"/>
      <c r="AK24" s="119"/>
      <c r="AL24" s="59"/>
      <c r="AM24" s="52"/>
      <c r="AN24" s="119"/>
      <c r="AO24" s="59"/>
      <c r="AP24" s="52"/>
      <c r="AQ24" s="119"/>
      <c r="AR24" s="363"/>
    </row>
    <row r="25" spans="1:44">
      <c r="A25" s="22">
        <v>10</v>
      </c>
      <c r="C25" s="24" t="s">
        <v>47</v>
      </c>
      <c r="D25" s="24"/>
      <c r="E25" s="150"/>
      <c r="F25" s="150"/>
      <c r="G25" s="52"/>
      <c r="H25" s="119"/>
      <c r="I25" s="52"/>
      <c r="J25" s="119"/>
      <c r="K25" s="52"/>
      <c r="L25" s="119"/>
      <c r="M25" s="52"/>
      <c r="N25" s="119"/>
      <c r="O25" s="52"/>
      <c r="P25" s="119"/>
      <c r="Q25" s="52"/>
      <c r="R25" s="119"/>
      <c r="S25" s="52"/>
      <c r="T25" s="119"/>
      <c r="U25" s="52"/>
      <c r="V25" s="119"/>
      <c r="W25" s="119"/>
      <c r="X25" s="52"/>
      <c r="Y25" s="119"/>
      <c r="Z25" s="119"/>
      <c r="AA25" s="52"/>
      <c r="AB25" s="44"/>
      <c r="AC25" s="119"/>
      <c r="AD25" s="52"/>
      <c r="AE25" s="44"/>
      <c r="AF25" s="119"/>
      <c r="AG25" s="52"/>
      <c r="AH25" s="44"/>
      <c r="AI25" s="119"/>
      <c r="AJ25" s="52"/>
      <c r="AK25" s="119"/>
      <c r="AL25" s="59"/>
      <c r="AM25" s="52"/>
      <c r="AN25" s="119"/>
      <c r="AO25" s="59"/>
      <c r="AP25" s="52"/>
      <c r="AQ25" s="119"/>
      <c r="AR25" s="363"/>
    </row>
    <row r="26" spans="1:44">
      <c r="A26" s="22">
        <v>11</v>
      </c>
      <c r="C26" s="24" t="s">
        <v>4</v>
      </c>
      <c r="D26" s="24"/>
      <c r="E26" s="150"/>
      <c r="F26" s="150"/>
      <c r="G26" s="53"/>
      <c r="H26" s="45"/>
      <c r="I26" s="53"/>
      <c r="J26" s="45"/>
      <c r="K26" s="53"/>
      <c r="L26" s="45"/>
      <c r="M26" s="53"/>
      <c r="N26" s="45"/>
      <c r="O26" s="53"/>
      <c r="P26" s="45"/>
      <c r="Q26" s="53"/>
      <c r="R26" s="45"/>
      <c r="S26" s="53"/>
      <c r="T26" s="45"/>
      <c r="U26" s="53"/>
      <c r="V26" s="45"/>
      <c r="W26" s="45"/>
      <c r="X26" s="53"/>
      <c r="Y26" s="119"/>
      <c r="Z26" s="45"/>
      <c r="AA26" s="53"/>
      <c r="AB26" s="45"/>
      <c r="AC26" s="45"/>
      <c r="AD26" s="53"/>
      <c r="AE26" s="45"/>
      <c r="AF26" s="45"/>
      <c r="AG26" s="53"/>
      <c r="AH26" s="45"/>
      <c r="AI26" s="45"/>
      <c r="AJ26" s="53"/>
      <c r="AK26" s="45"/>
      <c r="AL26" s="60"/>
      <c r="AM26" s="53"/>
      <c r="AN26" s="45"/>
      <c r="AO26" s="60"/>
      <c r="AP26" s="53"/>
      <c r="AQ26" s="45"/>
      <c r="AR26" s="362"/>
    </row>
    <row r="27" spans="1:44">
      <c r="A27" s="22">
        <v>12</v>
      </c>
      <c r="B27" s="24" t="s">
        <v>18</v>
      </c>
      <c r="C27" s="24"/>
      <c r="E27" s="150"/>
      <c r="F27" s="150"/>
      <c r="G27" s="52">
        <f t="shared" ref="G27:P27" si="8">SUM(G24:G26)</f>
        <v>0</v>
      </c>
      <c r="H27" s="119">
        <f>SUM(H24:H26)</f>
        <v>0</v>
      </c>
      <c r="I27" s="52">
        <f t="shared" si="8"/>
        <v>0</v>
      </c>
      <c r="J27" s="119">
        <f>SUM(J24:J26)</f>
        <v>0</v>
      </c>
      <c r="K27" s="52">
        <f t="shared" si="8"/>
        <v>0</v>
      </c>
      <c r="L27" s="119">
        <f t="shared" si="8"/>
        <v>0</v>
      </c>
      <c r="M27" s="52">
        <f t="shared" si="8"/>
        <v>0</v>
      </c>
      <c r="N27" s="119">
        <f t="shared" si="8"/>
        <v>0</v>
      </c>
      <c r="O27" s="52">
        <f t="shared" si="8"/>
        <v>0</v>
      </c>
      <c r="P27" s="119">
        <f t="shared" si="8"/>
        <v>0</v>
      </c>
      <c r="Q27" s="52">
        <f t="shared" ref="Q27:AI27" si="9">SUM(Q24:Q26)</f>
        <v>0</v>
      </c>
      <c r="R27" s="119">
        <f t="shared" si="9"/>
        <v>0</v>
      </c>
      <c r="S27" s="52">
        <f t="shared" si="9"/>
        <v>0</v>
      </c>
      <c r="T27" s="119">
        <f t="shared" si="9"/>
        <v>0</v>
      </c>
      <c r="U27" s="52">
        <f t="shared" si="9"/>
        <v>0</v>
      </c>
      <c r="V27" s="119">
        <f t="shared" si="9"/>
        <v>0</v>
      </c>
      <c r="W27" s="119">
        <f t="shared" si="9"/>
        <v>0</v>
      </c>
      <c r="X27" s="52">
        <f t="shared" si="9"/>
        <v>0</v>
      </c>
      <c r="Y27" s="120">
        <f t="shared" si="9"/>
        <v>0</v>
      </c>
      <c r="Z27" s="119">
        <f t="shared" si="9"/>
        <v>0</v>
      </c>
      <c r="AA27" s="52">
        <f t="shared" si="9"/>
        <v>0</v>
      </c>
      <c r="AB27" s="44">
        <f t="shared" si="9"/>
        <v>0</v>
      </c>
      <c r="AC27" s="119">
        <f t="shared" si="9"/>
        <v>0</v>
      </c>
      <c r="AD27" s="52">
        <f t="shared" si="9"/>
        <v>0</v>
      </c>
      <c r="AE27" s="44">
        <f t="shared" si="9"/>
        <v>0</v>
      </c>
      <c r="AF27" s="119">
        <f t="shared" si="9"/>
        <v>0</v>
      </c>
      <c r="AG27" s="52">
        <f t="shared" si="9"/>
        <v>0</v>
      </c>
      <c r="AH27" s="44">
        <f t="shared" si="9"/>
        <v>0</v>
      </c>
      <c r="AI27" s="119">
        <f t="shared" si="9"/>
        <v>0</v>
      </c>
      <c r="AJ27" s="52">
        <f t="shared" ref="AJ27:AO27" si="10">SUM(AJ24:AJ26)</f>
        <v>0</v>
      </c>
      <c r="AK27" s="119">
        <f t="shared" si="10"/>
        <v>0</v>
      </c>
      <c r="AL27" s="59">
        <f t="shared" si="10"/>
        <v>0</v>
      </c>
      <c r="AM27" s="52">
        <f t="shared" si="10"/>
        <v>0</v>
      </c>
      <c r="AN27" s="119">
        <f t="shared" si="10"/>
        <v>0</v>
      </c>
      <c r="AO27" s="59">
        <f t="shared" si="10"/>
        <v>0</v>
      </c>
      <c r="AP27" s="52">
        <f t="shared" ref="AP27:AR27" si="11">SUM(AP24:AP26)</f>
        <v>0</v>
      </c>
      <c r="AQ27" s="119">
        <f t="shared" si="11"/>
        <v>0</v>
      </c>
      <c r="AR27" s="363">
        <f t="shared" si="11"/>
        <v>0</v>
      </c>
    </row>
    <row r="28" spans="1:44">
      <c r="B28" s="24"/>
      <c r="C28" s="24"/>
      <c r="E28" s="150"/>
      <c r="F28" s="150"/>
      <c r="G28" s="52"/>
      <c r="H28" s="119"/>
      <c r="I28" s="52"/>
      <c r="J28" s="119"/>
      <c r="K28" s="52"/>
      <c r="L28" s="119"/>
      <c r="M28" s="52"/>
      <c r="N28" s="119"/>
      <c r="O28" s="52"/>
      <c r="P28" s="119"/>
      <c r="Q28" s="52"/>
      <c r="R28" s="119"/>
      <c r="S28" s="52"/>
      <c r="T28" s="119"/>
      <c r="U28" s="52"/>
      <c r="V28" s="119"/>
      <c r="W28" s="119"/>
      <c r="X28" s="52"/>
      <c r="Y28" s="119"/>
      <c r="Z28" s="119"/>
      <c r="AA28" s="52"/>
      <c r="AB28" s="44"/>
      <c r="AC28" s="119"/>
      <c r="AD28" s="52"/>
      <c r="AE28" s="44"/>
      <c r="AF28" s="119"/>
      <c r="AG28" s="52"/>
      <c r="AH28" s="44"/>
      <c r="AI28" s="119"/>
      <c r="AJ28" s="52"/>
      <c r="AK28" s="119"/>
      <c r="AL28" s="59"/>
      <c r="AM28" s="52"/>
      <c r="AN28" s="119"/>
      <c r="AO28" s="59"/>
      <c r="AP28" s="52"/>
      <c r="AQ28" s="119"/>
      <c r="AR28" s="363"/>
    </row>
    <row r="29" spans="1:44">
      <c r="B29" s="24" t="s">
        <v>19</v>
      </c>
      <c r="D29" s="24"/>
      <c r="E29" s="150"/>
      <c r="F29" s="150"/>
      <c r="G29" s="52"/>
      <c r="H29" s="119"/>
      <c r="I29" s="52"/>
      <c r="J29" s="119"/>
      <c r="K29" s="52"/>
      <c r="L29" s="119"/>
      <c r="M29" s="52"/>
      <c r="N29" s="119"/>
      <c r="O29" s="52"/>
      <c r="P29" s="119"/>
      <c r="Q29" s="52"/>
      <c r="R29" s="119"/>
      <c r="S29" s="52"/>
      <c r="T29" s="119"/>
      <c r="U29" s="52"/>
      <c r="V29" s="119"/>
      <c r="W29" s="119"/>
      <c r="X29" s="52"/>
      <c r="Y29" s="119"/>
      <c r="Z29" s="119"/>
      <c r="AA29" s="52"/>
      <c r="AB29" s="44"/>
      <c r="AC29" s="119"/>
      <c r="AD29" s="52"/>
      <c r="AE29" s="44"/>
      <c r="AF29" s="119"/>
      <c r="AG29" s="52"/>
      <c r="AH29" s="44"/>
      <c r="AI29" s="119"/>
      <c r="AJ29" s="52"/>
      <c r="AK29" s="119"/>
      <c r="AL29" s="59"/>
      <c r="AM29" s="52"/>
      <c r="AN29" s="119"/>
      <c r="AO29" s="59"/>
      <c r="AP29" s="52"/>
      <c r="AQ29" s="119"/>
      <c r="AR29" s="363"/>
    </row>
    <row r="30" spans="1:44">
      <c r="A30" s="22">
        <v>13</v>
      </c>
      <c r="C30" s="24" t="s">
        <v>17</v>
      </c>
      <c r="D30" s="24"/>
      <c r="E30" s="150"/>
      <c r="F30" s="150"/>
      <c r="G30" s="52"/>
      <c r="H30" s="119"/>
      <c r="I30" s="52"/>
      <c r="J30" s="119"/>
      <c r="K30" s="52"/>
      <c r="L30" s="119"/>
      <c r="M30" s="52"/>
      <c r="N30" s="119"/>
      <c r="O30" s="52"/>
      <c r="P30" s="119"/>
      <c r="Q30" s="52"/>
      <c r="R30" s="119"/>
      <c r="S30" s="52"/>
      <c r="T30" s="119"/>
      <c r="U30" s="52"/>
      <c r="V30" s="119"/>
      <c r="W30" s="119"/>
      <c r="X30" s="52"/>
      <c r="Y30" s="119"/>
      <c r="Z30" s="119"/>
      <c r="AA30" s="52"/>
      <c r="AB30" s="44"/>
      <c r="AC30" s="119"/>
      <c r="AD30" s="52"/>
      <c r="AE30" s="44"/>
      <c r="AF30" s="119"/>
      <c r="AG30" s="52"/>
      <c r="AH30" s="44"/>
      <c r="AI30" s="119"/>
      <c r="AJ30" s="52"/>
      <c r="AK30" s="119"/>
      <c r="AL30" s="59"/>
      <c r="AM30" s="52"/>
      <c r="AN30" s="119"/>
      <c r="AO30" s="59"/>
      <c r="AP30" s="52"/>
      <c r="AQ30" s="119"/>
      <c r="AR30" s="363"/>
    </row>
    <row r="31" spans="1:44">
      <c r="A31" s="22">
        <v>14</v>
      </c>
      <c r="C31" s="24" t="s">
        <v>47</v>
      </c>
      <c r="D31" s="24"/>
      <c r="E31" s="150"/>
      <c r="F31" s="150"/>
      <c r="G31" s="52"/>
      <c r="H31" s="119"/>
      <c r="I31" s="52"/>
      <c r="J31" s="119"/>
      <c r="K31" s="52"/>
      <c r="L31" s="119"/>
      <c r="M31" s="52"/>
      <c r="N31" s="119"/>
      <c r="O31" s="52"/>
      <c r="P31" s="119"/>
      <c r="Q31" s="52"/>
      <c r="R31" s="119"/>
      <c r="S31" s="52"/>
      <c r="T31" s="119"/>
      <c r="U31" s="52"/>
      <c r="V31" s="119"/>
      <c r="W31" s="119"/>
      <c r="X31" s="52"/>
      <c r="Y31" s="119"/>
      <c r="Z31" s="119"/>
      <c r="AA31" s="52"/>
      <c r="AB31" s="44"/>
      <c r="AC31" s="119"/>
      <c r="AD31" s="52"/>
      <c r="AE31" s="44"/>
      <c r="AF31" s="119"/>
      <c r="AG31" s="52"/>
      <c r="AH31" s="44"/>
      <c r="AI31" s="119"/>
      <c r="AJ31" s="52"/>
      <c r="AK31" s="119"/>
      <c r="AL31" s="59"/>
      <c r="AM31" s="52"/>
      <c r="AN31" s="119"/>
      <c r="AO31" s="59"/>
      <c r="AP31" s="52"/>
      <c r="AQ31" s="119"/>
      <c r="AR31" s="363"/>
    </row>
    <row r="32" spans="1:44">
      <c r="A32" s="22">
        <v>15</v>
      </c>
      <c r="C32" s="24" t="s">
        <v>4</v>
      </c>
      <c r="D32" s="24"/>
      <c r="E32" s="150">
        <f>ROR!N16</f>
        <v>3.8314000000000001E-2</v>
      </c>
      <c r="F32" s="150"/>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9">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62">
        <f t="shared" si="15"/>
        <v>-3380</v>
      </c>
    </row>
    <row r="33" spans="1:44">
      <c r="A33" s="22">
        <v>16</v>
      </c>
      <c r="B33" s="24" t="s">
        <v>20</v>
      </c>
      <c r="C33" s="24"/>
      <c r="E33" s="150"/>
      <c r="F33" s="150"/>
      <c r="G33" s="52">
        <f t="shared" ref="G33:P33" si="16">SUM(G30:G32)</f>
        <v>0</v>
      </c>
      <c r="H33" s="119">
        <f>SUM(H30:H32)</f>
        <v>-2304</v>
      </c>
      <c r="I33" s="52">
        <f t="shared" si="16"/>
        <v>-38</v>
      </c>
      <c r="J33" s="119">
        <f>SUM(J30:J32)</f>
        <v>-4287</v>
      </c>
      <c r="K33" s="52">
        <f t="shared" si="16"/>
        <v>-68</v>
      </c>
      <c r="L33" s="119">
        <f t="shared" si="16"/>
        <v>-4425</v>
      </c>
      <c r="M33" s="52">
        <f t="shared" si="16"/>
        <v>-81</v>
      </c>
      <c r="N33" s="119">
        <f t="shared" si="16"/>
        <v>-3899</v>
      </c>
      <c r="O33" s="52">
        <f t="shared" si="16"/>
        <v>0</v>
      </c>
      <c r="P33" s="119">
        <f t="shared" si="16"/>
        <v>-4592</v>
      </c>
      <c r="Q33" s="52">
        <f t="shared" ref="Q33:AI33" si="17">SUM(Q30:Q32)</f>
        <v>-114</v>
      </c>
      <c r="R33" s="119">
        <f t="shared" si="17"/>
        <v>-5240</v>
      </c>
      <c r="S33" s="52">
        <f t="shared" si="17"/>
        <v>0</v>
      </c>
      <c r="T33" s="119">
        <f t="shared" si="17"/>
        <v>-6014</v>
      </c>
      <c r="U33" s="52">
        <f t="shared" si="17"/>
        <v>-154</v>
      </c>
      <c r="V33" s="119">
        <f t="shared" si="17"/>
        <v>-3</v>
      </c>
      <c r="W33" s="119">
        <f t="shared" si="17"/>
        <v>-6261</v>
      </c>
      <c r="X33" s="52">
        <f t="shared" si="17"/>
        <v>-176</v>
      </c>
      <c r="Y33" s="120">
        <f t="shared" si="17"/>
        <v>-17</v>
      </c>
      <c r="Z33" s="119">
        <f t="shared" si="17"/>
        <v>-5917</v>
      </c>
      <c r="AA33" s="52">
        <f t="shared" si="17"/>
        <v>-272</v>
      </c>
      <c r="AB33" s="44">
        <f t="shared" si="17"/>
        <v>-28</v>
      </c>
      <c r="AC33" s="119">
        <f t="shared" si="17"/>
        <v>-4858</v>
      </c>
      <c r="AD33" s="52">
        <f t="shared" si="17"/>
        <v>-338</v>
      </c>
      <c r="AE33" s="44">
        <f t="shared" si="17"/>
        <v>-20</v>
      </c>
      <c r="AF33" s="119">
        <f t="shared" si="17"/>
        <v>-3171</v>
      </c>
      <c r="AG33" s="52">
        <f t="shared" si="17"/>
        <v>-359</v>
      </c>
      <c r="AH33" s="44">
        <f t="shared" si="17"/>
        <v>-20</v>
      </c>
      <c r="AI33" s="119">
        <f t="shared" si="17"/>
        <v>-3374</v>
      </c>
      <c r="AJ33" s="52">
        <f t="shared" ref="AJ33:AO33" si="18">SUM(AJ30:AJ32)</f>
        <v>-239</v>
      </c>
      <c r="AK33" s="119">
        <f t="shared" si="18"/>
        <v>-7</v>
      </c>
      <c r="AL33" s="59">
        <f t="shared" si="18"/>
        <v>-3003</v>
      </c>
      <c r="AM33" s="52">
        <f t="shared" si="18"/>
        <v>0</v>
      </c>
      <c r="AN33" s="119">
        <f t="shared" si="18"/>
        <v>0</v>
      </c>
      <c r="AO33" s="59">
        <f t="shared" si="18"/>
        <v>-3083</v>
      </c>
      <c r="AP33" s="52">
        <f t="shared" ref="AP33:AR33" si="19">SUM(AP30:AP32)</f>
        <v>0</v>
      </c>
      <c r="AQ33" s="119">
        <f t="shared" si="19"/>
        <v>0</v>
      </c>
      <c r="AR33" s="363">
        <f t="shared" si="19"/>
        <v>-3380</v>
      </c>
    </row>
    <row r="34" spans="1:44">
      <c r="C34" s="24"/>
      <c r="D34" s="24"/>
      <c r="E34" s="150"/>
      <c r="F34" s="150"/>
      <c r="G34" s="52"/>
      <c r="H34" s="119"/>
      <c r="I34" s="52"/>
      <c r="J34" s="119"/>
      <c r="K34" s="52"/>
      <c r="L34" s="119"/>
      <c r="M34" s="52"/>
      <c r="N34" s="119"/>
      <c r="O34" s="52"/>
      <c r="P34" s="119"/>
      <c r="Q34" s="52"/>
      <c r="R34" s="119"/>
      <c r="S34" s="52"/>
      <c r="T34" s="119"/>
      <c r="U34" s="52"/>
      <c r="V34" s="119"/>
      <c r="W34" s="119"/>
      <c r="X34" s="52"/>
      <c r="Y34" s="119"/>
      <c r="Z34" s="119"/>
      <c r="AA34" s="52"/>
      <c r="AB34" s="44"/>
      <c r="AC34" s="119"/>
      <c r="AD34" s="52"/>
      <c r="AE34" s="44"/>
      <c r="AF34" s="119"/>
      <c r="AG34" s="52"/>
      <c r="AH34" s="44"/>
      <c r="AI34" s="119"/>
      <c r="AJ34" s="52"/>
      <c r="AK34" s="119"/>
      <c r="AL34" s="59"/>
      <c r="AM34" s="52"/>
      <c r="AN34" s="119"/>
      <c r="AO34" s="59"/>
      <c r="AP34" s="52"/>
      <c r="AQ34" s="119"/>
      <c r="AR34" s="363"/>
    </row>
    <row r="35" spans="1:44">
      <c r="A35" s="22">
        <v>17</v>
      </c>
      <c r="B35" s="3" t="s">
        <v>21</v>
      </c>
      <c r="C35" s="24"/>
      <c r="D35" s="24"/>
      <c r="E35" s="150">
        <f>ROR!N12</f>
        <v>5.3540000000000003E-3</v>
      </c>
      <c r="F35" s="150"/>
      <c r="G35" s="52">
        <f>ROUND(G11*$E35,0)</f>
        <v>0</v>
      </c>
      <c r="H35" s="119">
        <f>ROUND(H11*$E35,0)</f>
        <v>-322</v>
      </c>
      <c r="I35" s="52">
        <f t="shared" ref="I35:P35" si="20">ROUND(I11*$E35,0)</f>
        <v>-5</v>
      </c>
      <c r="J35" s="119">
        <f t="shared" si="20"/>
        <v>-599</v>
      </c>
      <c r="K35" s="52">
        <f t="shared" si="20"/>
        <v>-10</v>
      </c>
      <c r="L35" s="119">
        <f t="shared" si="20"/>
        <v>-618</v>
      </c>
      <c r="M35" s="52">
        <f t="shared" si="20"/>
        <v>-11</v>
      </c>
      <c r="N35" s="119">
        <f t="shared" si="20"/>
        <v>-545</v>
      </c>
      <c r="O35" s="52">
        <f t="shared" si="20"/>
        <v>0</v>
      </c>
      <c r="P35" s="119">
        <f t="shared" si="20"/>
        <v>-642</v>
      </c>
      <c r="Q35" s="52">
        <f t="shared" ref="Q35:AI35" si="21">ROUND(Q11*$E35,0)</f>
        <v>-16</v>
      </c>
      <c r="R35" s="119">
        <f t="shared" si="21"/>
        <v>-732</v>
      </c>
      <c r="S35" s="52">
        <f t="shared" si="21"/>
        <v>0</v>
      </c>
      <c r="T35" s="119">
        <f t="shared" si="21"/>
        <v>-840</v>
      </c>
      <c r="U35" s="52">
        <f t="shared" si="21"/>
        <v>-22</v>
      </c>
      <c r="V35" s="119">
        <f t="shared" si="21"/>
        <v>0</v>
      </c>
      <c r="W35" s="119">
        <f t="shared" si="21"/>
        <v>-875</v>
      </c>
      <c r="X35" s="52">
        <f t="shared" si="21"/>
        <v>-25</v>
      </c>
      <c r="Y35" s="119">
        <f t="shared" si="21"/>
        <v>-2</v>
      </c>
      <c r="Z35" s="119">
        <f t="shared" si="21"/>
        <v>-827</v>
      </c>
      <c r="AA35" s="52">
        <f t="shared" si="21"/>
        <v>-38</v>
      </c>
      <c r="AB35" s="44">
        <f t="shared" si="21"/>
        <v>-4</v>
      </c>
      <c r="AC35" s="119">
        <f t="shared" si="21"/>
        <v>-679</v>
      </c>
      <c r="AD35" s="52">
        <f t="shared" si="21"/>
        <v>-47</v>
      </c>
      <c r="AE35" s="44">
        <f t="shared" si="21"/>
        <v>-3</v>
      </c>
      <c r="AF35" s="119">
        <f t="shared" si="21"/>
        <v>-443</v>
      </c>
      <c r="AG35" s="52">
        <f t="shared" si="21"/>
        <v>-50</v>
      </c>
      <c r="AH35" s="44">
        <f t="shared" si="21"/>
        <v>-3</v>
      </c>
      <c r="AI35" s="119">
        <f t="shared" si="21"/>
        <v>-471</v>
      </c>
      <c r="AJ35" s="52">
        <f t="shared" ref="AJ35:AO35" si="22">ROUND(AJ11*$E35,0)</f>
        <v>-33</v>
      </c>
      <c r="AK35" s="119">
        <f t="shared" si="22"/>
        <v>-1</v>
      </c>
      <c r="AL35" s="59">
        <f t="shared" si="22"/>
        <v>-420</v>
      </c>
      <c r="AM35" s="52">
        <f t="shared" si="22"/>
        <v>0</v>
      </c>
      <c r="AN35" s="119">
        <f t="shared" si="22"/>
        <v>0</v>
      </c>
      <c r="AO35" s="59">
        <f t="shared" si="22"/>
        <v>-431</v>
      </c>
      <c r="AP35" s="52">
        <f t="shared" ref="AP35:AR35" si="23">ROUND(AP11*$E35,0)</f>
        <v>0</v>
      </c>
      <c r="AQ35" s="119">
        <f t="shared" si="23"/>
        <v>0</v>
      </c>
      <c r="AR35" s="363">
        <f t="shared" si="23"/>
        <v>-472</v>
      </c>
    </row>
    <row r="36" spans="1:44">
      <c r="A36" s="22">
        <v>18</v>
      </c>
      <c r="B36" s="3" t="s">
        <v>22</v>
      </c>
      <c r="C36" s="24"/>
      <c r="D36" s="24"/>
      <c r="E36" s="150"/>
      <c r="F36" s="150"/>
      <c r="G36" s="52">
        <v>0</v>
      </c>
      <c r="H36" s="119"/>
      <c r="I36" s="52">
        <v>-949</v>
      </c>
      <c r="J36" s="119"/>
      <c r="K36" s="52">
        <v>-1696</v>
      </c>
      <c r="L36" s="119"/>
      <c r="M36" s="52">
        <v>-2029</v>
      </c>
      <c r="N36" s="119"/>
      <c r="O36" s="52">
        <v>0</v>
      </c>
      <c r="P36" s="119"/>
      <c r="Q36" s="52">
        <v>-2842</v>
      </c>
      <c r="R36" s="119"/>
      <c r="S36" s="52">
        <v>0</v>
      </c>
      <c r="T36" s="119"/>
      <c r="U36" s="52">
        <v>-3835</v>
      </c>
      <c r="V36" s="119"/>
      <c r="W36" s="119"/>
      <c r="X36" s="52">
        <v>-4381</v>
      </c>
      <c r="Y36" s="119"/>
      <c r="Z36" s="119"/>
      <c r="AA36" s="52">
        <v>-6777</v>
      </c>
      <c r="AB36" s="44"/>
      <c r="AC36" s="119"/>
      <c r="AD36" s="52">
        <v>-8416</v>
      </c>
      <c r="AE36" s="44"/>
      <c r="AF36" s="119"/>
      <c r="AG36" s="52">
        <v>-8953</v>
      </c>
      <c r="AH36" s="44"/>
      <c r="AI36" s="119"/>
      <c r="AJ36" s="52">
        <f>-6212+270</f>
        <v>-5942</v>
      </c>
      <c r="AK36" s="119"/>
      <c r="AL36" s="59"/>
      <c r="AM36" s="52">
        <v>0</v>
      </c>
      <c r="AN36" s="119"/>
      <c r="AO36" s="59"/>
      <c r="AP36" s="52">
        <v>0</v>
      </c>
      <c r="AQ36" s="119"/>
      <c r="AR36" s="363"/>
    </row>
    <row r="37" spans="1:44">
      <c r="A37" s="22">
        <v>19</v>
      </c>
      <c r="B37" s="3" t="s">
        <v>23</v>
      </c>
      <c r="C37" s="24"/>
      <c r="D37" s="24"/>
      <c r="E37" s="150"/>
      <c r="F37" s="150"/>
      <c r="G37" s="52"/>
      <c r="H37" s="119"/>
      <c r="I37" s="52"/>
      <c r="J37" s="119"/>
      <c r="K37" s="52"/>
      <c r="L37" s="119"/>
      <c r="M37" s="52"/>
      <c r="N37" s="119"/>
      <c r="O37" s="52"/>
      <c r="P37" s="119"/>
      <c r="Q37" s="52"/>
      <c r="R37" s="119"/>
      <c r="S37" s="52"/>
      <c r="T37" s="119"/>
      <c r="U37" s="52"/>
      <c r="V37" s="119"/>
      <c r="W37" s="119"/>
      <c r="X37" s="52"/>
      <c r="Y37" s="119"/>
      <c r="Z37" s="119"/>
      <c r="AA37" s="52"/>
      <c r="AB37" s="44"/>
      <c r="AC37" s="119"/>
      <c r="AD37" s="52"/>
      <c r="AE37" s="44"/>
      <c r="AF37" s="119"/>
      <c r="AG37" s="52"/>
      <c r="AH37" s="44"/>
      <c r="AI37" s="119"/>
      <c r="AJ37" s="52"/>
      <c r="AK37" s="119"/>
      <c r="AL37" s="59"/>
      <c r="AM37" s="52"/>
      <c r="AN37" s="119"/>
      <c r="AO37" s="59"/>
      <c r="AP37" s="52"/>
      <c r="AQ37" s="119"/>
      <c r="AR37" s="363"/>
    </row>
    <row r="38" spans="1:44">
      <c r="C38" s="24"/>
      <c r="D38" s="24"/>
      <c r="E38" s="150"/>
      <c r="F38" s="150"/>
      <c r="G38" s="52"/>
      <c r="H38" s="119"/>
      <c r="I38" s="52"/>
      <c r="J38" s="119"/>
      <c r="K38" s="52"/>
      <c r="L38" s="119"/>
      <c r="M38" s="52"/>
      <c r="N38" s="119"/>
      <c r="O38" s="52"/>
      <c r="P38" s="119"/>
      <c r="Q38" s="52"/>
      <c r="R38" s="119"/>
      <c r="S38" s="52"/>
      <c r="T38" s="119"/>
      <c r="U38" s="52"/>
      <c r="V38" s="119"/>
      <c r="W38" s="119"/>
      <c r="X38" s="52"/>
      <c r="Y38" s="119"/>
      <c r="Z38" s="119"/>
      <c r="AA38" s="52"/>
      <c r="AB38" s="44"/>
      <c r="AC38" s="119"/>
      <c r="AD38" s="52"/>
      <c r="AE38" s="44"/>
      <c r="AF38" s="119"/>
      <c r="AG38" s="52"/>
      <c r="AH38" s="44"/>
      <c r="AI38" s="119"/>
      <c r="AJ38" s="52"/>
      <c r="AK38" s="119"/>
      <c r="AL38" s="59"/>
      <c r="AM38" s="52"/>
      <c r="AN38" s="119"/>
      <c r="AO38" s="59"/>
      <c r="AP38" s="52"/>
      <c r="AQ38" s="119"/>
      <c r="AR38" s="363"/>
    </row>
    <row r="39" spans="1:44">
      <c r="B39" s="3" t="s">
        <v>24</v>
      </c>
      <c r="C39" s="24"/>
      <c r="D39" s="24"/>
      <c r="E39" s="150"/>
      <c r="F39" s="150"/>
      <c r="G39" s="52"/>
      <c r="H39" s="119"/>
      <c r="I39" s="52"/>
      <c r="J39" s="119"/>
      <c r="K39" s="52"/>
      <c r="L39" s="119"/>
      <c r="M39" s="52"/>
      <c r="N39" s="119"/>
      <c r="O39" s="52"/>
      <c r="P39" s="119"/>
      <c r="Q39" s="52"/>
      <c r="R39" s="119"/>
      <c r="S39" s="52"/>
      <c r="T39" s="119"/>
      <c r="U39" s="52"/>
      <c r="V39" s="119"/>
      <c r="W39" s="119"/>
      <c r="X39" s="52"/>
      <c r="Y39" s="119"/>
      <c r="Z39" s="119"/>
      <c r="AA39" s="52"/>
      <c r="AB39" s="44"/>
      <c r="AC39" s="119"/>
      <c r="AD39" s="52"/>
      <c r="AE39" s="44"/>
      <c r="AF39" s="119"/>
      <c r="AG39" s="52"/>
      <c r="AH39" s="44"/>
      <c r="AI39" s="119"/>
      <c r="AJ39" s="52"/>
      <c r="AK39" s="119"/>
      <c r="AL39" s="59"/>
      <c r="AM39" s="52"/>
      <c r="AN39" s="119"/>
      <c r="AO39" s="59"/>
      <c r="AP39" s="52"/>
      <c r="AQ39" s="119"/>
      <c r="AR39" s="363"/>
    </row>
    <row r="40" spans="1:44">
      <c r="A40" s="22">
        <v>20</v>
      </c>
      <c r="C40" s="24" t="s">
        <v>17</v>
      </c>
      <c r="D40" s="24"/>
      <c r="E40" s="150">
        <f>ROR!N14</f>
        <v>2E-3</v>
      </c>
      <c r="F40" s="150"/>
      <c r="G40" s="52">
        <f>ROUND(G11*$E40,0)</f>
        <v>0</v>
      </c>
      <c r="H40" s="119">
        <f>ROUND(H11*$E40,0)</f>
        <v>-120</v>
      </c>
      <c r="I40" s="52">
        <f t="shared" ref="I40:P40" si="24">ROUND(I11*$E40,0)</f>
        <v>-2</v>
      </c>
      <c r="J40" s="119">
        <f t="shared" si="24"/>
        <v>-224</v>
      </c>
      <c r="K40" s="52">
        <f t="shared" si="24"/>
        <v>-4</v>
      </c>
      <c r="L40" s="119">
        <f t="shared" si="24"/>
        <v>-231</v>
      </c>
      <c r="M40" s="52">
        <f t="shared" si="24"/>
        <v>-4</v>
      </c>
      <c r="N40" s="119">
        <f t="shared" si="24"/>
        <v>-204</v>
      </c>
      <c r="O40" s="52">
        <f t="shared" si="24"/>
        <v>0</v>
      </c>
      <c r="P40" s="119">
        <f t="shared" si="24"/>
        <v>-240</v>
      </c>
      <c r="Q40" s="52">
        <f t="shared" ref="Q40:AI40" si="25">ROUND(Q11*$E40,0)</f>
        <v>-6</v>
      </c>
      <c r="R40" s="119">
        <f t="shared" si="25"/>
        <v>-274</v>
      </c>
      <c r="S40" s="52">
        <f t="shared" si="25"/>
        <v>0</v>
      </c>
      <c r="T40" s="119">
        <f t="shared" si="25"/>
        <v>-314</v>
      </c>
      <c r="U40" s="52">
        <f t="shared" si="25"/>
        <v>-8</v>
      </c>
      <c r="V40" s="119">
        <f t="shared" si="25"/>
        <v>0</v>
      </c>
      <c r="W40" s="119">
        <f t="shared" si="25"/>
        <v>-327</v>
      </c>
      <c r="X40" s="52">
        <f t="shared" si="25"/>
        <v>-9</v>
      </c>
      <c r="Y40" s="119">
        <f t="shared" si="25"/>
        <v>-1</v>
      </c>
      <c r="Z40" s="119">
        <f t="shared" si="25"/>
        <v>-309</v>
      </c>
      <c r="AA40" s="52">
        <f t="shared" si="25"/>
        <v>-14</v>
      </c>
      <c r="AB40" s="44">
        <f t="shared" si="25"/>
        <v>-1</v>
      </c>
      <c r="AC40" s="119">
        <f t="shared" si="25"/>
        <v>-254</v>
      </c>
      <c r="AD40" s="52">
        <f t="shared" si="25"/>
        <v>-18</v>
      </c>
      <c r="AE40" s="44">
        <f t="shared" si="25"/>
        <v>-1</v>
      </c>
      <c r="AF40" s="119">
        <f t="shared" si="25"/>
        <v>-166</v>
      </c>
      <c r="AG40" s="52">
        <f t="shared" si="25"/>
        <v>-19</v>
      </c>
      <c r="AH40" s="44">
        <f t="shared" si="25"/>
        <v>-1</v>
      </c>
      <c r="AI40" s="119">
        <f t="shared" si="25"/>
        <v>-176</v>
      </c>
      <c r="AJ40" s="52">
        <f t="shared" ref="AJ40:AO40" si="26">ROUND(AJ11*$E40,0)</f>
        <v>-12</v>
      </c>
      <c r="AK40" s="119">
        <f t="shared" si="26"/>
        <v>0</v>
      </c>
      <c r="AL40" s="59">
        <f t="shared" si="26"/>
        <v>-157</v>
      </c>
      <c r="AM40" s="52">
        <f t="shared" si="26"/>
        <v>0</v>
      </c>
      <c r="AN40" s="119">
        <f t="shared" si="26"/>
        <v>0</v>
      </c>
      <c r="AO40" s="59">
        <f t="shared" si="26"/>
        <v>-161</v>
      </c>
      <c r="AP40" s="52">
        <f t="shared" ref="AP40:AR40" si="27">ROUND(AP11*$E40,0)</f>
        <v>0</v>
      </c>
      <c r="AQ40" s="119">
        <f t="shared" si="27"/>
        <v>0</v>
      </c>
      <c r="AR40" s="363">
        <f t="shared" si="27"/>
        <v>-176</v>
      </c>
    </row>
    <row r="41" spans="1:44">
      <c r="A41" s="22">
        <v>21</v>
      </c>
      <c r="C41" s="24" t="s">
        <v>47</v>
      </c>
      <c r="D41" s="24"/>
      <c r="G41" s="52"/>
      <c r="H41" s="119"/>
      <c r="I41" s="52"/>
      <c r="J41" s="119"/>
      <c r="K41" s="52"/>
      <c r="L41" s="119"/>
      <c r="M41" s="52"/>
      <c r="N41" s="119"/>
      <c r="O41" s="52"/>
      <c r="P41" s="119"/>
      <c r="Q41" s="52"/>
      <c r="R41" s="119"/>
      <c r="S41" s="52"/>
      <c r="T41" s="119"/>
      <c r="U41" s="52"/>
      <c r="V41" s="119">
        <v>-85</v>
      </c>
      <c r="W41" s="119"/>
      <c r="X41" s="52"/>
      <c r="Y41" s="119">
        <v>-432</v>
      </c>
      <c r="Z41" s="119"/>
      <c r="AA41" s="52"/>
      <c r="AB41" s="44">
        <v>-710</v>
      </c>
      <c r="AC41" s="119"/>
      <c r="AD41" s="52"/>
      <c r="AE41" s="44">
        <v>-494</v>
      </c>
      <c r="AF41" s="119"/>
      <c r="AG41" s="52"/>
      <c r="AH41" s="44">
        <v>-494</v>
      </c>
      <c r="AI41" s="119"/>
      <c r="AJ41" s="52"/>
      <c r="AK41" s="119">
        <f>-184+1</f>
        <v>-183</v>
      </c>
      <c r="AL41" s="59"/>
      <c r="AM41" s="52"/>
      <c r="AN41" s="119">
        <v>0</v>
      </c>
      <c r="AO41" s="59"/>
      <c r="AP41" s="52"/>
      <c r="AQ41" s="119">
        <v>0</v>
      </c>
      <c r="AR41" s="363"/>
    </row>
    <row r="42" spans="1:44">
      <c r="A42" s="22">
        <v>22</v>
      </c>
      <c r="C42" s="1" t="s">
        <v>52</v>
      </c>
      <c r="D42" s="24"/>
      <c r="G42" s="52"/>
      <c r="H42" s="119"/>
      <c r="I42" s="52"/>
      <c r="J42" s="119"/>
      <c r="K42" s="52"/>
      <c r="L42" s="119"/>
      <c r="M42" s="52"/>
      <c r="N42" s="119"/>
      <c r="O42" s="52"/>
      <c r="P42" s="119"/>
      <c r="Q42" s="52"/>
      <c r="R42" s="119"/>
      <c r="S42" s="52"/>
      <c r="T42" s="119"/>
      <c r="U42" s="52"/>
      <c r="V42" s="119"/>
      <c r="W42" s="119"/>
      <c r="X42" s="52"/>
      <c r="Y42" s="119"/>
      <c r="Z42" s="119"/>
      <c r="AA42" s="52"/>
      <c r="AB42" s="44"/>
      <c r="AC42" s="119"/>
      <c r="AD42" s="52"/>
      <c r="AE42" s="44"/>
      <c r="AF42" s="119"/>
      <c r="AG42" s="52"/>
      <c r="AH42" s="44"/>
      <c r="AI42" s="119"/>
      <c r="AJ42" s="52"/>
      <c r="AK42" s="119"/>
      <c r="AL42" s="59"/>
      <c r="AM42" s="52"/>
      <c r="AN42" s="119"/>
      <c r="AO42" s="59"/>
      <c r="AP42" s="52"/>
      <c r="AQ42" s="119"/>
      <c r="AR42" s="363"/>
    </row>
    <row r="43" spans="1:44">
      <c r="A43" s="22">
        <v>23</v>
      </c>
      <c r="C43" s="24" t="s">
        <v>4</v>
      </c>
      <c r="D43" s="24"/>
      <c r="G43" s="53"/>
      <c r="H43" s="45"/>
      <c r="I43" s="53"/>
      <c r="J43" s="45"/>
      <c r="K43" s="53"/>
      <c r="L43" s="45"/>
      <c r="M43" s="53"/>
      <c r="N43" s="45"/>
      <c r="O43" s="53"/>
      <c r="P43" s="45"/>
      <c r="Q43" s="53"/>
      <c r="R43" s="45"/>
      <c r="S43" s="53"/>
      <c r="T43" s="45"/>
      <c r="U43" s="53"/>
      <c r="V43" s="45"/>
      <c r="W43" s="45"/>
      <c r="X43" s="53"/>
      <c r="Y43" s="119"/>
      <c r="Z43" s="45"/>
      <c r="AA43" s="53"/>
      <c r="AB43" s="45"/>
      <c r="AC43" s="45"/>
      <c r="AD43" s="53"/>
      <c r="AE43" s="45"/>
      <c r="AF43" s="45"/>
      <c r="AG43" s="53"/>
      <c r="AH43" s="45"/>
      <c r="AI43" s="45"/>
      <c r="AJ43" s="53"/>
      <c r="AK43" s="45"/>
      <c r="AL43" s="60"/>
      <c r="AM43" s="53"/>
      <c r="AN43" s="45"/>
      <c r="AO43" s="60"/>
      <c r="AP43" s="53"/>
      <c r="AQ43" s="45"/>
      <c r="AR43" s="362"/>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20">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443">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20">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443">
        <f t="shared" si="35"/>
        <v>-88215</v>
      </c>
    </row>
    <row r="46" spans="1:44">
      <c r="C46" s="24"/>
      <c r="D46" s="24"/>
      <c r="G46" s="52"/>
      <c r="H46" s="119"/>
      <c r="I46" s="52"/>
      <c r="J46" s="119"/>
      <c r="K46" s="52"/>
      <c r="L46" s="119"/>
      <c r="M46" s="52"/>
      <c r="N46" s="119"/>
      <c r="O46" s="52"/>
      <c r="P46" s="119"/>
      <c r="Q46" s="52"/>
      <c r="R46" s="119"/>
      <c r="S46" s="52"/>
      <c r="T46" s="119"/>
      <c r="U46" s="52"/>
      <c r="V46" s="119"/>
      <c r="W46" s="119"/>
      <c r="X46" s="52"/>
      <c r="Y46" s="120"/>
      <c r="Z46" s="119"/>
      <c r="AA46" s="52"/>
      <c r="AB46" s="44"/>
      <c r="AC46" s="119"/>
      <c r="AD46" s="52"/>
      <c r="AE46" s="44"/>
      <c r="AF46" s="119"/>
      <c r="AG46" s="52"/>
      <c r="AH46" s="44"/>
      <c r="AI46" s="119"/>
      <c r="AJ46" s="52"/>
      <c r="AK46" s="119"/>
      <c r="AL46" s="59"/>
      <c r="AM46" s="52"/>
      <c r="AN46" s="119"/>
      <c r="AO46" s="59"/>
      <c r="AP46" s="52"/>
      <c r="AQ46" s="119"/>
      <c r="AR46" s="363"/>
    </row>
    <row r="47" spans="1:44">
      <c r="A47" s="22">
        <v>26</v>
      </c>
      <c r="B47" s="3" t="s">
        <v>27</v>
      </c>
      <c r="C47" s="24"/>
      <c r="D47" s="24"/>
      <c r="G47" s="52">
        <f>G14-G45</f>
        <v>0</v>
      </c>
      <c r="H47" s="119">
        <f>H14-H45</f>
        <v>0</v>
      </c>
      <c r="I47" s="52">
        <f t="shared" ref="I47:P47" si="36">I14-I45</f>
        <v>0</v>
      </c>
      <c r="J47" s="119">
        <f t="shared" si="36"/>
        <v>0</v>
      </c>
      <c r="K47" s="52">
        <f t="shared" si="36"/>
        <v>0</v>
      </c>
      <c r="L47" s="119">
        <f t="shared" si="36"/>
        <v>0</v>
      </c>
      <c r="M47" s="52">
        <f t="shared" si="36"/>
        <v>0</v>
      </c>
      <c r="N47" s="119">
        <f t="shared" si="36"/>
        <v>0</v>
      </c>
      <c r="O47" s="52">
        <f t="shared" si="36"/>
        <v>0</v>
      </c>
      <c r="P47" s="119">
        <f t="shared" si="36"/>
        <v>0</v>
      </c>
      <c r="Q47" s="52">
        <f t="shared" ref="Q47:AI47" si="37">Q14-Q45</f>
        <v>0</v>
      </c>
      <c r="R47" s="119">
        <f t="shared" si="37"/>
        <v>0</v>
      </c>
      <c r="S47" s="52">
        <f t="shared" si="37"/>
        <v>0</v>
      </c>
      <c r="T47" s="119">
        <f t="shared" si="37"/>
        <v>0</v>
      </c>
      <c r="U47" s="52">
        <f t="shared" si="37"/>
        <v>0</v>
      </c>
      <c r="V47" s="119">
        <f t="shared" si="37"/>
        <v>0</v>
      </c>
      <c r="W47" s="119">
        <f t="shared" si="37"/>
        <v>0</v>
      </c>
      <c r="X47" s="52">
        <f t="shared" si="37"/>
        <v>0</v>
      </c>
      <c r="Y47" s="119">
        <f t="shared" si="37"/>
        <v>0</v>
      </c>
      <c r="Z47" s="119">
        <f t="shared" si="37"/>
        <v>0</v>
      </c>
      <c r="AA47" s="52">
        <f t="shared" si="37"/>
        <v>0</v>
      </c>
      <c r="AB47" s="44">
        <f t="shared" si="37"/>
        <v>0</v>
      </c>
      <c r="AC47" s="119">
        <f t="shared" si="37"/>
        <v>0</v>
      </c>
      <c r="AD47" s="52">
        <f t="shared" si="37"/>
        <v>0</v>
      </c>
      <c r="AE47" s="44">
        <f t="shared" si="37"/>
        <v>0</v>
      </c>
      <c r="AF47" s="119">
        <f t="shared" si="37"/>
        <v>0</v>
      </c>
      <c r="AG47" s="52">
        <f t="shared" si="37"/>
        <v>0</v>
      </c>
      <c r="AH47" s="44">
        <f t="shared" si="37"/>
        <v>0</v>
      </c>
      <c r="AI47" s="119">
        <f t="shared" si="37"/>
        <v>0</v>
      </c>
      <c r="AJ47" s="52">
        <f t="shared" ref="AJ47:AO47" si="38">AJ14-AJ45</f>
        <v>0</v>
      </c>
      <c r="AK47" s="119">
        <f t="shared" si="38"/>
        <v>0</v>
      </c>
      <c r="AL47" s="59">
        <f t="shared" si="38"/>
        <v>0</v>
      </c>
      <c r="AM47" s="52">
        <f t="shared" si="38"/>
        <v>0</v>
      </c>
      <c r="AN47" s="119">
        <f t="shared" si="38"/>
        <v>0</v>
      </c>
      <c r="AO47" s="59">
        <f t="shared" si="38"/>
        <v>0</v>
      </c>
      <c r="AP47" s="52">
        <f t="shared" ref="AP47:AR47" si="39">AP14-AP45</f>
        <v>0</v>
      </c>
      <c r="AQ47" s="119">
        <f t="shared" si="39"/>
        <v>0</v>
      </c>
      <c r="AR47" s="363">
        <f t="shared" si="39"/>
        <v>0</v>
      </c>
    </row>
    <row r="48" spans="1:44">
      <c r="C48" s="24"/>
      <c r="D48" s="24"/>
      <c r="G48" s="52"/>
      <c r="H48" s="119"/>
      <c r="I48" s="52"/>
      <c r="J48" s="119"/>
      <c r="K48" s="52"/>
      <c r="L48" s="119"/>
      <c r="M48" s="52"/>
      <c r="N48" s="119"/>
      <c r="O48" s="52"/>
      <c r="P48" s="119"/>
      <c r="Q48" s="52"/>
      <c r="R48" s="119"/>
      <c r="S48" s="52"/>
      <c r="T48" s="119"/>
      <c r="U48" s="52"/>
      <c r="V48" s="119"/>
      <c r="W48" s="119"/>
      <c r="X48" s="52"/>
      <c r="Y48" s="119"/>
      <c r="Z48" s="119"/>
      <c r="AA48" s="52"/>
      <c r="AB48" s="44"/>
      <c r="AC48" s="119"/>
      <c r="AD48" s="52"/>
      <c r="AE48" s="44"/>
      <c r="AF48" s="119"/>
      <c r="AG48" s="52"/>
      <c r="AH48" s="44"/>
      <c r="AI48" s="119"/>
      <c r="AJ48" s="52"/>
      <c r="AK48" s="119"/>
      <c r="AL48" s="59"/>
      <c r="AM48" s="52"/>
      <c r="AN48" s="119"/>
      <c r="AO48" s="59"/>
      <c r="AP48" s="52"/>
      <c r="AQ48" s="119"/>
      <c r="AR48" s="363"/>
    </row>
    <row r="49" spans="1:44">
      <c r="B49" s="3" t="s">
        <v>28</v>
      </c>
      <c r="C49" s="24"/>
      <c r="D49" s="24"/>
      <c r="G49" s="52"/>
      <c r="H49" s="119"/>
      <c r="I49" s="52"/>
      <c r="J49" s="119"/>
      <c r="K49" s="52"/>
      <c r="L49" s="119"/>
      <c r="M49" s="52"/>
      <c r="N49" s="119"/>
      <c r="O49" s="52"/>
      <c r="P49" s="119"/>
      <c r="Q49" s="52"/>
      <c r="R49" s="119"/>
      <c r="S49" s="52"/>
      <c r="T49" s="119"/>
      <c r="U49" s="52"/>
      <c r="V49" s="119"/>
      <c r="W49" s="119"/>
      <c r="X49" s="52"/>
      <c r="Y49" s="119"/>
      <c r="Z49" s="119"/>
      <c r="AA49" s="52"/>
      <c r="AB49" s="44"/>
      <c r="AC49" s="119"/>
      <c r="AD49" s="52"/>
      <c r="AE49" s="44"/>
      <c r="AF49" s="119"/>
      <c r="AG49" s="52"/>
      <c r="AH49" s="44"/>
      <c r="AI49" s="119"/>
      <c r="AJ49" s="52"/>
      <c r="AK49" s="119"/>
      <c r="AL49" s="59"/>
      <c r="AM49" s="52"/>
      <c r="AN49" s="119"/>
      <c r="AO49" s="59"/>
      <c r="AP49" s="52"/>
      <c r="AQ49" s="119"/>
      <c r="AR49" s="363"/>
    </row>
    <row r="50" spans="1:44">
      <c r="A50" s="22">
        <v>27</v>
      </c>
      <c r="B50" s="24" t="s">
        <v>29</v>
      </c>
      <c r="D50" s="24"/>
      <c r="G50" s="52"/>
      <c r="H50" s="119"/>
      <c r="I50" s="52"/>
      <c r="J50" s="119"/>
      <c r="K50" s="52"/>
      <c r="L50" s="119"/>
      <c r="M50" s="52"/>
      <c r="N50" s="119"/>
      <c r="O50" s="52"/>
      <c r="P50" s="119"/>
      <c r="Q50" s="52"/>
      <c r="R50" s="119"/>
      <c r="S50" s="52"/>
      <c r="T50" s="119"/>
      <c r="U50" s="52"/>
      <c r="V50" s="119"/>
      <c r="W50" s="119"/>
      <c r="X50" s="52"/>
      <c r="Y50" s="119"/>
      <c r="Z50" s="119"/>
      <c r="AA50" s="52"/>
      <c r="AB50" s="44"/>
      <c r="AC50" s="119"/>
      <c r="AD50" s="52"/>
      <c r="AE50" s="44"/>
      <c r="AF50" s="119"/>
      <c r="AG50" s="52"/>
      <c r="AH50" s="44"/>
      <c r="AI50" s="119"/>
      <c r="AJ50" s="52"/>
      <c r="AK50" s="119"/>
      <c r="AL50" s="59"/>
      <c r="AM50" s="52"/>
      <c r="AN50" s="119"/>
      <c r="AO50" s="59"/>
      <c r="AP50" s="52"/>
      <c r="AQ50" s="119"/>
      <c r="AR50" s="363"/>
    </row>
    <row r="51" spans="1:44">
      <c r="A51" s="22">
        <v>28</v>
      </c>
      <c r="B51" s="24" t="s">
        <v>46</v>
      </c>
      <c r="D51" s="24"/>
      <c r="G51" s="52"/>
      <c r="H51" s="119"/>
      <c r="I51" s="52"/>
      <c r="J51" s="119"/>
      <c r="K51" s="52"/>
      <c r="L51" s="119"/>
      <c r="M51" s="52"/>
      <c r="N51" s="119"/>
      <c r="O51" s="52"/>
      <c r="P51" s="119"/>
      <c r="Q51" s="52"/>
      <c r="R51" s="119"/>
      <c r="S51" s="52"/>
      <c r="T51" s="119"/>
      <c r="U51" s="52"/>
      <c r="V51" s="119"/>
      <c r="W51" s="119"/>
      <c r="X51" s="52"/>
      <c r="Y51" s="119"/>
      <c r="Z51" s="119"/>
      <c r="AA51" s="52"/>
      <c r="AB51" s="44"/>
      <c r="AC51" s="119"/>
      <c r="AD51" s="52"/>
      <c r="AE51" s="44"/>
      <c r="AF51" s="119"/>
      <c r="AG51" s="52"/>
      <c r="AH51" s="44"/>
      <c r="AI51" s="119"/>
      <c r="AJ51" s="52"/>
      <c r="AK51" s="119"/>
      <c r="AL51" s="59"/>
      <c r="AM51" s="52"/>
      <c r="AN51" s="119"/>
      <c r="AO51" s="59"/>
      <c r="AP51" s="52"/>
      <c r="AQ51" s="119"/>
      <c r="AR51" s="363"/>
    </row>
    <row r="52" spans="1:44">
      <c r="A52" s="22">
        <v>29</v>
      </c>
      <c r="B52" s="24" t="s">
        <v>30</v>
      </c>
      <c r="D52" s="24"/>
      <c r="G52" s="52"/>
      <c r="H52" s="119"/>
      <c r="I52" s="52"/>
      <c r="J52" s="119"/>
      <c r="K52" s="52"/>
      <c r="L52" s="119"/>
      <c r="M52" s="52"/>
      <c r="N52" s="119"/>
      <c r="O52" s="52"/>
      <c r="P52" s="119"/>
      <c r="Q52" s="52"/>
      <c r="R52" s="119"/>
      <c r="S52" s="52"/>
      <c r="T52" s="119"/>
      <c r="U52" s="52"/>
      <c r="V52" s="119"/>
      <c r="W52" s="119"/>
      <c r="X52" s="52"/>
      <c r="Y52" s="119"/>
      <c r="Z52" s="119"/>
      <c r="AA52" s="52"/>
      <c r="AB52" s="44"/>
      <c r="AC52" s="119"/>
      <c r="AD52" s="52"/>
      <c r="AE52" s="44"/>
      <c r="AF52" s="119"/>
      <c r="AG52" s="52"/>
      <c r="AH52" s="44"/>
      <c r="AI52" s="119"/>
      <c r="AJ52" s="52"/>
      <c r="AK52" s="119"/>
      <c r="AL52" s="59"/>
      <c r="AM52" s="52"/>
      <c r="AN52" s="119"/>
      <c r="AO52" s="59"/>
      <c r="AP52" s="52"/>
      <c r="AQ52" s="119"/>
      <c r="AR52" s="363"/>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9"/>
      <c r="Z53" s="45"/>
      <c r="AA53" s="53"/>
      <c r="AB53" s="45"/>
      <c r="AC53" s="45"/>
      <c r="AD53" s="53"/>
      <c r="AE53" s="45"/>
      <c r="AF53" s="45"/>
      <c r="AG53" s="53"/>
      <c r="AH53" s="45"/>
      <c r="AI53" s="45"/>
      <c r="AJ53" s="53"/>
      <c r="AK53" s="45"/>
      <c r="AL53" s="60"/>
      <c r="AM53" s="53"/>
      <c r="AN53" s="45"/>
      <c r="AO53" s="60"/>
      <c r="AP53" s="53"/>
      <c r="AQ53" s="45"/>
      <c r="AR53" s="362"/>
    </row>
    <row r="54" spans="1:44">
      <c r="G54" s="52"/>
      <c r="H54" s="119"/>
      <c r="I54" s="52"/>
      <c r="J54" s="119"/>
      <c r="K54" s="52"/>
      <c r="L54" s="119"/>
      <c r="M54" s="52"/>
      <c r="N54" s="119"/>
      <c r="O54" s="52"/>
      <c r="P54" s="119"/>
      <c r="Q54" s="52"/>
      <c r="R54" s="119"/>
      <c r="S54" s="52"/>
      <c r="T54" s="119"/>
      <c r="U54" s="52"/>
      <c r="V54" s="119"/>
      <c r="W54" s="119"/>
      <c r="X54" s="52"/>
      <c r="Y54" s="120"/>
      <c r="Z54" s="119"/>
      <c r="AA54" s="52"/>
      <c r="AB54" s="44"/>
      <c r="AC54" s="119"/>
      <c r="AD54" s="52"/>
      <c r="AE54" s="44"/>
      <c r="AF54" s="119"/>
      <c r="AG54" s="52"/>
      <c r="AH54" s="44"/>
      <c r="AI54" s="119"/>
      <c r="AJ54" s="52"/>
      <c r="AK54" s="119"/>
      <c r="AL54" s="59"/>
      <c r="AM54" s="52"/>
      <c r="AN54" s="119"/>
      <c r="AO54" s="59"/>
      <c r="AP54" s="52"/>
      <c r="AQ54" s="119"/>
      <c r="AR54" s="363"/>
    </row>
    <row r="55" spans="1:44">
      <c r="A55" s="22">
        <v>31</v>
      </c>
      <c r="B55" s="23" t="s">
        <v>32</v>
      </c>
      <c r="C55" s="23"/>
      <c r="D55" s="23"/>
      <c r="G55" s="52">
        <f>G47-G50-G51-G52-G53</f>
        <v>0</v>
      </c>
      <c r="H55" s="119">
        <f>H47-H50-H51-H52-H53</f>
        <v>0</v>
      </c>
      <c r="I55" s="52">
        <f t="shared" ref="I55:P55" si="40">I47-I50-I51-I52-I53</f>
        <v>0</v>
      </c>
      <c r="J55" s="119">
        <f t="shared" si="40"/>
        <v>0</v>
      </c>
      <c r="K55" s="52">
        <f t="shared" si="40"/>
        <v>0</v>
      </c>
      <c r="L55" s="119">
        <f t="shared" si="40"/>
        <v>0</v>
      </c>
      <c r="M55" s="52">
        <f t="shared" si="40"/>
        <v>0</v>
      </c>
      <c r="N55" s="119">
        <f t="shared" si="40"/>
        <v>0</v>
      </c>
      <c r="O55" s="52">
        <f t="shared" si="40"/>
        <v>0</v>
      </c>
      <c r="P55" s="119">
        <f t="shared" si="40"/>
        <v>0</v>
      </c>
      <c r="Q55" s="52">
        <f t="shared" ref="Q55:AI55" si="41">Q47-Q50-Q51-Q52-Q53</f>
        <v>0</v>
      </c>
      <c r="R55" s="119">
        <f t="shared" si="41"/>
        <v>0</v>
      </c>
      <c r="S55" s="52">
        <f t="shared" si="41"/>
        <v>0</v>
      </c>
      <c r="T55" s="119">
        <f t="shared" si="41"/>
        <v>0</v>
      </c>
      <c r="U55" s="52">
        <f t="shared" si="41"/>
        <v>0</v>
      </c>
      <c r="V55" s="119">
        <f t="shared" si="41"/>
        <v>0</v>
      </c>
      <c r="W55" s="119">
        <f t="shared" si="41"/>
        <v>0</v>
      </c>
      <c r="X55" s="52">
        <f t="shared" si="41"/>
        <v>0</v>
      </c>
      <c r="Y55" s="119">
        <f t="shared" si="41"/>
        <v>0</v>
      </c>
      <c r="Z55" s="119">
        <f t="shared" si="41"/>
        <v>0</v>
      </c>
      <c r="AA55" s="52">
        <f t="shared" si="41"/>
        <v>0</v>
      </c>
      <c r="AB55" s="44">
        <f t="shared" si="41"/>
        <v>0</v>
      </c>
      <c r="AC55" s="119">
        <f t="shared" si="41"/>
        <v>0</v>
      </c>
      <c r="AD55" s="52">
        <f t="shared" si="41"/>
        <v>0</v>
      </c>
      <c r="AE55" s="44">
        <f t="shared" si="41"/>
        <v>0</v>
      </c>
      <c r="AF55" s="119">
        <f t="shared" si="41"/>
        <v>0</v>
      </c>
      <c r="AG55" s="52">
        <f t="shared" si="41"/>
        <v>0</v>
      </c>
      <c r="AH55" s="44">
        <f t="shared" si="41"/>
        <v>0</v>
      </c>
      <c r="AI55" s="119">
        <f t="shared" si="41"/>
        <v>0</v>
      </c>
      <c r="AJ55" s="52">
        <f t="shared" ref="AJ55:AO55" si="42">AJ47-AJ50-AJ51-AJ52-AJ53</f>
        <v>0</v>
      </c>
      <c r="AK55" s="119">
        <f t="shared" si="42"/>
        <v>0</v>
      </c>
      <c r="AL55" s="59">
        <f t="shared" si="42"/>
        <v>0</v>
      </c>
      <c r="AM55" s="52">
        <f t="shared" si="42"/>
        <v>0</v>
      </c>
      <c r="AN55" s="119">
        <f t="shared" si="42"/>
        <v>0</v>
      </c>
      <c r="AO55" s="59">
        <f t="shared" si="42"/>
        <v>0</v>
      </c>
      <c r="AP55" s="52">
        <f t="shared" ref="AP55:AR55" si="43">AP47-AP50-AP51-AP52-AP53</f>
        <v>0</v>
      </c>
      <c r="AQ55" s="119">
        <f t="shared" si="43"/>
        <v>0</v>
      </c>
      <c r="AR55" s="363">
        <f t="shared" si="43"/>
        <v>0</v>
      </c>
    </row>
    <row r="56" spans="1:44">
      <c r="G56" s="47"/>
      <c r="H56" s="115"/>
      <c r="I56" s="47"/>
      <c r="J56" s="115"/>
      <c r="K56" s="47"/>
      <c r="L56" s="115"/>
      <c r="M56" s="47"/>
      <c r="N56" s="115"/>
      <c r="O56" s="47"/>
      <c r="P56" s="115"/>
      <c r="Q56" s="47"/>
      <c r="R56" s="115"/>
      <c r="S56" s="47"/>
      <c r="T56" s="115"/>
      <c r="U56" s="47"/>
      <c r="V56" s="115"/>
      <c r="W56" s="115"/>
      <c r="X56" s="47"/>
      <c r="Y56" s="115"/>
      <c r="Z56" s="115"/>
      <c r="AA56" s="47"/>
      <c r="AC56" s="115"/>
      <c r="AD56" s="47"/>
      <c r="AF56" s="115"/>
      <c r="AG56" s="47"/>
      <c r="AI56" s="115"/>
      <c r="AJ56" s="47"/>
      <c r="AK56" s="115"/>
      <c r="AL56" s="115"/>
      <c r="AM56" s="47"/>
      <c r="AN56" s="115"/>
      <c r="AO56" s="115"/>
      <c r="AP56" s="47"/>
      <c r="AQ56" s="115"/>
      <c r="AR56" s="159"/>
    </row>
    <row r="57" spans="1:44">
      <c r="B57" s="28" t="s">
        <v>412</v>
      </c>
      <c r="C57" s="28"/>
      <c r="D57" s="28"/>
      <c r="K57" s="115"/>
      <c r="S57" s="115"/>
    </row>
    <row r="58" spans="1:44">
      <c r="B58" s="3" t="s">
        <v>70</v>
      </c>
      <c r="C58" s="3" t="s">
        <v>71</v>
      </c>
      <c r="K58" s="115"/>
      <c r="S58" s="115"/>
    </row>
    <row r="59" spans="1:44">
      <c r="B59" s="3" t="s">
        <v>410</v>
      </c>
      <c r="D59" s="3" t="s">
        <v>411</v>
      </c>
      <c r="K59" s="115"/>
      <c r="S59" s="115"/>
    </row>
    <row r="60" spans="1:44" ht="6" customHeight="1">
      <c r="K60" s="115"/>
      <c r="S60" s="115"/>
    </row>
    <row r="61" spans="1:44">
      <c r="D61" s="3" t="s">
        <v>159</v>
      </c>
      <c r="G61" s="104"/>
      <c r="H61" s="104">
        <v>242</v>
      </c>
      <c r="I61" s="104"/>
      <c r="J61" s="104">
        <v>244</v>
      </c>
      <c r="K61" s="104"/>
      <c r="L61" s="104">
        <v>144</v>
      </c>
      <c r="M61" s="104"/>
      <c r="N61" s="104">
        <v>0</v>
      </c>
      <c r="O61" s="104"/>
      <c r="P61" s="104">
        <v>0</v>
      </c>
      <c r="Q61" s="104"/>
      <c r="R61" s="104">
        <f>27855+479</f>
        <v>28334</v>
      </c>
      <c r="S61" s="104"/>
      <c r="T61" s="104">
        <f>36725+0</f>
        <v>36725</v>
      </c>
      <c r="U61" s="104"/>
      <c r="V61" s="104"/>
      <c r="W61" s="104">
        <f>66526+160</f>
        <v>66686</v>
      </c>
      <c r="X61" s="104"/>
      <c r="Y61" s="104"/>
      <c r="Z61" s="104">
        <f>149894+3124</f>
        <v>153018</v>
      </c>
      <c r="AA61" s="104"/>
      <c r="AB61" s="104"/>
      <c r="AC61" s="104">
        <f>78622+5370</f>
        <v>83992</v>
      </c>
      <c r="AD61" s="104"/>
      <c r="AE61" s="104"/>
      <c r="AF61" s="104">
        <f>109009+6184</f>
        <v>115193</v>
      </c>
      <c r="AG61" s="104"/>
      <c r="AH61" s="104"/>
      <c r="AI61" s="104">
        <f>94024+4770</f>
        <v>98794</v>
      </c>
      <c r="AJ61" s="104"/>
      <c r="AK61" s="104"/>
      <c r="AL61" s="104">
        <f>63689+4133</f>
        <v>67822</v>
      </c>
      <c r="AM61" s="104"/>
      <c r="AN61" s="104"/>
      <c r="AO61" s="104">
        <v>0</v>
      </c>
      <c r="AP61" s="104"/>
      <c r="AQ61" s="104"/>
      <c r="AR61" s="285">
        <v>0</v>
      </c>
    </row>
    <row r="62" spans="1:4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285"/>
    </row>
    <row r="63" spans="1:44">
      <c r="D63" s="3" t="s">
        <v>160</v>
      </c>
      <c r="G63" s="104"/>
      <c r="H63" s="104">
        <f>125+38</f>
        <v>163</v>
      </c>
      <c r="I63" s="104"/>
      <c r="J63" s="104">
        <f>134+98</f>
        <v>232</v>
      </c>
      <c r="K63" s="104"/>
      <c r="L63" s="104">
        <f>131+128+2</f>
        <v>261</v>
      </c>
      <c r="M63" s="104"/>
      <c r="N63" s="104">
        <f>142+141+2</f>
        <v>285</v>
      </c>
      <c r="O63" s="104"/>
      <c r="P63" s="104">
        <f>148+181+48-8</f>
        <v>369</v>
      </c>
      <c r="Q63" s="104"/>
      <c r="R63" s="104">
        <f>643+8</f>
        <v>651</v>
      </c>
      <c r="S63" s="104"/>
      <c r="T63" s="104">
        <v>653</v>
      </c>
      <c r="U63" s="104"/>
      <c r="V63" s="104"/>
      <c r="W63" s="104">
        <v>792</v>
      </c>
      <c r="X63" s="104"/>
      <c r="Y63" s="104"/>
      <c r="Z63" s="104">
        <v>783</v>
      </c>
      <c r="AA63" s="104"/>
      <c r="AB63" s="104"/>
      <c r="AC63" s="104">
        <v>802</v>
      </c>
      <c r="AD63" s="104"/>
      <c r="AE63" s="104"/>
      <c r="AF63" s="104">
        <f>801-1</f>
        <v>800</v>
      </c>
      <c r="AG63" s="104"/>
      <c r="AH63" s="104"/>
      <c r="AI63" s="104">
        <f>903+78</f>
        <v>981</v>
      </c>
      <c r="AJ63" s="104"/>
      <c r="AK63" s="104"/>
      <c r="AL63" s="104">
        <f>857+71</f>
        <v>928</v>
      </c>
      <c r="AM63" s="104"/>
      <c r="AN63" s="104"/>
      <c r="AO63" s="104">
        <v>891</v>
      </c>
      <c r="AP63" s="104"/>
      <c r="AQ63" s="104"/>
      <c r="AR63" s="285">
        <v>779</v>
      </c>
    </row>
    <row r="64" spans="1:44">
      <c r="K64" s="115"/>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285"/>
    </row>
    <row r="65" spans="4:44">
      <c r="D65" s="3" t="s">
        <v>161</v>
      </c>
      <c r="H65" s="125">
        <f>'Cost Trends'!F22+H21</f>
        <v>163</v>
      </c>
      <c r="J65" s="125">
        <f>'Cost Trends'!G22+J21</f>
        <v>232</v>
      </c>
      <c r="K65" s="115"/>
      <c r="L65" s="125">
        <f>'Cost Trends'!H22+L21</f>
        <v>261</v>
      </c>
      <c r="N65" s="125">
        <f>'Cost Trends'!I22+N21</f>
        <v>285</v>
      </c>
      <c r="P65" s="125">
        <f>'Cost Trends'!J22+P21</f>
        <v>369</v>
      </c>
      <c r="R65" s="125">
        <f>'Cost Trends'!K22+R21</f>
        <v>651</v>
      </c>
      <c r="T65" s="125">
        <f>'Cost Trends'!L22+T21</f>
        <v>653</v>
      </c>
      <c r="W65" s="125">
        <f>'Cost Trends'!M22+W21</f>
        <v>792</v>
      </c>
      <c r="Z65" s="125">
        <f>'Cost Trends'!N22+Z21</f>
        <v>783</v>
      </c>
      <c r="AC65" s="125">
        <f>'Cost Trends'!O22+AC21</f>
        <v>802</v>
      </c>
      <c r="AF65" s="125">
        <f>'Cost Trends'!P22+AF21</f>
        <v>800</v>
      </c>
      <c r="AI65" s="125">
        <f>'Cost Trends'!Q22+AI21</f>
        <v>981</v>
      </c>
      <c r="AL65" s="125">
        <f>'Cost Trends'!R22+AL21</f>
        <v>928</v>
      </c>
      <c r="AO65" s="125">
        <f>'Cost Trends'!S22+AO21</f>
        <v>891</v>
      </c>
      <c r="AR65" s="444">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9.xml><?xml version="1.0" encoding="utf-8"?>
<worksheet xmlns="http://schemas.openxmlformats.org/spreadsheetml/2006/main" xmlns:r="http://schemas.openxmlformats.org/officeDocument/2006/relationships">
  <sheetPr>
    <tabColor theme="6" tint="0.39997558519241921"/>
  </sheetPr>
  <dimension ref="A1:T68"/>
  <sheetViews>
    <sheetView workbookViewId="0">
      <pane xSplit="6435" topLeftCell="L1" activePane="topRight"/>
      <selection activeCell="G1" sqref="G1"/>
      <selection pane="topRight" activeCell="W13" sqref="W13"/>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32"/>
  </cols>
  <sheetData>
    <row r="1" spans="1:19">
      <c r="A1" s="101" t="s">
        <v>136</v>
      </c>
      <c r="B1" s="101"/>
      <c r="C1" s="101"/>
      <c r="D1" s="101"/>
      <c r="E1" s="101"/>
      <c r="F1" s="101"/>
      <c r="G1" s="101"/>
      <c r="H1" s="101"/>
      <c r="I1" s="101"/>
      <c r="J1" s="101"/>
      <c r="K1" s="101"/>
      <c r="L1" s="101"/>
      <c r="M1" s="101"/>
      <c r="N1" s="101"/>
      <c r="O1" s="101"/>
      <c r="P1" s="101"/>
      <c r="Q1" s="101"/>
    </row>
    <row r="2" spans="1:19">
      <c r="A2" s="101" t="s">
        <v>147</v>
      </c>
      <c r="B2" s="101"/>
      <c r="C2" s="101"/>
      <c r="D2" s="101"/>
      <c r="E2" s="101"/>
      <c r="F2" s="101"/>
      <c r="G2" s="101"/>
      <c r="H2" s="101"/>
      <c r="I2" s="101"/>
      <c r="J2" s="101"/>
      <c r="K2" s="101"/>
      <c r="L2" s="101"/>
      <c r="M2" s="101"/>
      <c r="N2" s="101"/>
      <c r="O2" s="101"/>
      <c r="P2" s="101"/>
      <c r="Q2" s="101"/>
    </row>
    <row r="3" spans="1:19">
      <c r="A3" s="101" t="s">
        <v>530</v>
      </c>
      <c r="B3" s="101"/>
      <c r="C3" s="101"/>
      <c r="D3" s="101"/>
      <c r="E3" s="101"/>
      <c r="F3" s="101"/>
      <c r="G3" s="101"/>
      <c r="H3" s="101"/>
      <c r="I3" s="101"/>
      <c r="J3" s="101"/>
      <c r="K3" s="101"/>
      <c r="L3" s="101"/>
      <c r="M3" s="101"/>
      <c r="N3" s="101"/>
      <c r="O3" s="101"/>
      <c r="P3" s="101"/>
      <c r="Q3" s="101"/>
    </row>
    <row r="4" spans="1:19">
      <c r="A4" s="101" t="s">
        <v>137</v>
      </c>
      <c r="B4" s="101"/>
      <c r="C4" s="101"/>
      <c r="D4" s="101"/>
      <c r="E4" s="101"/>
      <c r="F4" s="101"/>
      <c r="G4" s="101"/>
      <c r="H4" s="101"/>
      <c r="I4" s="101"/>
      <c r="J4" s="101"/>
      <c r="K4" s="101"/>
      <c r="L4" s="101"/>
      <c r="M4" s="101"/>
      <c r="N4" s="101"/>
      <c r="O4" s="101"/>
      <c r="P4" s="101"/>
      <c r="Q4" s="101"/>
    </row>
    <row r="5" spans="1:19">
      <c r="A5" s="101"/>
      <c r="B5" s="101"/>
      <c r="C5" s="101"/>
      <c r="D5" s="101"/>
      <c r="E5" s="101"/>
      <c r="F5" s="101"/>
      <c r="G5" s="101"/>
      <c r="H5" s="101"/>
      <c r="I5" s="101"/>
      <c r="J5" s="101"/>
      <c r="K5" s="101"/>
      <c r="L5" s="101"/>
      <c r="M5" s="101"/>
      <c r="N5" s="101"/>
      <c r="O5" s="101"/>
      <c r="P5" s="101"/>
      <c r="Q5" s="101"/>
      <c r="S5" s="452" t="s">
        <v>547</v>
      </c>
    </row>
    <row r="6" spans="1:19">
      <c r="A6" s="101"/>
      <c r="B6" s="101"/>
      <c r="C6" s="101"/>
      <c r="D6" s="101"/>
      <c r="E6" s="102">
        <v>2000</v>
      </c>
      <c r="F6" s="102">
        <v>2001</v>
      </c>
      <c r="G6" s="102">
        <v>2002</v>
      </c>
      <c r="H6" s="102">
        <v>2003</v>
      </c>
      <c r="I6" s="102">
        <v>2004</v>
      </c>
      <c r="J6" s="102">
        <v>2005</v>
      </c>
      <c r="K6" s="102">
        <v>2006</v>
      </c>
      <c r="L6" s="102">
        <v>2007</v>
      </c>
      <c r="M6" s="102">
        <v>2008</v>
      </c>
      <c r="N6" s="102">
        <v>2009</v>
      </c>
      <c r="O6" s="102">
        <v>2010</v>
      </c>
      <c r="P6" s="102">
        <v>2011</v>
      </c>
      <c r="Q6" s="102">
        <v>2012</v>
      </c>
      <c r="R6" s="102">
        <v>2013</v>
      </c>
      <c r="S6" s="445">
        <v>2014</v>
      </c>
    </row>
    <row r="9" spans="1:19">
      <c r="A9" t="s">
        <v>148</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81">
        <v>3868</v>
      </c>
      <c r="S10" s="281">
        <v>4389</v>
      </c>
    </row>
    <row r="11" spans="1:19">
      <c r="A11" s="22">
        <v>22</v>
      </c>
      <c r="B11" s="1" t="s">
        <v>52</v>
      </c>
      <c r="C11" s="1"/>
      <c r="D11" s="24"/>
      <c r="E11" s="32"/>
      <c r="F11" s="32"/>
      <c r="G11" s="32"/>
      <c r="H11" s="32"/>
      <c r="I11" s="32"/>
      <c r="J11" s="32"/>
      <c r="K11" s="32"/>
      <c r="L11" s="32"/>
      <c r="M11" s="32"/>
      <c r="N11" s="32"/>
      <c r="O11" s="32"/>
      <c r="P11" s="32">
        <v>-186</v>
      </c>
      <c r="Q11" s="32">
        <v>171</v>
      </c>
      <c r="R11" s="281">
        <v>91</v>
      </c>
      <c r="S11" s="281">
        <v>-91</v>
      </c>
    </row>
    <row r="12" spans="1:19">
      <c r="A12" s="70"/>
    </row>
    <row r="13" spans="1:19">
      <c r="A13" s="70"/>
      <c r="B13" s="70"/>
      <c r="E13" s="103"/>
      <c r="F13" s="103"/>
      <c r="G13" s="103"/>
      <c r="H13" s="103"/>
      <c r="I13" s="103"/>
      <c r="J13" s="103"/>
      <c r="K13" s="103"/>
      <c r="L13" s="103"/>
      <c r="M13" s="103"/>
      <c r="N13" s="103"/>
      <c r="O13" s="103"/>
      <c r="P13" s="103"/>
      <c r="Q13" s="103"/>
    </row>
    <row r="14" spans="1:19">
      <c r="A14" s="70" t="s">
        <v>149</v>
      </c>
      <c r="B14" s="70"/>
      <c r="E14" s="103">
        <v>565</v>
      </c>
      <c r="F14" s="103">
        <v>632</v>
      </c>
      <c r="G14" s="103">
        <v>811</v>
      </c>
      <c r="H14" s="103">
        <v>907</v>
      </c>
      <c r="I14" s="103">
        <f>291+478</f>
        <v>769</v>
      </c>
      <c r="J14" s="103">
        <f>827-54</f>
        <v>773</v>
      </c>
      <c r="K14" s="103">
        <v>903</v>
      </c>
      <c r="L14" s="103">
        <v>1014</v>
      </c>
      <c r="M14" s="103">
        <v>1151</v>
      </c>
      <c r="N14" s="103">
        <v>1220</v>
      </c>
      <c r="O14" s="103">
        <v>1478</v>
      </c>
      <c r="P14" s="103">
        <v>1642</v>
      </c>
      <c r="Q14" s="103">
        <v>1954</v>
      </c>
      <c r="R14" s="104">
        <f>2332+61</f>
        <v>2393</v>
      </c>
      <c r="S14" s="446">
        <f>2496+90</f>
        <v>2586</v>
      </c>
    </row>
    <row r="15" spans="1:19">
      <c r="A15" s="70" t="s">
        <v>150</v>
      </c>
      <c r="E15" s="104">
        <f>358+3</f>
        <v>361</v>
      </c>
      <c r="F15" s="104">
        <f>269+3</f>
        <v>272</v>
      </c>
      <c r="G15" s="104">
        <f>355+2</f>
        <v>357</v>
      </c>
      <c r="H15" s="104">
        <f>351+3</f>
        <v>354</v>
      </c>
      <c r="I15" s="104">
        <f>236+6</f>
        <v>242</v>
      </c>
      <c r="J15" s="104">
        <f>419+4</f>
        <v>423</v>
      </c>
      <c r="K15" s="104">
        <f>373+5+1</f>
        <v>379</v>
      </c>
      <c r="L15" s="104">
        <f>478+5</f>
        <v>483</v>
      </c>
      <c r="M15" s="104">
        <f>646+5</f>
        <v>651</v>
      </c>
      <c r="N15" s="104">
        <f>773+5</f>
        <v>778</v>
      </c>
      <c r="O15" s="104">
        <f>16+778+139</f>
        <v>933</v>
      </c>
      <c r="P15" s="104">
        <f>24+1066</f>
        <v>1090</v>
      </c>
      <c r="Q15" s="104">
        <f>1292+26</f>
        <v>1318</v>
      </c>
      <c r="R15" s="104">
        <v>1471</v>
      </c>
      <c r="S15" s="285">
        <v>1799</v>
      </c>
    </row>
    <row r="16" spans="1:19">
      <c r="A16" s="70" t="s">
        <v>151</v>
      </c>
      <c r="E16" s="104">
        <v>101</v>
      </c>
      <c r="F16" s="104">
        <v>116</v>
      </c>
      <c r="G16" s="104">
        <v>107</v>
      </c>
      <c r="H16" s="104">
        <v>102</v>
      </c>
      <c r="I16" s="104">
        <f>146+23</f>
        <v>169</v>
      </c>
      <c r="J16" s="104">
        <f>139+8</f>
        <v>147</v>
      </c>
      <c r="K16" s="104"/>
      <c r="L16" s="104">
        <v>1</v>
      </c>
      <c r="M16" s="104">
        <v>1</v>
      </c>
      <c r="N16" s="104">
        <v>1</v>
      </c>
      <c r="O16" s="104">
        <v>1</v>
      </c>
      <c r="P16" s="104">
        <v>2</v>
      </c>
      <c r="Q16" s="104">
        <v>4</v>
      </c>
      <c r="R16" s="104">
        <v>4</v>
      </c>
      <c r="S16" s="285">
        <v>4</v>
      </c>
    </row>
    <row r="17" spans="1:19">
      <c r="A17" s="70" t="s">
        <v>152</v>
      </c>
      <c r="E17" s="112">
        <f>SUM(E14:E16)</f>
        <v>1027</v>
      </c>
      <c r="F17" s="112">
        <f t="shared" ref="F17:Q17" si="0">SUM(F14:F16)</f>
        <v>1020</v>
      </c>
      <c r="G17" s="112">
        <f t="shared" si="0"/>
        <v>1275</v>
      </c>
      <c r="H17" s="112">
        <f t="shared" si="0"/>
        <v>1363</v>
      </c>
      <c r="I17" s="112">
        <f t="shared" si="0"/>
        <v>1180</v>
      </c>
      <c r="J17" s="112">
        <f t="shared" si="0"/>
        <v>1343</v>
      </c>
      <c r="K17" s="112">
        <f t="shared" si="0"/>
        <v>1282</v>
      </c>
      <c r="L17" s="112">
        <f t="shared" si="0"/>
        <v>1498</v>
      </c>
      <c r="M17" s="112">
        <f t="shared" si="0"/>
        <v>1803</v>
      </c>
      <c r="N17" s="112">
        <f t="shared" si="0"/>
        <v>1999</v>
      </c>
      <c r="O17" s="112">
        <f t="shared" si="0"/>
        <v>2412</v>
      </c>
      <c r="P17" s="112">
        <f t="shared" si="0"/>
        <v>2734</v>
      </c>
      <c r="Q17" s="112">
        <f t="shared" si="0"/>
        <v>3276</v>
      </c>
      <c r="R17" s="112">
        <f>SUM(R14:R16)</f>
        <v>3868</v>
      </c>
      <c r="S17" s="447">
        <f>SUM(S14:S16)</f>
        <v>4389</v>
      </c>
    </row>
    <row r="18" spans="1:19">
      <c r="A18" s="70"/>
      <c r="E18" s="105"/>
      <c r="F18" s="104"/>
      <c r="G18" s="104"/>
      <c r="H18" s="104"/>
      <c r="I18" s="104"/>
      <c r="J18" s="104"/>
      <c r="K18" s="104"/>
      <c r="L18" s="104"/>
      <c r="M18" s="104"/>
      <c r="N18" s="104"/>
      <c r="O18" s="104"/>
      <c r="P18" s="104"/>
      <c r="Q18" s="104"/>
      <c r="R18" s="104"/>
      <c r="S18" s="285"/>
    </row>
    <row r="19" spans="1:19">
      <c r="A19" s="70" t="s">
        <v>157</v>
      </c>
      <c r="B19" s="70"/>
      <c r="E19" s="111"/>
      <c r="F19" s="111">
        <v>167</v>
      </c>
      <c r="G19" s="111">
        <v>185</v>
      </c>
      <c r="H19" s="111">
        <v>159</v>
      </c>
      <c r="I19" s="111">
        <v>169</v>
      </c>
      <c r="J19" s="111">
        <v>0</v>
      </c>
      <c r="K19" s="111"/>
      <c r="L19" s="111"/>
      <c r="M19" s="111"/>
      <c r="N19" s="111"/>
      <c r="O19" s="111"/>
      <c r="P19" s="111"/>
      <c r="Q19" s="111"/>
      <c r="R19" s="111"/>
      <c r="S19" s="448"/>
    </row>
    <row r="20" spans="1:19">
      <c r="A20" s="70" t="s">
        <v>154</v>
      </c>
      <c r="B20" s="70"/>
      <c r="E20" s="111"/>
      <c r="F20" s="111"/>
      <c r="G20" s="111"/>
      <c r="H20" s="111"/>
      <c r="I20" s="111"/>
      <c r="J20" s="111"/>
      <c r="K20" s="111"/>
      <c r="L20" s="111"/>
      <c r="M20" s="111"/>
      <c r="N20" s="111"/>
      <c r="O20" s="111"/>
      <c r="P20" s="111">
        <v>-449</v>
      </c>
      <c r="Q20" s="111"/>
      <c r="R20" s="111"/>
      <c r="S20" s="448"/>
    </row>
    <row r="21" spans="1:19">
      <c r="A21" s="70" t="s">
        <v>155</v>
      </c>
      <c r="E21" s="104"/>
      <c r="F21" s="104"/>
      <c r="G21" s="104"/>
      <c r="H21" s="104"/>
      <c r="I21" s="104"/>
      <c r="J21" s="104"/>
      <c r="K21" s="104"/>
      <c r="L21" s="104">
        <v>-900</v>
      </c>
      <c r="M21" s="104">
        <v>-674</v>
      </c>
      <c r="N21" s="104">
        <v>-270</v>
      </c>
      <c r="O21" s="104">
        <v>-278</v>
      </c>
      <c r="P21" s="104">
        <v>-231</v>
      </c>
      <c r="Q21" s="104">
        <v>-13</v>
      </c>
      <c r="R21" s="285">
        <v>91</v>
      </c>
      <c r="S21" s="285">
        <v>-91</v>
      </c>
    </row>
    <row r="22" spans="1:19">
      <c r="A22" s="70" t="s">
        <v>156</v>
      </c>
      <c r="D22" s="70" t="s">
        <v>100</v>
      </c>
      <c r="L22">
        <v>85</v>
      </c>
      <c r="M22">
        <v>432</v>
      </c>
      <c r="N22">
        <v>710</v>
      </c>
      <c r="O22">
        <v>494</v>
      </c>
      <c r="P22">
        <v>494</v>
      </c>
      <c r="Q22">
        <v>184</v>
      </c>
      <c r="R22" s="132">
        <v>0</v>
      </c>
      <c r="S22" s="132">
        <v>0</v>
      </c>
    </row>
    <row r="25" spans="1:19">
      <c r="A25" s="70" t="s">
        <v>280</v>
      </c>
      <c r="E25" s="113">
        <f t="shared" ref="E25:P25" si="1">SUM(E19:E24)</f>
        <v>0</v>
      </c>
      <c r="F25" s="113">
        <f t="shared" si="1"/>
        <v>167</v>
      </c>
      <c r="G25" s="113">
        <f t="shared" si="1"/>
        <v>185</v>
      </c>
      <c r="H25" s="113">
        <f t="shared" si="1"/>
        <v>159</v>
      </c>
      <c r="I25" s="113">
        <f t="shared" si="1"/>
        <v>169</v>
      </c>
      <c r="J25" s="113">
        <f t="shared" si="1"/>
        <v>0</v>
      </c>
      <c r="K25" s="113">
        <f t="shared" si="1"/>
        <v>0</v>
      </c>
      <c r="L25" s="113">
        <f t="shared" si="1"/>
        <v>-815</v>
      </c>
      <c r="M25" s="113">
        <f t="shared" si="1"/>
        <v>-242</v>
      </c>
      <c r="N25" s="113">
        <f t="shared" si="1"/>
        <v>440</v>
      </c>
      <c r="O25" s="113">
        <f t="shared" si="1"/>
        <v>216</v>
      </c>
      <c r="P25" s="113">
        <f t="shared" si="1"/>
        <v>-186</v>
      </c>
      <c r="Q25" s="113">
        <f>SUM(Q19:Q24)</f>
        <v>171</v>
      </c>
      <c r="R25" s="113">
        <f>SUM(R19:R24)</f>
        <v>91</v>
      </c>
      <c r="S25" s="449">
        <f>SUM(S19:S24)</f>
        <v>-91</v>
      </c>
    </row>
    <row r="27" spans="1:19">
      <c r="B27" s="70" t="s">
        <v>138</v>
      </c>
      <c r="E27" s="103">
        <f>E17+E25</f>
        <v>1027</v>
      </c>
      <c r="F27" s="103">
        <f t="shared" ref="F27:Q27" si="2">F17+F25</f>
        <v>1187</v>
      </c>
      <c r="G27" s="103">
        <f t="shared" si="2"/>
        <v>1460</v>
      </c>
      <c r="H27" s="103">
        <f t="shared" si="2"/>
        <v>1522</v>
      </c>
      <c r="I27" s="103">
        <f t="shared" si="2"/>
        <v>1349</v>
      </c>
      <c r="J27" s="103">
        <f t="shared" si="2"/>
        <v>1343</v>
      </c>
      <c r="K27" s="103">
        <f t="shared" si="2"/>
        <v>1282</v>
      </c>
      <c r="L27" s="103">
        <f t="shared" si="2"/>
        <v>683</v>
      </c>
      <c r="M27" s="103">
        <f t="shared" si="2"/>
        <v>1561</v>
      </c>
      <c r="N27" s="103">
        <f t="shared" si="2"/>
        <v>2439</v>
      </c>
      <c r="O27" s="103">
        <f t="shared" si="2"/>
        <v>2628</v>
      </c>
      <c r="P27" s="103">
        <f t="shared" si="2"/>
        <v>2548</v>
      </c>
      <c r="Q27" s="103">
        <f t="shared" si="2"/>
        <v>3447</v>
      </c>
      <c r="R27" s="103">
        <f>R17+R25</f>
        <v>3959</v>
      </c>
      <c r="S27" s="446">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32" t="str">
        <f>IF(S27=S10+S11,"","check")</f>
        <v/>
      </c>
    </row>
    <row r="29" spans="1:19">
      <c r="B29" t="s">
        <v>139</v>
      </c>
    </row>
    <row r="30" spans="1:19">
      <c r="E30" s="103">
        <f>E25-E22</f>
        <v>0</v>
      </c>
      <c r="F30" s="103">
        <f t="shared" ref="F30:Q30" si="4">F25-F22</f>
        <v>167</v>
      </c>
      <c r="G30" s="103">
        <f t="shared" si="4"/>
        <v>185</v>
      </c>
      <c r="H30" s="103">
        <f t="shared" si="4"/>
        <v>159</v>
      </c>
      <c r="I30" s="103">
        <f t="shared" si="4"/>
        <v>169</v>
      </c>
      <c r="J30" s="103">
        <f t="shared" si="4"/>
        <v>0</v>
      </c>
      <c r="K30" s="103">
        <f t="shared" si="4"/>
        <v>0</v>
      </c>
      <c r="L30" s="103">
        <f t="shared" si="4"/>
        <v>-900</v>
      </c>
      <c r="M30" s="103">
        <f t="shared" si="4"/>
        <v>-674</v>
      </c>
      <c r="N30" s="103">
        <f t="shared" si="4"/>
        <v>-270</v>
      </c>
      <c r="O30" s="103">
        <f t="shared" si="4"/>
        <v>-278</v>
      </c>
      <c r="P30" s="103">
        <f t="shared" si="4"/>
        <v>-680</v>
      </c>
      <c r="Q30" s="103">
        <f t="shared" si="4"/>
        <v>-13</v>
      </c>
      <c r="R30" s="103">
        <f>R25-R22</f>
        <v>91</v>
      </c>
      <c r="S30" s="446">
        <f>S25-S22</f>
        <v>-91</v>
      </c>
    </row>
    <row r="31" spans="1:19">
      <c r="E31" s="103"/>
      <c r="F31" s="103"/>
      <c r="G31" s="103"/>
      <c r="H31" s="103"/>
      <c r="I31" s="103"/>
      <c r="J31" s="103"/>
      <c r="K31" s="103"/>
      <c r="L31" s="103"/>
      <c r="M31" s="103"/>
      <c r="N31" s="103"/>
      <c r="O31" s="103"/>
      <c r="P31" s="103"/>
      <c r="Q31" s="103"/>
      <c r="R31" s="103"/>
      <c r="S31" s="446"/>
    </row>
    <row r="32" spans="1:19">
      <c r="E32" s="102">
        <v>2000</v>
      </c>
      <c r="F32" s="102">
        <v>2001</v>
      </c>
      <c r="G32" s="102">
        <v>2002</v>
      </c>
      <c r="H32" s="102">
        <v>2003</v>
      </c>
      <c r="I32" s="102">
        <v>2004</v>
      </c>
      <c r="J32" s="102">
        <v>2005</v>
      </c>
      <c r="K32" s="102">
        <v>2006</v>
      </c>
      <c r="L32" s="102">
        <v>2007</v>
      </c>
      <c r="M32" s="102">
        <v>2008</v>
      </c>
      <c r="N32" s="102">
        <v>2009</v>
      </c>
      <c r="O32" s="102">
        <v>2010</v>
      </c>
      <c r="P32" s="102">
        <v>2011</v>
      </c>
      <c r="Q32" s="102">
        <v>2012</v>
      </c>
      <c r="R32" s="102">
        <v>2013</v>
      </c>
      <c r="S32" s="445">
        <v>2013</v>
      </c>
    </row>
    <row r="33" spans="1:20">
      <c r="A33" s="22"/>
      <c r="B33" s="3" t="s">
        <v>40</v>
      </c>
      <c r="C33" s="3"/>
      <c r="D33" s="3"/>
      <c r="E33" s="32"/>
      <c r="F33" s="32"/>
      <c r="G33" s="32"/>
      <c r="H33" s="32"/>
      <c r="I33" s="32"/>
      <c r="J33" s="32"/>
      <c r="K33" s="32"/>
      <c r="L33" s="32"/>
      <c r="M33" s="32"/>
      <c r="N33" s="32"/>
      <c r="O33" s="32"/>
      <c r="P33" s="32"/>
      <c r="Q33" s="32"/>
      <c r="R33" s="32"/>
      <c r="S33" s="281"/>
    </row>
    <row r="34" spans="1:20">
      <c r="A34" s="22"/>
      <c r="B34" s="3" t="s">
        <v>41</v>
      </c>
      <c r="C34" s="3"/>
      <c r="D34" s="3"/>
      <c r="E34" s="32"/>
      <c r="F34" s="32"/>
      <c r="G34" s="32"/>
      <c r="H34" s="32"/>
      <c r="I34" s="32"/>
      <c r="J34" s="32"/>
      <c r="K34" s="32"/>
      <c r="L34" s="32"/>
      <c r="M34" s="32"/>
      <c r="N34" s="32"/>
      <c r="O34" s="32"/>
      <c r="P34" s="32"/>
      <c r="Q34" s="32"/>
      <c r="R34" s="32"/>
      <c r="S34" s="281"/>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82">
        <v>24711</v>
      </c>
      <c r="S35" s="282">
        <v>25235</v>
      </c>
      <c r="T35" s="132"/>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81">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83">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81">
        <f t="shared" si="6"/>
        <v>422298</v>
      </c>
    </row>
    <row r="39" spans="1:20">
      <c r="A39" s="22"/>
      <c r="B39" s="24"/>
      <c r="C39" s="24"/>
      <c r="D39" s="3"/>
      <c r="E39" s="32"/>
      <c r="F39" s="32"/>
      <c r="G39" s="32"/>
      <c r="H39" s="32"/>
      <c r="I39" s="32"/>
      <c r="J39" s="32"/>
      <c r="K39" s="32"/>
      <c r="L39" s="32"/>
      <c r="M39" s="32"/>
      <c r="N39" s="32"/>
      <c r="O39" s="32"/>
      <c r="P39" s="32"/>
      <c r="Q39" s="32"/>
      <c r="R39" s="32"/>
      <c r="S39" s="281"/>
    </row>
    <row r="40" spans="1:20">
      <c r="A40" s="22"/>
      <c r="B40" s="24" t="s">
        <v>49</v>
      </c>
      <c r="C40" s="24"/>
      <c r="D40" s="24"/>
      <c r="E40" s="32"/>
      <c r="F40" s="32"/>
      <c r="G40" s="32"/>
      <c r="H40" s="32"/>
      <c r="I40" s="32"/>
      <c r="J40" s="32"/>
      <c r="K40" s="32"/>
      <c r="L40" s="32"/>
      <c r="M40" s="32"/>
      <c r="N40" s="32"/>
      <c r="O40" s="32"/>
      <c r="P40" s="32"/>
      <c r="Q40" s="32"/>
      <c r="R40" s="32"/>
      <c r="S40" s="281"/>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81">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81">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81">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450">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84">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83">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84">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81">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84">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84">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83">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81"/>
    </row>
    <row r="54" spans="1:19" ht="13.5"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451">
        <f t="shared" si="14"/>
        <v>250257</v>
      </c>
    </row>
    <row r="55" spans="1:19" ht="13.5" thickTop="1">
      <c r="A55" s="106"/>
      <c r="B55" s="107"/>
      <c r="C55" s="107"/>
      <c r="D55" s="107"/>
      <c r="E55" s="114"/>
      <c r="F55" s="108"/>
      <c r="G55" s="108"/>
      <c r="H55" s="108"/>
      <c r="I55" s="108"/>
      <c r="J55" s="108"/>
      <c r="K55" s="108"/>
      <c r="L55" s="108"/>
      <c r="M55" s="108"/>
      <c r="N55" s="108"/>
      <c r="O55" s="108"/>
      <c r="P55" s="108"/>
      <c r="Q55" s="108"/>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9" t="s">
        <v>140</v>
      </c>
    </row>
    <row r="59" spans="1:19">
      <c r="A59" s="70" t="s">
        <v>142</v>
      </c>
      <c r="D59" s="110" t="s">
        <v>143</v>
      </c>
      <c r="E59" s="104">
        <v>181</v>
      </c>
      <c r="F59" s="104">
        <v>164</v>
      </c>
      <c r="G59" s="104">
        <v>148</v>
      </c>
      <c r="H59" s="104">
        <v>132</v>
      </c>
      <c r="I59" s="104">
        <v>85</v>
      </c>
      <c r="J59" s="104">
        <v>100</v>
      </c>
      <c r="K59" s="104">
        <v>53</v>
      </c>
      <c r="L59" s="104">
        <v>69</v>
      </c>
      <c r="M59" s="104">
        <v>53</v>
      </c>
      <c r="N59" s="104">
        <v>38</v>
      </c>
      <c r="O59" s="104">
        <v>0</v>
      </c>
      <c r="P59" s="104">
        <v>0</v>
      </c>
      <c r="Q59" s="104">
        <v>0</v>
      </c>
      <c r="R59" s="104">
        <v>0</v>
      </c>
      <c r="S59" s="285">
        <v>0</v>
      </c>
    </row>
    <row r="60" spans="1:19">
      <c r="A60" s="70" t="s">
        <v>153</v>
      </c>
      <c r="D60" s="110" t="s">
        <v>145</v>
      </c>
      <c r="E60" s="104">
        <v>3576</v>
      </c>
      <c r="F60" s="104">
        <v>3142</v>
      </c>
      <c r="G60" s="104">
        <v>2709</v>
      </c>
      <c r="H60" s="104">
        <v>2275</v>
      </c>
      <c r="I60" s="104">
        <v>1120</v>
      </c>
      <c r="J60" s="104">
        <v>1457</v>
      </c>
      <c r="K60" s="104">
        <v>1120</v>
      </c>
      <c r="L60" s="104">
        <v>784</v>
      </c>
      <c r="M60" s="104">
        <v>448</v>
      </c>
      <c r="N60" s="104">
        <v>0</v>
      </c>
      <c r="O60" s="104">
        <v>0</v>
      </c>
      <c r="P60" s="104">
        <v>0</v>
      </c>
      <c r="Q60" s="104">
        <v>0</v>
      </c>
      <c r="R60" s="104">
        <v>0</v>
      </c>
      <c r="S60" s="285">
        <v>0</v>
      </c>
    </row>
    <row r="61" spans="1:19">
      <c r="A61" s="70" t="s">
        <v>144</v>
      </c>
      <c r="D61" s="110" t="s">
        <v>145</v>
      </c>
      <c r="E61" s="104">
        <v>-15</v>
      </c>
      <c r="F61" s="104">
        <v>-2</v>
      </c>
      <c r="G61" s="104">
        <v>-2</v>
      </c>
      <c r="H61" s="104">
        <v>-14</v>
      </c>
      <c r="I61" s="104">
        <v>-1</v>
      </c>
      <c r="J61" s="104">
        <v>-28</v>
      </c>
      <c r="K61" s="104">
        <v>-75</v>
      </c>
      <c r="L61" s="104">
        <v>-64</v>
      </c>
      <c r="M61" s="104">
        <v>-49</v>
      </c>
      <c r="N61" s="104">
        <v>-38</v>
      </c>
      <c r="O61" s="104">
        <v>-31</v>
      </c>
      <c r="P61" s="104">
        <v>-22</v>
      </c>
      <c r="Q61" s="104">
        <v>-18</v>
      </c>
      <c r="R61" s="104">
        <v>-12</v>
      </c>
      <c r="S61" s="285">
        <v>-12</v>
      </c>
    </row>
    <row r="62" spans="1:19">
      <c r="A62" s="70" t="s">
        <v>146</v>
      </c>
      <c r="D62" s="110" t="s">
        <v>145</v>
      </c>
      <c r="E62" s="104"/>
      <c r="F62" s="104"/>
      <c r="G62" s="104"/>
      <c r="H62" s="104"/>
      <c r="I62" s="104"/>
      <c r="J62" s="104"/>
      <c r="K62" s="104"/>
      <c r="L62" s="104"/>
      <c r="M62" s="104"/>
      <c r="N62" s="104">
        <v>-1359</v>
      </c>
      <c r="O62" s="104">
        <v>-1132</v>
      </c>
      <c r="P62" s="104">
        <v>-990</v>
      </c>
      <c r="Q62" s="104">
        <v>-798</v>
      </c>
      <c r="R62" s="104">
        <v>-320</v>
      </c>
      <c r="S62" s="285">
        <v>-467</v>
      </c>
    </row>
    <row r="63" spans="1:19">
      <c r="A63" s="70"/>
    </row>
    <row r="64" spans="1:19">
      <c r="A64" s="70" t="s">
        <v>5</v>
      </c>
      <c r="E64" s="103">
        <f t="shared" ref="E64:R64" si="15">SUM(E59:E62)</f>
        <v>3742</v>
      </c>
      <c r="F64" s="103">
        <f t="shared" si="15"/>
        <v>3304</v>
      </c>
      <c r="G64" s="103">
        <f t="shared" si="15"/>
        <v>2855</v>
      </c>
      <c r="H64" s="103">
        <f t="shared" si="15"/>
        <v>2393</v>
      </c>
      <c r="I64" s="103">
        <f t="shared" si="15"/>
        <v>1204</v>
      </c>
      <c r="J64" s="103">
        <f t="shared" si="15"/>
        <v>1529</v>
      </c>
      <c r="K64" s="103">
        <f t="shared" si="15"/>
        <v>1098</v>
      </c>
      <c r="L64" s="103">
        <f t="shared" si="15"/>
        <v>789</v>
      </c>
      <c r="M64" s="103">
        <f t="shared" si="15"/>
        <v>452</v>
      </c>
      <c r="N64" s="103">
        <f t="shared" si="15"/>
        <v>-1359</v>
      </c>
      <c r="O64" s="103">
        <f t="shared" si="15"/>
        <v>-1163</v>
      </c>
      <c r="P64" s="103">
        <f t="shared" si="15"/>
        <v>-1012</v>
      </c>
      <c r="Q64" s="103">
        <f t="shared" si="15"/>
        <v>-816</v>
      </c>
      <c r="R64" s="103">
        <f t="shared" si="15"/>
        <v>-332</v>
      </c>
      <c r="S64" s="446">
        <f t="shared" ref="S64" si="16">SUM(S59:S62)</f>
        <v>-479</v>
      </c>
    </row>
    <row r="65" spans="1:19">
      <c r="A65" s="70"/>
      <c r="E65" s="103"/>
      <c r="F65" s="103"/>
      <c r="G65" s="103"/>
      <c r="H65" s="103"/>
      <c r="I65" s="103"/>
      <c r="J65" s="103"/>
      <c r="K65" s="103"/>
      <c r="L65" s="103"/>
      <c r="M65" s="103"/>
      <c r="N65" s="103"/>
      <c r="O65" s="103"/>
      <c r="P65" s="103"/>
      <c r="Q65" s="103"/>
    </row>
    <row r="66" spans="1:19">
      <c r="A66" s="70" t="s">
        <v>33</v>
      </c>
      <c r="E66" s="103">
        <f>SUM(E60:E62)</f>
        <v>3561</v>
      </c>
      <c r="F66" s="103">
        <f t="shared" ref="F66:O66" si="17">SUM(F60:F62)</f>
        <v>3140</v>
      </c>
      <c r="G66" s="103">
        <f t="shared" si="17"/>
        <v>2707</v>
      </c>
      <c r="H66" s="103">
        <f t="shared" si="17"/>
        <v>2261</v>
      </c>
      <c r="I66" s="103">
        <f t="shared" si="17"/>
        <v>1119</v>
      </c>
      <c r="J66" s="103">
        <f t="shared" si="17"/>
        <v>1429</v>
      </c>
      <c r="K66" s="103">
        <f t="shared" si="17"/>
        <v>1045</v>
      </c>
      <c r="L66" s="103">
        <f t="shared" si="17"/>
        <v>720</v>
      </c>
      <c r="M66" s="103">
        <f t="shared" si="17"/>
        <v>399</v>
      </c>
      <c r="N66" s="103">
        <f t="shared" si="17"/>
        <v>-1397</v>
      </c>
      <c r="O66" s="103">
        <f t="shared" si="17"/>
        <v>-1163</v>
      </c>
      <c r="P66" s="103"/>
      <c r="Q66" s="103"/>
    </row>
    <row r="67" spans="1:19">
      <c r="A67" s="70" t="s">
        <v>143</v>
      </c>
      <c r="E67" s="103">
        <f>E59</f>
        <v>181</v>
      </c>
      <c r="F67" s="103">
        <f t="shared" ref="F67:O67" si="18">F59</f>
        <v>164</v>
      </c>
      <c r="G67" s="103">
        <f t="shared" si="18"/>
        <v>148</v>
      </c>
      <c r="H67" s="103">
        <f t="shared" si="18"/>
        <v>132</v>
      </c>
      <c r="I67" s="103">
        <f t="shared" si="18"/>
        <v>85</v>
      </c>
      <c r="J67" s="103">
        <f t="shared" si="18"/>
        <v>100</v>
      </c>
      <c r="K67" s="103">
        <f t="shared" si="18"/>
        <v>53</v>
      </c>
      <c r="L67" s="103">
        <f t="shared" si="18"/>
        <v>69</v>
      </c>
      <c r="M67" s="103">
        <f t="shared" si="18"/>
        <v>53</v>
      </c>
      <c r="N67" s="103">
        <f t="shared" si="18"/>
        <v>38</v>
      </c>
      <c r="O67" s="103">
        <f t="shared" si="18"/>
        <v>0</v>
      </c>
      <c r="P67" s="103"/>
      <c r="Q67" s="103"/>
    </row>
    <row r="68" spans="1:19">
      <c r="A68" s="70" t="s">
        <v>141</v>
      </c>
      <c r="E68" s="103"/>
      <c r="F68" s="103"/>
      <c r="G68" s="103"/>
      <c r="H68" s="103"/>
      <c r="I68" s="103"/>
      <c r="J68" s="103"/>
      <c r="K68" s="103"/>
      <c r="L68" s="103"/>
      <c r="M68" s="103"/>
      <c r="N68" s="103"/>
      <c r="O68" s="103"/>
      <c r="P68" s="103">
        <f>SUM(P59:P62)</f>
        <v>-1012</v>
      </c>
      <c r="Q68" s="103">
        <f>SUM(Q59:Q62)</f>
        <v>-816</v>
      </c>
      <c r="R68" s="103">
        <f>SUM(R59:R62)</f>
        <v>-332</v>
      </c>
      <c r="S68" s="446">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3CD1A71C-CFB0-47BD-8315-0F4B8AEE8A69}"/>
</file>

<file path=customXml/itemProps2.xml><?xml version="1.0" encoding="utf-8"?>
<ds:datastoreItem xmlns:ds="http://schemas.openxmlformats.org/officeDocument/2006/customXml" ds:itemID="{DBB5498C-7552-4419-8E2D-DA47B9188F8F}"/>
</file>

<file path=customXml/itemProps3.xml><?xml version="1.0" encoding="utf-8"?>
<ds:datastoreItem xmlns:ds="http://schemas.openxmlformats.org/officeDocument/2006/customXml" ds:itemID="{01E8A1DB-C482-4027-AE37-777AF6801EA7}"/>
</file>

<file path=customXml/itemProps4.xml><?xml version="1.0" encoding="utf-8"?>
<ds:datastoreItem xmlns:ds="http://schemas.openxmlformats.org/officeDocument/2006/customXml" ds:itemID="{C8FB1B03-6BD0-4660-ADA0-C10E3BAD5B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ROR</vt:lpstr>
      <vt:lpstr>Attrition 09.2014 to 2016</vt:lpstr>
      <vt:lpstr>Cost Trends</vt:lpstr>
      <vt:lpstr>Weighted Revenue Growth</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'Riders and Gas Cost Revenue'!Print_Area</vt:lpstr>
      <vt:lpstr>ROR!Print_Area</vt:lpstr>
      <vt:lpstr>Summary!Print_Area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2015-05-14T17:52:29Z</cp:lastPrinted>
  <dcterms:created xsi:type="dcterms:W3CDTF">1997-05-15T21:41:44Z</dcterms:created>
  <dcterms:modified xsi:type="dcterms:W3CDTF">2015-05-14T17:52:31Z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