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tp-220513/Staffs Testimony and Exhibits/"/>
    </mc:Choice>
  </mc:AlternateContent>
  <xr:revisionPtr revIDLastSave="0" documentId="13_ncr:1_{BBED16E3-EFE0-4208-880F-14B121037D77}" xr6:coauthVersionLast="47" xr6:coauthVersionMax="47" xr10:uidLastSave="{00000000-0000-0000-0000-000000000000}"/>
  <bookViews>
    <workbookView xWindow="1350" yWindow="10" windowWidth="17820" windowHeight="10110" tabRatio="753" xr2:uid="{00000000-000D-0000-FFFF-FFFF00000000}"/>
  </bookViews>
  <sheets>
    <sheet name="JNS-01 Income Statement" sheetId="100" r:id="rId1"/>
    <sheet name="JNS-02, Sch1.1 Results of Oper " sheetId="83" r:id="rId2"/>
    <sheet name="JNS-02, Sch 1.2 Restating Adj " sheetId="1" r:id="rId3"/>
    <sheet name="JNS-02, Sch 1.3 Pro Forma Adj " sheetId="84" r:id="rId4"/>
    <sheet name="END RR Model" sheetId="93" r:id="rId5"/>
  </sheets>
  <externalReferences>
    <externalReference r:id="rId6"/>
    <externalReference r:id="rId7"/>
  </externalReferences>
  <definedNames>
    <definedName name="_xlnm._FilterDatabase" localSheetId="2" hidden="1">'JNS-02, Sch 1.2 Restating Adj '!$C$14:$X$14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'JNS-02, Sch1.1 Results of Oper '!$A$1:$K$93</definedName>
    <definedName name="_xlnm.Print_Titles" localSheetId="2">'JNS-02, Sch 1.2 Restating Adj '!$B:$C,'JNS-02, Sch 1.2 Restating Adj '!$12:$20</definedName>
    <definedName name="_xlnm.Print_Titles" localSheetId="3">'JNS-02, Sch 1.3 Pro Forma Adj '!$B:$C</definedName>
    <definedName name="_xlnm.Print_Titles" localSheetId="1">'JNS-02, Sch1.1 Results of Oper '!$B:$C,'JNS-02, Sch1.1 Results of Oper '!$6:$13</definedName>
    <definedName name="Z_5BE913A1_B14F_11D2_B0DC_0000832CDFF0_.wvu.Cols" localSheetId="1" hidden="1">'JNS-02, Sch1.1 Results of Oper '!$G:$H</definedName>
    <definedName name="Z_5BE913A1_B14F_11D2_B0DC_0000832CDFF0_.wvu.PrintArea" localSheetId="1" hidden="1">'JNS-02, Sch1.1 Results of Oper '!$D$14:$H$72</definedName>
    <definedName name="Z_5BE913A1_B14F_11D2_B0DC_0000832CDFF0_.wvu.PrintTitles" localSheetId="1" hidden="1">'JNS-02, Sch1.1 Results of Oper '!$B:$C,'JNS-02, Sch1.1 Results of Oper '!$6:$13</definedName>
    <definedName name="Z_6E1B8C45_B07F_11D2_B0DC_0000832CDFF0_.wvu.Cols" localSheetId="3" hidden="1">'JNS-02, Sch 1.3 Pro Forma Adj '!#REF!,'JNS-02, Sch 1.3 Pro Forma Adj '!$E:$R</definedName>
    <definedName name="Z_6E1B8C45_B07F_11D2_B0DC_0000832CDFF0_.wvu.PrintArea" localSheetId="3" hidden="1">'JNS-02, Sch 1.3 Pro Forma Adj '!$D:$R</definedName>
    <definedName name="Z_6E1B8C45_B07F_11D2_B0DC_0000832CDFF0_.wvu.PrintTitles" localSheetId="3" hidden="1">'JNS-02, Sch 1.3 Pro Forma Adj '!$B:$C,'JNS-02, Sch 1.3 Pro Forma Adj '!$12:$20</definedName>
    <definedName name="Z_A15D1962_B049_11D2_8670_0000832CEEE8_.wvu.Cols" localSheetId="3" hidden="1">'JNS-02, Sch 1.3 Pro Forma Adj '!$E:$R</definedName>
    <definedName name="Z_A15D1964_B049_11D2_8670_0000832CEEE8_.wvu.Cols" localSheetId="1" hidden="1">'JNS-02, Sch1.1 Results of Oper '!$G:$H</definedName>
    <definedName name="Z_A15D1964_B049_11D2_8670_0000832CEEE8_.wvu.PrintArea" localSheetId="1" hidden="1">'JNS-02, Sch1.1 Results of Oper '!$D$14:$H$72</definedName>
    <definedName name="Z_A15D1964_B049_11D2_8670_0000832CEEE8_.wvu.PrintTitles" localSheetId="1" hidden="1">'JNS-02, Sch1.1 Results of Oper '!$B:$C,'JNS-02, Sch1.1 Results of Oper '!$6:$13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1" i="84" l="1"/>
  <c r="Y94" i="1"/>
  <c r="Z94" i="1"/>
  <c r="I75" i="83"/>
  <c r="I16" i="83"/>
  <c r="W91" i="84"/>
  <c r="W95" i="84" s="1"/>
  <c r="W88" i="84"/>
  <c r="V88" i="84"/>
  <c r="V91" i="84" s="1"/>
  <c r="V95" i="84" s="1"/>
  <c r="T88" i="84"/>
  <c r="T91" i="84" s="1"/>
  <c r="T95" i="84" s="1"/>
  <c r="U88" i="84"/>
  <c r="U91" i="84" s="1"/>
  <c r="U95" i="84" s="1"/>
  <c r="S88" i="84"/>
  <c r="S91" i="84" s="1"/>
  <c r="S95" i="84" s="1"/>
  <c r="D36" i="84"/>
  <c r="D37" i="84"/>
  <c r="D38" i="84"/>
  <c r="G32" i="83" s="1"/>
  <c r="D39" i="84"/>
  <c r="G33" i="83" s="1"/>
  <c r="D40" i="84"/>
  <c r="G34" i="83" s="1"/>
  <c r="D42" i="84"/>
  <c r="G36" i="83" s="1"/>
  <c r="D43" i="84"/>
  <c r="G37" i="83" s="1"/>
  <c r="D44" i="84"/>
  <c r="G38" i="83" s="1"/>
  <c r="D45" i="84"/>
  <c r="D46" i="84"/>
  <c r="G40" i="83" s="1"/>
  <c r="D47" i="84"/>
  <c r="G41" i="83" s="1"/>
  <c r="D48" i="84"/>
  <c r="G42" i="83" s="1"/>
  <c r="D49" i="84"/>
  <c r="G43" i="83" s="1"/>
  <c r="D50" i="84"/>
  <c r="G44" i="83" s="1"/>
  <c r="D51" i="84"/>
  <c r="G45" i="83" s="1"/>
  <c r="D52" i="84"/>
  <c r="G46" i="83" s="1"/>
  <c r="D53" i="84"/>
  <c r="D54" i="84"/>
  <c r="D55" i="84"/>
  <c r="G49" i="83" s="1"/>
  <c r="D56" i="84"/>
  <c r="D57" i="84"/>
  <c r="G51" i="83" s="1"/>
  <c r="D58" i="84"/>
  <c r="G52" i="83" s="1"/>
  <c r="D60" i="84"/>
  <c r="G54" i="83" s="1"/>
  <c r="D61" i="84"/>
  <c r="D62" i="84"/>
  <c r="G56" i="83" s="1"/>
  <c r="D63" i="84"/>
  <c r="D64" i="84"/>
  <c r="G58" i="83" s="1"/>
  <c r="D65" i="84"/>
  <c r="D66" i="84"/>
  <c r="D67" i="84"/>
  <c r="D68" i="84"/>
  <c r="D69" i="84"/>
  <c r="D70" i="84"/>
  <c r="D71" i="84"/>
  <c r="D72" i="84"/>
  <c r="D73" i="84"/>
  <c r="D74" i="84"/>
  <c r="D75" i="84"/>
  <c r="D76" i="84"/>
  <c r="D77" i="84"/>
  <c r="D78" i="84"/>
  <c r="D79" i="84"/>
  <c r="D80" i="84"/>
  <c r="D81" i="84"/>
  <c r="D82" i="84"/>
  <c r="D83" i="84"/>
  <c r="D84" i="84"/>
  <c r="G78" i="83" s="1"/>
  <c r="D85" i="84"/>
  <c r="D86" i="84"/>
  <c r="G80" i="83" s="1"/>
  <c r="D87" i="84"/>
  <c r="G50" i="83"/>
  <c r="G55" i="83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G79" i="83"/>
  <c r="G47" i="83"/>
  <c r="G48" i="83"/>
  <c r="G31" i="83"/>
  <c r="G39" i="83"/>
  <c r="A16" i="84"/>
  <c r="W71" i="1"/>
  <c r="G57" i="83"/>
  <c r="G63" i="83"/>
  <c r="D23" i="1" l="1"/>
  <c r="E23" i="83"/>
  <c r="K59" i="84" l="1"/>
  <c r="D59" i="84" s="1"/>
  <c r="G53" i="83" s="1"/>
  <c r="D29" i="1"/>
  <c r="K69" i="1" l="1"/>
  <c r="I83" i="83"/>
  <c r="D83" i="83"/>
  <c r="F88" i="84"/>
  <c r="E88" i="84"/>
  <c r="G81" i="83"/>
  <c r="H41" i="84" l="1"/>
  <c r="D41" i="84" s="1"/>
  <c r="G35" i="83" s="1"/>
  <c r="Q36" i="1"/>
  <c r="F21" i="83"/>
  <c r="H21" i="83" l="1"/>
  <c r="J21" i="83" s="1"/>
  <c r="E79" i="83"/>
  <c r="D26" i="1"/>
  <c r="D31" i="1" s="1"/>
  <c r="L81" i="1" l="1"/>
  <c r="E77" i="83" l="1"/>
  <c r="E78" i="83"/>
  <c r="E80" i="83"/>
  <c r="F80" i="83" s="1"/>
  <c r="H80" i="83" s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F58" i="83"/>
  <c r="G88" i="84"/>
  <c r="H88" i="84"/>
  <c r="I88" i="84"/>
  <c r="J88" i="84"/>
  <c r="K88" i="84"/>
  <c r="L88" i="84"/>
  <c r="M88" i="84"/>
  <c r="N88" i="84"/>
  <c r="O88" i="84"/>
  <c r="P88" i="84"/>
  <c r="Q88" i="84"/>
  <c r="R88" i="84"/>
  <c r="G73" i="83"/>
  <c r="E126" i="100"/>
  <c r="E18" i="100"/>
  <c r="E122" i="100"/>
  <c r="D35" i="1"/>
  <c r="E29" i="83" s="1"/>
  <c r="E30" i="83"/>
  <c r="E31" i="83"/>
  <c r="E32" i="83"/>
  <c r="E33" i="83"/>
  <c r="E34" i="83"/>
  <c r="F23" i="83"/>
  <c r="F77" i="83"/>
  <c r="F78" i="83"/>
  <c r="H78" i="83" s="1"/>
  <c r="J78" i="83" s="1"/>
  <c r="H23" i="83" l="1"/>
  <c r="J23" i="83" s="1"/>
  <c r="F79" i="83"/>
  <c r="H79" i="83" s="1"/>
  <c r="J79" i="83" s="1"/>
  <c r="G121" i="100"/>
  <c r="G117" i="100"/>
  <c r="G114" i="100"/>
  <c r="G80" i="100"/>
  <c r="G76" i="100"/>
  <c r="G75" i="100"/>
  <c r="G74" i="100"/>
  <c r="G66" i="100"/>
  <c r="G65" i="100"/>
  <c r="G63" i="100"/>
  <c r="G60" i="100"/>
  <c r="G52" i="100"/>
  <c r="G49" i="100"/>
  <c r="G48" i="100"/>
  <c r="G47" i="100"/>
  <c r="G46" i="100"/>
  <c r="G45" i="100"/>
  <c r="G44" i="100"/>
  <c r="G43" i="100"/>
  <c r="G40" i="100"/>
  <c r="G39" i="100"/>
  <c r="G38" i="100"/>
  <c r="G37" i="100"/>
  <c r="G33" i="100"/>
  <c r="G32" i="100"/>
  <c r="G29" i="100"/>
  <c r="G27" i="100"/>
  <c r="G25" i="100"/>
  <c r="J85" i="100"/>
  <c r="I85" i="100"/>
  <c r="J84" i="100"/>
  <c r="I84" i="100"/>
  <c r="J83" i="100"/>
  <c r="I83" i="100"/>
  <c r="J82" i="100"/>
  <c r="I82" i="100"/>
  <c r="J78" i="100"/>
  <c r="I78" i="100"/>
  <c r="J77" i="100"/>
  <c r="I77" i="100"/>
  <c r="J76" i="100"/>
  <c r="I76" i="100"/>
  <c r="J75" i="100"/>
  <c r="I75" i="100"/>
  <c r="J74" i="100"/>
  <c r="I74" i="100"/>
  <c r="J73" i="100"/>
  <c r="I73" i="100"/>
  <c r="J72" i="100"/>
  <c r="I72" i="100"/>
  <c r="J71" i="100"/>
  <c r="I71" i="100"/>
  <c r="J70" i="100"/>
  <c r="I70" i="100"/>
  <c r="J69" i="100"/>
  <c r="I69" i="100"/>
  <c r="J68" i="100"/>
  <c r="I68" i="100"/>
  <c r="J67" i="100"/>
  <c r="I67" i="100"/>
  <c r="J66" i="100"/>
  <c r="I66" i="100"/>
  <c r="J65" i="100"/>
  <c r="I65" i="100"/>
  <c r="J61" i="100"/>
  <c r="I61" i="100"/>
  <c r="J60" i="100"/>
  <c r="I60" i="100"/>
  <c r="J59" i="100"/>
  <c r="I59" i="100"/>
  <c r="J58" i="100"/>
  <c r="I58" i="100"/>
  <c r="J54" i="100"/>
  <c r="I54" i="100"/>
  <c r="J53" i="100"/>
  <c r="I53" i="100"/>
  <c r="J52" i="100"/>
  <c r="I52" i="100"/>
  <c r="J51" i="100"/>
  <c r="I51" i="100"/>
  <c r="J50" i="100"/>
  <c r="I50" i="100"/>
  <c r="J49" i="100"/>
  <c r="I49" i="100"/>
  <c r="J48" i="100"/>
  <c r="I48" i="100"/>
  <c r="J47" i="100"/>
  <c r="I47" i="100"/>
  <c r="J46" i="100"/>
  <c r="I46" i="100"/>
  <c r="J45" i="100"/>
  <c r="I45" i="100"/>
  <c r="J41" i="100"/>
  <c r="I41" i="100"/>
  <c r="J40" i="100"/>
  <c r="I40" i="100"/>
  <c r="J39" i="100"/>
  <c r="I39" i="100"/>
  <c r="J38" i="100"/>
  <c r="I38" i="100"/>
  <c r="J37" i="100"/>
  <c r="I37" i="100"/>
  <c r="J36" i="100"/>
  <c r="I36" i="100"/>
  <c r="J35" i="100"/>
  <c r="I35" i="100"/>
  <c r="J34" i="100"/>
  <c r="I34" i="100"/>
  <c r="J33" i="100"/>
  <c r="I33" i="100"/>
  <c r="J32" i="100"/>
  <c r="I32" i="100"/>
  <c r="J31" i="100"/>
  <c r="I31" i="100"/>
  <c r="J30" i="100"/>
  <c r="I30" i="100"/>
  <c r="J29" i="100"/>
  <c r="I29" i="100"/>
  <c r="J28" i="100"/>
  <c r="I28" i="100"/>
  <c r="J27" i="100"/>
  <c r="I27" i="100"/>
  <c r="J26" i="100"/>
  <c r="I26" i="100"/>
  <c r="J19" i="100"/>
  <c r="I19" i="100"/>
  <c r="J15" i="100"/>
  <c r="I15" i="100"/>
  <c r="J14" i="100"/>
  <c r="I14" i="100"/>
  <c r="B13" i="100"/>
  <c r="B14" i="100" s="1"/>
  <c r="B15" i="100" s="1"/>
  <c r="B16" i="100" s="1"/>
  <c r="B17" i="100" s="1"/>
  <c r="B18" i="100" s="1"/>
  <c r="J86" i="100" l="1"/>
  <c r="J79" i="100"/>
  <c r="J62" i="100"/>
  <c r="J55" i="100"/>
  <c r="J42" i="100"/>
  <c r="J88" i="100" l="1"/>
  <c r="R31" i="84" l="1"/>
  <c r="R91" i="84" l="1"/>
  <c r="R95" i="84" s="1"/>
  <c r="D28" i="84"/>
  <c r="D29" i="84"/>
  <c r="D30" i="84"/>
  <c r="F22" i="83"/>
  <c r="D19" i="83"/>
  <c r="D25" i="83" s="1"/>
  <c r="D85" i="83" s="1"/>
  <c r="H22" i="83" l="1"/>
  <c r="J22" i="83" s="1"/>
  <c r="O31" i="84"/>
  <c r="N31" i="84"/>
  <c r="P31" i="84"/>
  <c r="M31" i="84"/>
  <c r="L31" i="84"/>
  <c r="K31" i="84"/>
  <c r="D94" i="84"/>
  <c r="D93" i="84"/>
  <c r="G87" i="83" s="1"/>
  <c r="D92" i="84"/>
  <c r="G86" i="83" s="1"/>
  <c r="D93" i="1"/>
  <c r="D92" i="1"/>
  <c r="E87" i="83" s="1"/>
  <c r="E45" i="83"/>
  <c r="B15" i="83"/>
  <c r="B16" i="83" s="1"/>
  <c r="B17" i="83" s="1"/>
  <c r="B18" i="83" s="1"/>
  <c r="B19" i="83" s="1"/>
  <c r="B20" i="83" s="1"/>
  <c r="N91" i="84" l="1"/>
  <c r="N95" i="84" s="1"/>
  <c r="O91" i="84"/>
  <c r="O95" i="84" s="1"/>
  <c r="P91" i="84"/>
  <c r="P95" i="84" s="1"/>
  <c r="M91" i="84"/>
  <c r="M95" i="84" s="1"/>
  <c r="L91" i="84"/>
  <c r="L95" i="84" s="1"/>
  <c r="K91" i="84"/>
  <c r="K95" i="84" s="1"/>
  <c r="G77" i="83" l="1"/>
  <c r="H77" i="83" s="1"/>
  <c r="J77" i="83" s="1"/>
  <c r="G76" i="83"/>
  <c r="G75" i="83"/>
  <c r="G74" i="83"/>
  <c r="G72" i="83"/>
  <c r="G71" i="83"/>
  <c r="G70" i="83"/>
  <c r="G69" i="83"/>
  <c r="G68" i="83"/>
  <c r="G67" i="83"/>
  <c r="G66" i="83"/>
  <c r="G65" i="83"/>
  <c r="G64" i="83"/>
  <c r="G62" i="83"/>
  <c r="G61" i="83"/>
  <c r="G60" i="83"/>
  <c r="G59" i="83"/>
  <c r="G30" i="83"/>
  <c r="D35" i="84"/>
  <c r="G29" i="83" s="1"/>
  <c r="G83" i="83" l="1"/>
  <c r="G85" i="83" s="1"/>
  <c r="D88" i="84"/>
  <c r="D27" i="84"/>
  <c r="D26" i="84"/>
  <c r="D24" i="84"/>
  <c r="D23" i="84"/>
  <c r="G16" i="83" s="1"/>
  <c r="B22" i="84"/>
  <c r="B23" i="84" s="1"/>
  <c r="B24" i="84" s="1"/>
  <c r="B25" i="84" s="1"/>
  <c r="B26" i="84" s="1"/>
  <c r="B27" i="84" s="1"/>
  <c r="B33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B53" i="84" s="1"/>
  <c r="B54" i="84" s="1"/>
  <c r="B55" i="84" s="1"/>
  <c r="B56" i="84" s="1"/>
  <c r="B57" i="84" s="1"/>
  <c r="B58" i="84" s="1"/>
  <c r="B59" i="84" s="1"/>
  <c r="B60" i="84" s="1"/>
  <c r="Q31" i="84"/>
  <c r="J31" i="84"/>
  <c r="I31" i="84"/>
  <c r="H31" i="84"/>
  <c r="G31" i="84"/>
  <c r="F31" i="84"/>
  <c r="E31" i="84"/>
  <c r="E76" i="83"/>
  <c r="E75" i="83"/>
  <c r="E74" i="83"/>
  <c r="B22" i="1"/>
  <c r="B23" i="1" s="1"/>
  <c r="B24" i="1" s="1"/>
  <c r="B25" i="1" s="1"/>
  <c r="B26" i="1" s="1"/>
  <c r="E61" i="83"/>
  <c r="F61" i="83" s="1"/>
  <c r="E62" i="83"/>
  <c r="E63" i="83"/>
  <c r="E64" i="83"/>
  <c r="E65" i="83"/>
  <c r="E66" i="83"/>
  <c r="E70" i="83"/>
  <c r="E71" i="83"/>
  <c r="E72" i="83"/>
  <c r="E57" i="83"/>
  <c r="E56" i="83"/>
  <c r="E55" i="83"/>
  <c r="E46" i="83"/>
  <c r="E47" i="83"/>
  <c r="E48" i="83"/>
  <c r="E49" i="83"/>
  <c r="E50" i="83"/>
  <c r="E51" i="83"/>
  <c r="E52" i="83"/>
  <c r="E53" i="83"/>
  <c r="E36" i="83"/>
  <c r="E37" i="83"/>
  <c r="E38" i="83"/>
  <c r="E39" i="83"/>
  <c r="E40" i="83"/>
  <c r="E41" i="83"/>
  <c r="E42" i="83"/>
  <c r="E43" i="83"/>
  <c r="E44" i="83"/>
  <c r="E73" i="83" l="1"/>
  <c r="F73" i="83" s="1"/>
  <c r="H73" i="83" s="1"/>
  <c r="E35" i="83"/>
  <c r="B61" i="84"/>
  <c r="B62" i="84" s="1"/>
  <c r="B63" i="84" s="1"/>
  <c r="B64" i="84" s="1"/>
  <c r="B65" i="84" s="1"/>
  <c r="B66" i="84" s="1"/>
  <c r="B67" i="84" s="1"/>
  <c r="B68" i="84" s="1"/>
  <c r="B69" i="84" s="1"/>
  <c r="B70" i="84" s="1"/>
  <c r="B71" i="84" s="1"/>
  <c r="B72" i="84" s="1"/>
  <c r="B73" i="84" s="1"/>
  <c r="B74" i="84" s="1"/>
  <c r="B75" i="84" s="1"/>
  <c r="B76" i="84" s="1"/>
  <c r="B77" i="84" s="1"/>
  <c r="B78" i="84" s="1"/>
  <c r="B79" i="84" s="1"/>
  <c r="B80" i="84" s="1"/>
  <c r="B81" i="84" s="1"/>
  <c r="B82" i="84" s="1"/>
  <c r="B83" i="84" s="1"/>
  <c r="B84" i="84" s="1"/>
  <c r="B85" i="84" s="1"/>
  <c r="B86" i="84" s="1"/>
  <c r="B91" i="84" s="1"/>
  <c r="B92" i="84" s="1"/>
  <c r="B93" i="84" s="1"/>
  <c r="B94" i="84" s="1"/>
  <c r="B95" i="84" s="1"/>
  <c r="B96" i="84" s="1"/>
  <c r="B97" i="84" s="1"/>
  <c r="F49" i="83"/>
  <c r="H49" i="83" s="1"/>
  <c r="F44" i="83"/>
  <c r="H44" i="83" s="1"/>
  <c r="J44" i="83" s="1"/>
  <c r="F40" i="83"/>
  <c r="H40" i="83" s="1"/>
  <c r="J40" i="83" s="1"/>
  <c r="F52" i="83"/>
  <c r="H52" i="83" s="1"/>
  <c r="F51" i="83"/>
  <c r="H51" i="83" s="1"/>
  <c r="F76" i="83"/>
  <c r="H76" i="83" s="1"/>
  <c r="J76" i="83" s="1"/>
  <c r="F74" i="83"/>
  <c r="H74" i="83" s="1"/>
  <c r="J74" i="83" s="1"/>
  <c r="F57" i="83"/>
  <c r="H57" i="83" s="1"/>
  <c r="J57" i="83" s="1"/>
  <c r="F34" i="83"/>
  <c r="D31" i="84"/>
  <c r="E91" i="84"/>
  <c r="E95" i="84" s="1"/>
  <c r="F71" i="83"/>
  <c r="H71" i="83" s="1"/>
  <c r="J71" i="83" s="1"/>
  <c r="F72" i="83"/>
  <c r="H91" i="84"/>
  <c r="H95" i="84" s="1"/>
  <c r="Q91" i="84"/>
  <c r="Q95" i="84" s="1"/>
  <c r="F91" i="84"/>
  <c r="F95" i="84" s="1"/>
  <c r="I91" i="84"/>
  <c r="I95" i="84" s="1"/>
  <c r="F55" i="83"/>
  <c r="F75" i="83"/>
  <c r="D89" i="83"/>
  <c r="G91" i="84"/>
  <c r="G95" i="84" s="1"/>
  <c r="J91" i="84"/>
  <c r="J95" i="84" s="1"/>
  <c r="H58" i="83"/>
  <c r="J58" i="83" s="1"/>
  <c r="F35" i="83" l="1"/>
  <c r="H35" i="83" s="1"/>
  <c r="J35" i="83" s="1"/>
  <c r="H34" i="83"/>
  <c r="J73" i="83"/>
  <c r="H55" i="83"/>
  <c r="D91" i="84"/>
  <c r="D95" i="84" s="1"/>
  <c r="H75" i="83"/>
  <c r="J34" i="83" l="1"/>
  <c r="J55" i="83"/>
  <c r="F87" i="83" l="1"/>
  <c r="H87" i="83" s="1"/>
  <c r="R31" i="1" l="1"/>
  <c r="R90" i="1" s="1"/>
  <c r="R94" i="1" s="1"/>
  <c r="Q31" i="1"/>
  <c r="Q90" i="1" s="1"/>
  <c r="Q94" i="1" s="1"/>
  <c r="P31" i="1"/>
  <c r="P90" i="1" s="1"/>
  <c r="P94" i="1" s="1"/>
  <c r="O31" i="1"/>
  <c r="O90" i="1" s="1"/>
  <c r="O94" i="1" s="1"/>
  <c r="N31" i="1"/>
  <c r="N90" i="1" s="1"/>
  <c r="N94" i="1" s="1"/>
  <c r="M31" i="1"/>
  <c r="M90" i="1" s="1"/>
  <c r="M94" i="1" s="1"/>
  <c r="E67" i="83"/>
  <c r="J31" i="1" l="1"/>
  <c r="J90" i="1" s="1"/>
  <c r="J94" i="1" s="1"/>
  <c r="E69" i="83" l="1"/>
  <c r="E68" i="83"/>
  <c r="F66" i="83"/>
  <c r="H66" i="83" s="1"/>
  <c r="J66" i="83" s="1"/>
  <c r="F65" i="83"/>
  <c r="F63" i="83"/>
  <c r="H63" i="83" s="1"/>
  <c r="J63" i="83" s="1"/>
  <c r="E60" i="83"/>
  <c r="E59" i="83"/>
  <c r="F46" i="83"/>
  <c r="H46" i="83" s="1"/>
  <c r="F43" i="83"/>
  <c r="H43" i="83" s="1"/>
  <c r="J43" i="83" s="1"/>
  <c r="F42" i="83"/>
  <c r="H42" i="83" s="1"/>
  <c r="J42" i="83" s="1"/>
  <c r="F41" i="83"/>
  <c r="H41" i="83" s="1"/>
  <c r="J41" i="83" s="1"/>
  <c r="F70" i="83" l="1"/>
  <c r="H70" i="83" s="1"/>
  <c r="J70" i="83" s="1"/>
  <c r="F68" i="83"/>
  <c r="H68" i="83" s="1"/>
  <c r="J68" i="83" s="1"/>
  <c r="F45" i="83"/>
  <c r="F69" i="83"/>
  <c r="H69" i="83" s="1"/>
  <c r="J69" i="83" s="1"/>
  <c r="F62" i="83"/>
  <c r="H62" i="83" s="1"/>
  <c r="J62" i="83" s="1"/>
  <c r="F60" i="83"/>
  <c r="F47" i="83"/>
  <c r="H47" i="83" s="1"/>
  <c r="F64" i="83"/>
  <c r="F67" i="83"/>
  <c r="F38" i="83"/>
  <c r="H38" i="83" s="1"/>
  <c r="J38" i="83" s="1"/>
  <c r="F37" i="83"/>
  <c r="H37" i="83" s="1"/>
  <c r="J37" i="83" s="1"/>
  <c r="F36" i="83"/>
  <c r="H36" i="83" s="1"/>
  <c r="J36" i="83" s="1"/>
  <c r="F32" i="83"/>
  <c r="H32" i="83" s="1"/>
  <c r="J32" i="83" s="1"/>
  <c r="F31" i="83"/>
  <c r="H31" i="83" s="1"/>
  <c r="J31" i="83" s="1"/>
  <c r="F30" i="83"/>
  <c r="H30" i="83" l="1"/>
  <c r="H45" i="83"/>
  <c r="H61" i="83"/>
  <c r="J61" i="83" s="1"/>
  <c r="F59" i="83"/>
  <c r="F33" i="83"/>
  <c r="F39" i="83"/>
  <c r="H39" i="83" s="1"/>
  <c r="J39" i="83" s="1"/>
  <c r="J30" i="83" l="1"/>
  <c r="J45" i="83"/>
  <c r="H67" i="83"/>
  <c r="J67" i="83" s="1"/>
  <c r="H65" i="83"/>
  <c r="J65" i="83" s="1"/>
  <c r="F48" i="83"/>
  <c r="K31" i="1" l="1"/>
  <c r="K90" i="1" s="1"/>
  <c r="K94" i="1" s="1"/>
  <c r="L31" i="1" l="1"/>
  <c r="L90" i="1" s="1"/>
  <c r="L94" i="1" s="1"/>
  <c r="W31" i="1"/>
  <c r="W90" i="1" s="1"/>
  <c r="W94" i="1" s="1"/>
  <c r="V31" i="1" l="1"/>
  <c r="V90" i="1" s="1"/>
  <c r="V94" i="1" s="1"/>
  <c r="I31" i="1"/>
  <c r="I90" i="1" s="1"/>
  <c r="I94" i="1" s="1"/>
  <c r="X31" i="1"/>
  <c r="X90" i="1" s="1"/>
  <c r="X94" i="1" s="1"/>
  <c r="H31" i="1" l="1"/>
  <c r="H90" i="1" s="1"/>
  <c r="H94" i="1" s="1"/>
  <c r="U31" i="1"/>
  <c r="U90" i="1" s="1"/>
  <c r="U94" i="1" s="1"/>
  <c r="T31" i="1" l="1"/>
  <c r="T90" i="1" s="1"/>
  <c r="T94" i="1" s="1"/>
  <c r="G31" i="1"/>
  <c r="G90" i="1" s="1"/>
  <c r="G94" i="1" s="1"/>
  <c r="F31" i="1" l="1"/>
  <c r="F90" i="1" s="1"/>
  <c r="F94" i="1" s="1"/>
  <c r="S31" i="1"/>
  <c r="S90" i="1" s="1"/>
  <c r="S94" i="1" s="1"/>
  <c r="E31" i="1" l="1"/>
  <c r="E90" i="1" s="1"/>
  <c r="E94" i="1" s="1"/>
  <c r="G17" i="83" l="1"/>
  <c r="E16" i="83"/>
  <c r="F16" i="83" s="1"/>
  <c r="H16" i="83" s="1"/>
  <c r="E17" i="83"/>
  <c r="F17" i="83" s="1"/>
  <c r="H17" i="83" l="1"/>
  <c r="J17" i="83" s="1"/>
  <c r="E19" i="83"/>
  <c r="E25" i="83" s="1"/>
  <c r="F19" i="83"/>
  <c r="F25" i="83" s="1"/>
  <c r="F29" i="83"/>
  <c r="H59" i="83" l="1"/>
  <c r="J59" i="83" l="1"/>
  <c r="H33" i="83" l="1"/>
  <c r="J33" i="83" s="1"/>
  <c r="H48" i="83" l="1"/>
  <c r="H29" i="83"/>
  <c r="J48" i="83" l="1"/>
  <c r="J29" i="83"/>
  <c r="F50" i="83" l="1"/>
  <c r="E54" i="83" l="1"/>
  <c r="D87" i="1"/>
  <c r="D90" i="1" s="1"/>
  <c r="D94" i="1" s="1"/>
  <c r="E83" i="83" l="1"/>
  <c r="E85" i="83" s="1"/>
  <c r="F54" i="83"/>
  <c r="G19" i="83"/>
  <c r="G25" i="83" s="1"/>
  <c r="H54" i="83" l="1"/>
  <c r="H19" i="83"/>
  <c r="H25" i="83" l="1"/>
  <c r="L25" i="83"/>
  <c r="H50" i="83"/>
  <c r="J50" i="83" l="1"/>
  <c r="H60" i="83" l="1"/>
  <c r="H64" i="83"/>
  <c r="J64" i="83" s="1"/>
  <c r="J60" i="83" l="1"/>
  <c r="H72" i="83"/>
  <c r="J72" i="83" s="1"/>
  <c r="G89" i="83" l="1"/>
  <c r="F53" i="83" l="1"/>
  <c r="F56" i="83" l="1"/>
  <c r="F83" i="83" s="1"/>
  <c r="F85" i="83" s="1"/>
  <c r="E89" i="83"/>
  <c r="H53" i="83"/>
  <c r="J53" i="83" l="1"/>
  <c r="H56" i="83"/>
  <c r="F89" i="83"/>
  <c r="H83" i="83" l="1"/>
  <c r="H85" i="83" s="1"/>
  <c r="H89" i="83" s="1"/>
  <c r="J56" i="83"/>
  <c r="J46" i="83" l="1"/>
  <c r="J47" i="83" l="1"/>
  <c r="J49" i="83"/>
  <c r="J51" i="83" l="1"/>
  <c r="J52" i="83" l="1"/>
  <c r="J54" i="83" l="1"/>
  <c r="J75" i="83"/>
  <c r="J80" i="83"/>
  <c r="J83" i="83" l="1"/>
  <c r="J16" i="83"/>
  <c r="I13" i="83"/>
  <c r="I19" i="83"/>
  <c r="J19" i="83" l="1"/>
  <c r="J25" i="83" s="1"/>
  <c r="J85" i="83" s="1"/>
  <c r="I25" i="83"/>
  <c r="I85" i="83" s="1"/>
  <c r="I89" i="83" s="1"/>
  <c r="L19" i="83" l="1"/>
  <c r="J89" i="83" l="1"/>
  <c r="L13" i="83" s="1"/>
</calcChain>
</file>

<file path=xl/sharedStrings.xml><?xml version="1.0" encoding="utf-8"?>
<sst xmlns="http://schemas.openxmlformats.org/spreadsheetml/2006/main" count="767" uniqueCount="427">
  <si>
    <t>Pro Forma</t>
  </si>
  <si>
    <t>Line</t>
  </si>
  <si>
    <t>Restated</t>
  </si>
  <si>
    <t>No.</t>
  </si>
  <si>
    <t>DESCRIPTION</t>
  </si>
  <si>
    <t>EXPENSES</t>
  </si>
  <si>
    <t>Total</t>
  </si>
  <si>
    <t>Adjustments</t>
  </si>
  <si>
    <t>Proposed</t>
  </si>
  <si>
    <t xml:space="preserve">REVENUES  </t>
  </si>
  <si>
    <t>RESULT OF OPERATIONS</t>
  </si>
  <si>
    <t>(a)</t>
  </si>
  <si>
    <t>(b)</t>
  </si>
  <si>
    <t>(c)</t>
  </si>
  <si>
    <t>(e)</t>
  </si>
  <si>
    <t>(f)</t>
  </si>
  <si>
    <t>(g)</t>
  </si>
  <si>
    <t>(h)</t>
  </si>
  <si>
    <t>(i)</t>
  </si>
  <si>
    <t>Results</t>
  </si>
  <si>
    <t>Unadjusted</t>
  </si>
  <si>
    <t xml:space="preserve">Restating </t>
  </si>
  <si>
    <t>Staff</t>
  </si>
  <si>
    <t>at Staff</t>
  </si>
  <si>
    <t>Rates</t>
  </si>
  <si>
    <t>Source</t>
  </si>
  <si>
    <t>Schedule 1.2</t>
  </si>
  <si>
    <t>(b) + (c)</t>
  </si>
  <si>
    <t>Schedule 1.3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</si>
  <si>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</si>
  <si>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</si>
  <si>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</si>
  <si>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</si>
  <si>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</si>
  <si>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</si>
  <si>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</si>
  <si>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</si>
  <si>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</si>
  <si>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</si>
  <si>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</si>
  <si>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</si>
  <si>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</si>
  <si>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</si>
  <si>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</si>
  <si>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</si>
  <si>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</si>
  <si>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</si>
  <si>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Restating</t>
  </si>
  <si>
    <t>Source:</t>
  </si>
  <si>
    <t>(j)</t>
  </si>
  <si>
    <t>(k)</t>
  </si>
  <si>
    <t>(l)</t>
  </si>
  <si>
    <t>(m)</t>
  </si>
  <si>
    <t>(n)</t>
  </si>
  <si>
    <t>R-19</t>
  </si>
  <si>
    <t>R-20</t>
  </si>
  <si>
    <t>(o)</t>
  </si>
  <si>
    <t>(p)</t>
  </si>
  <si>
    <t>(q)</t>
  </si>
  <si>
    <t>(s)</t>
  </si>
  <si>
    <t>(t)</t>
  </si>
  <si>
    <t>(u)</t>
  </si>
  <si>
    <t>(d)</t>
  </si>
  <si>
    <t>Linked Data</t>
  </si>
  <si>
    <t>(r)</t>
  </si>
  <si>
    <t>Completed?</t>
  </si>
  <si>
    <t>Contested?</t>
  </si>
  <si>
    <t>(f) + (g)</t>
  </si>
  <si>
    <t>(d) + (e)</t>
  </si>
  <si>
    <t>Exhibit Number</t>
  </si>
  <si>
    <t xml:space="preserve">Operating &amp; Maintenance Expenses  </t>
  </si>
  <si>
    <t>Pilotage Fees Earned</t>
  </si>
  <si>
    <t>Boat Fees Earned</t>
  </si>
  <si>
    <t>Total Pilotage Revenues</t>
  </si>
  <si>
    <t>Other Revenue - Interest</t>
  </si>
  <si>
    <t xml:space="preserve">Total Revenues  </t>
  </si>
  <si>
    <t xml:space="preserve">Computer Maintenance </t>
  </si>
  <si>
    <t>Computer Programming, Changes</t>
  </si>
  <si>
    <t>Depreciation</t>
  </si>
  <si>
    <t>Office Supplies &amp; Charts</t>
  </si>
  <si>
    <t>Postage &amp; Printing</t>
  </si>
  <si>
    <t>Rents</t>
  </si>
  <si>
    <t xml:space="preserve">Repairs &amp; Maintenance </t>
  </si>
  <si>
    <t xml:space="preserve">Telephone &amp; Communications </t>
  </si>
  <si>
    <t>Transportation Expense</t>
  </si>
  <si>
    <t xml:space="preserve">Pilot and Employee </t>
  </si>
  <si>
    <t>Employee Health &amp; Welfare</t>
  </si>
  <si>
    <t>Employee Pension</t>
  </si>
  <si>
    <t>Drug Testing</t>
  </si>
  <si>
    <t>License Fees - Pilots</t>
  </si>
  <si>
    <t>Pilots Pension</t>
  </si>
  <si>
    <t>Payroll Taxes</t>
  </si>
  <si>
    <t>Training, Pilots</t>
  </si>
  <si>
    <t>Port Angeles</t>
  </si>
  <si>
    <t>Administrative &amp; General</t>
  </si>
  <si>
    <t>Consulting Fees</t>
  </si>
  <si>
    <t>CPA Fees</t>
  </si>
  <si>
    <t>Donations</t>
  </si>
  <si>
    <t>Dues</t>
  </si>
  <si>
    <t xml:space="preserve">Insurance </t>
  </si>
  <si>
    <t>Lobbyist</t>
  </si>
  <si>
    <t>Salaries</t>
  </si>
  <si>
    <t>Subscriptions</t>
  </si>
  <si>
    <t>Supplies</t>
  </si>
  <si>
    <t>Property Taxes</t>
  </si>
  <si>
    <t>Use Taxes</t>
  </si>
  <si>
    <t>Taxes, B &amp; O</t>
  </si>
  <si>
    <t>Administrative Expenses</t>
  </si>
  <si>
    <t>Attorney Fees</t>
  </si>
  <si>
    <t>Bank Fees</t>
  </si>
  <si>
    <t>Taxes and Fees</t>
  </si>
  <si>
    <t>Total Expenses</t>
  </si>
  <si>
    <t xml:space="preserve">   Other Revenue - Interest</t>
  </si>
  <si>
    <t>Income before interest and Distribution</t>
  </si>
  <si>
    <t xml:space="preserve">   Other Revenue - Finance Charges **</t>
  </si>
  <si>
    <t xml:space="preserve">   Interest Expense *</t>
  </si>
  <si>
    <t xml:space="preserve">Net Distributable Income </t>
  </si>
  <si>
    <t>Yes</t>
  </si>
  <si>
    <t>Prospective</t>
  </si>
  <si>
    <t>Puget Sound Pilots</t>
  </si>
  <si>
    <t>Total Revenue</t>
  </si>
  <si>
    <t>OTHER REVENUE</t>
  </si>
  <si>
    <t>Pro Forma Adjustments (Schedule 1.3)</t>
  </si>
  <si>
    <t>over 3 years</t>
  </si>
  <si>
    <t>PF-1</t>
  </si>
  <si>
    <t>PF-3</t>
  </si>
  <si>
    <t>PF-4</t>
  </si>
  <si>
    <t>PF-5</t>
  </si>
  <si>
    <t>PF-7</t>
  </si>
  <si>
    <t>PF-8</t>
  </si>
  <si>
    <t>PF-9</t>
  </si>
  <si>
    <t>PF-10</t>
  </si>
  <si>
    <t>PF-11</t>
  </si>
  <si>
    <t>PF-12</t>
  </si>
  <si>
    <t>PF-13</t>
  </si>
  <si>
    <t>PF-14</t>
  </si>
  <si>
    <t>PF-15</t>
  </si>
  <si>
    <t>PF-16</t>
  </si>
  <si>
    <t>PF-17</t>
  </si>
  <si>
    <t>PF-18</t>
  </si>
  <si>
    <t>$  Incr (Decr) in Revenue</t>
  </si>
  <si>
    <t xml:space="preserve">Total Distributable Net Income </t>
  </si>
  <si>
    <t>Page 2 of 8</t>
  </si>
  <si>
    <t>Page 3 of 8</t>
  </si>
  <si>
    <t>Page 4 of 8</t>
  </si>
  <si>
    <t>Page 5 of 8</t>
  </si>
  <si>
    <t>Total Distributable Net Income</t>
  </si>
  <si>
    <t>Total Operating Expenses</t>
  </si>
  <si>
    <t>Capital Assets</t>
  </si>
  <si>
    <t>Sum (c) thru (r)</t>
  </si>
  <si>
    <t>Sum (c) thru (z)</t>
  </si>
  <si>
    <t>Account: 50050-009</t>
  </si>
  <si>
    <t>Account: 50080-009</t>
  </si>
  <si>
    <t>Advertising</t>
  </si>
  <si>
    <t>Account: 50100-009</t>
  </si>
  <si>
    <t>Attorney Fees-General</t>
  </si>
  <si>
    <t>Account: 50110-009</t>
  </si>
  <si>
    <t>Attorney Fees-UTC</t>
  </si>
  <si>
    <t>Account: 50150-009</t>
  </si>
  <si>
    <t>Account: 50250-009</t>
  </si>
  <si>
    <t>Account: 50280-009</t>
  </si>
  <si>
    <t>Cash Reserves</t>
  </si>
  <si>
    <t>Account: 50290-009</t>
  </si>
  <si>
    <t>UTC REG FEES</t>
  </si>
  <si>
    <t>Account: 50300-006</t>
  </si>
  <si>
    <t>Commission-Senate Bill 5096</t>
  </si>
  <si>
    <t>Account: 50450-006</t>
  </si>
  <si>
    <t>Comp Day Expense</t>
  </si>
  <si>
    <t>Account: 50500-007</t>
  </si>
  <si>
    <t>Computer Maintenance - P.A.</t>
  </si>
  <si>
    <t>Account: 50500-009</t>
  </si>
  <si>
    <t>Computer Maintenance, Hardware, Phone</t>
  </si>
  <si>
    <t>Account: 50600-009</t>
  </si>
  <si>
    <t>Account: 50700-009</t>
  </si>
  <si>
    <t>Account: 50800-009</t>
  </si>
  <si>
    <t>Account: 50850-009</t>
  </si>
  <si>
    <t>Account: 50870-009</t>
  </si>
  <si>
    <t>DEI Outreach</t>
  </si>
  <si>
    <t>Account: 50880-009</t>
  </si>
  <si>
    <t>DEI - Donations</t>
  </si>
  <si>
    <t>Account: 50900-009</t>
  </si>
  <si>
    <t>Dues, Other</t>
  </si>
  <si>
    <t>Account: 50910-009</t>
  </si>
  <si>
    <t>Dues, MM&amp;P</t>
  </si>
  <si>
    <t>Account: 50920-009</t>
  </si>
  <si>
    <t>Dues, APA</t>
  </si>
  <si>
    <t>Account: 51000-006</t>
  </si>
  <si>
    <t>Employee Health &amp; Welfare - Seattle</t>
  </si>
  <si>
    <t>Account: 51000-007</t>
  </si>
  <si>
    <t>Employee Health &amp; Welfare - P.A.</t>
  </si>
  <si>
    <t>Account: 51100-006</t>
  </si>
  <si>
    <t>Employee Pension - Seattle</t>
  </si>
  <si>
    <t>Account: 51100-007</t>
  </si>
  <si>
    <t>Employee Pension - P.A.</t>
  </si>
  <si>
    <t>Account: 51100-009</t>
  </si>
  <si>
    <t>Retirement Plan, Manager</t>
  </si>
  <si>
    <t>Account: 51200-009</t>
  </si>
  <si>
    <t>Equipment Leases</t>
  </si>
  <si>
    <t>Account: 51310-009</t>
  </si>
  <si>
    <t>Depreciation, Portable Radios</t>
  </si>
  <si>
    <t>Account: 51320-009</t>
  </si>
  <si>
    <t>Depreciation, Computer</t>
  </si>
  <si>
    <t>Account: 51330-006</t>
  </si>
  <si>
    <t>Depreciation, Equipment &amp; Furniture - Seattle</t>
  </si>
  <si>
    <t>Account: 51330-007</t>
  </si>
  <si>
    <t>Depreciation, Equipment &amp; Furniture - P.A.</t>
  </si>
  <si>
    <t>Account: 51340-006</t>
  </si>
  <si>
    <t>Depreciation, Leasehold Improv. - Seattle</t>
  </si>
  <si>
    <t>Account: 51380-007</t>
  </si>
  <si>
    <t>Depreciation, Buildings - P.A.</t>
  </si>
  <si>
    <t>Account: 51385-007</t>
  </si>
  <si>
    <t>Depreciation, Ediz Hook</t>
  </si>
  <si>
    <t>Account: 51390-008</t>
  </si>
  <si>
    <t>Depreciation, Puget Sound</t>
  </si>
  <si>
    <t>Account: 51400-008</t>
  </si>
  <si>
    <t>Depreciation, Juan de Fuca</t>
  </si>
  <si>
    <t>Account: 51430-006</t>
  </si>
  <si>
    <t>Account: 51440-006</t>
  </si>
  <si>
    <t>Education - Seattle</t>
  </si>
  <si>
    <t>Account: 51440-007</t>
  </si>
  <si>
    <t>Education - P.A.</t>
  </si>
  <si>
    <t>Account: 51500-007</t>
  </si>
  <si>
    <t>Food - P.A.</t>
  </si>
  <si>
    <t>Account: 51550-007</t>
  </si>
  <si>
    <t>Lodging - PA</t>
  </si>
  <si>
    <t>Account: 51600-006</t>
  </si>
  <si>
    <t>Insurance - Seattle</t>
  </si>
  <si>
    <t>Account: 51600-007</t>
  </si>
  <si>
    <t>Insurance - P.A.</t>
  </si>
  <si>
    <t>Account: 51600-008</t>
  </si>
  <si>
    <t>Insurance, Boats</t>
  </si>
  <si>
    <t>Account: 51610-006</t>
  </si>
  <si>
    <t>Insurance - License &amp; Defense</t>
  </si>
  <si>
    <t>Account: 51620-006</t>
  </si>
  <si>
    <t>Insurance - Medical</t>
  </si>
  <si>
    <t>Account: 51765-009</t>
  </si>
  <si>
    <t>Interest, Dispatch Software</t>
  </si>
  <si>
    <t>Account: 51900-007</t>
  </si>
  <si>
    <t>Laundry - P.A.</t>
  </si>
  <si>
    <t>Account: 51940-006</t>
  </si>
  <si>
    <t>Account: 51950-009</t>
  </si>
  <si>
    <t>Account: 52050-009</t>
  </si>
  <si>
    <t>Miscellaneous, Other</t>
  </si>
  <si>
    <t>Account: 52100-006</t>
  </si>
  <si>
    <t>Office Supplies - Seattle</t>
  </si>
  <si>
    <t>Account: 52220-009</t>
  </si>
  <si>
    <t>Pension, 1978</t>
  </si>
  <si>
    <t>Account: 52230-009</t>
  </si>
  <si>
    <t>Pension, Puget Sound Pilots</t>
  </si>
  <si>
    <t>Account: 52250-009</t>
  </si>
  <si>
    <t>Pension, Tabler</t>
  </si>
  <si>
    <t>Account: 52300-006</t>
  </si>
  <si>
    <t>Postage - Seattle</t>
  </si>
  <si>
    <t>Account: 52300-007</t>
  </si>
  <si>
    <t>Postage - P.A.</t>
  </si>
  <si>
    <t>Account: 52400-006</t>
  </si>
  <si>
    <t>Printing - Seattle</t>
  </si>
  <si>
    <t>Account: 52560-008</t>
  </si>
  <si>
    <t>Puget Sound, Fuel</t>
  </si>
  <si>
    <t>Account: 52570-008</t>
  </si>
  <si>
    <t>Puget Sound, Prev. Maintenance</t>
  </si>
  <si>
    <t>Account: 52660-008</t>
  </si>
  <si>
    <t>Juan de Fuca, Fuel</t>
  </si>
  <si>
    <t>Account: 52670-008</t>
  </si>
  <si>
    <t>Juan de Fuca, Prev. Maintenance</t>
  </si>
  <si>
    <t>Account: 52900-006</t>
  </si>
  <si>
    <t>Rent &amp; Parking - Seattle</t>
  </si>
  <si>
    <t>Account: 52900-007</t>
  </si>
  <si>
    <t>Rent, Tidelands Lease</t>
  </si>
  <si>
    <t>Account: 52950-006</t>
  </si>
  <si>
    <t>Repairs &amp; Maintenance - Seattle</t>
  </si>
  <si>
    <t>Account: 52950-007</t>
  </si>
  <si>
    <t>Repairs &amp; Maintenance - P.A.</t>
  </si>
  <si>
    <t>Account: 52955-006</t>
  </si>
  <si>
    <t>Remodel/Relocation - Seattle</t>
  </si>
  <si>
    <t>Account: 53010-006</t>
  </si>
  <si>
    <t>Salaries, Regular - Seattle</t>
  </si>
  <si>
    <t>Account: 53010-007</t>
  </si>
  <si>
    <t>Salaries, Regular - P.A.</t>
  </si>
  <si>
    <t>Account: 53020-006</t>
  </si>
  <si>
    <t>Salaries, Overtime - Seattle</t>
  </si>
  <si>
    <t>Account: 53020-007</t>
  </si>
  <si>
    <t>Salaries, Overtime - P.A.</t>
  </si>
  <si>
    <t>Account: 53100-006</t>
  </si>
  <si>
    <t>Subscriptions - Seattle</t>
  </si>
  <si>
    <t>Account: 53100-007</t>
  </si>
  <si>
    <t>Subscriptions - P.A.</t>
  </si>
  <si>
    <t>Account: 53200-006</t>
  </si>
  <si>
    <t>Supplies - Seattle</t>
  </si>
  <si>
    <t>Account: 53200-007</t>
  </si>
  <si>
    <t>Supplies - P.A.</t>
  </si>
  <si>
    <t>Account: 53320-006</t>
  </si>
  <si>
    <t>Taxes, FICA/Medicare - Seattle</t>
  </si>
  <si>
    <t>Account: 53320-007</t>
  </si>
  <si>
    <t>Taxes, FICA/Medicare - P.A.</t>
  </si>
  <si>
    <t>Account: 53330-006</t>
  </si>
  <si>
    <t>Taxes, SUTA - Seattle</t>
  </si>
  <si>
    <t>Account: 53330-007</t>
  </si>
  <si>
    <t>Taxes, SUTA - P.A.</t>
  </si>
  <si>
    <t>Account: 53340-006</t>
  </si>
  <si>
    <t>Taxes, FUTA - Seattle</t>
  </si>
  <si>
    <t>Account: 53340-007</t>
  </si>
  <si>
    <t>Taxes, FUTA - P.A.</t>
  </si>
  <si>
    <t>Account: 53350-006</t>
  </si>
  <si>
    <t>Taxes, L &amp; I - Seattle</t>
  </si>
  <si>
    <t>Account: 53360-006</t>
  </si>
  <si>
    <t>Taxes, Property - Seattle</t>
  </si>
  <si>
    <t>Account: 53360-007</t>
  </si>
  <si>
    <t>Taxes, Property - P.A.</t>
  </si>
  <si>
    <t>Account: 53360-008</t>
  </si>
  <si>
    <t>Taxes, Property - Boats</t>
  </si>
  <si>
    <t>Account: 53370-006</t>
  </si>
  <si>
    <t>Taxes, Food/Subscriptions - Seattle</t>
  </si>
  <si>
    <t>Account: 53370-007</t>
  </si>
  <si>
    <t>Taxes, Food/Subscriptions - P.A.</t>
  </si>
  <si>
    <t>Account: 53370-009</t>
  </si>
  <si>
    <t>Account: 53400-006</t>
  </si>
  <si>
    <t>Telephone &amp; Communications - Seattle</t>
  </si>
  <si>
    <t>Account: 53400-007</t>
  </si>
  <si>
    <t>Telephone &amp; Communications - P.A.</t>
  </si>
  <si>
    <t>Account: 53500-006</t>
  </si>
  <si>
    <t>Account: 53600-006</t>
  </si>
  <si>
    <t>Transportation Expense - Seattle</t>
  </si>
  <si>
    <t>Account: 53700-007</t>
  </si>
  <si>
    <t>Employee Reimbursments - P.A.</t>
  </si>
  <si>
    <t>Account: 53700-009</t>
  </si>
  <si>
    <t>Travel/Promo/Mileage/Meetings</t>
  </si>
  <si>
    <t>Account: 53800-007</t>
  </si>
  <si>
    <t>Utilities - P.A.</t>
  </si>
  <si>
    <t>Net Distributive Revenue</t>
  </si>
  <si>
    <t>Member Distributions</t>
  </si>
  <si>
    <t>Pilot Count</t>
  </si>
  <si>
    <t>Ended June 30, 2019</t>
  </si>
  <si>
    <t>Original Sheet Only - Not listed on current account</t>
  </si>
  <si>
    <t>Operating &amp; Maintenance Expenses Totals</t>
  </si>
  <si>
    <t>Pilot and Employee  Expenses Totals</t>
  </si>
  <si>
    <t>Port Angeles Expenses Totals</t>
  </si>
  <si>
    <t>Administrative &amp; General Expenses Totals</t>
  </si>
  <si>
    <t>Taxes and Fees Totals</t>
  </si>
  <si>
    <t>Difference from Prior Case</t>
  </si>
  <si>
    <t>Interst Income</t>
  </si>
  <si>
    <t>Finance Charges</t>
  </si>
  <si>
    <t>UTC Regulatory Fees</t>
  </si>
  <si>
    <t>DEI Donations</t>
  </si>
  <si>
    <t>Employee 401(k)</t>
  </si>
  <si>
    <t>Education</t>
  </si>
  <si>
    <t>Food &amp; Lodging - PA</t>
  </si>
  <si>
    <t>Miscellaneous - Other</t>
  </si>
  <si>
    <t>Penson-Other</t>
  </si>
  <si>
    <t>Pilot Boat Fuel</t>
  </si>
  <si>
    <t>Conferences/Travel</t>
  </si>
  <si>
    <t>*  Estimated using December 31, 2021 interest expense.</t>
  </si>
  <si>
    <t>Interest Income</t>
  </si>
  <si>
    <t>Other Income PPP LOAN</t>
  </si>
  <si>
    <t>Total Revenues</t>
  </si>
  <si>
    <t>Jan-Dec 2021</t>
  </si>
  <si>
    <t>Twelve Months Ended Month Dec 31, 2021</t>
  </si>
  <si>
    <t>Results of Operations Schedule 1.1r2</t>
  </si>
  <si>
    <t>agree with company</t>
  </si>
  <si>
    <t>Docket TP-220513</t>
  </si>
  <si>
    <t>Results of Operations Schedule 1.1</t>
  </si>
  <si>
    <t>Exh. JNS-01</t>
  </si>
  <si>
    <t xml:space="preserve">Exh.JNS-01 </t>
  </si>
  <si>
    <t>Exh.JNS-01</t>
  </si>
  <si>
    <t>Restating Adjustments Schedule 1.2</t>
  </si>
  <si>
    <t>Simmons</t>
  </si>
  <si>
    <t>WTB-05</t>
  </si>
  <si>
    <t>Charitable Donataions Removed</t>
  </si>
  <si>
    <t>Computer Maintenance Amortized 3years</t>
  </si>
  <si>
    <t>Young</t>
  </si>
  <si>
    <t>yes</t>
  </si>
  <si>
    <t>No</t>
  </si>
  <si>
    <t>Add Depreciated Maintenace expense</t>
  </si>
  <si>
    <t>Lobbying Fees Removed</t>
  </si>
  <si>
    <t>Moved Maintenance to Depreciation Schedule</t>
  </si>
  <si>
    <t>Add in Additional fuel cost for most current 12 mths</t>
  </si>
  <si>
    <t>DEI Training</t>
  </si>
  <si>
    <t>Added</t>
  </si>
  <si>
    <t>PPP loan adjustment to wash expense</t>
  </si>
  <si>
    <t xml:space="preserve">Amortization of Consulting RCS </t>
  </si>
  <si>
    <t>Amortization of RCS</t>
  </si>
  <si>
    <t>Legal fees</t>
  </si>
  <si>
    <t>Amortized over 3yrs</t>
  </si>
  <si>
    <t>(v)</t>
  </si>
  <si>
    <t xml:space="preserve">Yes </t>
  </si>
  <si>
    <t>previous order</t>
  </si>
  <si>
    <t xml:space="preserve">24,25,26,26 </t>
  </si>
  <si>
    <t>amortization yrs</t>
  </si>
  <si>
    <t>removal of Senate Bill</t>
  </si>
  <si>
    <t>no</t>
  </si>
  <si>
    <t>Amortization RCS</t>
  </si>
  <si>
    <t>Computer expense per</t>
  </si>
  <si>
    <t>order 09</t>
  </si>
  <si>
    <t>Rate-Case Specisic Expenses TP-220513</t>
  </si>
  <si>
    <t>Rate Case Specific Items TP-220513</t>
  </si>
  <si>
    <t>Rate Case TP-220513</t>
  </si>
  <si>
    <t>Fiance Charges</t>
  </si>
  <si>
    <t>Training Expense</t>
  </si>
  <si>
    <t xml:space="preserve">Removal of </t>
  </si>
  <si>
    <t>Tabler and</t>
  </si>
  <si>
    <t>Red Cloud</t>
  </si>
  <si>
    <t>Insurance removal</t>
  </si>
  <si>
    <t>Moved toTDNI</t>
  </si>
  <si>
    <t xml:space="preserve">Removal of 2021 </t>
  </si>
  <si>
    <t>Crusie Revenue</t>
  </si>
  <si>
    <t>Add Crusie Rev. 2022</t>
  </si>
  <si>
    <t>Employee 401k</t>
  </si>
  <si>
    <t>Emloyee</t>
  </si>
  <si>
    <t>Welfare</t>
  </si>
  <si>
    <t>last GRC Consulting Fees</t>
  </si>
  <si>
    <t>Juan De Fuca</t>
  </si>
  <si>
    <t>Maintenance</t>
  </si>
  <si>
    <t>PF-6</t>
  </si>
  <si>
    <t>Adj out for Amortization of expenses Legal</t>
  </si>
  <si>
    <t>Transportation</t>
  </si>
  <si>
    <t>2021 RCS amortizarion</t>
  </si>
  <si>
    <t>3 yrs</t>
  </si>
  <si>
    <t>B&amp;O Taxes</t>
  </si>
  <si>
    <t>Adj to Travel account 53700</t>
  </si>
  <si>
    <t>Adjustment out to match Co. General Ledger Account 53700</t>
  </si>
  <si>
    <t>PF-19</t>
  </si>
  <si>
    <t>Pay as u go</t>
  </si>
  <si>
    <t>(w)</t>
  </si>
  <si>
    <t>PF-20</t>
  </si>
  <si>
    <t>Licensing Fees</t>
  </si>
  <si>
    <t xml:space="preserve">Exh. JNS-2r    </t>
  </si>
  <si>
    <t xml:space="preserve">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</si>
</sst>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"/>
    <numFmt numFmtId="165" formatCode="_(&quot;$&quot;#,###_);_(&quot;$&quot;\ \(#,###\);_(* _);_(@_)"/>
    <numFmt numFmtId="166" formatCode="_(* #,##0_);_(* \(#,##0\);_(* &quot;-&quot;??_);_(@_)"/>
    <numFmt numFmtId="167" formatCode="#,###_);\(#,###\)\,\ "/>
    <numFmt numFmtId="168" formatCode="&quot;Increase of &quot;0.00%"/>
  </numFmts>
  <fonts count="22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9"/>
      <name val="Times New Roman"/>
      <family val="1"/>
    </font>
    <font>
      <sz val="10"/>
      <color rgb="FF00206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D7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7" fillId="0" borderId="0"/>
    <xf numFmtId="0" fontId="4" fillId="0" borderId="0"/>
    <xf numFmtId="41" fontId="7" fillId="0" borderId="0"/>
    <xf numFmtId="0" fontId="4" fillId="0" borderId="0"/>
    <xf numFmtId="167" fontId="4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14" fontId="6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/>
    <xf numFmtId="41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5">
    <xf numFmtId="37" fontId="0" fillId="0" borderId="0" xfId="0"/>
    <xf numFmtId="37" fontId="0" fillId="5" borderId="0" xfId="0" applyFill="1"/>
    <xf numFmtId="0" fontId="6" fillId="0" borderId="0" xfId="7" applyNumberFormat="1" applyFont="1" applyAlignment="1">
      <alignment horizontal="center" vertical="justify"/>
    </xf>
    <xf numFmtId="167" fontId="6" fillId="0" borderId="0" xfId="7" applyFont="1"/>
    <xf numFmtId="3" fontId="6" fillId="0" borderId="0" xfId="7" applyNumberFormat="1" applyFont="1"/>
    <xf numFmtId="167" fontId="6" fillId="3" borderId="0" xfId="7" applyFont="1" applyFill="1"/>
    <xf numFmtId="0" fontId="13" fillId="0" borderId="0" xfId="7" applyNumberFormat="1" applyFont="1" applyAlignment="1">
      <alignment horizontal="center" vertical="justify"/>
    </xf>
    <xf numFmtId="167" fontId="13" fillId="0" borderId="0" xfId="7" applyFont="1"/>
    <xf numFmtId="167" fontId="6" fillId="0" borderId="0" xfId="7" applyFont="1" applyAlignment="1">
      <alignment horizontal="center" vertical="justify"/>
    </xf>
    <xf numFmtId="0" fontId="6" fillId="0" borderId="0" xfId="7" applyNumberFormat="1" applyFont="1" applyAlignment="1">
      <alignment horizontal="center"/>
    </xf>
    <xf numFmtId="167" fontId="6" fillId="0" borderId="0" xfId="7" applyFont="1" applyAlignment="1">
      <alignment horizontal="center"/>
    </xf>
    <xf numFmtId="167" fontId="6" fillId="3" borderId="0" xfId="7" applyFont="1" applyFill="1" applyAlignment="1">
      <alignment horizontal="center"/>
    </xf>
    <xf numFmtId="167" fontId="13" fillId="0" borderId="0" xfId="7" applyFont="1" applyAlignment="1">
      <alignment horizontal="center"/>
    </xf>
    <xf numFmtId="3" fontId="13" fillId="0" borderId="0" xfId="7" applyNumberFormat="1" applyFont="1" applyAlignment="1">
      <alignment horizontal="center"/>
    </xf>
    <xf numFmtId="167" fontId="13" fillId="3" borderId="0" xfId="7" applyFont="1" applyFill="1" applyAlignment="1">
      <alignment horizontal="center"/>
    </xf>
    <xf numFmtId="167" fontId="13" fillId="3" borderId="9" xfId="7" applyFont="1" applyFill="1" applyBorder="1" applyAlignment="1">
      <alignment horizontal="center"/>
    </xf>
    <xf numFmtId="0" fontId="13" fillId="0" borderId="3" xfId="7" applyNumberFormat="1" applyFont="1" applyBorder="1" applyAlignment="1">
      <alignment horizontal="center" vertical="justify"/>
    </xf>
    <xf numFmtId="167" fontId="13" fillId="0" borderId="3" xfId="7" applyFont="1" applyBorder="1" applyAlignment="1">
      <alignment horizontal="center"/>
    </xf>
    <xf numFmtId="3" fontId="13" fillId="0" borderId="3" xfId="7" applyNumberFormat="1" applyFont="1" applyBorder="1" applyAlignment="1">
      <alignment horizontal="center"/>
    </xf>
    <xf numFmtId="167" fontId="13" fillId="3" borderId="10" xfId="7" applyFont="1" applyFill="1" applyBorder="1" applyAlignment="1">
      <alignment horizontal="center"/>
    </xf>
    <xf numFmtId="167" fontId="14" fillId="0" borderId="4" xfId="7" applyFont="1" applyBorder="1" applyAlignment="1">
      <alignment horizontal="right"/>
    </xf>
    <xf numFmtId="3" fontId="14" fillId="0" borderId="4" xfId="7" applyNumberFormat="1" applyFont="1" applyBorder="1" applyAlignment="1">
      <alignment horizontal="center" shrinkToFit="1"/>
    </xf>
    <xf numFmtId="3" fontId="14" fillId="0" borderId="4" xfId="7" applyNumberFormat="1" applyFont="1" applyBorder="1" applyAlignment="1">
      <alignment horizontal="center"/>
    </xf>
    <xf numFmtId="168" fontId="15" fillId="0" borderId="4" xfId="8" applyNumberFormat="1" applyFont="1" applyFill="1" applyBorder="1" applyAlignment="1">
      <alignment horizontal="center" shrinkToFit="1"/>
    </xf>
    <xf numFmtId="0" fontId="6" fillId="0" borderId="2" xfId="7" applyNumberFormat="1" applyFont="1" applyBorder="1" applyAlignment="1">
      <alignment horizontal="center" vertical="justify"/>
    </xf>
    <xf numFmtId="167" fontId="6" fillId="2" borderId="7" xfId="7" applyFont="1" applyFill="1" applyBorder="1" applyAlignment="1">
      <alignment horizontal="center"/>
    </xf>
    <xf numFmtId="167" fontId="13" fillId="3" borderId="12" xfId="7" applyFont="1" applyFill="1" applyBorder="1" applyAlignment="1">
      <alignment horizontal="center"/>
    </xf>
    <xf numFmtId="0" fontId="6" fillId="0" borderId="2" xfId="6" applyFont="1" applyBorder="1" applyAlignment="1">
      <alignment horizontal="center" vertical="justify"/>
    </xf>
    <xf numFmtId="0" fontId="6" fillId="0" borderId="0" xfId="6" applyFont="1"/>
    <xf numFmtId="167" fontId="6" fillId="3" borderId="10" xfId="7" applyFont="1" applyFill="1" applyBorder="1"/>
    <xf numFmtId="5" fontId="6" fillId="0" borderId="0" xfId="6" applyNumberFormat="1" applyFont="1"/>
    <xf numFmtId="5" fontId="6" fillId="0" borderId="0" xfId="0" applyNumberFormat="1" applyFont="1" applyProtection="1">
      <protection locked="0"/>
    </xf>
    <xf numFmtId="5" fontId="6" fillId="0" borderId="0" xfId="4" applyNumberFormat="1" applyFont="1"/>
    <xf numFmtId="5" fontId="6" fillId="0" borderId="0" xfId="7" applyNumberFormat="1" applyFont="1"/>
    <xf numFmtId="5" fontId="6" fillId="0" borderId="0" xfId="2" applyNumberFormat="1" applyFont="1" applyFill="1"/>
    <xf numFmtId="37" fontId="6" fillId="0" borderId="0" xfId="6" applyNumberFormat="1" applyFont="1"/>
    <xf numFmtId="166" fontId="6" fillId="0" borderId="0" xfId="1" applyNumberFormat="1" applyFont="1" applyFill="1" applyProtection="1">
      <protection locked="0"/>
    </xf>
    <xf numFmtId="166" fontId="6" fillId="0" borderId="0" xfId="1" applyNumberFormat="1" applyFont="1" applyFill="1"/>
    <xf numFmtId="166" fontId="6" fillId="0" borderId="3" xfId="1" applyNumberFormat="1" applyFont="1" applyFill="1" applyBorder="1"/>
    <xf numFmtId="37" fontId="6" fillId="0" borderId="0" xfId="6" applyNumberFormat="1" applyFont="1" applyAlignment="1">
      <alignment horizontal="right" indent="1"/>
    </xf>
    <xf numFmtId="166" fontId="6" fillId="0" borderId="1" xfId="1" applyNumberFormat="1" applyFont="1" applyFill="1" applyBorder="1"/>
    <xf numFmtId="166" fontId="6" fillId="0" borderId="0" xfId="1" applyNumberFormat="1" applyFont="1" applyFill="1" applyBorder="1"/>
    <xf numFmtId="167" fontId="13" fillId="3" borderId="11" xfId="7" applyFont="1" applyFill="1" applyBorder="1" applyAlignment="1">
      <alignment horizontal="center"/>
    </xf>
    <xf numFmtId="37" fontId="13" fillId="0" borderId="0" xfId="6" applyNumberFormat="1" applyFont="1" applyAlignment="1">
      <alignment horizontal="left" indent="1"/>
    </xf>
    <xf numFmtId="37" fontId="6" fillId="0" borderId="0" xfId="6" applyNumberFormat="1" applyFont="1" applyAlignment="1">
      <alignment horizontal="left" indent="1"/>
    </xf>
    <xf numFmtId="167" fontId="6" fillId="3" borderId="9" xfId="7" applyFont="1" applyFill="1" applyBorder="1"/>
    <xf numFmtId="167" fontId="6" fillId="3" borderId="11" xfId="7" applyFont="1" applyFill="1" applyBorder="1"/>
    <xf numFmtId="166" fontId="6" fillId="0" borderId="4" xfId="1" applyNumberFormat="1" applyFont="1" applyFill="1" applyBorder="1"/>
    <xf numFmtId="37" fontId="13" fillId="0" borderId="0" xfId="6" applyNumberFormat="1" applyFont="1" applyAlignment="1">
      <alignment horizontal="right" indent="1"/>
    </xf>
    <xf numFmtId="164" fontId="6" fillId="3" borderId="0" xfId="7" applyNumberFormat="1" applyFont="1" applyFill="1"/>
    <xf numFmtId="41" fontId="6" fillId="0" borderId="0" xfId="2" applyFont="1" applyFill="1" applyBorder="1"/>
    <xf numFmtId="5" fontId="13" fillId="0" borderId="0" xfId="6" applyNumberFormat="1" applyFont="1" applyAlignment="1">
      <alignment horizontal="right"/>
    </xf>
    <xf numFmtId="5" fontId="6" fillId="0" borderId="3" xfId="2" applyNumberFormat="1" applyFont="1" applyFill="1" applyBorder="1"/>
    <xf numFmtId="0" fontId="13" fillId="0" borderId="0" xfId="6" applyFont="1" applyAlignment="1">
      <alignment horizontal="center"/>
    </xf>
    <xf numFmtId="3" fontId="13" fillId="0" borderId="0" xfId="6" applyNumberFormat="1" applyFont="1"/>
    <xf numFmtId="0" fontId="13" fillId="0" borderId="0" xfId="6" applyFont="1"/>
    <xf numFmtId="0" fontId="6" fillId="0" borderId="0" xfId="6" applyFont="1" applyAlignment="1">
      <alignment horizontal="center"/>
    </xf>
    <xf numFmtId="3" fontId="6" fillId="3" borderId="0" xfId="6" applyNumberFormat="1" applyFont="1" applyFill="1"/>
    <xf numFmtId="3" fontId="6" fillId="4" borderId="0" xfId="6" applyNumberFormat="1" applyFont="1" applyFill="1" applyAlignment="1">
      <alignment horizontal="center"/>
    </xf>
    <xf numFmtId="3" fontId="6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5" xfId="6" applyNumberFormat="1" applyFont="1" applyBorder="1"/>
    <xf numFmtId="3" fontId="6" fillId="0" borderId="5" xfId="6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1" fontId="13" fillId="0" borderId="0" xfId="5" applyFont="1" applyAlignment="1">
      <alignment horizontal="center"/>
    </xf>
    <xf numFmtId="3" fontId="13" fillId="0" borderId="0" xfId="6" applyNumberFormat="1" applyFont="1" applyAlignment="1">
      <alignment horizontal="center"/>
    </xf>
    <xf numFmtId="0" fontId="13" fillId="0" borderId="3" xfId="6" applyFont="1" applyBorder="1" applyAlignment="1">
      <alignment horizontal="center"/>
    </xf>
    <xf numFmtId="3" fontId="13" fillId="0" borderId="3" xfId="6" applyNumberFormat="1" applyFont="1" applyBorder="1" applyAlignment="1">
      <alignment horizontal="center"/>
    </xf>
    <xf numFmtId="0" fontId="6" fillId="0" borderId="2" xfId="7" applyNumberFormat="1" applyFont="1" applyBorder="1" applyAlignment="1">
      <alignment horizontal="center"/>
    </xf>
    <xf numFmtId="167" fontId="6" fillId="2" borderId="6" xfId="7" applyFont="1" applyFill="1" applyBorder="1" applyAlignment="1">
      <alignment horizontal="center"/>
    </xf>
    <xf numFmtId="0" fontId="6" fillId="0" borderId="2" xfId="6" applyFont="1" applyBorder="1" applyAlignment="1">
      <alignment horizontal="center"/>
    </xf>
    <xf numFmtId="37" fontId="6" fillId="0" borderId="0" xfId="6" applyNumberFormat="1" applyFont="1" applyAlignment="1">
      <alignment horizontal="left"/>
    </xf>
    <xf numFmtId="5" fontId="6" fillId="0" borderId="8" xfId="2" applyNumberFormat="1" applyFont="1" applyFill="1" applyBorder="1"/>
    <xf numFmtId="0" fontId="6" fillId="0" borderId="0" xfId="6" quotePrefix="1" applyFont="1" applyAlignment="1">
      <alignment horizontal="center"/>
    </xf>
    <xf numFmtId="165" fontId="13" fillId="0" borderId="0" xfId="4" applyNumberFormat="1" applyFont="1" applyAlignment="1">
      <alignment horizontal="center"/>
    </xf>
    <xf numFmtId="3" fontId="13" fillId="0" borderId="3" xfId="6" quotePrefix="1" applyNumberFormat="1" applyFont="1" applyBorder="1" applyAlignment="1">
      <alignment horizontal="center"/>
    </xf>
    <xf numFmtId="0" fontId="14" fillId="0" borderId="0" xfId="6" applyFont="1" applyAlignment="1">
      <alignment horizontal="right"/>
    </xf>
    <xf numFmtId="3" fontId="14" fillId="0" borderId="0" xfId="6" applyNumberFormat="1" applyFont="1" applyAlignment="1">
      <alignment horizontal="left"/>
    </xf>
    <xf numFmtId="166" fontId="13" fillId="0" borderId="0" xfId="1" applyNumberFormat="1" applyFont="1" applyFill="1" applyAlignment="1">
      <alignment horizontal="right" indent="1"/>
    </xf>
    <xf numFmtId="3" fontId="13" fillId="0" borderId="0" xfId="7" applyNumberFormat="1" applyFont="1"/>
    <xf numFmtId="166" fontId="6" fillId="0" borderId="8" xfId="1" applyNumberFormat="1" applyFont="1" applyBorder="1"/>
    <xf numFmtId="5" fontId="6" fillId="0" borderId="8" xfId="7" applyNumberFormat="1" applyFont="1" applyBorder="1"/>
    <xf numFmtId="3" fontId="13" fillId="0" borderId="0" xfId="6" quotePrefix="1" applyNumberFormat="1" applyFont="1" applyAlignment="1">
      <alignment horizontal="center"/>
    </xf>
    <xf numFmtId="167" fontId="6" fillId="2" borderId="14" xfId="7" applyFont="1" applyFill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14" fillId="0" borderId="1" xfId="6" applyFont="1" applyBorder="1" applyAlignment="1">
      <alignment horizontal="right"/>
    </xf>
    <xf numFmtId="3" fontId="14" fillId="0" borderId="1" xfId="6" applyNumberFormat="1" applyFont="1" applyBorder="1"/>
    <xf numFmtId="3" fontId="6" fillId="0" borderId="1" xfId="6" applyNumberFormat="1" applyFont="1" applyBorder="1" applyAlignment="1">
      <alignment horizontal="center"/>
    </xf>
    <xf numFmtId="37" fontId="17" fillId="0" borderId="0" xfId="0" applyFont="1"/>
    <xf numFmtId="167" fontId="13" fillId="0" borderId="0" xfId="7" applyFont="1" applyAlignment="1">
      <alignment horizontal="right"/>
    </xf>
    <xf numFmtId="10" fontId="6" fillId="3" borderId="0" xfId="8" applyNumberFormat="1" applyFont="1" applyFill="1"/>
    <xf numFmtId="5" fontId="13" fillId="6" borderId="10" xfId="1" applyNumberFormat="1" applyFont="1" applyFill="1" applyBorder="1" applyAlignment="1">
      <alignment horizontal="center"/>
    </xf>
    <xf numFmtId="3" fontId="13" fillId="0" borderId="0" xfId="6" applyNumberFormat="1" applyFont="1" applyAlignment="1">
      <alignment horizontal="right"/>
    </xf>
    <xf numFmtId="167" fontId="6" fillId="2" borderId="0" xfId="7" applyFont="1" applyFill="1" applyAlignment="1">
      <alignment horizontal="center"/>
    </xf>
    <xf numFmtId="0" fontId="6" fillId="0" borderId="0" xfId="6" applyFont="1" applyAlignment="1">
      <alignment horizontal="center" vertical="justify"/>
    </xf>
    <xf numFmtId="37" fontId="18" fillId="0" borderId="0" xfId="0" applyFont="1" applyAlignment="1">
      <alignment horizontal="left" indent="1"/>
    </xf>
    <xf numFmtId="37" fontId="18" fillId="0" borderId="0" xfId="0" applyFont="1"/>
    <xf numFmtId="37" fontId="0" fillId="7" borderId="0" xfId="0" applyFill="1"/>
    <xf numFmtId="37" fontId="0" fillId="7" borderId="0" xfId="0" applyFill="1" applyAlignment="1">
      <alignment horizontal="right"/>
    </xf>
    <xf numFmtId="37" fontId="13" fillId="0" borderId="0" xfId="6" applyNumberFormat="1" applyFont="1" applyAlignment="1">
      <alignment horizontal="center"/>
    </xf>
    <xf numFmtId="167" fontId="13" fillId="6" borderId="0" xfId="7" applyFont="1" applyFill="1" applyAlignment="1">
      <alignment horizontal="center"/>
    </xf>
    <xf numFmtId="49" fontId="13" fillId="6" borderId="0" xfId="7" applyNumberFormat="1" applyFont="1" applyFill="1" applyAlignment="1">
      <alignment horizontal="center"/>
    </xf>
    <xf numFmtId="167" fontId="13" fillId="6" borderId="3" xfId="7" applyFont="1" applyFill="1" applyBorder="1" applyAlignment="1">
      <alignment horizontal="center"/>
    </xf>
    <xf numFmtId="167" fontId="13" fillId="8" borderId="0" xfId="7" applyFont="1" applyFill="1" applyAlignment="1">
      <alignment horizontal="center"/>
    </xf>
    <xf numFmtId="167" fontId="13" fillId="8" borderId="0" xfId="7" applyFont="1" applyFill="1" applyAlignment="1">
      <alignment horizontal="left"/>
    </xf>
    <xf numFmtId="37" fontId="0" fillId="8" borderId="0" xfId="0" applyFill="1"/>
    <xf numFmtId="37" fontId="0" fillId="9" borderId="0" xfId="0" applyFill="1"/>
    <xf numFmtId="37" fontId="0" fillId="9" borderId="0" xfId="0" applyFill="1" applyAlignment="1">
      <alignment horizontal="center"/>
    </xf>
    <xf numFmtId="37" fontId="0" fillId="0" borderId="0" xfId="0" applyAlignment="1">
      <alignment horizontal="center" vertical="center"/>
    </xf>
    <xf numFmtId="37" fontId="0" fillId="7" borderId="0" xfId="0" applyFill="1" applyAlignment="1">
      <alignment horizontal="center" vertical="center"/>
    </xf>
    <xf numFmtId="37" fontId="13" fillId="0" borderId="0" xfId="6" applyNumberFormat="1" applyFont="1"/>
    <xf numFmtId="37" fontId="0" fillId="10" borderId="0" xfId="0" applyFill="1" applyAlignment="1">
      <alignment horizontal="center" vertical="center"/>
    </xf>
    <xf numFmtId="167" fontId="13" fillId="0" borderId="0" xfId="7" applyFont="1" applyAlignment="1">
      <alignment horizontal="left"/>
    </xf>
    <xf numFmtId="37" fontId="13" fillId="0" borderId="0" xfId="6" applyNumberFormat="1" applyFont="1" applyAlignment="1">
      <alignment wrapText="1"/>
    </xf>
    <xf numFmtId="37" fontId="20" fillId="0" borderId="0" xfId="6" applyNumberFormat="1" applyFont="1" applyAlignment="1">
      <alignment horizontal="right" indent="1"/>
    </xf>
    <xf numFmtId="166" fontId="6" fillId="0" borderId="3" xfId="2" applyNumberFormat="1" applyFont="1" applyFill="1" applyBorder="1"/>
    <xf numFmtId="37" fontId="18" fillId="6" borderId="0" xfId="0" applyFont="1" applyFill="1" applyAlignment="1">
      <alignment horizontal="left" indent="1"/>
    </xf>
    <xf numFmtId="37" fontId="6" fillId="0" borderId="3" xfId="6" applyNumberFormat="1" applyFont="1" applyBorder="1"/>
    <xf numFmtId="44" fontId="14" fillId="0" borderId="4" xfId="57" applyFont="1" applyBorder="1" applyAlignment="1">
      <alignment horizontal="right"/>
    </xf>
    <xf numFmtId="44" fontId="6" fillId="0" borderId="3" xfId="57" applyFont="1" applyBorder="1" applyAlignment="1">
      <alignment horizontal="right" indent="1"/>
    </xf>
    <xf numFmtId="44" fontId="6" fillId="0" borderId="0" xfId="57" applyFont="1" applyAlignment="1">
      <alignment horizontal="right" indent="1"/>
    </xf>
    <xf numFmtId="44" fontId="13" fillId="0" borderId="0" xfId="57" applyFont="1" applyAlignment="1">
      <alignment horizontal="right"/>
    </xf>
    <xf numFmtId="44" fontId="6" fillId="0" borderId="0" xfId="57" applyFont="1" applyAlignment="1">
      <alignment horizontal="right"/>
    </xf>
    <xf numFmtId="44" fontId="13" fillId="6" borderId="0" xfId="57" applyFont="1" applyFill="1" applyAlignment="1">
      <alignment horizontal="right"/>
    </xf>
    <xf numFmtId="44" fontId="13" fillId="6" borderId="3" xfId="57" applyFont="1" applyFill="1" applyBorder="1" applyAlignment="1">
      <alignment horizontal="right"/>
    </xf>
    <xf numFmtId="44" fontId="6" fillId="2" borderId="0" xfId="57" applyFont="1" applyFill="1" applyAlignment="1">
      <alignment horizontal="right"/>
    </xf>
    <xf numFmtId="44" fontId="6" fillId="0" borderId="0" xfId="57" applyFont="1" applyBorder="1" applyAlignment="1">
      <alignment horizontal="right"/>
    </xf>
    <xf numFmtId="44" fontId="18" fillId="0" borderId="0" xfId="57" applyFont="1" applyFill="1" applyAlignment="1">
      <alignment horizontal="right"/>
    </xf>
    <xf numFmtId="44" fontId="18" fillId="0" borderId="3" xfId="57" applyFont="1" applyBorder="1" applyAlignment="1">
      <alignment horizontal="right"/>
    </xf>
    <xf numFmtId="44" fontId="18" fillId="0" borderId="4" xfId="57" applyFont="1" applyBorder="1" applyAlignment="1">
      <alignment horizontal="right"/>
    </xf>
    <xf numFmtId="44" fontId="18" fillId="0" borderId="0" xfId="57" applyFont="1" applyAlignment="1">
      <alignment horizontal="right"/>
    </xf>
    <xf numFmtId="44" fontId="0" fillId="0" borderId="0" xfId="57" applyFont="1" applyAlignment="1">
      <alignment horizontal="right"/>
    </xf>
    <xf numFmtId="0" fontId="6" fillId="9" borderId="0" xfId="6" applyFont="1" applyFill="1"/>
    <xf numFmtId="0" fontId="13" fillId="9" borderId="0" xfId="6" applyFont="1" applyFill="1" applyAlignment="1">
      <alignment horizontal="center"/>
    </xf>
    <xf numFmtId="0" fontId="6" fillId="9" borderId="0" xfId="6" applyFont="1" applyFill="1" applyAlignment="1">
      <alignment horizontal="center"/>
    </xf>
    <xf numFmtId="5" fontId="6" fillId="9" borderId="0" xfId="6" applyNumberFormat="1" applyFont="1" applyFill="1"/>
    <xf numFmtId="37" fontId="6" fillId="9" borderId="0" xfId="6" applyNumberFormat="1" applyFont="1" applyFill="1"/>
    <xf numFmtId="166" fontId="6" fillId="9" borderId="0" xfId="1" applyNumberFormat="1" applyFont="1" applyFill="1"/>
    <xf numFmtId="166" fontId="6" fillId="0" borderId="8" xfId="1" applyNumberFormat="1" applyFont="1" applyFill="1" applyBorder="1"/>
    <xf numFmtId="166" fontId="6" fillId="11" borderId="0" xfId="1" applyNumberFormat="1" applyFont="1" applyFill="1" applyProtection="1">
      <protection locked="0"/>
    </xf>
    <xf numFmtId="3" fontId="21" fillId="11" borderId="0" xfId="7" applyNumberFormat="1" applyFont="1" applyFill="1"/>
    <xf numFmtId="14" fontId="13" fillId="6" borderId="10" xfId="1" applyNumberFormat="1" applyFont="1" applyFill="1" applyBorder="1" applyAlignment="1">
      <alignment horizontal="center"/>
    </xf>
    <xf numFmtId="0" fontId="13" fillId="0" borderId="2" xfId="6" applyFont="1" applyBorder="1" applyAlignment="1">
      <alignment horizontal="center" vertical="justify"/>
    </xf>
    <xf numFmtId="166" fontId="13" fillId="0" borderId="0" xfId="1" applyNumberFormat="1" applyFont="1" applyFill="1" applyProtection="1">
      <protection locked="0"/>
    </xf>
    <xf numFmtId="167" fontId="13" fillId="3" borderId="0" xfId="7" applyFont="1" applyFill="1"/>
    <xf numFmtId="166" fontId="6" fillId="0" borderId="8" xfId="7" applyNumberFormat="1" applyFont="1" applyBorder="1"/>
    <xf numFmtId="166" fontId="6" fillId="0" borderId="0" xfId="1" applyNumberFormat="1" applyFont="1" applyFill="1" applyAlignment="1">
      <alignment horizontal="right"/>
    </xf>
    <xf numFmtId="166" fontId="6" fillId="0" borderId="0" xfId="1" applyNumberFormat="1" applyFont="1" applyFill="1" applyAlignment="1" applyProtection="1">
      <alignment horizontal="right"/>
      <protection locked="0"/>
    </xf>
    <xf numFmtId="166" fontId="6" fillId="0" borderId="1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5" fontId="6" fillId="0" borderId="3" xfId="2" applyNumberFormat="1" applyFont="1" applyFill="1" applyBorder="1" applyAlignment="1">
      <alignment horizontal="right"/>
    </xf>
    <xf numFmtId="5" fontId="6" fillId="0" borderId="8" xfId="2" applyNumberFormat="1" applyFont="1" applyFill="1" applyBorder="1" applyAlignment="1">
      <alignment horizontal="right"/>
    </xf>
    <xf numFmtId="3" fontId="6" fillId="9" borderId="0" xfId="6" applyNumberFormat="1" applyFont="1" applyFill="1"/>
    <xf numFmtId="0" fontId="13" fillId="0" borderId="3" xfId="6" quotePrefix="1" applyFont="1" applyBorder="1" applyAlignment="1">
      <alignment horizontal="center"/>
    </xf>
    <xf numFmtId="166" fontId="6" fillId="0" borderId="3" xfId="1" applyNumberFormat="1" applyFont="1" applyFill="1" applyBorder="1" applyProtection="1">
      <protection locked="0"/>
    </xf>
    <xf numFmtId="37" fontId="19" fillId="0" borderId="13" xfId="0" applyFont="1" applyBorder="1" applyAlignment="1">
      <alignment horizontal="center"/>
    </xf>
    <xf numFmtId="37" fontId="19" fillId="0" borderId="0" xfId="0" applyFont="1" applyAlignment="1">
      <alignment horizontal="center"/>
    </xf>
    <xf numFmtId="3" fontId="6" fillId="0" borderId="0" xfId="7" applyNumberFormat="1" applyFont="1" applyAlignment="1">
      <alignment horizontal="center"/>
    </xf>
    <xf numFmtId="167" fontId="16" fillId="0" borderId="13" xfId="7" applyFont="1" applyBorder="1" applyAlignment="1">
      <alignment horizontal="left"/>
    </xf>
    <xf numFmtId="167" fontId="16" fillId="0" borderId="0" xfId="7" applyFont="1" applyAlignment="1">
      <alignment horizontal="left"/>
    </xf>
    <xf numFmtId="3" fontId="13" fillId="0" borderId="0" xfId="6" applyNumberFormat="1" applyFont="1" applyAlignment="1">
      <alignment horizontal="center" wrapText="1"/>
    </xf>
    <xf numFmtId="3" fontId="13" fillId="0" borderId="3" xfId="6" applyNumberFormat="1" applyFont="1" applyBorder="1" applyAlignment="1">
      <alignment horizontal="center" wrapText="1"/>
    </xf>
    <xf numFmtId="3" fontId="13" fillId="0" borderId="0" xfId="6" applyNumberFormat="1" applyFont="1" applyAlignment="1">
      <alignment horizontal="center" vertical="center" wrapText="1"/>
    </xf>
    <xf numFmtId="3" fontId="13" fillId="0" borderId="3" xfId="6" applyNumberFormat="1" applyFont="1" applyBorder="1" applyAlignment="1">
      <alignment horizontal="center" vertical="center" wrapText="1"/>
    </xf>
  </cellXfs>
  <cellStyles count="59">
    <cellStyle name="Comma" xfId="1" builtinId="3"/>
    <cellStyle name="Comma 2" xfId="9" xr:uid="{00000000-0005-0000-0000-000001000000}"/>
    <cellStyle name="Comma 2 2" xfId="14" xr:uid="{00000000-0005-0000-0000-000002000000}"/>
    <cellStyle name="Comma 2 2 2" xfId="21" xr:uid="{00000000-0005-0000-0000-000003000000}"/>
    <cellStyle name="Comma 2 2 3" xfId="26" xr:uid="{00000000-0005-0000-0000-000004000000}"/>
    <cellStyle name="Comma 2 3" xfId="19" xr:uid="{00000000-0005-0000-0000-000005000000}"/>
    <cellStyle name="Comma 2 4" xfId="24" xr:uid="{00000000-0005-0000-0000-000006000000}"/>
    <cellStyle name="Comma 2 5" xfId="31" xr:uid="{00000000-0005-0000-0000-000007000000}"/>
    <cellStyle name="Comma 2 6" xfId="35" xr:uid="{00000000-0005-0000-0000-000008000000}"/>
    <cellStyle name="Comma 3" xfId="30" xr:uid="{00000000-0005-0000-0000-000009000000}"/>
    <cellStyle name="Comma 3 2" xfId="54" xr:uid="{00000000-0005-0000-0000-00000A000000}"/>
    <cellStyle name="Comma 4" xfId="34" xr:uid="{00000000-0005-0000-0000-00000B000000}"/>
    <cellStyle name="Comma 4 2" xfId="56" xr:uid="{00000000-0005-0000-0000-00000C000000}"/>
    <cellStyle name="Comma 5" xfId="37" xr:uid="{00000000-0005-0000-0000-00000D000000}"/>
    <cellStyle name="Comma_Avista WA GAS TY2006 Staff Rebuttal" xfId="2" xr:uid="{00000000-0005-0000-0000-00000E000000}"/>
    <cellStyle name="Currency" xfId="57" builtinId="4"/>
    <cellStyle name="Currency 2" xfId="51" xr:uid="{00000000-0005-0000-0000-000010000000}"/>
    <cellStyle name="Currency 5" xfId="58" xr:uid="{00000000-0005-0000-0000-000011000000}"/>
    <cellStyle name="Date" xfId="3" xr:uid="{00000000-0005-0000-0000-000012000000}"/>
    <cellStyle name="Date 10" xfId="41" xr:uid="{00000000-0005-0000-0000-000013000000}"/>
    <cellStyle name="Date 11" xfId="42" xr:uid="{00000000-0005-0000-0000-000014000000}"/>
    <cellStyle name="Date 12" xfId="43" xr:uid="{00000000-0005-0000-0000-000015000000}"/>
    <cellStyle name="Date 2" xfId="13" xr:uid="{00000000-0005-0000-0000-000016000000}"/>
    <cellStyle name="Date 3" xfId="17" xr:uid="{00000000-0005-0000-0000-000017000000}"/>
    <cellStyle name="Date 4" xfId="18" xr:uid="{00000000-0005-0000-0000-000018000000}"/>
    <cellStyle name="Date 5" xfId="44" xr:uid="{00000000-0005-0000-0000-000019000000}"/>
    <cellStyle name="Date 6" xfId="45" xr:uid="{00000000-0005-0000-0000-00001A000000}"/>
    <cellStyle name="Date 7" xfId="46" xr:uid="{00000000-0005-0000-0000-00001B000000}"/>
    <cellStyle name="Date 8" xfId="47" xr:uid="{00000000-0005-0000-0000-00001C000000}"/>
    <cellStyle name="Date 9" xfId="48" xr:uid="{00000000-0005-0000-0000-00001D000000}"/>
    <cellStyle name="Normal" xfId="0" builtinId="0"/>
    <cellStyle name="Normal 2" xfId="10" xr:uid="{00000000-0005-0000-0000-00001F000000}"/>
    <cellStyle name="Normal 2 2" xfId="49" xr:uid="{00000000-0005-0000-0000-000020000000}"/>
    <cellStyle name="Normal 3" xfId="11" xr:uid="{00000000-0005-0000-0000-000021000000}"/>
    <cellStyle name="Normal 3 2" xfId="50" xr:uid="{00000000-0005-0000-0000-000022000000}"/>
    <cellStyle name="Normal 3 3" xfId="40" xr:uid="{00000000-0005-0000-0000-000023000000}"/>
    <cellStyle name="Normal 4" xfId="16" xr:uid="{00000000-0005-0000-0000-000024000000}"/>
    <cellStyle name="Normal 4 2" xfId="23" xr:uid="{00000000-0005-0000-0000-000025000000}"/>
    <cellStyle name="Normal 4 3" xfId="28" xr:uid="{00000000-0005-0000-0000-000026000000}"/>
    <cellStyle name="Normal 4 4" xfId="52" xr:uid="{00000000-0005-0000-0000-000027000000}"/>
    <cellStyle name="Normal 4 5" xfId="39" xr:uid="{00000000-0005-0000-0000-000028000000}"/>
    <cellStyle name="Normal 5" xfId="29" xr:uid="{00000000-0005-0000-0000-000029000000}"/>
    <cellStyle name="Normal 5 2" xfId="53" xr:uid="{00000000-0005-0000-0000-00002A000000}"/>
    <cellStyle name="Normal 6" xfId="12" xr:uid="{00000000-0005-0000-0000-00002B000000}"/>
    <cellStyle name="Normal 6 2" xfId="15" xr:uid="{00000000-0005-0000-0000-00002C000000}"/>
    <cellStyle name="Normal 6 2 2" xfId="22" xr:uid="{00000000-0005-0000-0000-00002D000000}"/>
    <cellStyle name="Normal 6 2 3" xfId="27" xr:uid="{00000000-0005-0000-0000-00002E000000}"/>
    <cellStyle name="Normal 6 3" xfId="20" xr:uid="{00000000-0005-0000-0000-00002F000000}"/>
    <cellStyle name="Normal 6 4" xfId="25" xr:uid="{00000000-0005-0000-0000-000030000000}"/>
    <cellStyle name="Normal 6 5" xfId="38" xr:uid="{00000000-0005-0000-0000-000031000000}"/>
    <cellStyle name="Normal 7" xfId="33" xr:uid="{00000000-0005-0000-0000-000032000000}"/>
    <cellStyle name="Normal 7 2" xfId="55" xr:uid="{00000000-0005-0000-0000-000033000000}"/>
    <cellStyle name="Normal 8" xfId="36" xr:uid="{00000000-0005-0000-0000-000034000000}"/>
    <cellStyle name="Normal_IDGas6_97" xfId="4" xr:uid="{00000000-0005-0000-0000-000036000000}"/>
    <cellStyle name="Normal_Inc. Stmt." xfId="5" xr:uid="{00000000-0005-0000-0000-000037000000}"/>
    <cellStyle name="Normal_WAElec6_97" xfId="6" xr:uid="{00000000-0005-0000-0000-000038000000}"/>
    <cellStyle name="Normal_WAGas6_97_Avista WA GAS TY2006 Staff Rebuttal" xfId="7" xr:uid="{00000000-0005-0000-0000-000039000000}"/>
    <cellStyle name="Percent" xfId="8" builtinId="5"/>
    <cellStyle name="Percent 2" xfId="32" xr:uid="{00000000-0005-0000-0000-00003B000000}"/>
  </cellStyles>
  <dxfs count="0"/>
  <tableStyles count="0" defaultTableStyle="TableStyleMedium9" defaultPivotStyle="PivotStyleLight16"/>
  <colors>
    <mruColors>
      <color rgb="FFF9D7EE"/>
      <color rgb="FFF3ABDD"/>
      <color rgb="FFFFFFCC"/>
      <color rgb="FF0000FF"/>
      <color rgb="FF131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276224</xdr:colOff>
      <xdr:row>29</xdr:row>
      <xdr:rowOff>95250</xdr:rowOff>
    </xdr:from>
    <xdr:to>
      <xdr:col>11</xdr:col>
      <xdr:colOff>1219199</xdr:colOff>
      <xdr:row>34</xdr:row>
      <xdr:rowOff>28575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10344149" y="4295775"/>
          <a:ext cx="94297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64008" bIns="0" anchor="ctr" upright="1"/>
        <a:lstStyle/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Times New Roman"/>
              <a:cs typeface="Times New Roman"/>
            </a:rPr>
            <a:t>PSP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jaclynn_simmons_utc_wa_gov/Documents/Local%20Computer%20Files/Documents/Auto%20Trans/PSP/REVISED%20EXH-JNS02.xlsx" TargetMode="External"/><Relationship Id="rId1" Type="http://schemas.openxmlformats.org/officeDocument/2006/relationships/externalLinkPath" Target="REVISED%20EXH-JNS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NS-01 Income Statement"/>
      <sheetName val="JNS-01, Sch1.1 Results of Oper "/>
      <sheetName val="JNS-01, Sch 1.2 Restating Adj "/>
      <sheetName val="JNS-01, Sch 1.3 Pro Forma Adj "/>
      <sheetName val="JNS-01, Sch 1.4 Depreciation"/>
      <sheetName val="END RR Model"/>
    </sheetNames>
    <sheetDataSet>
      <sheetData sheetId="0" refreshError="1"/>
      <sheetData sheetId="1">
        <row r="16">
          <cell r="I16">
            <v>5469798.2832999974</v>
          </cell>
        </row>
        <row r="75">
          <cell r="I75">
            <v>105045.78176518084</v>
          </cell>
        </row>
      </sheetData>
      <sheetData sheetId="2" refreshError="1"/>
      <sheetData sheetId="3">
        <row r="81">
          <cell r="V81">
            <v>-197019.33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 Reconciliation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76">
          <cell r="Q76">
            <v>126081.60999999999</v>
          </cell>
        </row>
      </sheetData>
      <sheetData sheetId="1"/>
      <sheetData sheetId="2">
        <row r="27">
          <cell r="I27">
            <v>19070.416666666668</v>
          </cell>
        </row>
        <row r="57">
          <cell r="F57">
            <v>125316.38</v>
          </cell>
        </row>
      </sheetData>
      <sheetData sheetId="3"/>
      <sheetData sheetId="4">
        <row r="36">
          <cell r="F36">
            <v>902438.00999999605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I13">
            <v>56117.5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8088-6A77-4B7F-B8CF-8EEB428B5164}">
  <sheetPr>
    <pageSetUpPr fitToPage="1"/>
  </sheetPr>
  <dimension ref="A2:K167"/>
  <sheetViews>
    <sheetView tabSelected="1" topLeftCell="A43" workbookViewId="0">
      <selection activeCell="C51" sqref="C51"/>
    </sheetView>
  </sheetViews>
  <sheetFormatPr defaultRowHeight="15.5"/>
  <cols>
    <col min="1" max="1" width="4.5" style="3" customWidth="1"/>
    <col min="2" max="2" width="5.75" style="2" customWidth="1"/>
    <col min="3" max="3" width="20.08203125" style="2" bestFit="1" customWidth="1"/>
    <col min="4" max="4" width="35.75" style="3" customWidth="1"/>
    <col min="5" max="5" width="14.75" style="122" customWidth="1"/>
    <col min="6" max="6" width="14.75" style="3" customWidth="1"/>
    <col min="8" max="8" width="0.83203125" style="106" customWidth="1"/>
    <col min="9" max="9" width="35.75" customWidth="1"/>
    <col min="10" max="10" width="11.5" customWidth="1"/>
  </cols>
  <sheetData>
    <row r="2" spans="1:11">
      <c r="A2" s="7"/>
      <c r="B2" s="6"/>
      <c r="C2" s="6"/>
      <c r="D2" s="7" t="s">
        <v>119</v>
      </c>
      <c r="E2" s="121"/>
      <c r="F2" s="7"/>
    </row>
    <row r="3" spans="1:11">
      <c r="A3" s="7"/>
      <c r="B3" s="6"/>
      <c r="C3" s="6"/>
      <c r="D3" s="7" t="s">
        <v>357</v>
      </c>
      <c r="E3" s="121"/>
      <c r="F3" s="7"/>
    </row>
    <row r="4" spans="1:11">
      <c r="A4" s="7"/>
      <c r="B4" s="6"/>
      <c r="C4" s="6"/>
      <c r="D4" s="7" t="s">
        <v>356</v>
      </c>
      <c r="E4" s="121"/>
      <c r="F4" s="7"/>
    </row>
    <row r="6" spans="1:11">
      <c r="A6" s="10"/>
      <c r="D6" s="10" t="s">
        <v>11</v>
      </c>
      <c r="F6" s="10"/>
    </row>
    <row r="7" spans="1:11">
      <c r="A7" s="10"/>
      <c r="D7" s="10"/>
      <c r="F7" s="10"/>
    </row>
    <row r="8" spans="1:11">
      <c r="A8" s="12"/>
      <c r="B8" s="6"/>
      <c r="C8" s="6"/>
      <c r="D8" s="12"/>
      <c r="E8" s="121"/>
      <c r="F8" s="12"/>
    </row>
    <row r="9" spans="1:11">
      <c r="A9" s="12"/>
      <c r="B9" s="6" t="s">
        <v>1</v>
      </c>
      <c r="C9" s="6"/>
      <c r="D9" s="100"/>
      <c r="E9" s="123">
        <v>2021</v>
      </c>
      <c r="F9" s="101"/>
    </row>
    <row r="10" spans="1:11">
      <c r="A10" s="12"/>
      <c r="B10" s="16" t="s">
        <v>3</v>
      </c>
      <c r="C10" s="16"/>
      <c r="D10" s="102" t="s">
        <v>4</v>
      </c>
      <c r="E10" s="124" t="s">
        <v>355</v>
      </c>
      <c r="F10" s="102"/>
      <c r="I10" s="103" t="s">
        <v>4</v>
      </c>
      <c r="J10" s="104" t="s">
        <v>332</v>
      </c>
      <c r="K10" s="105"/>
    </row>
    <row r="11" spans="1:11">
      <c r="A11" s="10"/>
      <c r="D11" s="20" t="s">
        <v>25</v>
      </c>
      <c r="E11" s="118"/>
      <c r="F11" s="20"/>
    </row>
    <row r="12" spans="1:11">
      <c r="B12" s="24">
        <v>1</v>
      </c>
      <c r="C12" s="24"/>
      <c r="D12" s="25" t="s">
        <v>10</v>
      </c>
      <c r="E12" s="125"/>
      <c r="F12" s="93"/>
    </row>
    <row r="13" spans="1:11">
      <c r="B13" s="27">
        <f t="shared" ref="B13:B18" si="0">+B12+1</f>
        <v>2</v>
      </c>
      <c r="C13" s="94"/>
      <c r="D13" s="28" t="s">
        <v>71</v>
      </c>
      <c r="E13" s="126">
        <v>30238965.640000001</v>
      </c>
      <c r="F13" s="28"/>
    </row>
    <row r="14" spans="1:11">
      <c r="A14" s="33"/>
      <c r="B14" s="27">
        <f t="shared" si="0"/>
        <v>3</v>
      </c>
      <c r="C14" s="94"/>
      <c r="D14" s="35" t="s">
        <v>72</v>
      </c>
      <c r="E14" s="126">
        <v>1839876</v>
      </c>
      <c r="F14" s="30"/>
      <c r="I14" t="str">
        <f>'JNS-02, Sch1.1 Results of Oper '!C16</f>
        <v>Pilotage Fees Earned</v>
      </c>
      <c r="J14">
        <f>'JNS-02, Sch1.1 Results of Oper '!D16</f>
        <v>30238966</v>
      </c>
    </row>
    <row r="15" spans="1:11">
      <c r="B15" s="27">
        <f t="shared" si="0"/>
        <v>4</v>
      </c>
      <c r="C15" s="94"/>
      <c r="D15" s="35" t="s">
        <v>352</v>
      </c>
      <c r="E15" s="126">
        <v>1002.8799999999999</v>
      </c>
      <c r="F15" s="35"/>
      <c r="I15" t="str">
        <f>'JNS-02, Sch1.1 Results of Oper '!C17</f>
        <v>Boat Fees Earned</v>
      </c>
      <c r="J15">
        <f>'JNS-02, Sch1.1 Results of Oper '!D17</f>
        <v>1839876</v>
      </c>
    </row>
    <row r="16" spans="1:11">
      <c r="B16" s="27">
        <f t="shared" si="0"/>
        <v>5</v>
      </c>
      <c r="C16" s="94"/>
      <c r="D16" s="35" t="s">
        <v>353</v>
      </c>
      <c r="E16" s="126">
        <v>0</v>
      </c>
      <c r="F16" s="35"/>
    </row>
    <row r="17" spans="2:11">
      <c r="B17" s="27">
        <f t="shared" si="0"/>
        <v>6</v>
      </c>
      <c r="C17" s="94"/>
      <c r="D17" s="117" t="s">
        <v>341</v>
      </c>
      <c r="E17" s="119">
        <v>17825.330000000002</v>
      </c>
      <c r="F17" s="39"/>
    </row>
    <row r="18" spans="2:11">
      <c r="B18" s="27">
        <f t="shared" si="0"/>
        <v>7</v>
      </c>
      <c r="C18" s="94"/>
      <c r="D18" s="35" t="s">
        <v>354</v>
      </c>
      <c r="E18" s="122">
        <f>SUM(E13:E17)</f>
        <v>32097669.849999998</v>
      </c>
      <c r="F18" s="35"/>
      <c r="I18" s="35" t="s">
        <v>121</v>
      </c>
    </row>
    <row r="19" spans="2:11">
      <c r="B19" s="27">
        <v>8</v>
      </c>
      <c r="C19" s="94"/>
      <c r="D19" s="35"/>
      <c r="F19" s="35"/>
      <c r="I19" t="str">
        <f>'JNS-02, Sch1.1 Results of Oper '!C22</f>
        <v>Interst Income</v>
      </c>
      <c r="J19">
        <f>'JNS-02, Sch1.1 Results of Oper '!D22</f>
        <v>1003</v>
      </c>
    </row>
    <row r="20" spans="2:11">
      <c r="B20" s="27">
        <v>9</v>
      </c>
      <c r="C20" s="94"/>
      <c r="D20" s="35"/>
      <c r="F20" s="35"/>
    </row>
    <row r="21" spans="2:11">
      <c r="B21" s="27">
        <v>10</v>
      </c>
      <c r="C21" s="94"/>
      <c r="D21" s="35"/>
      <c r="F21" s="35"/>
      <c r="I21" s="97"/>
      <c r="J21" s="98"/>
      <c r="K21" s="98" t="s">
        <v>333</v>
      </c>
    </row>
    <row r="22" spans="2:11">
      <c r="B22" s="27">
        <v>11</v>
      </c>
      <c r="C22" s="94"/>
      <c r="D22" s="39"/>
      <c r="E22" s="120"/>
      <c r="F22" s="39"/>
      <c r="K22" s="108"/>
    </row>
    <row r="23" spans="2:11">
      <c r="B23" s="27">
        <v>12</v>
      </c>
      <c r="C23" s="94"/>
      <c r="D23" s="35"/>
      <c r="F23" s="35"/>
      <c r="K23" s="108"/>
    </row>
    <row r="24" spans="2:11" ht="26.5">
      <c r="B24" s="27">
        <v>13</v>
      </c>
      <c r="C24" s="94"/>
      <c r="D24" s="110" t="s">
        <v>5</v>
      </c>
      <c r="F24" s="113" t="s">
        <v>339</v>
      </c>
      <c r="I24" s="110" t="s">
        <v>5</v>
      </c>
      <c r="K24" s="108"/>
    </row>
    <row r="25" spans="2:11">
      <c r="B25" s="27">
        <v>14</v>
      </c>
      <c r="C25" s="95" t="s">
        <v>151</v>
      </c>
      <c r="D25" s="95" t="s">
        <v>107</v>
      </c>
      <c r="E25" s="127">
        <v>32503.96</v>
      </c>
      <c r="F25" s="99"/>
      <c r="G25" s="108">
        <f>K65</f>
        <v>1</v>
      </c>
      <c r="H25" s="107"/>
      <c r="I25" s="43" t="s">
        <v>70</v>
      </c>
      <c r="K25" s="111"/>
    </row>
    <row r="26" spans="2:11">
      <c r="B26" s="27">
        <v>15</v>
      </c>
      <c r="C26" s="95" t="s">
        <v>152</v>
      </c>
      <c r="D26" s="95" t="s">
        <v>153</v>
      </c>
      <c r="E26" s="127">
        <v>0</v>
      </c>
      <c r="F26" s="44"/>
      <c r="G26" s="111"/>
      <c r="I26" t="str">
        <f>'JNS-02, Sch1.1 Results of Oper '!C29</f>
        <v>Administrative Expenses</v>
      </c>
      <c r="J26">
        <f>'JNS-02, Sch1.1 Results of Oper '!D29</f>
        <v>32503.96</v>
      </c>
      <c r="K26" s="109"/>
    </row>
    <row r="27" spans="2:11">
      <c r="B27" s="27">
        <v>16</v>
      </c>
      <c r="C27" s="95" t="s">
        <v>154</v>
      </c>
      <c r="D27" s="95" t="s">
        <v>155</v>
      </c>
      <c r="E27" s="127">
        <v>462576.9499999999</v>
      </c>
      <c r="F27" s="44"/>
      <c r="G27" s="108">
        <f>K66</f>
        <v>2</v>
      </c>
      <c r="I27" t="str">
        <f>'JNS-02, Sch1.1 Results of Oper '!C30</f>
        <v>Attorney Fees</v>
      </c>
      <c r="J27">
        <f>'JNS-02, Sch1.1 Results of Oper '!D30</f>
        <v>462576.9499999999</v>
      </c>
      <c r="K27" s="109"/>
    </row>
    <row r="28" spans="2:11">
      <c r="B28" s="27">
        <v>17</v>
      </c>
      <c r="C28" s="95" t="s">
        <v>156</v>
      </c>
      <c r="D28" s="95" t="s">
        <v>157</v>
      </c>
      <c r="E28" s="127">
        <v>0</v>
      </c>
      <c r="F28" s="44"/>
      <c r="G28" s="111"/>
      <c r="I28" t="str">
        <f>'JNS-02, Sch1.1 Results of Oper '!C31</f>
        <v>Bank Fees</v>
      </c>
      <c r="J28">
        <f>'JNS-02, Sch1.1 Results of Oper '!D31</f>
        <v>18581.849999999999</v>
      </c>
      <c r="K28" s="108">
        <v>6</v>
      </c>
    </row>
    <row r="29" spans="2:11">
      <c r="B29" s="27">
        <v>18</v>
      </c>
      <c r="C29" s="95" t="s">
        <v>158</v>
      </c>
      <c r="D29" s="95" t="s">
        <v>109</v>
      </c>
      <c r="E29" s="127">
        <v>18581.849999999999</v>
      </c>
      <c r="F29" s="44"/>
      <c r="G29" s="108">
        <f>K67</f>
        <v>3</v>
      </c>
      <c r="I29" t="str">
        <f>'JNS-02, Sch1.1 Results of Oper '!C32</f>
        <v>UTC Regulatory Fees</v>
      </c>
      <c r="J29">
        <f>'JNS-02, Sch1.1 Results of Oper '!D32</f>
        <v>123336</v>
      </c>
      <c r="K29" s="108">
        <v>14</v>
      </c>
    </row>
    <row r="30" spans="2:11">
      <c r="B30" s="27">
        <v>19</v>
      </c>
      <c r="C30" s="95" t="s">
        <v>159</v>
      </c>
      <c r="D30" s="95" t="s">
        <v>148</v>
      </c>
      <c r="E30" s="127">
        <v>-0.5</v>
      </c>
      <c r="F30" s="44"/>
      <c r="G30" s="111"/>
      <c r="I30" t="str">
        <f>'JNS-02, Sch1.1 Results of Oper '!C33</f>
        <v>Commission-Senate Bill 5096</v>
      </c>
      <c r="J30">
        <f>'JNS-02, Sch1.1 Results of Oper '!D33</f>
        <v>150000</v>
      </c>
      <c r="K30" s="109"/>
    </row>
    <row r="31" spans="2:11">
      <c r="B31" s="27">
        <v>20</v>
      </c>
      <c r="C31" s="95" t="s">
        <v>160</v>
      </c>
      <c r="D31" s="95" t="s">
        <v>161</v>
      </c>
      <c r="E31" s="127">
        <v>0</v>
      </c>
      <c r="F31" s="44"/>
      <c r="G31" s="111"/>
      <c r="I31" t="str">
        <f>'JNS-02, Sch1.1 Results of Oper '!C34</f>
        <v>Comp Day Expense</v>
      </c>
      <c r="J31">
        <f>'JNS-02, Sch1.1 Results of Oper '!D34</f>
        <v>389350</v>
      </c>
      <c r="K31" s="109"/>
    </row>
    <row r="32" spans="2:11">
      <c r="B32" s="27">
        <v>21</v>
      </c>
      <c r="C32" s="95" t="s">
        <v>162</v>
      </c>
      <c r="D32" s="95" t="s">
        <v>163</v>
      </c>
      <c r="E32" s="127">
        <v>123336</v>
      </c>
      <c r="F32" s="44"/>
      <c r="G32" s="111">
        <f>K85</f>
        <v>4</v>
      </c>
      <c r="I32" t="str">
        <f>'JNS-02, Sch1.1 Results of Oper '!C35</f>
        <v xml:space="preserve">Computer Maintenance </v>
      </c>
      <c r="J32">
        <f>'JNS-02, Sch1.1 Results of Oper '!D35</f>
        <v>337773.50999999995</v>
      </c>
      <c r="K32" s="109"/>
    </row>
    <row r="33" spans="2:11">
      <c r="B33" s="27">
        <v>22</v>
      </c>
      <c r="C33" s="95" t="s">
        <v>164</v>
      </c>
      <c r="D33" s="95" t="s">
        <v>165</v>
      </c>
      <c r="E33" s="127">
        <v>150000</v>
      </c>
      <c r="F33" s="44"/>
      <c r="G33" s="111">
        <f>K75</f>
        <v>5</v>
      </c>
      <c r="I33" t="str">
        <f>'JNS-02, Sch1.1 Results of Oper '!C36</f>
        <v>Computer Programming, Changes</v>
      </c>
      <c r="J33">
        <f>'JNS-02, Sch1.1 Results of Oper '!D36</f>
        <v>10176.730000000001</v>
      </c>
      <c r="K33" s="109"/>
    </row>
    <row r="34" spans="2:11">
      <c r="B34" s="27">
        <v>23</v>
      </c>
      <c r="C34" s="95" t="s">
        <v>166</v>
      </c>
      <c r="D34" s="95" t="s">
        <v>167</v>
      </c>
      <c r="E34" s="127">
        <v>389350</v>
      </c>
      <c r="F34" s="44"/>
      <c r="G34" s="111"/>
      <c r="I34" t="str">
        <f>'JNS-02, Sch1.1 Results of Oper '!C37</f>
        <v>Consulting Fees</v>
      </c>
      <c r="J34">
        <f>'JNS-02, Sch1.1 Results of Oper '!D37</f>
        <v>212346.52</v>
      </c>
      <c r="K34" s="109"/>
    </row>
    <row r="35" spans="2:11">
      <c r="B35" s="27">
        <v>24</v>
      </c>
      <c r="C35" s="95" t="s">
        <v>168</v>
      </c>
      <c r="D35" s="95" t="s">
        <v>169</v>
      </c>
      <c r="E35" s="127">
        <v>3278</v>
      </c>
      <c r="F35" s="44"/>
      <c r="G35" s="111"/>
      <c r="I35" t="str">
        <f>'JNS-02, Sch1.1 Results of Oper '!C38</f>
        <v>CPA Fees</v>
      </c>
      <c r="J35">
        <f>'JNS-02, Sch1.1 Results of Oper '!D38</f>
        <v>86306.5</v>
      </c>
      <c r="K35" s="109"/>
    </row>
    <row r="36" spans="2:11">
      <c r="B36" s="27">
        <v>25</v>
      </c>
      <c r="C36" s="95" t="s">
        <v>170</v>
      </c>
      <c r="D36" s="95" t="s">
        <v>171</v>
      </c>
      <c r="E36" s="127">
        <v>334495.50999999995</v>
      </c>
      <c r="F36" s="44"/>
      <c r="G36" s="111"/>
      <c r="I36" t="str">
        <f>'JNS-02, Sch1.1 Results of Oper '!C39</f>
        <v>Donations</v>
      </c>
      <c r="J36">
        <f>'JNS-02, Sch1.1 Results of Oper '!D39</f>
        <v>7000</v>
      </c>
      <c r="K36" s="109"/>
    </row>
    <row r="37" spans="2:11">
      <c r="B37" s="27">
        <v>26</v>
      </c>
      <c r="C37" s="95" t="s">
        <v>172</v>
      </c>
      <c r="D37" s="95" t="s">
        <v>77</v>
      </c>
      <c r="E37" s="127">
        <v>10176.730000000001</v>
      </c>
      <c r="F37" s="44"/>
      <c r="G37" s="111">
        <f>K28</f>
        <v>6</v>
      </c>
      <c r="I37" t="str">
        <f>'JNS-02, Sch1.1 Results of Oper '!C40</f>
        <v>DEI Outreach</v>
      </c>
      <c r="J37">
        <f>'JNS-02, Sch1.1 Results of Oper '!D40</f>
        <v>0</v>
      </c>
      <c r="K37" s="109"/>
    </row>
    <row r="38" spans="2:11">
      <c r="B38" s="27">
        <v>27</v>
      </c>
      <c r="C38" s="95" t="s">
        <v>173</v>
      </c>
      <c r="D38" s="95" t="s">
        <v>95</v>
      </c>
      <c r="E38" s="127">
        <v>212346.52</v>
      </c>
      <c r="F38" s="44"/>
      <c r="G38" s="111">
        <f>K68</f>
        <v>7</v>
      </c>
      <c r="I38" t="str">
        <f>'JNS-02, Sch1.1 Results of Oper '!C41</f>
        <v>DEI Donations</v>
      </c>
      <c r="J38">
        <f>'JNS-02, Sch1.1 Results of Oper '!D41</f>
        <v>0</v>
      </c>
      <c r="K38" s="109"/>
    </row>
    <row r="39" spans="2:11">
      <c r="B39" s="27">
        <v>28</v>
      </c>
      <c r="C39" s="95" t="s">
        <v>174</v>
      </c>
      <c r="D39" s="95" t="s">
        <v>96</v>
      </c>
      <c r="E39" s="127">
        <v>86306.5</v>
      </c>
      <c r="F39" s="44"/>
      <c r="G39" s="111">
        <f>K69</f>
        <v>8</v>
      </c>
      <c r="I39" t="str">
        <f>'JNS-02, Sch1.1 Results of Oper '!C42</f>
        <v>Dues</v>
      </c>
      <c r="J39">
        <f>'JNS-02, Sch1.1 Results of Oper '!D42</f>
        <v>171950.34</v>
      </c>
      <c r="K39" s="109"/>
    </row>
    <row r="40" spans="2:11">
      <c r="B40" s="27">
        <v>29</v>
      </c>
      <c r="C40" s="95" t="s">
        <v>175</v>
      </c>
      <c r="D40" s="95" t="s">
        <v>97</v>
      </c>
      <c r="E40" s="127">
        <v>7000</v>
      </c>
      <c r="F40" s="44"/>
      <c r="G40" s="111">
        <f>K70</f>
        <v>9</v>
      </c>
      <c r="I40" t="str">
        <f>'JNS-02, Sch1.1 Results of Oper '!C43</f>
        <v>Employee Health &amp; Welfare</v>
      </c>
      <c r="J40">
        <f>'JNS-02, Sch1.1 Results of Oper '!D43</f>
        <v>288457.38</v>
      </c>
      <c r="K40" s="109"/>
    </row>
    <row r="41" spans="2:11">
      <c r="B41" s="27">
        <v>30</v>
      </c>
      <c r="C41" s="95" t="s">
        <v>176</v>
      </c>
      <c r="D41" s="116" t="s">
        <v>177</v>
      </c>
      <c r="E41" s="127"/>
      <c r="F41" s="44"/>
      <c r="G41" s="111"/>
      <c r="I41" t="str">
        <f>'JNS-02, Sch1.1 Results of Oper '!C44</f>
        <v>Employee Pension</v>
      </c>
      <c r="J41">
        <f>'JNS-02, Sch1.1 Results of Oper '!D44</f>
        <v>124516.79999999999</v>
      </c>
      <c r="K41" s="109"/>
    </row>
    <row r="42" spans="2:11">
      <c r="B42" s="27">
        <v>31</v>
      </c>
      <c r="C42" s="95" t="s">
        <v>178</v>
      </c>
      <c r="D42" s="116" t="s">
        <v>179</v>
      </c>
      <c r="E42" s="127"/>
      <c r="F42" s="43"/>
      <c r="G42" s="111"/>
      <c r="I42" s="43" t="s">
        <v>334</v>
      </c>
      <c r="J42" s="88">
        <f>SUM(J26:J41)</f>
        <v>2414876.5399999996</v>
      </c>
      <c r="K42" s="108"/>
    </row>
    <row r="43" spans="2:11">
      <c r="B43" s="27">
        <v>32</v>
      </c>
      <c r="C43" s="95" t="s">
        <v>180</v>
      </c>
      <c r="D43" s="95" t="s">
        <v>181</v>
      </c>
      <c r="E43" s="127">
        <v>12520.33</v>
      </c>
      <c r="F43" s="44"/>
      <c r="G43" s="111">
        <f>K71</f>
        <v>10</v>
      </c>
      <c r="K43" s="108"/>
    </row>
    <row r="44" spans="2:11">
      <c r="B44" s="27">
        <v>33</v>
      </c>
      <c r="C44" s="95" t="s">
        <v>182</v>
      </c>
      <c r="D44" s="95" t="s">
        <v>183</v>
      </c>
      <c r="E44" s="127">
        <v>21200.009999999995</v>
      </c>
      <c r="F44" s="43"/>
      <c r="G44" s="111">
        <f>K71</f>
        <v>10</v>
      </c>
      <c r="I44" s="43" t="s">
        <v>85</v>
      </c>
      <c r="K44" s="108"/>
    </row>
    <row r="45" spans="2:11">
      <c r="B45" s="27">
        <v>34</v>
      </c>
      <c r="C45" s="95" t="s">
        <v>184</v>
      </c>
      <c r="D45" s="95" t="s">
        <v>185</v>
      </c>
      <c r="E45" s="127">
        <v>138230</v>
      </c>
      <c r="F45" s="44"/>
      <c r="G45" s="111">
        <f>K71</f>
        <v>10</v>
      </c>
      <c r="I45" t="str">
        <f>'JNS-02, Sch1.1 Results of Oper '!C45</f>
        <v>Employee 401(k)</v>
      </c>
      <c r="J45">
        <f>'JNS-02, Sch1.1 Results of Oper '!D45</f>
        <v>0</v>
      </c>
      <c r="K45" s="109"/>
    </row>
    <row r="46" spans="2:11">
      <c r="B46" s="27">
        <v>35</v>
      </c>
      <c r="C46" s="95" t="s">
        <v>186</v>
      </c>
      <c r="D46" s="95" t="s">
        <v>187</v>
      </c>
      <c r="E46" s="127">
        <v>107087.38</v>
      </c>
      <c r="F46" s="44"/>
      <c r="G46" s="111">
        <f>K46</f>
        <v>11</v>
      </c>
      <c r="I46" t="str">
        <f>'JNS-02, Sch1.1 Results of Oper '!C46</f>
        <v>Retirement Plan, Manager</v>
      </c>
      <c r="J46">
        <f>'JNS-02, Sch1.1 Results of Oper '!D46</f>
        <v>4928.54</v>
      </c>
      <c r="K46" s="108">
        <v>11</v>
      </c>
    </row>
    <row r="47" spans="2:11">
      <c r="B47" s="27">
        <v>36</v>
      </c>
      <c r="C47" s="95" t="s">
        <v>188</v>
      </c>
      <c r="D47" s="95" t="s">
        <v>189</v>
      </c>
      <c r="E47" s="127">
        <v>181370</v>
      </c>
      <c r="F47" s="44"/>
      <c r="G47" s="111">
        <f>K46</f>
        <v>11</v>
      </c>
      <c r="I47" t="str">
        <f>'JNS-02, Sch1.1 Results of Oper '!C47</f>
        <v>Equipment Leases</v>
      </c>
      <c r="J47">
        <f>'JNS-02, Sch1.1 Results of Oper '!D47</f>
        <v>335819.61</v>
      </c>
      <c r="K47" s="108">
        <v>12</v>
      </c>
    </row>
    <row r="48" spans="2:11">
      <c r="B48" s="27">
        <v>37</v>
      </c>
      <c r="C48" s="95" t="s">
        <v>190</v>
      </c>
      <c r="D48" s="95" t="s">
        <v>191</v>
      </c>
      <c r="E48" s="127">
        <v>49293.31</v>
      </c>
      <c r="F48" s="44"/>
      <c r="G48" s="111">
        <f>K47</f>
        <v>12</v>
      </c>
      <c r="I48" t="str">
        <f>'JNS-02, Sch1.1 Results of Oper '!C48</f>
        <v>Depreciation</v>
      </c>
      <c r="J48">
        <f>'JNS-02, Sch1.1 Results of Oper '!D48</f>
        <v>82799.920000000013</v>
      </c>
      <c r="K48" s="108">
        <v>15</v>
      </c>
    </row>
    <row r="49" spans="2:11">
      <c r="B49" s="27">
        <v>38</v>
      </c>
      <c r="C49" s="95" t="s">
        <v>192</v>
      </c>
      <c r="D49" s="95" t="s">
        <v>193</v>
      </c>
      <c r="E49" s="127">
        <v>75223.489999999991</v>
      </c>
      <c r="F49" s="44"/>
      <c r="G49" s="111">
        <f>K47</f>
        <v>12</v>
      </c>
      <c r="I49" t="str">
        <f>'JNS-02, Sch1.1 Results of Oper '!C49</f>
        <v>Drug Testing</v>
      </c>
      <c r="J49">
        <f>'JNS-02, Sch1.1 Results of Oper '!D49</f>
        <v>10297.280000000001</v>
      </c>
      <c r="K49" s="109"/>
    </row>
    <row r="50" spans="2:11">
      <c r="B50" s="27">
        <v>39</v>
      </c>
      <c r="C50" s="95" t="s">
        <v>194</v>
      </c>
      <c r="D50" s="95" t="s">
        <v>195</v>
      </c>
      <c r="E50" s="127">
        <v>4928.54</v>
      </c>
      <c r="F50" s="44"/>
      <c r="G50" s="111"/>
      <c r="I50" t="str">
        <f>'JNS-02, Sch1.1 Results of Oper '!C50</f>
        <v>Education</v>
      </c>
      <c r="J50">
        <f>'JNS-02, Sch1.1 Results of Oper '!D50</f>
        <v>1510</v>
      </c>
      <c r="K50" s="108">
        <v>19</v>
      </c>
    </row>
    <row r="51" spans="2:11">
      <c r="B51" s="27">
        <v>40</v>
      </c>
      <c r="C51" s="95" t="s">
        <v>196</v>
      </c>
      <c r="D51" s="95" t="s">
        <v>197</v>
      </c>
      <c r="E51" s="127">
        <v>335819.61</v>
      </c>
      <c r="F51" s="44"/>
      <c r="G51" s="111"/>
      <c r="I51" t="str">
        <f>'JNS-02, Sch1.1 Results of Oper '!C51</f>
        <v>Food &amp; Lodging - PA</v>
      </c>
      <c r="J51">
        <f>'JNS-02, Sch1.1 Results of Oper '!D51</f>
        <v>84843.54</v>
      </c>
      <c r="K51" s="108">
        <v>21</v>
      </c>
    </row>
    <row r="52" spans="2:11">
      <c r="B52" s="27">
        <v>41</v>
      </c>
      <c r="C52" s="95" t="s">
        <v>198</v>
      </c>
      <c r="D52" s="95" t="s">
        <v>199</v>
      </c>
      <c r="E52" s="127">
        <v>-0.39999999999992042</v>
      </c>
      <c r="F52" s="44"/>
      <c r="G52" s="111">
        <f>K72</f>
        <v>13</v>
      </c>
      <c r="I52" t="str">
        <f>'JNS-02, Sch1.1 Results of Oper '!C52</f>
        <v xml:space="preserve">Insurance </v>
      </c>
      <c r="J52">
        <f>'JNS-02, Sch1.1 Results of Oper '!D52</f>
        <v>395521.27999999997</v>
      </c>
      <c r="K52" s="109"/>
    </row>
    <row r="53" spans="2:11">
      <c r="B53" s="27">
        <v>42</v>
      </c>
      <c r="C53" s="95" t="s">
        <v>200</v>
      </c>
      <c r="D53" s="95" t="s">
        <v>201</v>
      </c>
      <c r="E53" s="127">
        <v>31136.280000000013</v>
      </c>
      <c r="F53" s="44"/>
      <c r="G53" s="111"/>
      <c r="I53" t="str">
        <f>'JNS-02, Sch1.1 Results of Oper '!C53</f>
        <v>Insurance - Medical</v>
      </c>
      <c r="J53">
        <f>'JNS-02, Sch1.1 Results of Oper '!D53</f>
        <v>1644567</v>
      </c>
      <c r="K53" s="109"/>
    </row>
    <row r="54" spans="2:11">
      <c r="B54" s="27">
        <v>43</v>
      </c>
      <c r="C54" s="95" t="s">
        <v>202</v>
      </c>
      <c r="D54" s="95" t="s">
        <v>203</v>
      </c>
      <c r="E54" s="127">
        <v>0.27999999999998693</v>
      </c>
      <c r="F54" s="44"/>
      <c r="G54" s="111"/>
      <c r="I54" t="str">
        <f>'JNS-02, Sch1.1 Results of Oper '!C54</f>
        <v>Interest, Dispatch Software</v>
      </c>
      <c r="J54">
        <f>'JNS-02, Sch1.1 Results of Oper '!D54</f>
        <v>124.73</v>
      </c>
      <c r="K54" s="108">
        <v>23</v>
      </c>
    </row>
    <row r="55" spans="2:11">
      <c r="B55" s="27">
        <v>44</v>
      </c>
      <c r="C55" s="95" t="s">
        <v>204</v>
      </c>
      <c r="D55" s="95" t="s">
        <v>205</v>
      </c>
      <c r="E55" s="127">
        <v>765</v>
      </c>
      <c r="F55" s="48"/>
      <c r="G55" s="111"/>
      <c r="I55" s="48" t="s">
        <v>335</v>
      </c>
      <c r="J55" s="88">
        <f>SUM(J45:J54)</f>
        <v>2560411.9</v>
      </c>
      <c r="K55" s="108"/>
    </row>
    <row r="56" spans="2:11">
      <c r="B56" s="27">
        <v>45</v>
      </c>
      <c r="C56" s="95" t="s">
        <v>206</v>
      </c>
      <c r="D56" s="95" t="s">
        <v>207</v>
      </c>
      <c r="E56" s="127">
        <v>10568.12</v>
      </c>
      <c r="F56" s="44"/>
      <c r="G56" s="111"/>
      <c r="K56" s="108"/>
    </row>
    <row r="57" spans="2:11">
      <c r="B57" s="27">
        <v>46</v>
      </c>
      <c r="C57" s="95" t="s">
        <v>208</v>
      </c>
      <c r="D57" s="95" t="s">
        <v>209</v>
      </c>
      <c r="E57" s="127">
        <v>40302.19999999999</v>
      </c>
      <c r="F57" s="43"/>
      <c r="G57" s="111"/>
      <c r="I57" s="43" t="s">
        <v>93</v>
      </c>
      <c r="K57" s="108"/>
    </row>
    <row r="58" spans="2:11">
      <c r="B58" s="27">
        <v>47</v>
      </c>
      <c r="C58" s="95" t="s">
        <v>210</v>
      </c>
      <c r="D58" s="95" t="s">
        <v>211</v>
      </c>
      <c r="E58" s="127">
        <v>0</v>
      </c>
      <c r="F58" s="44"/>
      <c r="G58" s="111"/>
      <c r="I58" t="str">
        <f>'JNS-02, Sch1.1 Results of Oper '!C55</f>
        <v>Laundry - P.A.</v>
      </c>
      <c r="J58">
        <f>'JNS-02, Sch1.1 Results of Oper '!D55</f>
        <v>10256.750000000002</v>
      </c>
      <c r="K58" s="108">
        <v>16</v>
      </c>
    </row>
    <row r="59" spans="2:11">
      <c r="B59" s="27">
        <v>48</v>
      </c>
      <c r="C59" s="95" t="s">
        <v>212</v>
      </c>
      <c r="D59" s="95" t="s">
        <v>213</v>
      </c>
      <c r="E59" s="127">
        <v>0</v>
      </c>
      <c r="F59" s="44"/>
      <c r="G59" s="111"/>
      <c r="I59" t="str">
        <f>'JNS-02, Sch1.1 Results of Oper '!C56</f>
        <v>License Fees - Pilots</v>
      </c>
      <c r="J59">
        <f>'JNS-02, Sch1.1 Results of Oper '!D56</f>
        <v>344500</v>
      </c>
      <c r="K59" s="108">
        <v>17</v>
      </c>
    </row>
    <row r="60" spans="2:11">
      <c r="B60" s="27">
        <v>49</v>
      </c>
      <c r="C60" s="95" t="s">
        <v>214</v>
      </c>
      <c r="D60" s="95" t="s">
        <v>215</v>
      </c>
      <c r="E60" s="127">
        <v>28.319999999999997</v>
      </c>
      <c r="F60" s="44"/>
      <c r="G60" s="111">
        <f>K29</f>
        <v>14</v>
      </c>
      <c r="I60" t="str">
        <f>'JNS-02, Sch1.1 Results of Oper '!C57</f>
        <v>Lobbyist</v>
      </c>
      <c r="J60">
        <f>'JNS-02, Sch1.1 Results of Oper '!D57</f>
        <v>75309.459999999992</v>
      </c>
      <c r="K60" s="108">
        <v>18</v>
      </c>
    </row>
    <row r="61" spans="2:11">
      <c r="B61" s="27">
        <v>50</v>
      </c>
      <c r="C61" s="95" t="s">
        <v>216</v>
      </c>
      <c r="D61" s="95" t="s">
        <v>88</v>
      </c>
      <c r="E61" s="127">
        <v>10297.280000000001</v>
      </c>
      <c r="F61" s="44"/>
      <c r="G61" s="111"/>
      <c r="I61" t="str">
        <f>'JNS-02, Sch1.1 Results of Oper '!C58</f>
        <v>Miscellaneous - Other</v>
      </c>
      <c r="J61">
        <f>'JNS-02, Sch1.1 Results of Oper '!D58</f>
        <v>-362969</v>
      </c>
      <c r="K61" s="108">
        <v>24</v>
      </c>
    </row>
    <row r="62" spans="2:11">
      <c r="B62" s="27">
        <v>51</v>
      </c>
      <c r="C62" s="95" t="s">
        <v>217</v>
      </c>
      <c r="D62" s="95" t="s">
        <v>218</v>
      </c>
      <c r="E62" s="127">
        <v>1195</v>
      </c>
      <c r="F62" s="48"/>
      <c r="G62" s="111"/>
      <c r="I62" s="48" t="s">
        <v>336</v>
      </c>
      <c r="J62" s="88">
        <f>SUM(J58:J61)</f>
        <v>67097.209999999963</v>
      </c>
      <c r="K62" s="108"/>
    </row>
    <row r="63" spans="2:11">
      <c r="B63" s="27">
        <v>52</v>
      </c>
      <c r="C63" s="95" t="s">
        <v>219</v>
      </c>
      <c r="D63" s="95" t="s">
        <v>220</v>
      </c>
      <c r="E63" s="127">
        <v>315</v>
      </c>
      <c r="F63" s="48"/>
      <c r="G63" s="111">
        <f>K48</f>
        <v>15</v>
      </c>
      <c r="K63" s="108"/>
    </row>
    <row r="64" spans="2:11">
      <c r="B64" s="27">
        <v>53</v>
      </c>
      <c r="C64" s="95" t="s">
        <v>221</v>
      </c>
      <c r="D64" s="95" t="s">
        <v>222</v>
      </c>
      <c r="E64" s="127">
        <v>84733.849999999991</v>
      </c>
      <c r="F64" s="43"/>
      <c r="G64" s="111"/>
      <c r="I64" s="43" t="s">
        <v>94</v>
      </c>
      <c r="K64" s="108"/>
    </row>
    <row r="65" spans="2:11">
      <c r="B65" s="27">
        <v>54</v>
      </c>
      <c r="C65" s="95" t="s">
        <v>223</v>
      </c>
      <c r="D65" s="95" t="s">
        <v>224</v>
      </c>
      <c r="E65" s="127">
        <v>109.69</v>
      </c>
      <c r="F65" s="44"/>
      <c r="G65" s="111">
        <f>K58</f>
        <v>16</v>
      </c>
      <c r="I65" t="str">
        <f>'JNS-02, Sch1.1 Results of Oper '!C59</f>
        <v>Office Supplies &amp; Charts</v>
      </c>
      <c r="J65">
        <f>'JNS-02, Sch1.1 Results of Oper '!D59</f>
        <v>14613.26</v>
      </c>
      <c r="K65" s="108">
        <v>1</v>
      </c>
    </row>
    <row r="66" spans="2:11">
      <c r="B66" s="27">
        <v>55</v>
      </c>
      <c r="C66" s="95" t="s">
        <v>225</v>
      </c>
      <c r="D66" s="95" t="s">
        <v>226</v>
      </c>
      <c r="E66" s="127">
        <v>70027</v>
      </c>
      <c r="F66" s="44"/>
      <c r="G66" s="111">
        <f>K59</f>
        <v>17</v>
      </c>
      <c r="I66" t="str">
        <f>'JNS-02, Sch1.1 Results of Oper '!C60</f>
        <v>Pilots Pension</v>
      </c>
      <c r="J66">
        <f>'JNS-02, Sch1.1 Results of Oper '!D60</f>
        <v>5517477.9900000012</v>
      </c>
      <c r="K66" s="108">
        <v>2</v>
      </c>
    </row>
    <row r="67" spans="2:11">
      <c r="B67" s="27">
        <v>56</v>
      </c>
      <c r="C67" s="95" t="s">
        <v>227</v>
      </c>
      <c r="D67" s="95" t="s">
        <v>228</v>
      </c>
      <c r="E67" s="127">
        <v>41326</v>
      </c>
      <c r="F67" s="44"/>
      <c r="G67" s="111"/>
      <c r="I67" t="str">
        <f>'JNS-02, Sch1.1 Results of Oper '!C61</f>
        <v>Penson-Other</v>
      </c>
      <c r="J67">
        <f>'JNS-02, Sch1.1 Results of Oper '!D61</f>
        <v>69502.319999999992</v>
      </c>
      <c r="K67" s="108">
        <v>3</v>
      </c>
    </row>
    <row r="68" spans="2:11">
      <c r="B68" s="27">
        <v>57</v>
      </c>
      <c r="C68" s="95" t="s">
        <v>229</v>
      </c>
      <c r="D68" s="95" t="s">
        <v>230</v>
      </c>
      <c r="E68" s="127">
        <v>107962.54999999999</v>
      </c>
      <c r="F68" s="44"/>
      <c r="G68" s="111"/>
      <c r="I68" t="str">
        <f>'JNS-02, Sch1.1 Results of Oper '!C62</f>
        <v>Postage &amp; Printing</v>
      </c>
      <c r="J68">
        <f>'JNS-02, Sch1.1 Results of Oper '!D62</f>
        <v>8673.76</v>
      </c>
      <c r="K68" s="108">
        <v>7</v>
      </c>
    </row>
    <row r="69" spans="2:11">
      <c r="B69" s="27">
        <v>58</v>
      </c>
      <c r="C69" s="95" t="s">
        <v>231</v>
      </c>
      <c r="D69" s="95" t="s">
        <v>232</v>
      </c>
      <c r="E69" s="127">
        <v>176205.72999999998</v>
      </c>
      <c r="F69" s="44"/>
      <c r="G69" s="111"/>
      <c r="I69" t="str">
        <f>'JNS-02, Sch1.1 Results of Oper '!C63</f>
        <v>Pilot Boat Fuel</v>
      </c>
      <c r="J69">
        <f>'JNS-02, Sch1.1 Results of Oper '!D63</f>
        <v>304363.31999999995</v>
      </c>
      <c r="K69" s="108">
        <v>8</v>
      </c>
    </row>
    <row r="70" spans="2:11">
      <c r="B70" s="27">
        <v>59</v>
      </c>
      <c r="C70" s="95" t="s">
        <v>233</v>
      </c>
      <c r="D70" s="95" t="s">
        <v>234</v>
      </c>
      <c r="E70" s="127">
        <v>1644567</v>
      </c>
      <c r="F70" s="44"/>
      <c r="G70" s="111"/>
      <c r="I70" t="str">
        <f>'JNS-02, Sch1.1 Results of Oper '!C64</f>
        <v>Puget Sound, Prev. Maintenance</v>
      </c>
      <c r="J70">
        <f>'JNS-02, Sch1.1 Results of Oper '!D64</f>
        <v>468973.67000000004</v>
      </c>
      <c r="K70" s="108">
        <v>9</v>
      </c>
    </row>
    <row r="71" spans="2:11">
      <c r="B71" s="27">
        <v>60</v>
      </c>
      <c r="C71" s="95" t="s">
        <v>235</v>
      </c>
      <c r="D71" s="95" t="s">
        <v>236</v>
      </c>
      <c r="E71" s="127">
        <v>124.73</v>
      </c>
      <c r="F71" s="44"/>
      <c r="G71" s="111"/>
      <c r="I71" t="str">
        <f>'JNS-02, Sch1.1 Results of Oper '!C65</f>
        <v>Juan de Fuca, Prev. Maintenance</v>
      </c>
      <c r="J71">
        <f>'JNS-02, Sch1.1 Results of Oper '!D65</f>
        <v>20773.229999999996</v>
      </c>
      <c r="K71" s="108">
        <v>10</v>
      </c>
    </row>
    <row r="72" spans="2:11">
      <c r="B72" s="27">
        <v>61</v>
      </c>
      <c r="C72" s="95" t="s">
        <v>237</v>
      </c>
      <c r="D72" s="95" t="s">
        <v>238</v>
      </c>
      <c r="E72" s="127">
        <v>10256.750000000002</v>
      </c>
      <c r="F72" s="44"/>
      <c r="G72" s="111"/>
      <c r="I72" t="str">
        <f>'JNS-02, Sch1.1 Results of Oper '!C66</f>
        <v>Rents</v>
      </c>
      <c r="J72">
        <f>'JNS-02, Sch1.1 Results of Oper '!D66</f>
        <v>192682.27999999994</v>
      </c>
      <c r="K72" s="108">
        <v>13</v>
      </c>
    </row>
    <row r="73" spans="2:11">
      <c r="B73" s="27">
        <v>62</v>
      </c>
      <c r="C73" s="95" t="s">
        <v>239</v>
      </c>
      <c r="D73" s="95" t="s">
        <v>89</v>
      </c>
      <c r="E73" s="127">
        <v>344500</v>
      </c>
      <c r="F73" s="44"/>
      <c r="G73" s="111"/>
      <c r="I73" t="str">
        <f>'JNS-02, Sch1.1 Results of Oper '!C67</f>
        <v xml:space="preserve">Repairs &amp; Maintenance </v>
      </c>
      <c r="J73">
        <f>'JNS-02, Sch1.1 Results of Oper '!D67</f>
        <v>57527.80000000001</v>
      </c>
      <c r="K73" s="109"/>
    </row>
    <row r="74" spans="2:11">
      <c r="B74" s="27">
        <v>63</v>
      </c>
      <c r="C74" s="95" t="s">
        <v>240</v>
      </c>
      <c r="D74" s="95" t="s">
        <v>100</v>
      </c>
      <c r="E74" s="127">
        <v>75309.459999999992</v>
      </c>
      <c r="F74" s="44"/>
      <c r="G74" s="111">
        <f>K60</f>
        <v>18</v>
      </c>
      <c r="I74" t="str">
        <f>'JNS-02, Sch1.1 Results of Oper '!C68</f>
        <v>Remodel/Relocation - Seattle</v>
      </c>
      <c r="J74">
        <f>'JNS-02, Sch1.1 Results of Oper '!D68</f>
        <v>385.35</v>
      </c>
      <c r="K74" s="108">
        <v>20</v>
      </c>
    </row>
    <row r="75" spans="2:11">
      <c r="B75" s="27">
        <v>64</v>
      </c>
      <c r="C75" s="95" t="s">
        <v>241</v>
      </c>
      <c r="D75" s="95" t="s">
        <v>242</v>
      </c>
      <c r="E75" s="127">
        <v>-362969</v>
      </c>
      <c r="F75" s="44"/>
      <c r="G75" s="111">
        <f>K50</f>
        <v>19</v>
      </c>
      <c r="I75" t="str">
        <f>'JNS-02, Sch1.1 Results of Oper '!C69</f>
        <v>Salaries</v>
      </c>
      <c r="J75">
        <f>'JNS-02, Sch1.1 Results of Oper '!D69</f>
        <v>1764395.94</v>
      </c>
      <c r="K75" s="108">
        <v>5</v>
      </c>
    </row>
    <row r="76" spans="2:11">
      <c r="B76" s="27">
        <v>65</v>
      </c>
      <c r="C76" s="95" t="s">
        <v>243</v>
      </c>
      <c r="D76" s="95" t="s">
        <v>244</v>
      </c>
      <c r="E76" s="127">
        <v>14613.26</v>
      </c>
      <c r="F76" s="44"/>
      <c r="G76" s="111">
        <f>K74</f>
        <v>20</v>
      </c>
      <c r="I76" t="str">
        <f>'JNS-02, Sch1.1 Results of Oper '!C70</f>
        <v>Subscriptions</v>
      </c>
      <c r="J76">
        <f>'JNS-02, Sch1.1 Results of Oper '!D70</f>
        <v>8586.5499999999993</v>
      </c>
      <c r="K76" s="109"/>
    </row>
    <row r="77" spans="2:11">
      <c r="B77" s="27">
        <v>66</v>
      </c>
      <c r="C77" s="95" t="s">
        <v>245</v>
      </c>
      <c r="D77" s="95" t="s">
        <v>246</v>
      </c>
      <c r="E77" s="127">
        <v>7200</v>
      </c>
      <c r="F77" s="44"/>
      <c r="G77" s="111"/>
      <c r="I77" t="str">
        <f>'JNS-02, Sch1.1 Results of Oper '!C71</f>
        <v>Supplies</v>
      </c>
      <c r="J77">
        <f>'JNS-02, Sch1.1 Results of Oper '!D71</f>
        <v>30713.85</v>
      </c>
      <c r="K77" s="109"/>
    </row>
    <row r="78" spans="2:11">
      <c r="B78" s="27">
        <v>67</v>
      </c>
      <c r="C78" s="95" t="s">
        <v>247</v>
      </c>
      <c r="D78" s="95" t="s">
        <v>248</v>
      </c>
      <c r="E78" s="127">
        <v>5510277.9900000012</v>
      </c>
      <c r="F78" s="44"/>
      <c r="G78" s="111"/>
      <c r="I78" t="str">
        <f>'JNS-02, Sch1.1 Results of Oper '!C72</f>
        <v>Payroll Taxes</v>
      </c>
      <c r="J78">
        <f>'JNS-02, Sch1.1 Results of Oper '!D72</f>
        <v>135224.65</v>
      </c>
      <c r="K78" s="109"/>
    </row>
    <row r="79" spans="2:11">
      <c r="B79" s="27">
        <v>68</v>
      </c>
      <c r="C79" s="95" t="s">
        <v>249</v>
      </c>
      <c r="D79" s="95" t="s">
        <v>250</v>
      </c>
      <c r="E79" s="127">
        <v>69502.319999999992</v>
      </c>
      <c r="F79" s="48"/>
      <c r="G79" s="111"/>
      <c r="I79" s="48" t="s">
        <v>337</v>
      </c>
      <c r="J79" s="88">
        <f>SUM(J65:J78)</f>
        <v>8593893.9700000025</v>
      </c>
      <c r="K79" s="108"/>
    </row>
    <row r="80" spans="2:11">
      <c r="B80" s="27">
        <v>69</v>
      </c>
      <c r="C80" s="95" t="s">
        <v>251</v>
      </c>
      <c r="D80" s="95" t="s">
        <v>252</v>
      </c>
      <c r="E80" s="127">
        <v>1385.88</v>
      </c>
      <c r="F80" s="48"/>
      <c r="G80" s="111">
        <f>K51</f>
        <v>21</v>
      </c>
      <c r="K80" s="108"/>
    </row>
    <row r="81" spans="2:11">
      <c r="B81" s="27">
        <v>70</v>
      </c>
      <c r="C81" s="95" t="s">
        <v>253</v>
      </c>
      <c r="D81" s="95" t="s">
        <v>254</v>
      </c>
      <c r="E81" s="127">
        <v>998.45999999999992</v>
      </c>
      <c r="F81" s="43"/>
      <c r="G81" s="111"/>
      <c r="I81" s="43" t="s">
        <v>110</v>
      </c>
      <c r="K81" s="108"/>
    </row>
    <row r="82" spans="2:11">
      <c r="B82" s="27">
        <v>71</v>
      </c>
      <c r="C82" s="95" t="s">
        <v>255</v>
      </c>
      <c r="D82" s="95" t="s">
        <v>256</v>
      </c>
      <c r="E82" s="127">
        <v>6289.42</v>
      </c>
      <c r="F82" s="44"/>
      <c r="G82" s="111"/>
      <c r="I82" t="str">
        <f>'JNS-02, Sch1.1 Results of Oper '!C73</f>
        <v>Property Taxes</v>
      </c>
      <c r="J82">
        <f>'JNS-02, Sch1.1 Results of Oper '!D73</f>
        <v>20601.93</v>
      </c>
      <c r="K82" s="109"/>
    </row>
    <row r="83" spans="2:11">
      <c r="B83" s="27">
        <v>72</v>
      </c>
      <c r="C83" s="95" t="s">
        <v>257</v>
      </c>
      <c r="D83" s="95" t="s">
        <v>258</v>
      </c>
      <c r="E83" s="127">
        <v>126081.60999999999</v>
      </c>
      <c r="F83" s="44"/>
      <c r="G83" s="111"/>
      <c r="I83" t="str">
        <f>'JNS-02, Sch1.1 Results of Oper '!C74</f>
        <v>Use Taxes</v>
      </c>
      <c r="J83">
        <f>'JNS-02, Sch1.1 Results of Oper '!D74</f>
        <v>551.07000000000005</v>
      </c>
      <c r="K83" s="109"/>
    </row>
    <row r="84" spans="2:11">
      <c r="B84" s="27">
        <v>73</v>
      </c>
      <c r="C84" s="95" t="s">
        <v>259</v>
      </c>
      <c r="D84" s="95" t="s">
        <v>260</v>
      </c>
      <c r="E84" s="127">
        <v>468973.67000000004</v>
      </c>
      <c r="F84" s="44"/>
      <c r="G84" s="111"/>
      <c r="I84" t="str">
        <f>'JNS-02, Sch1.1 Results of Oper '!C75</f>
        <v>Taxes, B &amp; O</v>
      </c>
      <c r="J84">
        <f>'JNS-02, Sch1.1 Results of Oper '!D75</f>
        <v>599697.9</v>
      </c>
      <c r="K84" s="108">
        <v>22</v>
      </c>
    </row>
    <row r="85" spans="2:11">
      <c r="B85" s="27">
        <v>74</v>
      </c>
      <c r="C85" s="95" t="s">
        <v>261</v>
      </c>
      <c r="D85" s="95" t="s">
        <v>262</v>
      </c>
      <c r="E85" s="127">
        <v>178281.70999999996</v>
      </c>
      <c r="F85" s="44"/>
      <c r="G85" s="111"/>
      <c r="I85" t="str">
        <f>'JNS-02, Sch1.1 Results of Oper '!C76</f>
        <v xml:space="preserve">Telephone &amp; Communications </v>
      </c>
      <c r="J85">
        <f>'JNS-02, Sch1.1 Results of Oper '!D76</f>
        <v>44173.69</v>
      </c>
      <c r="K85" s="108">
        <v>4</v>
      </c>
    </row>
    <row r="86" spans="2:11">
      <c r="B86" s="27">
        <v>75</v>
      </c>
      <c r="C86" s="95" t="s">
        <v>263</v>
      </c>
      <c r="D86" s="95" t="s">
        <v>264</v>
      </c>
      <c r="E86" s="127">
        <v>20773.229999999996</v>
      </c>
      <c r="F86" s="48"/>
      <c r="G86" s="111"/>
      <c r="I86" s="48" t="s">
        <v>338</v>
      </c>
      <c r="J86" s="88">
        <f>SUM(J82:J85)</f>
        <v>665024.59000000008</v>
      </c>
      <c r="K86" s="108"/>
    </row>
    <row r="87" spans="2:11">
      <c r="B87" s="27">
        <v>76</v>
      </c>
      <c r="C87" s="95" t="s">
        <v>265</v>
      </c>
      <c r="D87" s="95" t="s">
        <v>266</v>
      </c>
      <c r="E87" s="127">
        <v>188764.69999999995</v>
      </c>
      <c r="F87" s="48"/>
      <c r="G87" s="111"/>
      <c r="K87" s="108"/>
    </row>
    <row r="88" spans="2:11">
      <c r="B88" s="27">
        <v>77</v>
      </c>
      <c r="C88" s="95" t="s">
        <v>267</v>
      </c>
      <c r="D88" s="95" t="s">
        <v>268</v>
      </c>
      <c r="E88" s="127">
        <v>3917.58</v>
      </c>
      <c r="F88" s="48"/>
      <c r="G88" s="111"/>
      <c r="I88" s="48" t="s">
        <v>147</v>
      </c>
      <c r="J88" s="88">
        <f>SUM(J42+J55+J62+J79+J86)</f>
        <v>14301304.210000001</v>
      </c>
      <c r="K88" s="108"/>
    </row>
    <row r="89" spans="2:11">
      <c r="B89" s="27">
        <v>78</v>
      </c>
      <c r="C89" s="95" t="s">
        <v>269</v>
      </c>
      <c r="D89" s="95" t="s">
        <v>270</v>
      </c>
      <c r="E89" s="127">
        <v>7253</v>
      </c>
      <c r="F89" s="44"/>
      <c r="G89" s="111"/>
      <c r="K89" s="108"/>
    </row>
    <row r="90" spans="2:11">
      <c r="B90" s="27">
        <v>79</v>
      </c>
      <c r="C90" s="95" t="s">
        <v>271</v>
      </c>
      <c r="D90" s="95" t="s">
        <v>272</v>
      </c>
      <c r="E90" s="127">
        <v>50274.80000000001</v>
      </c>
      <c r="F90" s="51"/>
      <c r="G90" s="111"/>
      <c r="I90" s="51" t="s">
        <v>113</v>
      </c>
      <c r="K90" s="108"/>
    </row>
    <row r="91" spans="2:11">
      <c r="B91" s="27">
        <v>80</v>
      </c>
      <c r="C91" s="95" t="s">
        <v>273</v>
      </c>
      <c r="D91" s="95" t="s">
        <v>274</v>
      </c>
      <c r="E91" s="127">
        <v>385.35</v>
      </c>
      <c r="G91" s="111"/>
      <c r="K91" s="108"/>
    </row>
    <row r="92" spans="2:11">
      <c r="B92" s="27"/>
      <c r="C92" s="95" t="s">
        <v>275</v>
      </c>
      <c r="D92" s="95" t="s">
        <v>276</v>
      </c>
      <c r="E92" s="127">
        <v>677636.47</v>
      </c>
      <c r="G92" s="111"/>
      <c r="K92" s="108"/>
    </row>
    <row r="93" spans="2:11">
      <c r="B93" s="27"/>
      <c r="C93" s="95" t="s">
        <v>277</v>
      </c>
      <c r="D93" s="95" t="s">
        <v>278</v>
      </c>
      <c r="E93" s="127">
        <v>786617.19</v>
      </c>
      <c r="G93" s="111"/>
      <c r="K93" s="108"/>
    </row>
    <row r="94" spans="2:11">
      <c r="B94" s="27"/>
      <c r="C94" s="95" t="s">
        <v>279</v>
      </c>
      <c r="D94" s="95" t="s">
        <v>280</v>
      </c>
      <c r="E94" s="127">
        <v>252459.92</v>
      </c>
      <c r="G94" s="111"/>
      <c r="K94" s="108"/>
    </row>
    <row r="95" spans="2:11">
      <c r="B95" s="27"/>
      <c r="C95" s="95" t="s">
        <v>281</v>
      </c>
      <c r="D95" s="95" t="s">
        <v>282</v>
      </c>
      <c r="E95" s="127">
        <v>47682.36</v>
      </c>
      <c r="G95" s="111"/>
      <c r="K95" s="108"/>
    </row>
    <row r="96" spans="2:11">
      <c r="B96" s="27"/>
      <c r="C96" s="95" t="s">
        <v>283</v>
      </c>
      <c r="D96" s="95" t="s">
        <v>284</v>
      </c>
      <c r="E96" s="127">
        <v>1309.0999999999999</v>
      </c>
      <c r="G96" s="111"/>
      <c r="K96" s="108"/>
    </row>
    <row r="97" spans="2:11">
      <c r="B97" s="27"/>
      <c r="C97" s="95" t="s">
        <v>285</v>
      </c>
      <c r="D97" s="95" t="s">
        <v>286</v>
      </c>
      <c r="E97" s="127">
        <v>7277.4499999999989</v>
      </c>
      <c r="G97" s="111"/>
      <c r="K97" s="108"/>
    </row>
    <row r="98" spans="2:11">
      <c r="B98" s="27"/>
      <c r="C98" s="95" t="s">
        <v>287</v>
      </c>
      <c r="D98" s="95" t="s">
        <v>288</v>
      </c>
      <c r="E98" s="127">
        <v>13913.259999999998</v>
      </c>
      <c r="G98" s="111"/>
      <c r="K98" s="108"/>
    </row>
    <row r="99" spans="2:11">
      <c r="B99" s="27"/>
      <c r="C99" s="95" t="s">
        <v>289</v>
      </c>
      <c r="D99" s="95" t="s">
        <v>290</v>
      </c>
      <c r="E99" s="127">
        <v>16800.59</v>
      </c>
      <c r="G99" s="111"/>
      <c r="K99" s="108"/>
    </row>
    <row r="100" spans="2:11">
      <c r="B100" s="27"/>
      <c r="C100" s="95" t="s">
        <v>291</v>
      </c>
      <c r="D100" s="95" t="s">
        <v>292</v>
      </c>
      <c r="E100" s="127">
        <v>63293.51999999999</v>
      </c>
      <c r="G100" s="111"/>
      <c r="K100" s="108"/>
    </row>
    <row r="101" spans="2:11">
      <c r="B101" s="27"/>
      <c r="C101" s="95" t="s">
        <v>293</v>
      </c>
      <c r="D101" s="95" t="s">
        <v>294</v>
      </c>
      <c r="E101" s="127">
        <v>63824.070000000007</v>
      </c>
      <c r="G101" s="111"/>
      <c r="K101" s="108"/>
    </row>
    <row r="102" spans="2:11">
      <c r="B102" s="27"/>
      <c r="C102" s="95" t="s">
        <v>295</v>
      </c>
      <c r="D102" s="95" t="s">
        <v>296</v>
      </c>
      <c r="E102" s="127">
        <v>1511.0199999999995</v>
      </c>
      <c r="G102" s="111"/>
      <c r="K102" s="108"/>
    </row>
    <row r="103" spans="2:11">
      <c r="B103" s="27"/>
      <c r="C103" s="95" t="s">
        <v>297</v>
      </c>
      <c r="D103" s="95" t="s">
        <v>298</v>
      </c>
      <c r="E103" s="127">
        <v>1593.3500000000001</v>
      </c>
      <c r="G103" s="111"/>
      <c r="K103" s="108"/>
    </row>
    <row r="104" spans="2:11">
      <c r="B104" s="27"/>
      <c r="C104" s="95" t="s">
        <v>299</v>
      </c>
      <c r="D104" s="95" t="s">
        <v>300</v>
      </c>
      <c r="E104" s="127">
        <v>336</v>
      </c>
      <c r="G104" s="111"/>
      <c r="K104" s="108"/>
    </row>
    <row r="105" spans="2:11">
      <c r="B105" s="27"/>
      <c r="C105" s="95" t="s">
        <v>301</v>
      </c>
      <c r="D105" s="95" t="s">
        <v>302</v>
      </c>
      <c r="E105" s="127">
        <v>420.01000000000005</v>
      </c>
      <c r="G105" s="111"/>
      <c r="K105" s="108"/>
    </row>
    <row r="106" spans="2:11">
      <c r="B106" s="27"/>
      <c r="C106" s="95" t="s">
        <v>303</v>
      </c>
      <c r="D106" s="95" t="s">
        <v>304</v>
      </c>
      <c r="E106" s="127">
        <v>4246.68</v>
      </c>
      <c r="G106" s="111"/>
      <c r="K106" s="108"/>
    </row>
    <row r="107" spans="2:11">
      <c r="B107" s="27"/>
      <c r="C107" s="95" t="s">
        <v>305</v>
      </c>
      <c r="D107" s="95" t="s">
        <v>306</v>
      </c>
      <c r="E107" s="127">
        <v>1411.9</v>
      </c>
      <c r="G107" s="111"/>
      <c r="K107" s="108"/>
    </row>
    <row r="108" spans="2:11">
      <c r="B108" s="27"/>
      <c r="C108" s="95" t="s">
        <v>307</v>
      </c>
      <c r="D108" s="95" t="s">
        <v>308</v>
      </c>
      <c r="E108" s="127">
        <v>14172.599999999999</v>
      </c>
      <c r="G108" s="111"/>
      <c r="K108" s="108"/>
    </row>
    <row r="109" spans="2:11">
      <c r="B109" s="27"/>
      <c r="C109" s="95" t="s">
        <v>309</v>
      </c>
      <c r="D109" s="95" t="s">
        <v>310</v>
      </c>
      <c r="E109" s="127">
        <v>5017.43</v>
      </c>
      <c r="G109" s="111"/>
      <c r="K109" s="108"/>
    </row>
    <row r="110" spans="2:11">
      <c r="B110" s="27"/>
      <c r="C110" s="95" t="s">
        <v>311</v>
      </c>
      <c r="D110" s="95" t="s">
        <v>312</v>
      </c>
      <c r="E110" s="127">
        <v>81.710000000000008</v>
      </c>
      <c r="G110" s="111"/>
      <c r="K110" s="108"/>
    </row>
    <row r="111" spans="2:11">
      <c r="B111" s="27"/>
      <c r="C111" s="95" t="s">
        <v>313</v>
      </c>
      <c r="D111" s="95" t="s">
        <v>314</v>
      </c>
      <c r="E111" s="127">
        <v>469.36</v>
      </c>
      <c r="G111" s="111"/>
      <c r="K111" s="108"/>
    </row>
    <row r="112" spans="2:11">
      <c r="B112" s="27"/>
      <c r="C112" s="95" t="s">
        <v>315</v>
      </c>
      <c r="D112" s="95" t="s">
        <v>106</v>
      </c>
      <c r="E112" s="127">
        <v>599697.9</v>
      </c>
      <c r="G112" s="111"/>
      <c r="K112" s="108"/>
    </row>
    <row r="113" spans="2:11">
      <c r="B113" s="27"/>
      <c r="C113" s="95" t="s">
        <v>316</v>
      </c>
      <c r="D113" s="95" t="s">
        <v>317</v>
      </c>
      <c r="E113" s="127">
        <v>21233.469999999998</v>
      </c>
      <c r="G113" s="111"/>
      <c r="K113" s="108"/>
    </row>
    <row r="114" spans="2:11">
      <c r="B114" s="27"/>
      <c r="C114" s="95" t="s">
        <v>318</v>
      </c>
      <c r="D114" s="95" t="s">
        <v>319</v>
      </c>
      <c r="E114" s="127">
        <v>22940.22</v>
      </c>
      <c r="G114" s="111">
        <f>K84</f>
        <v>22</v>
      </c>
      <c r="K114" s="108"/>
    </row>
    <row r="115" spans="2:11">
      <c r="B115" s="27"/>
      <c r="C115" s="95" t="s">
        <v>320</v>
      </c>
      <c r="D115" s="95" t="s">
        <v>92</v>
      </c>
      <c r="E115" s="127">
        <v>80695.149999999994</v>
      </c>
      <c r="G115" s="111"/>
      <c r="K115" s="108"/>
    </row>
    <row r="116" spans="2:11">
      <c r="B116" s="27"/>
      <c r="C116" s="95" t="s">
        <v>321</v>
      </c>
      <c r="D116" s="95" t="s">
        <v>322</v>
      </c>
      <c r="E116" s="127">
        <v>1257855.25</v>
      </c>
      <c r="G116" s="111"/>
      <c r="K116" s="108"/>
    </row>
    <row r="117" spans="2:11">
      <c r="B117" s="27"/>
      <c r="C117" s="95" t="s">
        <v>323</v>
      </c>
      <c r="D117" s="95" t="s">
        <v>324</v>
      </c>
      <c r="E117" s="127">
        <v>3226.63</v>
      </c>
      <c r="G117" s="111">
        <f>K54</f>
        <v>23</v>
      </c>
      <c r="K117" s="108"/>
    </row>
    <row r="118" spans="2:11">
      <c r="B118" s="27"/>
      <c r="C118" s="95" t="s">
        <v>325</v>
      </c>
      <c r="D118" s="95" t="s">
        <v>326</v>
      </c>
      <c r="E118" s="127">
        <v>27368.48</v>
      </c>
      <c r="G118" s="111"/>
      <c r="K118" s="108"/>
    </row>
    <row r="119" spans="2:11">
      <c r="B119" s="27"/>
      <c r="C119" s="95" t="s">
        <v>327</v>
      </c>
      <c r="D119" s="95" t="s">
        <v>328</v>
      </c>
      <c r="E119" s="127">
        <v>29645.410000000003</v>
      </c>
      <c r="G119" s="111"/>
      <c r="K119" s="108"/>
    </row>
    <row r="120" spans="2:11">
      <c r="B120" s="27"/>
      <c r="C120" s="95"/>
      <c r="D120" s="95"/>
      <c r="E120" s="127"/>
      <c r="G120" s="111"/>
      <c r="K120" s="108"/>
    </row>
    <row r="121" spans="2:11">
      <c r="B121" s="27"/>
      <c r="C121" s="95"/>
      <c r="D121" s="95"/>
      <c r="E121" s="128"/>
      <c r="G121" s="108">
        <f>K61</f>
        <v>24</v>
      </c>
      <c r="K121" s="108"/>
    </row>
    <row r="122" spans="2:11">
      <c r="B122" s="27"/>
      <c r="C122" s="156" t="s">
        <v>111</v>
      </c>
      <c r="D122" s="157"/>
      <c r="E122" s="129">
        <f>SUM(E25:E119)</f>
        <v>15700094.510000002</v>
      </c>
      <c r="G122" s="108"/>
      <c r="K122" s="108"/>
    </row>
    <row r="123" spans="2:11">
      <c r="B123" s="27"/>
      <c r="C123" s="95"/>
      <c r="D123" s="95"/>
      <c r="E123" s="130"/>
      <c r="G123" s="108"/>
      <c r="K123" s="108"/>
    </row>
    <row r="124" spans="2:11">
      <c r="B124" s="27"/>
      <c r="C124" s="96" t="s">
        <v>329</v>
      </c>
      <c r="D124" s="95"/>
      <c r="E124" s="130">
        <v>16397575</v>
      </c>
      <c r="G124" s="108"/>
      <c r="K124" s="108"/>
    </row>
    <row r="125" spans="2:11">
      <c r="B125" s="27"/>
      <c r="C125" s="96"/>
      <c r="D125" s="95"/>
      <c r="E125" s="130"/>
      <c r="G125" s="108"/>
      <c r="K125" s="108"/>
    </row>
    <row r="126" spans="2:11">
      <c r="B126" s="27"/>
      <c r="C126" s="96" t="s">
        <v>330</v>
      </c>
      <c r="D126" s="95"/>
      <c r="E126" s="130">
        <f>E124/D128</f>
        <v>315337.98076923075</v>
      </c>
      <c r="G126" s="108"/>
      <c r="K126" s="108"/>
    </row>
    <row r="127" spans="2:11">
      <c r="B127" s="27"/>
      <c r="C127" s="96"/>
      <c r="D127" s="95"/>
      <c r="E127" s="130"/>
      <c r="G127" s="108"/>
      <c r="K127" s="108"/>
    </row>
    <row r="128" spans="2:11">
      <c r="B128" s="27"/>
      <c r="C128" s="96" t="s">
        <v>331</v>
      </c>
      <c r="D128" s="95">
        <v>52</v>
      </c>
      <c r="E128" s="130"/>
      <c r="G128" s="108"/>
      <c r="K128" s="108"/>
    </row>
    <row r="129" spans="2:11">
      <c r="B129" s="27"/>
      <c r="C129" s="95"/>
      <c r="D129" s="95"/>
      <c r="E129" s="130"/>
      <c r="G129" s="108"/>
      <c r="K129" s="108"/>
    </row>
    <row r="130" spans="2:11">
      <c r="B130" s="27"/>
      <c r="C130" s="95"/>
      <c r="D130" s="95"/>
      <c r="E130" s="130"/>
      <c r="K130" s="108"/>
    </row>
    <row r="131" spans="2:11">
      <c r="B131" s="27"/>
      <c r="C131" s="95"/>
      <c r="D131" s="95"/>
      <c r="E131" s="130"/>
      <c r="K131" s="108"/>
    </row>
    <row r="132" spans="2:11">
      <c r="B132" s="27"/>
      <c r="C132" s="95"/>
      <c r="D132" s="95"/>
      <c r="E132" s="130"/>
      <c r="K132" s="108"/>
    </row>
    <row r="133" spans="2:11">
      <c r="B133" s="27"/>
      <c r="C133" s="95"/>
      <c r="D133" s="95"/>
      <c r="E133" s="130"/>
      <c r="K133" s="108"/>
    </row>
    <row r="134" spans="2:11">
      <c r="B134" s="27"/>
      <c r="C134" s="95"/>
      <c r="D134" s="95"/>
      <c r="E134" s="130"/>
      <c r="K134" s="108"/>
    </row>
    <row r="135" spans="2:11">
      <c r="B135" s="27"/>
      <c r="C135" s="95"/>
      <c r="D135" s="95"/>
      <c r="E135" s="130"/>
    </row>
    <row r="136" spans="2:11">
      <c r="B136" s="27"/>
      <c r="C136" s="95"/>
      <c r="D136" s="95"/>
      <c r="E136" s="130"/>
    </row>
    <row r="137" spans="2:11">
      <c r="B137" s="27"/>
      <c r="C137" s="95"/>
      <c r="D137" s="95"/>
      <c r="E137" s="130"/>
    </row>
    <row r="138" spans="2:11">
      <c r="B138" s="27"/>
      <c r="C138" s="95"/>
      <c r="D138" s="95"/>
      <c r="E138" s="130"/>
    </row>
    <row r="139" spans="2:11">
      <c r="B139" s="27"/>
      <c r="C139" s="95"/>
      <c r="D139" s="95"/>
      <c r="E139" s="130"/>
    </row>
    <row r="140" spans="2:11">
      <c r="B140" s="27"/>
      <c r="C140" s="95"/>
      <c r="D140" s="95"/>
      <c r="E140" s="130"/>
    </row>
    <row r="141" spans="2:11">
      <c r="B141" s="27"/>
      <c r="C141" s="95"/>
      <c r="D141" s="95"/>
      <c r="E141" s="130"/>
    </row>
    <row r="142" spans="2:11">
      <c r="B142" s="27"/>
      <c r="C142" s="95"/>
      <c r="D142" s="95"/>
      <c r="E142" s="130"/>
    </row>
    <row r="143" spans="2:11">
      <c r="B143" s="27"/>
      <c r="C143" s="95"/>
      <c r="D143" s="95"/>
      <c r="E143" s="130"/>
    </row>
    <row r="144" spans="2:11">
      <c r="B144" s="27"/>
      <c r="C144" s="95"/>
      <c r="D144" s="95"/>
      <c r="E144" s="130"/>
    </row>
    <row r="145" spans="2:5">
      <c r="B145" s="27"/>
      <c r="C145" s="95"/>
      <c r="D145" s="95"/>
      <c r="E145" s="130"/>
    </row>
    <row r="146" spans="2:5">
      <c r="B146" s="27"/>
      <c r="C146" s="95"/>
      <c r="D146" s="95"/>
      <c r="E146" s="130"/>
    </row>
    <row r="147" spans="2:5">
      <c r="B147" s="27"/>
      <c r="C147" s="95"/>
      <c r="D147" s="95"/>
      <c r="E147" s="130"/>
    </row>
    <row r="148" spans="2:5">
      <c r="B148" s="27"/>
      <c r="C148" s="95"/>
      <c r="D148" s="95"/>
      <c r="E148" s="130"/>
    </row>
    <row r="149" spans="2:5">
      <c r="B149" s="27"/>
      <c r="C149" s="95"/>
      <c r="D149" s="95"/>
      <c r="E149" s="130"/>
    </row>
    <row r="150" spans="2:5">
      <c r="B150" s="27"/>
      <c r="C150" s="95"/>
      <c r="D150" s="95"/>
      <c r="E150" s="130"/>
    </row>
    <row r="151" spans="2:5">
      <c r="B151" s="27"/>
      <c r="C151" s="95"/>
      <c r="D151" s="95"/>
      <c r="E151" s="130"/>
    </row>
    <row r="152" spans="2:5">
      <c r="B152" s="27"/>
      <c r="C152" s="95"/>
      <c r="D152" s="95"/>
      <c r="E152" s="130"/>
    </row>
    <row r="153" spans="2:5">
      <c r="B153" s="27"/>
      <c r="C153" s="95"/>
      <c r="D153" s="95"/>
      <c r="E153" s="130"/>
    </row>
    <row r="154" spans="2:5">
      <c r="B154" s="27"/>
      <c r="C154" s="95"/>
      <c r="D154" s="95"/>
      <c r="E154" s="130"/>
    </row>
    <row r="155" spans="2:5">
      <c r="B155" s="27"/>
      <c r="C155" s="95"/>
      <c r="D155" s="95"/>
      <c r="E155" s="130"/>
    </row>
    <row r="156" spans="2:5">
      <c r="B156" s="27"/>
      <c r="C156" s="95"/>
      <c r="D156" s="95"/>
      <c r="E156" s="130"/>
    </row>
    <row r="157" spans="2:5">
      <c r="B157" s="27"/>
      <c r="C157" s="95"/>
      <c r="D157" s="95"/>
      <c r="E157" s="130"/>
    </row>
    <row r="158" spans="2:5">
      <c r="B158" s="27"/>
      <c r="C158" s="95"/>
      <c r="D158" s="95"/>
      <c r="E158" s="130"/>
    </row>
    <row r="159" spans="2:5">
      <c r="B159" s="27"/>
      <c r="C159" s="95"/>
      <c r="D159" s="95"/>
      <c r="E159" s="130"/>
    </row>
    <row r="160" spans="2:5">
      <c r="B160" s="27"/>
      <c r="C160" s="95"/>
      <c r="D160" s="95"/>
      <c r="E160" s="130"/>
    </row>
    <row r="161" spans="2:6">
      <c r="B161" s="27">
        <v>81</v>
      </c>
      <c r="C161" s="94"/>
      <c r="D161" s="3" t="s">
        <v>112</v>
      </c>
    </row>
    <row r="162" spans="2:6">
      <c r="B162" s="27">
        <v>82</v>
      </c>
      <c r="C162" s="94"/>
    </row>
    <row r="163" spans="2:6">
      <c r="B163" s="27">
        <v>83</v>
      </c>
      <c r="C163" s="94"/>
      <c r="D163" s="51" t="s">
        <v>141</v>
      </c>
      <c r="E163" s="121"/>
      <c r="F163" s="51"/>
    </row>
    <row r="164" spans="2:6">
      <c r="B164" s="27">
        <v>84</v>
      </c>
      <c r="C164" s="94"/>
    </row>
    <row r="165" spans="2:6">
      <c r="B165" s="27">
        <v>85</v>
      </c>
      <c r="C165" s="94"/>
      <c r="D165"/>
      <c r="E165" s="131"/>
      <c r="F165"/>
    </row>
    <row r="166" spans="2:6">
      <c r="B166" s="27">
        <v>86</v>
      </c>
      <c r="C166" s="94"/>
      <c r="D166"/>
      <c r="E166" s="131"/>
      <c r="F166"/>
    </row>
    <row r="167" spans="2:6">
      <c r="B167" s="27">
        <v>87</v>
      </c>
      <c r="C167" s="94"/>
    </row>
  </sheetData>
  <mergeCells count="1">
    <mergeCell ref="C122:D122"/>
  </mergeCells>
  <pageMargins left="0.25" right="0.25" top="0.75" bottom="0.75" header="0.3" footer="0.3"/>
  <pageSetup scale="2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pageSetUpPr fitToPage="1"/>
  </sheetPr>
  <dimension ref="B1:N93"/>
  <sheetViews>
    <sheetView showGridLines="0" topLeftCell="C78" zoomScale="90" zoomScaleNormal="90" zoomScaleSheetLayoutView="90" zoomScalePageLayoutView="120" workbookViewId="0">
      <pane xSplit="1" topLeftCell="I1" activePane="topRight" state="frozen"/>
      <selection activeCell="C35" sqref="C35"/>
      <selection pane="topRight" activeCell="J4" sqref="J4"/>
    </sheetView>
  </sheetViews>
  <sheetFormatPr defaultColWidth="9.25" defaultRowHeight="13"/>
  <cols>
    <col min="1" max="1" width="4.5" style="3" customWidth="1"/>
    <col min="2" max="2" width="5.75" style="2" customWidth="1"/>
    <col min="3" max="3" width="35.75" style="3" customWidth="1"/>
    <col min="4" max="8" width="13.75" style="4" customWidth="1"/>
    <col min="9" max="10" width="13.75" style="3" customWidth="1"/>
    <col min="11" max="11" width="7" style="3" customWidth="1"/>
    <col min="12" max="12" width="32.25" style="3" customWidth="1"/>
    <col min="13" max="13" width="9.25" style="3" customWidth="1"/>
    <col min="14" max="16384" width="9.25" style="3"/>
  </cols>
  <sheetData>
    <row r="1" spans="2:14">
      <c r="F1" s="140"/>
      <c r="G1" s="4" t="s">
        <v>358</v>
      </c>
    </row>
    <row r="2" spans="2:14" s="7" customFormat="1">
      <c r="B2" s="6"/>
      <c r="C2" s="7" t="s">
        <v>119</v>
      </c>
      <c r="D2" s="79"/>
      <c r="E2" s="79"/>
      <c r="F2" s="79"/>
      <c r="G2" s="79"/>
      <c r="H2" s="79"/>
      <c r="J2" s="89" t="s">
        <v>361</v>
      </c>
    </row>
    <row r="3" spans="2:14" s="7" customFormat="1">
      <c r="B3" s="6"/>
      <c r="C3" s="7" t="s">
        <v>360</v>
      </c>
      <c r="D3" s="79"/>
      <c r="E3" s="79"/>
      <c r="F3" s="79"/>
      <c r="G3" s="79"/>
      <c r="H3" s="79"/>
      <c r="J3" s="89" t="s">
        <v>359</v>
      </c>
    </row>
    <row r="4" spans="2:14" s="7" customFormat="1">
      <c r="B4" s="6"/>
      <c r="C4" s="7" t="s">
        <v>356</v>
      </c>
      <c r="D4" s="79"/>
      <c r="E4" s="79"/>
      <c r="F4" s="79"/>
      <c r="G4" s="79"/>
      <c r="H4" s="79"/>
      <c r="J4" s="89" t="s">
        <v>426</v>
      </c>
    </row>
    <row r="5" spans="2:14">
      <c r="B5" s="3"/>
      <c r="D5" s="3"/>
      <c r="E5" s="3"/>
      <c r="F5" s="3"/>
      <c r="G5" s="3"/>
      <c r="H5" s="158"/>
      <c r="I5" s="158"/>
      <c r="J5" s="158"/>
    </row>
    <row r="6" spans="2:14">
      <c r="B6" s="8"/>
      <c r="C6" s="9"/>
      <c r="L6" s="5"/>
    </row>
    <row r="7" spans="2:14">
      <c r="L7" s="5"/>
    </row>
    <row r="8" spans="2:14" s="10" customFormat="1">
      <c r="B8" s="2"/>
      <c r="C8" s="10" t="s">
        <v>11</v>
      </c>
      <c r="D8" s="10" t="s">
        <v>12</v>
      </c>
      <c r="E8" s="10" t="s">
        <v>13</v>
      </c>
      <c r="F8" s="10" t="s">
        <v>62</v>
      </c>
      <c r="G8" s="10" t="s">
        <v>14</v>
      </c>
      <c r="H8" s="10" t="s">
        <v>15</v>
      </c>
      <c r="I8" s="10" t="s">
        <v>16</v>
      </c>
      <c r="J8" s="10" t="s">
        <v>17</v>
      </c>
      <c r="L8" s="11"/>
      <c r="M8" s="3"/>
      <c r="N8" s="3"/>
    </row>
    <row r="9" spans="2:14" s="10" customFormat="1">
      <c r="B9" s="2"/>
      <c r="L9" s="11"/>
      <c r="M9" s="3"/>
      <c r="N9" s="3"/>
    </row>
    <row r="10" spans="2:14" s="12" customFormat="1" ht="13.5" thickBot="1">
      <c r="B10" s="6"/>
      <c r="D10" s="13"/>
      <c r="E10" s="13" t="s">
        <v>6</v>
      </c>
      <c r="F10" s="13"/>
      <c r="G10" s="13" t="s">
        <v>6</v>
      </c>
      <c r="H10" s="13"/>
      <c r="I10" s="13"/>
      <c r="J10" s="13" t="s">
        <v>19</v>
      </c>
      <c r="L10" s="14" t="s">
        <v>63</v>
      </c>
      <c r="M10" s="3"/>
      <c r="N10" s="3"/>
    </row>
    <row r="11" spans="2:14" s="12" customFormat="1">
      <c r="B11" s="6" t="s">
        <v>1</v>
      </c>
      <c r="D11" s="13" t="s">
        <v>20</v>
      </c>
      <c r="E11" s="13" t="s">
        <v>21</v>
      </c>
      <c r="F11" s="13" t="s">
        <v>2</v>
      </c>
      <c r="G11" s="13" t="s">
        <v>0</v>
      </c>
      <c r="H11" s="13" t="s">
        <v>0</v>
      </c>
      <c r="I11" s="13" t="s">
        <v>22</v>
      </c>
      <c r="J11" s="13" t="s">
        <v>23</v>
      </c>
      <c r="L11" s="15"/>
      <c r="M11" s="3"/>
      <c r="N11" s="3"/>
    </row>
    <row r="12" spans="2:14" s="12" customFormat="1">
      <c r="B12" s="16" t="s">
        <v>3</v>
      </c>
      <c r="C12" s="17" t="s">
        <v>4</v>
      </c>
      <c r="D12" s="18" t="s">
        <v>19</v>
      </c>
      <c r="E12" s="18" t="s">
        <v>7</v>
      </c>
      <c r="F12" s="18" t="s">
        <v>19</v>
      </c>
      <c r="G12" s="18" t="s">
        <v>7</v>
      </c>
      <c r="H12" s="18" t="s">
        <v>19</v>
      </c>
      <c r="I12" s="18" t="s">
        <v>8</v>
      </c>
      <c r="J12" s="18" t="s">
        <v>24</v>
      </c>
      <c r="L12" s="19"/>
      <c r="M12" s="3"/>
      <c r="N12" s="3"/>
    </row>
    <row r="13" spans="2:14" s="10" customFormat="1">
      <c r="B13" s="2"/>
      <c r="C13" s="20" t="s">
        <v>25</v>
      </c>
      <c r="D13" s="21" t="s">
        <v>366</v>
      </c>
      <c r="E13" s="22" t="s">
        <v>26</v>
      </c>
      <c r="F13" s="22" t="s">
        <v>27</v>
      </c>
      <c r="G13" s="22" t="s">
        <v>28</v>
      </c>
      <c r="H13" s="22" t="s">
        <v>68</v>
      </c>
      <c r="I13" s="23">
        <f>+I16/D19</f>
        <v>0.17051108900065648</v>
      </c>
      <c r="J13" s="22" t="s">
        <v>67</v>
      </c>
      <c r="K13" s="12"/>
      <c r="L13" s="91">
        <f>J89</f>
        <v>24841792.638868153</v>
      </c>
      <c r="M13" s="3"/>
      <c r="N13" s="3"/>
    </row>
    <row r="14" spans="2:14">
      <c r="B14" s="24">
        <v>1</v>
      </c>
      <c r="C14" s="25" t="s">
        <v>10</v>
      </c>
      <c r="I14" s="4"/>
      <c r="J14" s="4"/>
      <c r="K14" s="12"/>
      <c r="L14" s="26" t="s">
        <v>146</v>
      </c>
    </row>
    <row r="15" spans="2:14">
      <c r="B15" s="27">
        <f>+B14+1</f>
        <v>2</v>
      </c>
      <c r="C15" s="28" t="s">
        <v>9</v>
      </c>
      <c r="J15" s="4"/>
      <c r="K15" s="12"/>
      <c r="L15" s="29"/>
    </row>
    <row r="16" spans="2:14" s="33" customFormat="1">
      <c r="B16" s="27">
        <f t="shared" ref="B16:B20" si="0">+B15+1</f>
        <v>3</v>
      </c>
      <c r="C16" s="30" t="s">
        <v>71</v>
      </c>
      <c r="D16" s="31">
        <v>30238966</v>
      </c>
      <c r="E16" s="32">
        <f>+'JNS-02, Sch 1.2 Restating Adj '!D23</f>
        <v>-2259615</v>
      </c>
      <c r="F16" s="33">
        <f>SUM(D16:E16)</f>
        <v>27979351</v>
      </c>
      <c r="G16" s="34">
        <f>'JNS-02, Sch 1.3 Pro Forma Adj '!D23</f>
        <v>5469069</v>
      </c>
      <c r="H16" s="34">
        <f>+G16+F16</f>
        <v>33448420</v>
      </c>
      <c r="I16" s="34">
        <f>'[1]JNS-01, Sch1.1 Results of Oper '!$I$16</f>
        <v>5469798.2832999974</v>
      </c>
      <c r="J16" s="34">
        <f>+I16+H16</f>
        <v>38918218.283299997</v>
      </c>
      <c r="K16" s="12"/>
      <c r="L16" s="141">
        <v>44936</v>
      </c>
      <c r="M16" s="3"/>
      <c r="N16" s="3"/>
    </row>
    <row r="17" spans="2:12">
      <c r="B17" s="27">
        <f t="shared" si="0"/>
        <v>4</v>
      </c>
      <c r="C17" s="35" t="s">
        <v>72</v>
      </c>
      <c r="D17" s="36">
        <v>1839876</v>
      </c>
      <c r="E17" s="37">
        <f>+'JNS-02, Sch 1.2 Restating Adj '!D24</f>
        <v>0</v>
      </c>
      <c r="F17" s="37">
        <f>SUM(D17:E17)</f>
        <v>1839876</v>
      </c>
      <c r="G17" s="37">
        <f>+'JNS-02, Sch 1.3 Pro Forma Adj '!D24</f>
        <v>0</v>
      </c>
      <c r="H17" s="37">
        <f>+G17+F17</f>
        <v>1839876</v>
      </c>
      <c r="I17" s="37">
        <v>141288</v>
      </c>
      <c r="J17" s="37">
        <f t="shared" ref="J17" si="1">+I17+H17</f>
        <v>1981164</v>
      </c>
      <c r="K17" s="12"/>
      <c r="L17" s="26" t="s">
        <v>140</v>
      </c>
    </row>
    <row r="18" spans="2:12">
      <c r="B18" s="27">
        <f t="shared" si="0"/>
        <v>5</v>
      </c>
      <c r="C18" s="35"/>
      <c r="D18" s="36"/>
      <c r="E18" s="38"/>
      <c r="F18" s="38"/>
      <c r="G18" s="38"/>
      <c r="H18" s="38"/>
      <c r="I18" s="38"/>
      <c r="J18" s="38"/>
      <c r="K18" s="12"/>
      <c r="L18" s="29"/>
    </row>
    <row r="19" spans="2:12">
      <c r="B19" s="27">
        <f t="shared" si="0"/>
        <v>6</v>
      </c>
      <c r="C19" s="39" t="s">
        <v>73</v>
      </c>
      <c r="D19" s="40">
        <f>D16+D17+D18</f>
        <v>32078842</v>
      </c>
      <c r="E19" s="37">
        <f>SUM(E16:E18)</f>
        <v>-2259615</v>
      </c>
      <c r="F19" s="37">
        <f>SUM(F16:F18)</f>
        <v>29819227</v>
      </c>
      <c r="G19" s="37">
        <f>SUM(G16:G18)</f>
        <v>5469069</v>
      </c>
      <c r="H19" s="37">
        <f>SUM(H16:H18)</f>
        <v>35288296</v>
      </c>
      <c r="I19" s="37">
        <f>SUM(I16:I18)</f>
        <v>5611086.2832999974</v>
      </c>
      <c r="J19" s="37">
        <f>+I19+H19</f>
        <v>40899382.283299997</v>
      </c>
      <c r="K19" s="12"/>
      <c r="L19" s="91">
        <f>+J25</f>
        <v>40928637.283299997</v>
      </c>
    </row>
    <row r="20" spans="2:12" ht="13.5" thickBot="1">
      <c r="B20" s="27">
        <f t="shared" si="0"/>
        <v>7</v>
      </c>
      <c r="C20" s="35" t="s">
        <v>121</v>
      </c>
      <c r="D20" s="36"/>
      <c r="E20" s="36"/>
      <c r="F20" s="36"/>
      <c r="G20" s="41"/>
      <c r="H20" s="36"/>
      <c r="I20" s="36"/>
      <c r="J20" s="36"/>
      <c r="K20" s="12"/>
      <c r="L20" s="42" t="s">
        <v>120</v>
      </c>
    </row>
    <row r="21" spans="2:12">
      <c r="B21" s="27"/>
      <c r="C21" s="35"/>
      <c r="D21" s="36"/>
      <c r="E21" s="36"/>
      <c r="F21" s="36">
        <f>E21+D21</f>
        <v>0</v>
      </c>
      <c r="G21" s="41"/>
      <c r="H21" s="36">
        <f>F21+G21</f>
        <v>0</v>
      </c>
      <c r="I21" s="36"/>
      <c r="J21" s="36">
        <f>I21+H21</f>
        <v>0</v>
      </c>
      <c r="K21" s="12"/>
      <c r="L21" s="14"/>
    </row>
    <row r="22" spans="2:12">
      <c r="B22" s="27">
        <v>8</v>
      </c>
      <c r="C22" s="35" t="s">
        <v>340</v>
      </c>
      <c r="D22" s="36">
        <v>1003</v>
      </c>
      <c r="E22" s="36"/>
      <c r="F22" s="36">
        <f>+D22+E22</f>
        <v>1003</v>
      </c>
      <c r="G22" s="41"/>
      <c r="H22" s="36">
        <f>+F22+G22</f>
        <v>1003</v>
      </c>
      <c r="I22" s="36"/>
      <c r="J22" s="36">
        <f>+I22+H22</f>
        <v>1003</v>
      </c>
      <c r="K22" s="12"/>
      <c r="L22" s="14"/>
    </row>
    <row r="23" spans="2:12">
      <c r="B23" s="27">
        <v>9</v>
      </c>
      <c r="C23" s="35" t="s">
        <v>341</v>
      </c>
      <c r="D23" s="36">
        <v>17825</v>
      </c>
      <c r="E23" s="36">
        <f>'JNS-02, Sch 1.2 Restating Adj '!D29</f>
        <v>10427</v>
      </c>
      <c r="F23" s="36">
        <f>+D23+E23</f>
        <v>28252</v>
      </c>
      <c r="G23" s="41"/>
      <c r="H23" s="36">
        <f>+F23+G23</f>
        <v>28252</v>
      </c>
      <c r="I23" s="36"/>
      <c r="J23" s="36">
        <f>+I23+H23</f>
        <v>28252</v>
      </c>
      <c r="K23" s="12"/>
      <c r="L23" s="14"/>
    </row>
    <row r="24" spans="2:12">
      <c r="B24" s="27">
        <v>10</v>
      </c>
      <c r="C24" s="35"/>
      <c r="D24" s="36"/>
      <c r="E24" s="36"/>
      <c r="F24" s="36"/>
      <c r="G24" s="41"/>
      <c r="H24" s="36"/>
      <c r="I24" s="36"/>
      <c r="J24" s="36"/>
      <c r="K24" s="12"/>
      <c r="L24" s="14"/>
    </row>
    <row r="25" spans="2:12">
      <c r="B25" s="27">
        <v>11</v>
      </c>
      <c r="C25" s="39" t="s">
        <v>75</v>
      </c>
      <c r="D25" s="40">
        <f>D19+D22+D23</f>
        <v>32097670</v>
      </c>
      <c r="E25" s="40">
        <f>SUM(E19+E21+E22+E23)</f>
        <v>-2249188</v>
      </c>
      <c r="F25" s="40">
        <f>F23+F22+F21+F19</f>
        <v>29848482</v>
      </c>
      <c r="G25" s="40">
        <f t="shared" ref="G25:I25" si="2">G19+G22+G24</f>
        <v>5469069</v>
      </c>
      <c r="H25" s="40">
        <f>H19+H22+H24+H23+H21</f>
        <v>35317551</v>
      </c>
      <c r="I25" s="40">
        <f t="shared" si="2"/>
        <v>5611086.2832999974</v>
      </c>
      <c r="J25" s="40">
        <f>SUM(J19:J23)</f>
        <v>40928637.283299997</v>
      </c>
      <c r="K25" s="12"/>
      <c r="L25" s="90">
        <f>+I16/H19</f>
        <v>0.15500318528556883</v>
      </c>
    </row>
    <row r="26" spans="2:12">
      <c r="B26" s="27">
        <v>12</v>
      </c>
      <c r="C26" s="35"/>
      <c r="D26" s="37"/>
      <c r="E26" s="37"/>
      <c r="F26" s="37"/>
      <c r="G26" s="37"/>
      <c r="H26" s="37"/>
      <c r="I26" s="37"/>
      <c r="J26" s="37"/>
      <c r="K26" s="12"/>
      <c r="L26" s="5"/>
    </row>
    <row r="27" spans="2:12">
      <c r="B27" s="27">
        <v>13</v>
      </c>
      <c r="C27" s="35" t="s">
        <v>5</v>
      </c>
      <c r="D27" s="37"/>
      <c r="E27" s="37"/>
      <c r="F27" s="37"/>
      <c r="G27" s="37"/>
      <c r="H27" s="37"/>
      <c r="I27" s="37"/>
      <c r="J27" s="37"/>
      <c r="K27" s="12"/>
      <c r="L27" s="5"/>
    </row>
    <row r="28" spans="2:12" ht="13.5" thickBot="1">
      <c r="B28" s="27">
        <v>14</v>
      </c>
      <c r="C28" s="110" t="s">
        <v>70</v>
      </c>
      <c r="D28" s="37"/>
      <c r="E28" s="37"/>
      <c r="F28" s="37"/>
      <c r="G28" s="37"/>
      <c r="H28" s="37"/>
      <c r="I28" s="37"/>
      <c r="J28" s="37"/>
      <c r="L28" s="5"/>
    </row>
    <row r="29" spans="2:12" ht="12" customHeight="1">
      <c r="B29" s="27">
        <v>15</v>
      </c>
      <c r="C29" s="35" t="s">
        <v>107</v>
      </c>
      <c r="D29" s="3">
        <v>32503.96</v>
      </c>
      <c r="E29" s="36">
        <f>'JNS-02, Sch 1.2 Restating Adj '!D35</f>
        <v>0</v>
      </c>
      <c r="F29" s="36">
        <f t="shared" ref="F29:F44" si="3">SUM(D29:E29)</f>
        <v>32503.96</v>
      </c>
      <c r="G29" s="36">
        <f>'JNS-02, Sch 1.3 Pro Forma Adj '!D35</f>
        <v>0</v>
      </c>
      <c r="H29" s="36">
        <f t="shared" ref="H29:H60" si="4">+G29+F29</f>
        <v>32503.96</v>
      </c>
      <c r="I29" s="36">
        <v>0</v>
      </c>
      <c r="J29" s="36">
        <f>+I29+H29</f>
        <v>32503.96</v>
      </c>
      <c r="L29" s="45"/>
    </row>
    <row r="30" spans="2:12">
      <c r="B30" s="27">
        <v>16</v>
      </c>
      <c r="C30" s="35" t="s">
        <v>108</v>
      </c>
      <c r="D30" s="37">
        <v>462576.9499999999</v>
      </c>
      <c r="E30" s="36">
        <f>'JNS-02, Sch 1.2 Restating Adj '!D36</f>
        <v>-75213.5</v>
      </c>
      <c r="F30" s="36">
        <f t="shared" si="3"/>
        <v>387363.4499999999</v>
      </c>
      <c r="G30" s="36">
        <f>'JNS-02, Sch 1.3 Pro Forma Adj '!D36</f>
        <v>39119</v>
      </c>
      <c r="H30" s="36">
        <f t="shared" si="4"/>
        <v>426482.4499999999</v>
      </c>
      <c r="I30" s="36">
        <v>0</v>
      </c>
      <c r="J30" s="36">
        <f t="shared" ref="J30:J44" si="5">+I30+H30</f>
        <v>426482.4499999999</v>
      </c>
      <c r="L30" s="29"/>
    </row>
    <row r="31" spans="2:12">
      <c r="B31" s="27">
        <v>17</v>
      </c>
      <c r="C31" s="35" t="s">
        <v>109</v>
      </c>
      <c r="D31" s="37">
        <v>18581.849999999999</v>
      </c>
      <c r="E31" s="36">
        <f>'JNS-02, Sch 1.2 Restating Adj '!D37</f>
        <v>0</v>
      </c>
      <c r="F31" s="36">
        <f t="shared" si="3"/>
        <v>18581.849999999999</v>
      </c>
      <c r="G31" s="36">
        <f>'JNS-02, Sch 1.3 Pro Forma Adj '!D37</f>
        <v>0</v>
      </c>
      <c r="H31" s="36">
        <f t="shared" si="4"/>
        <v>18581.849999999999</v>
      </c>
      <c r="I31" s="36">
        <v>0</v>
      </c>
      <c r="J31" s="36">
        <f t="shared" si="5"/>
        <v>18581.849999999999</v>
      </c>
      <c r="L31" s="29"/>
    </row>
    <row r="32" spans="2:12">
      <c r="B32" s="27">
        <v>18</v>
      </c>
      <c r="C32" s="35" t="s">
        <v>342</v>
      </c>
      <c r="D32" s="37">
        <v>123336</v>
      </c>
      <c r="E32" s="36">
        <f>'JNS-02, Sch 1.2 Restating Adj '!D38</f>
        <v>0</v>
      </c>
      <c r="F32" s="36">
        <f t="shared" si="3"/>
        <v>123336</v>
      </c>
      <c r="G32" s="36">
        <f>'JNS-02, Sch 1.3 Pro Forma Adj '!D38</f>
        <v>0</v>
      </c>
      <c r="H32" s="36">
        <f t="shared" si="4"/>
        <v>123336</v>
      </c>
      <c r="I32" s="36">
        <v>0</v>
      </c>
      <c r="J32" s="36">
        <f t="shared" si="5"/>
        <v>123336</v>
      </c>
      <c r="L32" s="29"/>
    </row>
    <row r="33" spans="2:12">
      <c r="B33" s="27">
        <v>19</v>
      </c>
      <c r="C33" s="35" t="s">
        <v>165</v>
      </c>
      <c r="D33" s="37">
        <v>150000</v>
      </c>
      <c r="E33" s="36">
        <f>'JNS-02, Sch 1.2 Restating Adj '!D39</f>
        <v>-150000</v>
      </c>
      <c r="F33" s="36">
        <f t="shared" si="3"/>
        <v>0</v>
      </c>
      <c r="G33" s="36">
        <f>'JNS-02, Sch 1.3 Pro Forma Adj '!D39</f>
        <v>0</v>
      </c>
      <c r="H33" s="36">
        <f t="shared" si="4"/>
        <v>0</v>
      </c>
      <c r="I33" s="36">
        <v>0</v>
      </c>
      <c r="J33" s="36">
        <f t="shared" si="5"/>
        <v>0</v>
      </c>
      <c r="L33" s="29"/>
    </row>
    <row r="34" spans="2:12">
      <c r="B34" s="27">
        <v>20</v>
      </c>
      <c r="C34" s="35" t="s">
        <v>167</v>
      </c>
      <c r="D34" s="37">
        <v>389350</v>
      </c>
      <c r="E34" s="36">
        <f>'JNS-02, Sch 1.2 Restating Adj '!D40</f>
        <v>-389350</v>
      </c>
      <c r="F34" s="36">
        <f t="shared" si="3"/>
        <v>0</v>
      </c>
      <c r="G34" s="36">
        <f>'JNS-02, Sch 1.3 Pro Forma Adj '!D40</f>
        <v>0</v>
      </c>
      <c r="H34" s="36">
        <f t="shared" si="4"/>
        <v>0</v>
      </c>
      <c r="I34" s="36">
        <v>0</v>
      </c>
      <c r="J34" s="36">
        <f t="shared" si="5"/>
        <v>0</v>
      </c>
      <c r="L34" s="29"/>
    </row>
    <row r="35" spans="2:12">
      <c r="B35" s="27">
        <v>21</v>
      </c>
      <c r="C35" s="35" t="s">
        <v>76</v>
      </c>
      <c r="D35" s="37">
        <v>337773.50999999995</v>
      </c>
      <c r="E35" s="139">
        <f>'JNS-02, Sch 1.2 Restating Adj '!D41</f>
        <v>-57211</v>
      </c>
      <c r="F35" s="36">
        <f t="shared" si="3"/>
        <v>280562.50999999995</v>
      </c>
      <c r="G35" s="36">
        <f>'JNS-02, Sch 1.3 Pro Forma Adj '!D41</f>
        <v>19070.416666666668</v>
      </c>
      <c r="H35" s="36">
        <f t="shared" si="4"/>
        <v>299632.92666666664</v>
      </c>
      <c r="I35" s="36">
        <v>0</v>
      </c>
      <c r="J35" s="36">
        <f t="shared" si="5"/>
        <v>299632.92666666664</v>
      </c>
      <c r="L35" s="29"/>
    </row>
    <row r="36" spans="2:12" ht="13.5" thickBot="1">
      <c r="B36" s="27">
        <v>22</v>
      </c>
      <c r="C36" s="35" t="s">
        <v>77</v>
      </c>
      <c r="D36" s="37">
        <v>10176.730000000001</v>
      </c>
      <c r="E36" s="36">
        <f>'JNS-02, Sch 1.2 Restating Adj '!D42</f>
        <v>0</v>
      </c>
      <c r="F36" s="36">
        <f t="shared" si="3"/>
        <v>10176.730000000001</v>
      </c>
      <c r="G36" s="36">
        <f>'JNS-02, Sch 1.3 Pro Forma Adj '!D42</f>
        <v>0</v>
      </c>
      <c r="H36" s="36">
        <f t="shared" si="4"/>
        <v>10176.730000000001</v>
      </c>
      <c r="I36" s="36">
        <v>0</v>
      </c>
      <c r="J36" s="36">
        <f t="shared" si="5"/>
        <v>10176.730000000001</v>
      </c>
      <c r="L36" s="46"/>
    </row>
    <row r="37" spans="2:12">
      <c r="B37" s="27">
        <v>23</v>
      </c>
      <c r="C37" s="35" t="s">
        <v>95</v>
      </c>
      <c r="D37" s="37">
        <v>212346.52</v>
      </c>
      <c r="E37" s="36">
        <f>'JNS-02, Sch 1.2 Restating Adj '!D43</f>
        <v>-154861</v>
      </c>
      <c r="F37" s="36">
        <f t="shared" si="3"/>
        <v>57485.51999999999</v>
      </c>
      <c r="G37" s="36">
        <f>'JNS-02, Sch 1.3 Pro Forma Adj '!D43</f>
        <v>16837</v>
      </c>
      <c r="H37" s="36">
        <f t="shared" si="4"/>
        <v>74322.51999999999</v>
      </c>
      <c r="I37" s="36">
        <v>0</v>
      </c>
      <c r="J37" s="36">
        <f t="shared" si="5"/>
        <v>74322.51999999999</v>
      </c>
      <c r="L37" s="5"/>
    </row>
    <row r="38" spans="2:12">
      <c r="B38" s="27">
        <v>24</v>
      </c>
      <c r="C38" s="35" t="s">
        <v>96</v>
      </c>
      <c r="D38" s="37">
        <v>86306.5</v>
      </c>
      <c r="E38" s="36">
        <f>'JNS-02, Sch 1.2 Restating Adj '!D44</f>
        <v>0</v>
      </c>
      <c r="F38" s="36">
        <f t="shared" si="3"/>
        <v>86306.5</v>
      </c>
      <c r="G38" s="36">
        <f>'JNS-02, Sch 1.3 Pro Forma Adj '!D44</f>
        <v>0</v>
      </c>
      <c r="H38" s="36">
        <f t="shared" si="4"/>
        <v>86306.5</v>
      </c>
      <c r="I38" s="36">
        <v>0</v>
      </c>
      <c r="J38" s="36">
        <f t="shared" si="5"/>
        <v>86306.5</v>
      </c>
      <c r="L38" s="5"/>
    </row>
    <row r="39" spans="2:12">
      <c r="B39" s="27">
        <v>25</v>
      </c>
      <c r="C39" s="35" t="s">
        <v>97</v>
      </c>
      <c r="D39" s="37">
        <v>7000</v>
      </c>
      <c r="E39" s="139">
        <f>'JNS-02, Sch 1.2 Restating Adj '!D45</f>
        <v>-7000</v>
      </c>
      <c r="F39" s="36">
        <f t="shared" si="3"/>
        <v>0</v>
      </c>
      <c r="G39" s="36">
        <f>'JNS-02, Sch 1.3 Pro Forma Adj '!D45</f>
        <v>0</v>
      </c>
      <c r="H39" s="36">
        <f t="shared" si="4"/>
        <v>0</v>
      </c>
      <c r="I39" s="36">
        <v>0</v>
      </c>
      <c r="J39" s="36">
        <f t="shared" si="5"/>
        <v>0</v>
      </c>
      <c r="L39" s="5"/>
    </row>
    <row r="40" spans="2:12">
      <c r="B40" s="27">
        <v>26</v>
      </c>
      <c r="C40" s="35" t="s">
        <v>177</v>
      </c>
      <c r="D40" s="37">
        <v>0</v>
      </c>
      <c r="E40" s="36">
        <f>'JNS-02, Sch 1.2 Restating Adj '!D46</f>
        <v>0</v>
      </c>
      <c r="F40" s="36">
        <f t="shared" si="3"/>
        <v>0</v>
      </c>
      <c r="G40" s="36">
        <f>'JNS-02, Sch 1.3 Pro Forma Adj '!D46</f>
        <v>20000</v>
      </c>
      <c r="H40" s="36">
        <f t="shared" si="4"/>
        <v>20000</v>
      </c>
      <c r="I40" s="36">
        <v>0</v>
      </c>
      <c r="J40" s="36">
        <f t="shared" si="5"/>
        <v>20000</v>
      </c>
      <c r="L40" s="5"/>
    </row>
    <row r="41" spans="2:12">
      <c r="B41" s="27">
        <v>27</v>
      </c>
      <c r="C41" s="35" t="s">
        <v>343</v>
      </c>
      <c r="D41" s="37">
        <v>0</v>
      </c>
      <c r="E41" s="36">
        <f>'JNS-02, Sch 1.2 Restating Adj '!D47</f>
        <v>0</v>
      </c>
      <c r="F41" s="36">
        <f t="shared" si="3"/>
        <v>0</v>
      </c>
      <c r="G41" s="36">
        <f>'JNS-02, Sch 1.3 Pro Forma Adj '!D47</f>
        <v>0</v>
      </c>
      <c r="H41" s="36">
        <f t="shared" si="4"/>
        <v>0</v>
      </c>
      <c r="I41" s="36">
        <v>0</v>
      </c>
      <c r="J41" s="36">
        <f t="shared" si="5"/>
        <v>0</v>
      </c>
      <c r="L41" s="5"/>
    </row>
    <row r="42" spans="2:12">
      <c r="B42" s="27">
        <v>28</v>
      </c>
      <c r="C42" s="35" t="s">
        <v>98</v>
      </c>
      <c r="D42" s="37">
        <v>171950.34</v>
      </c>
      <c r="E42" s="36">
        <f>'JNS-02, Sch 1.2 Restating Adj '!D48</f>
        <v>0</v>
      </c>
      <c r="F42" s="36">
        <f t="shared" si="3"/>
        <v>171950.34</v>
      </c>
      <c r="G42" s="36">
        <f>'JNS-02, Sch 1.3 Pro Forma Adj '!D48</f>
        <v>18493</v>
      </c>
      <c r="H42" s="36">
        <f t="shared" si="4"/>
        <v>190443.34</v>
      </c>
      <c r="I42" s="36">
        <v>0</v>
      </c>
      <c r="J42" s="36">
        <f t="shared" si="5"/>
        <v>190443.34</v>
      </c>
      <c r="L42" s="5"/>
    </row>
    <row r="43" spans="2:12" s="7" customFormat="1">
      <c r="B43" s="142">
        <v>29</v>
      </c>
      <c r="C43" s="35" t="s">
        <v>86</v>
      </c>
      <c r="D43" s="37">
        <v>288457.38</v>
      </c>
      <c r="E43" s="36">
        <f>'JNS-02, Sch 1.2 Restating Adj '!D49</f>
        <v>0</v>
      </c>
      <c r="F43" s="36">
        <f t="shared" si="3"/>
        <v>288457.38</v>
      </c>
      <c r="G43" s="36">
        <f>'JNS-02, Sch 1.3 Pro Forma Adj '!D49</f>
        <v>56446</v>
      </c>
      <c r="H43" s="36">
        <f t="shared" si="4"/>
        <v>344903.38</v>
      </c>
      <c r="I43" s="143">
        <v>0</v>
      </c>
      <c r="J43" s="36">
        <f t="shared" si="5"/>
        <v>344903.38</v>
      </c>
      <c r="L43" s="144"/>
    </row>
    <row r="44" spans="2:12" s="7" customFormat="1">
      <c r="B44" s="142">
        <v>30</v>
      </c>
      <c r="C44" s="35" t="s">
        <v>87</v>
      </c>
      <c r="D44" s="37">
        <v>124516.79999999999</v>
      </c>
      <c r="E44" s="36">
        <f>'JNS-02, Sch 1.2 Restating Adj '!D50</f>
        <v>0</v>
      </c>
      <c r="F44" s="36">
        <f t="shared" si="3"/>
        <v>124516.79999999999</v>
      </c>
      <c r="G44" s="36">
        <f>'JNS-02, Sch 1.3 Pro Forma Adj '!D50</f>
        <v>14584</v>
      </c>
      <c r="H44" s="36">
        <f t="shared" si="4"/>
        <v>139100.79999999999</v>
      </c>
      <c r="I44" s="143">
        <v>0</v>
      </c>
      <c r="J44" s="36">
        <f t="shared" si="5"/>
        <v>139100.79999999999</v>
      </c>
      <c r="L44" s="144"/>
    </row>
    <row r="45" spans="2:12" s="7" customFormat="1">
      <c r="B45" s="142">
        <v>34</v>
      </c>
      <c r="C45" s="35" t="s">
        <v>344</v>
      </c>
      <c r="D45" s="37">
        <v>0</v>
      </c>
      <c r="E45" s="36">
        <f>'JNS-02, Sch 1.2 Restating Adj '!D51</f>
        <v>0</v>
      </c>
      <c r="F45" s="37">
        <f>+E45+D45</f>
        <v>0</v>
      </c>
      <c r="G45" s="36">
        <f>'JNS-02, Sch 1.3 Pro Forma Adj '!D51</f>
        <v>18000</v>
      </c>
      <c r="H45" s="37">
        <f t="shared" si="4"/>
        <v>18000</v>
      </c>
      <c r="I45" s="143">
        <v>0</v>
      </c>
      <c r="J45" s="37">
        <f>+I45+H45</f>
        <v>18000</v>
      </c>
      <c r="L45" s="144"/>
    </row>
    <row r="46" spans="2:12">
      <c r="B46" s="27">
        <v>35</v>
      </c>
      <c r="C46" s="35" t="s">
        <v>195</v>
      </c>
      <c r="D46" s="37">
        <v>4928.54</v>
      </c>
      <c r="E46" s="36">
        <f>'JNS-02, Sch 1.2 Restating Adj '!D52</f>
        <v>0</v>
      </c>
      <c r="F46" s="36">
        <f t="shared" ref="F46:F57" si="6">SUM(D46:E46)</f>
        <v>4928.54</v>
      </c>
      <c r="G46" s="36">
        <f>'JNS-02, Sch 1.3 Pro Forma Adj '!D52</f>
        <v>0</v>
      </c>
      <c r="H46" s="36">
        <f t="shared" si="4"/>
        <v>4928.54</v>
      </c>
      <c r="I46" s="36">
        <v>0</v>
      </c>
      <c r="J46" s="36">
        <f t="shared" ref="J46:J54" si="7">+I46+H46</f>
        <v>4928.54</v>
      </c>
      <c r="L46" s="5"/>
    </row>
    <row r="47" spans="2:12" s="7" customFormat="1">
      <c r="B47" s="142">
        <v>36</v>
      </c>
      <c r="C47" s="35" t="s">
        <v>197</v>
      </c>
      <c r="D47" s="37">
        <v>335819.61</v>
      </c>
      <c r="E47" s="36">
        <f>'JNS-02, Sch 1.2 Restating Adj '!D53</f>
        <v>152998</v>
      </c>
      <c r="F47" s="36">
        <f t="shared" si="6"/>
        <v>488817.61</v>
      </c>
      <c r="G47" s="36">
        <f>'JNS-02, Sch 1.3 Pro Forma Adj '!D53</f>
        <v>0</v>
      </c>
      <c r="H47" s="36">
        <f t="shared" si="4"/>
        <v>488817.61</v>
      </c>
      <c r="I47" s="36">
        <v>0</v>
      </c>
      <c r="J47" s="36">
        <f t="shared" si="7"/>
        <v>488817.61</v>
      </c>
      <c r="L47" s="144"/>
    </row>
    <row r="48" spans="2:12">
      <c r="B48" s="27">
        <v>37</v>
      </c>
      <c r="C48" s="35" t="s">
        <v>78</v>
      </c>
      <c r="D48" s="37">
        <v>82799.920000000013</v>
      </c>
      <c r="E48" s="139">
        <f>'JNS-02, Sch 1.2 Restating Adj '!D54</f>
        <v>207939</v>
      </c>
      <c r="F48" s="36">
        <f t="shared" si="6"/>
        <v>290738.92000000004</v>
      </c>
      <c r="G48" s="36">
        <f>'JNS-02, Sch 1.3 Pro Forma Adj '!D54</f>
        <v>0</v>
      </c>
      <c r="H48" s="36">
        <f t="shared" si="4"/>
        <v>290738.92000000004</v>
      </c>
      <c r="I48" s="36">
        <v>0</v>
      </c>
      <c r="J48" s="36">
        <f t="shared" si="7"/>
        <v>290738.92000000004</v>
      </c>
      <c r="L48" s="5"/>
    </row>
    <row r="49" spans="2:12">
      <c r="B49" s="27">
        <v>38</v>
      </c>
      <c r="C49" s="35" t="s">
        <v>88</v>
      </c>
      <c r="D49" s="37">
        <v>10297.280000000001</v>
      </c>
      <c r="E49" s="36">
        <f>'JNS-02, Sch 1.2 Restating Adj '!D55</f>
        <v>0</v>
      </c>
      <c r="F49" s="36">
        <f t="shared" si="6"/>
        <v>10297.280000000001</v>
      </c>
      <c r="G49" s="36">
        <f>'JNS-02, Sch 1.3 Pro Forma Adj '!D55</f>
        <v>0</v>
      </c>
      <c r="H49" s="36">
        <f t="shared" si="4"/>
        <v>10297.280000000001</v>
      </c>
      <c r="I49" s="36">
        <v>0</v>
      </c>
      <c r="J49" s="36">
        <f t="shared" si="7"/>
        <v>10297.280000000001</v>
      </c>
      <c r="L49" s="5"/>
    </row>
    <row r="50" spans="2:12">
      <c r="B50" s="27">
        <v>39</v>
      </c>
      <c r="C50" s="35" t="s">
        <v>345</v>
      </c>
      <c r="D50" s="37">
        <v>1510</v>
      </c>
      <c r="E50" s="36">
        <f>'JNS-02, Sch 1.2 Restating Adj '!D56</f>
        <v>0</v>
      </c>
      <c r="F50" s="36">
        <f t="shared" si="6"/>
        <v>1510</v>
      </c>
      <c r="G50" s="36">
        <f>'JNS-02, Sch 1.3 Pro Forma Adj '!D56</f>
        <v>0</v>
      </c>
      <c r="H50" s="36">
        <f t="shared" si="4"/>
        <v>1510</v>
      </c>
      <c r="I50" s="36">
        <v>0</v>
      </c>
      <c r="J50" s="36">
        <f t="shared" si="7"/>
        <v>1510</v>
      </c>
      <c r="L50" s="5"/>
    </row>
    <row r="51" spans="2:12">
      <c r="B51" s="27">
        <v>40</v>
      </c>
      <c r="C51" s="35" t="s">
        <v>346</v>
      </c>
      <c r="D51" s="37">
        <v>84843.54</v>
      </c>
      <c r="E51" s="36">
        <f>'JNS-02, Sch 1.2 Restating Adj '!D57</f>
        <v>0</v>
      </c>
      <c r="F51" s="36">
        <f t="shared" si="6"/>
        <v>84843.54</v>
      </c>
      <c r="G51" s="36">
        <f>'JNS-02, Sch 1.3 Pro Forma Adj '!D57</f>
        <v>0</v>
      </c>
      <c r="H51" s="36">
        <f t="shared" si="4"/>
        <v>84843.54</v>
      </c>
      <c r="I51" s="36">
        <v>0</v>
      </c>
      <c r="J51" s="36">
        <f t="shared" si="7"/>
        <v>84843.54</v>
      </c>
      <c r="L51" s="5"/>
    </row>
    <row r="52" spans="2:12" s="7" customFormat="1">
      <c r="B52" s="142">
        <v>41</v>
      </c>
      <c r="C52" s="35" t="s">
        <v>99</v>
      </c>
      <c r="D52" s="37">
        <v>395521.27999999997</v>
      </c>
      <c r="E52" s="36">
        <f>'JNS-02, Sch 1.2 Restating Adj '!D58</f>
        <v>0</v>
      </c>
      <c r="F52" s="36">
        <f t="shared" si="6"/>
        <v>395521.27999999997</v>
      </c>
      <c r="G52" s="36">
        <f>'JNS-02, Sch 1.3 Pro Forma Adj '!D58</f>
        <v>59328</v>
      </c>
      <c r="H52" s="36">
        <f t="shared" si="4"/>
        <v>454849.27999999997</v>
      </c>
      <c r="I52" s="143">
        <v>0</v>
      </c>
      <c r="J52" s="36">
        <f t="shared" si="7"/>
        <v>454849.27999999997</v>
      </c>
      <c r="L52" s="144"/>
    </row>
    <row r="53" spans="2:12" s="7" customFormat="1">
      <c r="B53" s="142">
        <v>42</v>
      </c>
      <c r="C53" s="35" t="s">
        <v>234</v>
      </c>
      <c r="D53" s="37">
        <v>1644567</v>
      </c>
      <c r="E53" s="36">
        <f>'JNS-02, Sch 1.2 Restating Adj '!D59</f>
        <v>0</v>
      </c>
      <c r="F53" s="36">
        <f t="shared" si="6"/>
        <v>1644567</v>
      </c>
      <c r="G53" s="36">
        <f>'JNS-02, Sch 1.3 Pro Forma Adj '!D59</f>
        <v>-1644567</v>
      </c>
      <c r="H53" s="143">
        <f t="shared" si="4"/>
        <v>0</v>
      </c>
      <c r="I53" s="143">
        <v>0</v>
      </c>
      <c r="J53" s="143">
        <f t="shared" si="7"/>
        <v>0</v>
      </c>
      <c r="L53" s="144"/>
    </row>
    <row r="54" spans="2:12">
      <c r="B54" s="27">
        <v>43</v>
      </c>
      <c r="C54" s="35" t="s">
        <v>236</v>
      </c>
      <c r="D54" s="37">
        <v>124.73</v>
      </c>
      <c r="E54" s="36">
        <f>'JNS-02, Sch 1.2 Restating Adj '!D60</f>
        <v>0</v>
      </c>
      <c r="F54" s="36">
        <f t="shared" si="6"/>
        <v>124.73</v>
      </c>
      <c r="G54" s="36">
        <f>'JNS-02, Sch 1.3 Pro Forma Adj '!D60</f>
        <v>0</v>
      </c>
      <c r="H54" s="36">
        <f t="shared" si="4"/>
        <v>124.73</v>
      </c>
      <c r="I54" s="36">
        <v>0</v>
      </c>
      <c r="J54" s="36">
        <f t="shared" si="7"/>
        <v>124.73</v>
      </c>
      <c r="L54" s="5"/>
    </row>
    <row r="55" spans="2:12">
      <c r="B55" s="27">
        <v>47</v>
      </c>
      <c r="C55" s="35" t="s">
        <v>238</v>
      </c>
      <c r="D55" s="37">
        <v>10256.750000000002</v>
      </c>
      <c r="E55" s="36">
        <f>'JNS-02, Sch 1.2 Restating Adj '!D61</f>
        <v>0</v>
      </c>
      <c r="F55" s="36">
        <f t="shared" si="6"/>
        <v>10256.750000000002</v>
      </c>
      <c r="G55" s="36">
        <f>'JNS-02, Sch 1.3 Pro Forma Adj '!D61</f>
        <v>0</v>
      </c>
      <c r="H55" s="36">
        <f t="shared" si="4"/>
        <v>10256.750000000002</v>
      </c>
      <c r="I55" s="36">
        <v>0</v>
      </c>
      <c r="J55" s="36">
        <f t="shared" ref="J55" si="8">+I55+H55</f>
        <v>10256.750000000002</v>
      </c>
      <c r="L55" s="5"/>
    </row>
    <row r="56" spans="2:12">
      <c r="B56" s="27">
        <v>48</v>
      </c>
      <c r="C56" s="35" t="s">
        <v>89</v>
      </c>
      <c r="D56" s="37">
        <v>344500</v>
      </c>
      <c r="E56" s="36">
        <f>'JNS-02, Sch 1.2 Restating Adj '!D62</f>
        <v>0</v>
      </c>
      <c r="F56" s="36">
        <f t="shared" si="6"/>
        <v>344500</v>
      </c>
      <c r="G56" s="36">
        <f>'JNS-02, Sch 1.3 Pro Forma Adj '!D62</f>
        <v>19500</v>
      </c>
      <c r="H56" s="36">
        <f t="shared" si="4"/>
        <v>364000</v>
      </c>
      <c r="I56" s="36">
        <v>0</v>
      </c>
      <c r="J56" s="36">
        <f t="shared" ref="J56:J58" si="9">+I56+H56</f>
        <v>364000</v>
      </c>
      <c r="L56" s="5"/>
    </row>
    <row r="57" spans="2:12">
      <c r="B57" s="27">
        <v>49</v>
      </c>
      <c r="C57" s="35" t="s">
        <v>100</v>
      </c>
      <c r="D57" s="37">
        <v>75309.459999999992</v>
      </c>
      <c r="E57" s="139">
        <f>'JNS-02, Sch 1.2 Restating Adj '!D63</f>
        <v>-75309</v>
      </c>
      <c r="F57" s="36">
        <f t="shared" si="6"/>
        <v>0.45999999999185093</v>
      </c>
      <c r="G57" s="36">
        <f>'JNS-02, Sch 1.3 Pro Forma Adj '!D63</f>
        <v>0</v>
      </c>
      <c r="H57" s="36">
        <f t="shared" si="4"/>
        <v>0.45999999999185093</v>
      </c>
      <c r="I57" s="36">
        <v>0</v>
      </c>
      <c r="J57" s="36">
        <f t="shared" si="9"/>
        <v>0.45999999999185093</v>
      </c>
      <c r="L57" s="5"/>
    </row>
    <row r="58" spans="2:12">
      <c r="B58" s="27">
        <v>50</v>
      </c>
      <c r="C58" s="35" t="s">
        <v>347</v>
      </c>
      <c r="D58" s="37">
        <v>-362969</v>
      </c>
      <c r="E58" s="36">
        <v>362969</v>
      </c>
      <c r="F58" s="36">
        <f>D58+E58</f>
        <v>0</v>
      </c>
      <c r="G58" s="36">
        <f>'JNS-02, Sch 1.3 Pro Forma Adj '!D64</f>
        <v>0</v>
      </c>
      <c r="H58" s="36">
        <f t="shared" si="4"/>
        <v>0</v>
      </c>
      <c r="I58" s="36">
        <v>0</v>
      </c>
      <c r="J58" s="36">
        <f t="shared" si="9"/>
        <v>0</v>
      </c>
      <c r="L58" s="5"/>
    </row>
    <row r="59" spans="2:12">
      <c r="B59" s="27">
        <v>54</v>
      </c>
      <c r="C59" s="35" t="s">
        <v>79</v>
      </c>
      <c r="D59" s="37">
        <v>14613.26</v>
      </c>
      <c r="E59" s="36">
        <f>'JNS-02, Sch 1.2 Restating Adj '!D65</f>
        <v>0</v>
      </c>
      <c r="F59" s="37">
        <f t="shared" ref="F59:F80" si="10">+E59+D59</f>
        <v>14613.26</v>
      </c>
      <c r="G59" s="36">
        <f>'JNS-02, Sch 1.3 Pro Forma Adj '!D65</f>
        <v>0</v>
      </c>
      <c r="H59" s="37">
        <f t="shared" si="4"/>
        <v>14613.26</v>
      </c>
      <c r="I59" s="36">
        <v>0</v>
      </c>
      <c r="J59" s="37">
        <f>+I59+H59</f>
        <v>14613.26</v>
      </c>
      <c r="L59" s="5"/>
    </row>
    <row r="60" spans="2:12" s="7" customFormat="1">
      <c r="B60" s="142">
        <v>55</v>
      </c>
      <c r="C60" s="35" t="s">
        <v>90</v>
      </c>
      <c r="D60" s="37">
        <v>5517477.9900000012</v>
      </c>
      <c r="E60" s="36">
        <f>'JNS-02, Sch 1.2 Restating Adj '!D66</f>
        <v>0</v>
      </c>
      <c r="F60" s="37">
        <f t="shared" si="10"/>
        <v>5517477.9900000012</v>
      </c>
      <c r="G60" s="36">
        <f>'JNS-02, Sch 1.3 Pro Forma Adj '!D66</f>
        <v>902438</v>
      </c>
      <c r="H60" s="37">
        <f t="shared" si="4"/>
        <v>6419915.9900000012</v>
      </c>
      <c r="I60" s="36">
        <v>0</v>
      </c>
      <c r="J60" s="37">
        <f t="shared" ref="J60:J72" si="11">+I60+H60</f>
        <v>6419915.9900000012</v>
      </c>
      <c r="L60" s="144"/>
    </row>
    <row r="61" spans="2:12">
      <c r="B61" s="27">
        <v>56</v>
      </c>
      <c r="C61" s="35" t="s">
        <v>348</v>
      </c>
      <c r="D61" s="37">
        <v>69502.319999999992</v>
      </c>
      <c r="E61" s="36">
        <f>'JNS-02, Sch 1.2 Restating Adj '!D67</f>
        <v>0</v>
      </c>
      <c r="F61" s="37">
        <f t="shared" si="10"/>
        <v>69502.319999999992</v>
      </c>
      <c r="G61" s="36">
        <f>'JNS-02, Sch 1.3 Pro Forma Adj '!D67</f>
        <v>0</v>
      </c>
      <c r="H61" s="37">
        <f t="shared" ref="H61:H80" si="12">+G61+F61</f>
        <v>69502.319999999992</v>
      </c>
      <c r="I61" s="36">
        <v>0</v>
      </c>
      <c r="J61" s="37">
        <f t="shared" si="11"/>
        <v>69502.319999999992</v>
      </c>
      <c r="L61" s="5"/>
    </row>
    <row r="62" spans="2:12">
      <c r="B62" s="27">
        <v>57</v>
      </c>
      <c r="C62" s="35" t="s">
        <v>80</v>
      </c>
      <c r="D62" s="37">
        <v>8673.76</v>
      </c>
      <c r="E62" s="36">
        <f>'JNS-02, Sch 1.2 Restating Adj '!D68</f>
        <v>0</v>
      </c>
      <c r="F62" s="37">
        <f t="shared" si="10"/>
        <v>8673.76</v>
      </c>
      <c r="G62" s="36">
        <f>'JNS-02, Sch 1.3 Pro Forma Adj '!D68</f>
        <v>0</v>
      </c>
      <c r="H62" s="37">
        <f t="shared" si="12"/>
        <v>8673.76</v>
      </c>
      <c r="I62" s="36">
        <v>0</v>
      </c>
      <c r="J62" s="37">
        <f t="shared" si="11"/>
        <v>8673.76</v>
      </c>
      <c r="L62" s="49"/>
    </row>
    <row r="63" spans="2:12">
      <c r="B63" s="27">
        <v>58</v>
      </c>
      <c r="C63" s="35" t="s">
        <v>349</v>
      </c>
      <c r="D63" s="37">
        <v>304363.31999999995</v>
      </c>
      <c r="E63" s="36">
        <f>'JNS-02, Sch 1.2 Restating Adj '!D69</f>
        <v>138667.79999999999</v>
      </c>
      <c r="F63" s="37">
        <f t="shared" si="10"/>
        <v>443031.11999999994</v>
      </c>
      <c r="G63" s="36">
        <f>'JNS-02, Sch 1.3 Pro Forma Adj '!D69</f>
        <v>0</v>
      </c>
      <c r="H63" s="37">
        <f t="shared" si="12"/>
        <v>443031.11999999994</v>
      </c>
      <c r="I63" s="36">
        <v>0</v>
      </c>
      <c r="J63" s="37">
        <f t="shared" si="11"/>
        <v>443031.11999999994</v>
      </c>
      <c r="L63" s="5"/>
    </row>
    <row r="64" spans="2:12">
      <c r="B64" s="27">
        <v>59</v>
      </c>
      <c r="C64" s="35" t="s">
        <v>260</v>
      </c>
      <c r="D64" s="37">
        <v>468973.67000000004</v>
      </c>
      <c r="E64" s="139">
        <f>'JNS-02, Sch 1.2 Restating Adj '!D70</f>
        <v>-398441</v>
      </c>
      <c r="F64" s="37">
        <f t="shared" si="10"/>
        <v>70532.670000000042</v>
      </c>
      <c r="G64" s="36">
        <f>'JNS-02, Sch 1.3 Pro Forma Adj '!D70</f>
        <v>0</v>
      </c>
      <c r="H64" s="37">
        <f t="shared" si="12"/>
        <v>70532.670000000042</v>
      </c>
      <c r="I64" s="36">
        <v>0</v>
      </c>
      <c r="J64" s="37">
        <f t="shared" si="11"/>
        <v>70532.670000000042</v>
      </c>
      <c r="L64" s="5"/>
    </row>
    <row r="65" spans="2:12" s="7" customFormat="1">
      <c r="B65" s="142">
        <v>60</v>
      </c>
      <c r="C65" s="35" t="s">
        <v>264</v>
      </c>
      <c r="D65" s="37">
        <v>20773.229999999996</v>
      </c>
      <c r="E65" s="36">
        <f>'JNS-02, Sch 1.2 Restating Adj '!D71</f>
        <v>25063.276000000002</v>
      </c>
      <c r="F65" s="37">
        <f t="shared" si="10"/>
        <v>45836.505999999994</v>
      </c>
      <c r="G65" s="36">
        <f>'JNS-02, Sch 1.3 Pro Forma Adj '!D71</f>
        <v>0</v>
      </c>
      <c r="H65" s="37">
        <f t="shared" si="12"/>
        <v>45836.505999999994</v>
      </c>
      <c r="I65" s="36">
        <v>0</v>
      </c>
      <c r="J65" s="37">
        <f t="shared" si="11"/>
        <v>45836.505999999994</v>
      </c>
      <c r="L65" s="144"/>
    </row>
    <row r="66" spans="2:12">
      <c r="B66" s="27">
        <v>61</v>
      </c>
      <c r="C66" s="35" t="s">
        <v>81</v>
      </c>
      <c r="D66" s="37">
        <v>192682.27999999994</v>
      </c>
      <c r="E66" s="36">
        <f>'JNS-02, Sch 1.2 Restating Adj '!D72</f>
        <v>0</v>
      </c>
      <c r="F66" s="37">
        <f t="shared" si="10"/>
        <v>192682.27999999994</v>
      </c>
      <c r="G66" s="36">
        <f>'JNS-02, Sch 1.3 Pro Forma Adj '!D72</f>
        <v>0</v>
      </c>
      <c r="H66" s="37">
        <f t="shared" si="12"/>
        <v>192682.27999999994</v>
      </c>
      <c r="I66" s="36">
        <v>0</v>
      </c>
      <c r="J66" s="37">
        <f t="shared" si="11"/>
        <v>192682.27999999994</v>
      </c>
      <c r="L66" s="5"/>
    </row>
    <row r="67" spans="2:12">
      <c r="B67" s="27">
        <v>62</v>
      </c>
      <c r="C67" s="35" t="s">
        <v>82</v>
      </c>
      <c r="D67" s="37">
        <v>57527.80000000001</v>
      </c>
      <c r="E67" s="36">
        <f>'JNS-02, Sch 1.2 Restating Adj '!D73</f>
        <v>0</v>
      </c>
      <c r="F67" s="37">
        <f t="shared" si="10"/>
        <v>57527.80000000001</v>
      </c>
      <c r="G67" s="36">
        <f>'JNS-02, Sch 1.3 Pro Forma Adj '!D73</f>
        <v>0</v>
      </c>
      <c r="H67" s="37">
        <f t="shared" si="12"/>
        <v>57527.80000000001</v>
      </c>
      <c r="I67" s="36">
        <v>0</v>
      </c>
      <c r="J67" s="37">
        <f t="shared" si="11"/>
        <v>57527.80000000001</v>
      </c>
      <c r="L67" s="5"/>
    </row>
    <row r="68" spans="2:12">
      <c r="B68" s="27">
        <v>63</v>
      </c>
      <c r="C68" s="35" t="s">
        <v>274</v>
      </c>
      <c r="D68" s="37">
        <v>385.35</v>
      </c>
      <c r="E68" s="36">
        <f>'JNS-02, Sch 1.2 Restating Adj '!D74</f>
        <v>0</v>
      </c>
      <c r="F68" s="37">
        <f t="shared" si="10"/>
        <v>385.35</v>
      </c>
      <c r="G68" s="36">
        <f>'JNS-02, Sch 1.3 Pro Forma Adj '!D74</f>
        <v>0</v>
      </c>
      <c r="H68" s="37">
        <f t="shared" si="12"/>
        <v>385.35</v>
      </c>
      <c r="I68" s="36">
        <v>0</v>
      </c>
      <c r="J68" s="37">
        <f t="shared" si="11"/>
        <v>385.35</v>
      </c>
      <c r="L68" s="5"/>
    </row>
    <row r="69" spans="2:12" s="7" customFormat="1">
      <c r="B69" s="142">
        <v>64</v>
      </c>
      <c r="C69" s="35" t="s">
        <v>101</v>
      </c>
      <c r="D69" s="37">
        <v>1764395.94</v>
      </c>
      <c r="E69" s="143">
        <f>'JNS-02, Sch 1.2 Restating Adj '!D75</f>
        <v>0</v>
      </c>
      <c r="F69" s="37">
        <f t="shared" si="10"/>
        <v>1764395.94</v>
      </c>
      <c r="G69" s="37">
        <f>'JNS-02, Sch 1.3 Pro Forma Adj '!D75</f>
        <v>134309</v>
      </c>
      <c r="H69" s="37">
        <f t="shared" si="12"/>
        <v>1898704.94</v>
      </c>
      <c r="I69" s="36">
        <v>0</v>
      </c>
      <c r="J69" s="37">
        <f t="shared" si="11"/>
        <v>1898704.94</v>
      </c>
      <c r="L69" s="144"/>
    </row>
    <row r="70" spans="2:12">
      <c r="B70" s="27">
        <v>65</v>
      </c>
      <c r="C70" s="35" t="s">
        <v>102</v>
      </c>
      <c r="D70" s="37">
        <v>8586.5499999999993</v>
      </c>
      <c r="E70" s="36">
        <f>'JNS-02, Sch 1.2 Restating Adj '!D76</f>
        <v>0</v>
      </c>
      <c r="F70" s="37">
        <f t="shared" si="10"/>
        <v>8586.5499999999993</v>
      </c>
      <c r="G70" s="37">
        <f>'JNS-02, Sch 1.3 Pro Forma Adj '!D76</f>
        <v>0</v>
      </c>
      <c r="H70" s="37">
        <f t="shared" si="12"/>
        <v>8586.5499999999993</v>
      </c>
      <c r="I70" s="36">
        <v>0</v>
      </c>
      <c r="J70" s="37">
        <f t="shared" si="11"/>
        <v>8586.5499999999993</v>
      </c>
      <c r="L70" s="5"/>
    </row>
    <row r="71" spans="2:12">
      <c r="B71" s="27">
        <v>66</v>
      </c>
      <c r="C71" s="35" t="s">
        <v>103</v>
      </c>
      <c r="D71" s="37">
        <v>30713.85</v>
      </c>
      <c r="E71" s="36">
        <f>'JNS-02, Sch 1.2 Restating Adj '!D77</f>
        <v>0</v>
      </c>
      <c r="F71" s="37">
        <f t="shared" si="10"/>
        <v>30713.85</v>
      </c>
      <c r="G71" s="37">
        <f>'JNS-02, Sch 1.3 Pro Forma Adj '!D77</f>
        <v>0</v>
      </c>
      <c r="H71" s="37">
        <f t="shared" si="12"/>
        <v>30713.85</v>
      </c>
      <c r="I71" s="36">
        <v>0</v>
      </c>
      <c r="J71" s="37">
        <f t="shared" si="11"/>
        <v>30713.85</v>
      </c>
      <c r="L71" s="49"/>
    </row>
    <row r="72" spans="2:12">
      <c r="B72" s="27">
        <v>67</v>
      </c>
      <c r="C72" s="35" t="s">
        <v>91</v>
      </c>
      <c r="D72" s="37">
        <v>135224.65</v>
      </c>
      <c r="E72" s="36">
        <f>'JNS-02, Sch 1.2 Restating Adj '!D78</f>
        <v>0</v>
      </c>
      <c r="F72" s="37">
        <f t="shared" si="10"/>
        <v>135224.65</v>
      </c>
      <c r="G72" s="37">
        <f>'JNS-02, Sch 1.3 Pro Forma Adj '!D78</f>
        <v>0</v>
      </c>
      <c r="H72" s="37">
        <f t="shared" si="12"/>
        <v>135224.65</v>
      </c>
      <c r="I72" s="36">
        <v>0</v>
      </c>
      <c r="J72" s="37">
        <f t="shared" si="11"/>
        <v>135224.65</v>
      </c>
      <c r="L72" s="49"/>
    </row>
    <row r="73" spans="2:12">
      <c r="B73" s="27">
        <v>71</v>
      </c>
      <c r="C73" s="35" t="s">
        <v>104</v>
      </c>
      <c r="D73" s="37">
        <v>20601.93</v>
      </c>
      <c r="E73" s="36">
        <f>'JNS-02, Sch 1.2 Restating Adj '!D79</f>
        <v>0</v>
      </c>
      <c r="F73" s="37">
        <f t="shared" si="10"/>
        <v>20601.93</v>
      </c>
      <c r="G73" s="37">
        <f>'JNS-02, Sch 1.3 Pro Forma Adj '!D79</f>
        <v>0</v>
      </c>
      <c r="H73" s="37">
        <f t="shared" si="12"/>
        <v>20601.93</v>
      </c>
      <c r="I73" s="36">
        <v>0</v>
      </c>
      <c r="J73" s="37">
        <f t="shared" ref="J73" si="13">+I73+H73</f>
        <v>20601.93</v>
      </c>
      <c r="L73" s="5"/>
    </row>
    <row r="74" spans="2:12">
      <c r="B74" s="27">
        <v>72</v>
      </c>
      <c r="C74" s="35" t="s">
        <v>105</v>
      </c>
      <c r="D74" s="37">
        <v>551.07000000000005</v>
      </c>
      <c r="E74" s="36">
        <f>'JNS-02, Sch 1.2 Restating Adj '!D80</f>
        <v>0</v>
      </c>
      <c r="F74" s="37">
        <f t="shared" si="10"/>
        <v>551.07000000000005</v>
      </c>
      <c r="G74" s="37">
        <f>'JNS-02, Sch 1.3 Pro Forma Adj '!D80</f>
        <v>0</v>
      </c>
      <c r="H74" s="37">
        <f t="shared" si="12"/>
        <v>551.07000000000005</v>
      </c>
      <c r="I74" s="36">
        <v>0</v>
      </c>
      <c r="J74" s="37">
        <f t="shared" ref="J74:J80" si="14">+I74+H74</f>
        <v>551.07000000000005</v>
      </c>
      <c r="L74" s="5"/>
    </row>
    <row r="75" spans="2:12">
      <c r="B75" s="27">
        <v>73</v>
      </c>
      <c r="C75" s="35" t="s">
        <v>106</v>
      </c>
      <c r="D75" s="36">
        <v>599697.9</v>
      </c>
      <c r="E75" s="36">
        <f>'JNS-02, Sch 1.2 Restating Adj '!D81</f>
        <v>0</v>
      </c>
      <c r="F75" s="36">
        <f t="shared" si="10"/>
        <v>599697.9</v>
      </c>
      <c r="G75" s="37">
        <f>'JNS-02, Sch 1.3 Pro Forma Adj '!D81</f>
        <v>216337.67</v>
      </c>
      <c r="H75" s="36">
        <f t="shared" si="12"/>
        <v>816035.57000000007</v>
      </c>
      <c r="I75" s="36">
        <f>'[1]JNS-01, Sch1.1 Results of Oper '!$I$75</f>
        <v>105045.78176518084</v>
      </c>
      <c r="J75" s="36">
        <f t="shared" si="14"/>
        <v>921081.35176518094</v>
      </c>
      <c r="L75" s="5"/>
    </row>
    <row r="76" spans="2:12">
      <c r="B76" s="27">
        <v>74</v>
      </c>
      <c r="C76" s="35" t="s">
        <v>83</v>
      </c>
      <c r="D76" s="50">
        <v>44173.69</v>
      </c>
      <c r="E76" s="36">
        <f>'JNS-02, Sch 1.2 Restating Adj '!D82</f>
        <v>0</v>
      </c>
      <c r="F76" s="50">
        <f t="shared" si="10"/>
        <v>44173.69</v>
      </c>
      <c r="G76" s="37">
        <f>'JNS-02, Sch 1.3 Pro Forma Adj '!D82</f>
        <v>0</v>
      </c>
      <c r="H76" s="50">
        <f t="shared" si="12"/>
        <v>44173.69</v>
      </c>
      <c r="I76" s="36">
        <v>0</v>
      </c>
      <c r="J76" s="50">
        <f t="shared" si="14"/>
        <v>44173.69</v>
      </c>
      <c r="L76" s="5"/>
    </row>
    <row r="77" spans="2:12">
      <c r="B77" s="27">
        <v>77</v>
      </c>
      <c r="C77" s="35" t="s">
        <v>92</v>
      </c>
      <c r="D77" s="50">
        <v>80695.149999999994</v>
      </c>
      <c r="E77" s="36">
        <f>'JNS-02, Sch 1.2 Restating Adj '!D83</f>
        <v>0</v>
      </c>
      <c r="F77" s="50">
        <f t="shared" si="10"/>
        <v>80695.149999999994</v>
      </c>
      <c r="G77" s="50">
        <f>'JNS-02, Sch 1.3 Pro Forma Adj '!D83</f>
        <v>201034</v>
      </c>
      <c r="H77" s="50">
        <f t="shared" si="12"/>
        <v>281729.15000000002</v>
      </c>
      <c r="I77" s="36">
        <v>0</v>
      </c>
      <c r="J77" s="50">
        <f t="shared" si="14"/>
        <v>281729.15000000002</v>
      </c>
      <c r="L77" s="5"/>
    </row>
    <row r="78" spans="2:12" s="7" customFormat="1">
      <c r="B78" s="142"/>
      <c r="C78" s="35" t="s">
        <v>84</v>
      </c>
      <c r="D78" s="50">
        <v>1257855.25</v>
      </c>
      <c r="E78" s="36">
        <f>'JNS-02, Sch 1.2 Restating Adj '!D84</f>
        <v>0</v>
      </c>
      <c r="F78" s="50">
        <f t="shared" si="10"/>
        <v>1257855.25</v>
      </c>
      <c r="G78" s="50">
        <f>'JNS-02, Sch 1.3 Pro Forma Adj '!D84</f>
        <v>45415</v>
      </c>
      <c r="H78" s="50">
        <f t="shared" si="12"/>
        <v>1303270.25</v>
      </c>
      <c r="I78" s="36">
        <v>0</v>
      </c>
      <c r="J78" s="50">
        <f t="shared" si="14"/>
        <v>1303270.25</v>
      </c>
      <c r="L78" s="144"/>
    </row>
    <row r="79" spans="2:12">
      <c r="B79" s="27"/>
      <c r="C79" s="35" t="s">
        <v>350</v>
      </c>
      <c r="D79" s="50">
        <v>30595.11</v>
      </c>
      <c r="E79" s="36">
        <f>'JNS-02, Sch 1.2 Restating Adj '!D85</f>
        <v>-27087</v>
      </c>
      <c r="F79" s="50">
        <f t="shared" si="10"/>
        <v>3508.1100000000006</v>
      </c>
      <c r="G79" s="50">
        <f>'JNS-02, Sch 1.3 Pro Forma Adj '!D85</f>
        <v>0</v>
      </c>
      <c r="H79" s="50">
        <f t="shared" si="12"/>
        <v>3508.1100000000006</v>
      </c>
      <c r="I79" s="36">
        <v>0</v>
      </c>
      <c r="J79" s="50">
        <f t="shared" si="14"/>
        <v>3508.1100000000006</v>
      </c>
      <c r="L79" s="5"/>
    </row>
    <row r="80" spans="2:12">
      <c r="B80" s="27"/>
      <c r="C80" s="35" t="s">
        <v>328</v>
      </c>
      <c r="D80" s="50">
        <v>27368.48</v>
      </c>
      <c r="E80" s="36">
        <f>'JNS-02, Sch 1.2 Restating Adj '!D86</f>
        <v>0</v>
      </c>
      <c r="F80" s="50">
        <f t="shared" si="10"/>
        <v>27368.48</v>
      </c>
      <c r="G80" s="50">
        <f>'JNS-02, Sch 1.3 Pro Forma Adj '!D86</f>
        <v>0</v>
      </c>
      <c r="H80" s="50">
        <f t="shared" si="12"/>
        <v>27368.48</v>
      </c>
      <c r="I80" s="36">
        <v>0</v>
      </c>
      <c r="J80" s="50">
        <f t="shared" si="14"/>
        <v>27368.48</v>
      </c>
      <c r="L80" s="5"/>
    </row>
    <row r="81" spans="2:12">
      <c r="B81" s="27"/>
      <c r="C81" s="71" t="s">
        <v>393</v>
      </c>
      <c r="D81" s="50"/>
      <c r="E81" s="50"/>
      <c r="F81" s="50"/>
      <c r="G81" s="50">
        <f>'JNS-02, Sch 1.3 Pro Forma Adj '!D87</f>
        <v>594472</v>
      </c>
      <c r="H81" s="50"/>
      <c r="I81" s="50"/>
      <c r="J81" s="50">
        <v>594472</v>
      </c>
      <c r="L81" s="5"/>
    </row>
    <row r="82" spans="2:12">
      <c r="B82" s="27"/>
      <c r="C82" s="44"/>
      <c r="D82" s="50"/>
      <c r="E82" s="50"/>
      <c r="F82" s="50"/>
      <c r="G82" s="50"/>
      <c r="H82" s="50"/>
      <c r="I82" s="50"/>
      <c r="J82" s="50"/>
      <c r="L82" s="5"/>
    </row>
    <row r="83" spans="2:12">
      <c r="B83" s="27"/>
      <c r="C83" s="114" t="s">
        <v>111</v>
      </c>
      <c r="D83" s="50">
        <f t="shared" ref="D83:J83" si="15">SUM(D29:D81)</f>
        <v>15697818.200000001</v>
      </c>
      <c r="E83" s="50">
        <f t="shared" si="15"/>
        <v>-446835.424</v>
      </c>
      <c r="F83" s="50">
        <f t="shared" si="15"/>
        <v>15250982.775999999</v>
      </c>
      <c r="G83" s="50">
        <f t="shared" si="15"/>
        <v>730816.08666666679</v>
      </c>
      <c r="H83" s="50">
        <f t="shared" si="15"/>
        <v>15387326.862666665</v>
      </c>
      <c r="I83" s="50">
        <f t="shared" si="15"/>
        <v>105045.78176518084</v>
      </c>
      <c r="J83" s="50">
        <f t="shared" si="15"/>
        <v>16086844.644431844</v>
      </c>
      <c r="L83" s="5"/>
    </row>
    <row r="84" spans="2:12">
      <c r="B84" s="27">
        <v>78</v>
      </c>
      <c r="C84" s="44"/>
      <c r="D84" s="50"/>
      <c r="L84" s="5"/>
    </row>
    <row r="85" spans="2:12">
      <c r="B85" s="27">
        <v>79</v>
      </c>
      <c r="C85" s="51" t="s">
        <v>113</v>
      </c>
      <c r="D85" s="115">
        <f t="shared" ref="D85:I85" si="16">D25-D83</f>
        <v>16399851.799999999</v>
      </c>
      <c r="E85" s="115">
        <f>E83</f>
        <v>-446835.424</v>
      </c>
      <c r="F85" s="115">
        <f>F25-F83</f>
        <v>14597499.224000001</v>
      </c>
      <c r="G85" s="115">
        <f>G83</f>
        <v>730816.08666666679</v>
      </c>
      <c r="H85" s="115">
        <f t="shared" si="16"/>
        <v>19930224.137333333</v>
      </c>
      <c r="I85" s="115">
        <f t="shared" si="16"/>
        <v>5506040.5015348168</v>
      </c>
      <c r="J85" s="115">
        <f>J25-J83</f>
        <v>24841792.638868153</v>
      </c>
      <c r="L85" s="5"/>
    </row>
    <row r="86" spans="2:12">
      <c r="B86" s="27">
        <v>80</v>
      </c>
      <c r="C86" s="3" t="s">
        <v>115</v>
      </c>
      <c r="D86" s="36"/>
      <c r="E86" s="37"/>
      <c r="F86" s="36"/>
      <c r="G86" s="37">
        <f>+'JNS-02, Sch 1.3 Pro Forma Adj '!D92</f>
        <v>0</v>
      </c>
      <c r="H86" s="36"/>
      <c r="I86" s="36"/>
      <c r="J86" s="36"/>
      <c r="L86" s="5"/>
    </row>
    <row r="87" spans="2:12">
      <c r="B87" s="27">
        <v>81</v>
      </c>
      <c r="C87" s="3" t="s">
        <v>112</v>
      </c>
      <c r="D87" s="36"/>
      <c r="E87" s="37">
        <f>'JNS-02, Sch 1.2 Restating Adj '!D92</f>
        <v>0</v>
      </c>
      <c r="F87" s="36">
        <f>+D87+E87</f>
        <v>0</v>
      </c>
      <c r="G87" s="37">
        <f>+'JNS-02, Sch 1.3 Pro Forma Adj '!D93</f>
        <v>0</v>
      </c>
      <c r="H87" s="36">
        <f>+F87+G87</f>
        <v>0</v>
      </c>
      <c r="I87" s="36"/>
      <c r="J87" s="36"/>
      <c r="L87" s="5"/>
    </row>
    <row r="88" spans="2:12">
      <c r="B88" s="27">
        <v>82</v>
      </c>
      <c r="D88" s="36"/>
      <c r="E88" s="37"/>
      <c r="F88" s="36"/>
      <c r="G88" s="37"/>
      <c r="H88" s="36"/>
      <c r="I88" s="36"/>
      <c r="J88" s="36"/>
      <c r="L88" s="5"/>
    </row>
    <row r="89" spans="2:12" ht="13.5" thickBot="1">
      <c r="B89" s="27">
        <v>83</v>
      </c>
      <c r="C89" s="51" t="s">
        <v>141</v>
      </c>
      <c r="D89" s="81">
        <f>+D85+SUM(D86:D88)</f>
        <v>16399851.799999999</v>
      </c>
      <c r="E89" s="81">
        <f t="shared" ref="E89:I89" si="17">+E85+SUM(E86:E88)</f>
        <v>-446835.424</v>
      </c>
      <c r="F89" s="81">
        <f t="shared" si="17"/>
        <v>14597499.224000001</v>
      </c>
      <c r="G89" s="81">
        <f t="shared" si="17"/>
        <v>730816.08666666679</v>
      </c>
      <c r="H89" s="81">
        <f t="shared" si="17"/>
        <v>19930224.137333333</v>
      </c>
      <c r="I89" s="81">
        <f t="shared" si="17"/>
        <v>5506040.5015348168</v>
      </c>
      <c r="J89" s="145">
        <f>+J85+SUM(J86:J88)</f>
        <v>24841792.638868153</v>
      </c>
      <c r="L89" s="5"/>
    </row>
    <row r="90" spans="2:12" ht="13.5" thickTop="1">
      <c r="B90" s="27">
        <v>84</v>
      </c>
      <c r="L90" s="5"/>
    </row>
    <row r="91" spans="2:12">
      <c r="B91" s="27">
        <v>85</v>
      </c>
      <c r="C91" s="159" t="s">
        <v>351</v>
      </c>
      <c r="D91" s="160"/>
      <c r="E91" s="160"/>
      <c r="L91" s="5"/>
    </row>
    <row r="92" spans="2:12">
      <c r="B92" s="27">
        <v>86</v>
      </c>
      <c r="C92" s="159"/>
      <c r="D92" s="160"/>
      <c r="E92" s="160"/>
      <c r="F92" s="160"/>
      <c r="L92" s="5"/>
    </row>
    <row r="93" spans="2:12">
      <c r="B93" s="27">
        <v>87</v>
      </c>
    </row>
  </sheetData>
  <mergeCells count="3">
    <mergeCell ref="H5:J5"/>
    <mergeCell ref="C91:E91"/>
    <mergeCell ref="C92:F92"/>
  </mergeCells>
  <phoneticPr fontId="5" type="noConversion"/>
  <pageMargins left="0.7" right="0.7" top="1" bottom="0.75" header="0.3" footer="0.3"/>
  <pageSetup scale="51" firstPageNumber="4" fitToWidth="0" orientation="portrait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Z95"/>
  <sheetViews>
    <sheetView showRuler="0" topLeftCell="T9" zoomScale="60" zoomScaleNormal="60" workbookViewId="0">
      <pane ySplit="1" topLeftCell="A10" activePane="bottomLeft" state="frozen"/>
      <selection activeCell="A9" sqref="A9"/>
      <selection pane="bottomLeft" activeCell="Y90" sqref="Y6:Z90"/>
    </sheetView>
  </sheetViews>
  <sheetFormatPr defaultColWidth="9" defaultRowHeight="13"/>
  <cols>
    <col min="1" max="1" width="3.25" style="28" customWidth="1"/>
    <col min="2" max="2" width="4.25" style="56" bestFit="1" customWidth="1"/>
    <col min="3" max="3" width="33.58203125" style="28" bestFit="1" customWidth="1"/>
    <col min="4" max="4" width="12.08203125" style="60" customWidth="1"/>
    <col min="5" max="5" width="23.58203125" style="60" bestFit="1" customWidth="1"/>
    <col min="6" max="6" width="13.08203125" style="60" customWidth="1"/>
    <col min="7" max="7" width="22" style="60" bestFit="1" customWidth="1"/>
    <col min="8" max="8" width="20.75" style="60" bestFit="1" customWidth="1"/>
    <col min="9" max="9" width="15.33203125" style="60" bestFit="1" customWidth="1"/>
    <col min="10" max="10" width="23.58203125" style="60" bestFit="1" customWidth="1"/>
    <col min="11" max="11" width="28.25" style="60" bestFit="1" customWidth="1"/>
    <col min="12" max="12" width="25.33203125" style="60" bestFit="1" customWidth="1"/>
    <col min="13" max="13" width="24.83203125" style="60" bestFit="1" customWidth="1"/>
    <col min="14" max="14" width="17" style="60" bestFit="1" customWidth="1"/>
    <col min="15" max="15" width="25.75" style="60" bestFit="1" customWidth="1"/>
    <col min="16" max="16" width="21.08203125" style="60" bestFit="1" customWidth="1"/>
    <col min="17" max="17" width="17.33203125" style="60" customWidth="1"/>
    <col min="18" max="18" width="13.25" style="60" customWidth="1"/>
    <col min="19" max="19" width="16.08203125" style="60" bestFit="1" customWidth="1"/>
    <col min="20" max="20" width="13" style="60" bestFit="1" customWidth="1"/>
    <col min="21" max="21" width="18.5" style="60" bestFit="1" customWidth="1"/>
    <col min="22" max="22" width="18.58203125" style="60" bestFit="1" customWidth="1"/>
    <col min="23" max="23" width="14.75" style="60" bestFit="1" customWidth="1"/>
    <col min="24" max="24" width="24.08203125" style="60" bestFit="1" customWidth="1"/>
    <col min="25" max="16384" width="9" style="28"/>
  </cols>
  <sheetData>
    <row r="2" spans="2:26" s="55" customFormat="1">
      <c r="B2" s="53"/>
      <c r="C2" s="7" t="s">
        <v>119</v>
      </c>
      <c r="D2" s="54"/>
      <c r="E2" s="54"/>
      <c r="F2" s="54"/>
      <c r="G2" s="54"/>
      <c r="H2" s="54"/>
      <c r="I2" s="54"/>
      <c r="J2" s="54"/>
      <c r="K2" s="54"/>
      <c r="M2" s="89" t="s">
        <v>363</v>
      </c>
      <c r="N2" s="89"/>
      <c r="O2" s="54"/>
      <c r="P2" s="54"/>
      <c r="Q2" s="54"/>
      <c r="S2" s="54"/>
      <c r="U2" s="54"/>
      <c r="W2" s="89" t="s">
        <v>362</v>
      </c>
      <c r="X2" s="89"/>
    </row>
    <row r="3" spans="2:26" s="55" customFormat="1">
      <c r="B3" s="53"/>
      <c r="C3" s="7" t="s">
        <v>364</v>
      </c>
      <c r="D3" s="54"/>
      <c r="E3" s="54"/>
      <c r="F3" s="54"/>
      <c r="G3" s="54"/>
      <c r="H3" s="54"/>
      <c r="I3" s="54"/>
      <c r="J3" s="54"/>
      <c r="K3" s="54"/>
      <c r="M3" s="89" t="s">
        <v>359</v>
      </c>
      <c r="N3" s="7"/>
      <c r="O3" s="54"/>
      <c r="P3" s="54"/>
      <c r="Q3" s="54"/>
      <c r="S3" s="54"/>
      <c r="U3" s="54"/>
      <c r="W3" s="89" t="s">
        <v>359</v>
      </c>
      <c r="X3" s="7"/>
    </row>
    <row r="4" spans="2:26" s="55" customFormat="1">
      <c r="B4" s="53"/>
      <c r="C4" s="7" t="s">
        <v>356</v>
      </c>
      <c r="D4" s="54"/>
      <c r="E4" s="54"/>
      <c r="F4" s="54"/>
      <c r="G4" s="54"/>
      <c r="H4" s="54"/>
      <c r="I4" s="54"/>
      <c r="J4" s="54"/>
      <c r="K4" s="54"/>
      <c r="M4" s="92" t="s">
        <v>142</v>
      </c>
      <c r="N4" s="54"/>
      <c r="O4" s="54"/>
      <c r="P4" s="54"/>
      <c r="Q4" s="54"/>
      <c r="S4" s="54"/>
      <c r="U4" s="54"/>
      <c r="W4" s="92" t="s">
        <v>143</v>
      </c>
      <c r="X4" s="54"/>
    </row>
    <row r="5" spans="2:26" s="55" customFormat="1">
      <c r="B5" s="53"/>
      <c r="C5" s="7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S5" s="54"/>
      <c r="U5" s="54"/>
      <c r="W5" s="54"/>
      <c r="X5" s="54"/>
    </row>
    <row r="6" spans="2:26" s="55" customFormat="1">
      <c r="B6" s="53"/>
      <c r="C6" s="7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S6" s="54"/>
      <c r="U6" s="54"/>
      <c r="V6" s="54"/>
      <c r="W6" s="54"/>
      <c r="X6" s="54"/>
    </row>
    <row r="8" spans="2:26">
      <c r="C8" s="57" t="s">
        <v>65</v>
      </c>
      <c r="D8" s="58"/>
      <c r="E8" s="58" t="s">
        <v>117</v>
      </c>
      <c r="F8" s="58" t="s">
        <v>117</v>
      </c>
      <c r="G8" s="58" t="s">
        <v>370</v>
      </c>
      <c r="H8" s="58" t="s">
        <v>117</v>
      </c>
      <c r="I8" s="58" t="s">
        <v>117</v>
      </c>
      <c r="J8" s="58" t="s">
        <v>117</v>
      </c>
      <c r="K8" s="58" t="s">
        <v>117</v>
      </c>
      <c r="L8" s="58" t="s">
        <v>117</v>
      </c>
      <c r="M8" s="58" t="s">
        <v>117</v>
      </c>
      <c r="N8" s="58" t="s">
        <v>117</v>
      </c>
      <c r="O8" s="58" t="s">
        <v>384</v>
      </c>
      <c r="P8" s="58" t="s">
        <v>117</v>
      </c>
      <c r="Q8" s="58" t="s">
        <v>117</v>
      </c>
      <c r="R8" s="58" t="s">
        <v>117</v>
      </c>
      <c r="S8" s="58" t="s">
        <v>117</v>
      </c>
      <c r="T8" s="58" t="s">
        <v>117</v>
      </c>
      <c r="U8" s="58" t="s">
        <v>117</v>
      </c>
      <c r="V8" s="58" t="s">
        <v>117</v>
      </c>
      <c r="W8" s="58" t="s">
        <v>117</v>
      </c>
      <c r="X8" s="58"/>
    </row>
    <row r="9" spans="2:26">
      <c r="C9" s="60" t="s">
        <v>22</v>
      </c>
      <c r="E9" s="59" t="s">
        <v>365</v>
      </c>
      <c r="F9" s="59" t="s">
        <v>369</v>
      </c>
      <c r="G9" s="59" t="s">
        <v>365</v>
      </c>
      <c r="H9" s="59" t="s">
        <v>365</v>
      </c>
      <c r="I9" s="59" t="s">
        <v>365</v>
      </c>
      <c r="J9" s="59" t="s">
        <v>365</v>
      </c>
      <c r="K9" s="59" t="s">
        <v>365</v>
      </c>
      <c r="L9" s="59" t="s">
        <v>365</v>
      </c>
      <c r="M9" s="59" t="s">
        <v>365</v>
      </c>
      <c r="N9" s="59" t="s">
        <v>365</v>
      </c>
      <c r="O9" s="59" t="s">
        <v>365</v>
      </c>
      <c r="P9" s="59" t="s">
        <v>365</v>
      </c>
      <c r="Q9" s="59" t="s">
        <v>365</v>
      </c>
      <c r="R9" s="59" t="s">
        <v>365</v>
      </c>
      <c r="S9" s="59" t="s">
        <v>369</v>
      </c>
      <c r="T9" s="59" t="s">
        <v>369</v>
      </c>
      <c r="U9" s="59" t="s">
        <v>365</v>
      </c>
      <c r="V9" s="59" t="s">
        <v>365</v>
      </c>
      <c r="W9" s="59" t="s">
        <v>369</v>
      </c>
      <c r="X9" s="59" t="s">
        <v>365</v>
      </c>
    </row>
    <row r="10" spans="2:26">
      <c r="C10" s="60" t="s">
        <v>69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26" ht="13.5" thickBot="1">
      <c r="C11" s="61" t="s">
        <v>66</v>
      </c>
      <c r="D11" s="62"/>
      <c r="E11" s="62" t="s">
        <v>371</v>
      </c>
      <c r="F11" s="62"/>
      <c r="G11" s="62" t="s">
        <v>371</v>
      </c>
      <c r="H11" s="62" t="s">
        <v>371</v>
      </c>
      <c r="I11" s="62" t="s">
        <v>371</v>
      </c>
      <c r="J11" s="62" t="s">
        <v>371</v>
      </c>
      <c r="K11" s="62"/>
      <c r="L11" s="62"/>
      <c r="M11" s="62"/>
      <c r="N11" s="62"/>
      <c r="O11" s="62"/>
      <c r="P11" s="62"/>
      <c r="Q11" s="62"/>
      <c r="R11" s="62" t="s">
        <v>389</v>
      </c>
      <c r="S11" s="62"/>
      <c r="T11" s="62"/>
      <c r="U11" s="62" t="s">
        <v>371</v>
      </c>
      <c r="V11" s="62" t="s">
        <v>371</v>
      </c>
      <c r="W11" s="62"/>
      <c r="X11" s="62"/>
      <c r="Y11" s="62"/>
      <c r="Z11" s="62"/>
    </row>
    <row r="12" spans="2:26" ht="13.5" thickTop="1">
      <c r="B12" s="28"/>
      <c r="C12" s="56"/>
      <c r="J12" s="59"/>
    </row>
    <row r="13" spans="2:26">
      <c r="B13" s="63"/>
      <c r="C13" s="56"/>
      <c r="J13" s="59"/>
    </row>
    <row r="14" spans="2:26">
      <c r="B14" s="28"/>
      <c r="C14" s="59" t="s">
        <v>11</v>
      </c>
      <c r="D14" s="59" t="s">
        <v>12</v>
      </c>
      <c r="E14" s="59" t="s">
        <v>13</v>
      </c>
      <c r="F14" s="59" t="s">
        <v>62</v>
      </c>
      <c r="G14" s="59" t="s">
        <v>14</v>
      </c>
      <c r="H14" s="59" t="s">
        <v>15</v>
      </c>
      <c r="I14" s="59" t="s">
        <v>16</v>
      </c>
      <c r="J14" s="59" t="s">
        <v>17</v>
      </c>
      <c r="K14" s="59" t="s">
        <v>18</v>
      </c>
      <c r="L14" s="59" t="s">
        <v>49</v>
      </c>
      <c r="M14" s="59" t="s">
        <v>50</v>
      </c>
      <c r="N14" s="59" t="s">
        <v>51</v>
      </c>
      <c r="O14" s="59" t="s">
        <v>52</v>
      </c>
      <c r="P14" s="59" t="s">
        <v>53</v>
      </c>
      <c r="Q14" s="59" t="s">
        <v>56</v>
      </c>
      <c r="R14" s="59" t="s">
        <v>57</v>
      </c>
      <c r="S14" s="59" t="s">
        <v>58</v>
      </c>
      <c r="T14" s="59" t="s">
        <v>64</v>
      </c>
      <c r="U14" s="59" t="s">
        <v>59</v>
      </c>
      <c r="V14" s="59" t="s">
        <v>60</v>
      </c>
      <c r="W14" s="59" t="s">
        <v>61</v>
      </c>
      <c r="X14" s="59" t="s">
        <v>383</v>
      </c>
    </row>
    <row r="15" spans="2:26">
      <c r="B15" s="2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4"/>
      <c r="X15" s="64"/>
    </row>
    <row r="16" spans="2:26" s="53" customFormat="1" ht="12.75" customHeight="1">
      <c r="D16" s="60"/>
      <c r="E16" s="64" t="s">
        <v>29</v>
      </c>
      <c r="F16" s="64" t="s">
        <v>30</v>
      </c>
      <c r="G16" s="64" t="s">
        <v>31</v>
      </c>
      <c r="H16" s="64" t="s">
        <v>32</v>
      </c>
      <c r="I16" s="64" t="s">
        <v>33</v>
      </c>
      <c r="J16" s="64" t="s">
        <v>34</v>
      </c>
      <c r="K16" s="64" t="s">
        <v>35</v>
      </c>
      <c r="L16" s="64" t="s">
        <v>36</v>
      </c>
      <c r="M16" s="64" t="s">
        <v>37</v>
      </c>
      <c r="N16" s="64" t="s">
        <v>38</v>
      </c>
      <c r="O16" s="64" t="s">
        <v>39</v>
      </c>
      <c r="P16" s="64" t="s">
        <v>40</v>
      </c>
      <c r="Q16" s="64" t="s">
        <v>41</v>
      </c>
      <c r="R16" s="64" t="s">
        <v>42</v>
      </c>
      <c r="S16" s="64" t="s">
        <v>43</v>
      </c>
      <c r="T16" s="64" t="s">
        <v>44</v>
      </c>
      <c r="U16" s="64" t="s">
        <v>45</v>
      </c>
      <c r="V16" s="64" t="s">
        <v>46</v>
      </c>
      <c r="W16" s="53" t="s">
        <v>54</v>
      </c>
      <c r="X16" s="53" t="s">
        <v>55</v>
      </c>
    </row>
    <row r="17" spans="1:26" s="53" customFormat="1" ht="27" customHeight="1">
      <c r="D17" s="65" t="s">
        <v>6</v>
      </c>
      <c r="E17" s="161" t="s">
        <v>368</v>
      </c>
      <c r="F17" s="161" t="s">
        <v>167</v>
      </c>
      <c r="G17" s="163" t="s">
        <v>367</v>
      </c>
      <c r="H17" s="161" t="s">
        <v>372</v>
      </c>
      <c r="I17" s="161" t="s">
        <v>373</v>
      </c>
      <c r="J17" s="161" t="s">
        <v>374</v>
      </c>
      <c r="K17" s="161" t="s">
        <v>375</v>
      </c>
      <c r="L17" s="161" t="s">
        <v>419</v>
      </c>
      <c r="M17" s="161" t="s">
        <v>418</v>
      </c>
      <c r="N17" s="161" t="s">
        <v>379</v>
      </c>
      <c r="O17" s="161" t="s">
        <v>413</v>
      </c>
      <c r="P17" s="161" t="s">
        <v>378</v>
      </c>
      <c r="Q17" s="65" t="s">
        <v>385</v>
      </c>
      <c r="R17" s="161" t="s">
        <v>388</v>
      </c>
      <c r="S17" s="65" t="s">
        <v>396</v>
      </c>
      <c r="T17" s="65" t="s">
        <v>398</v>
      </c>
      <c r="U17" s="65" t="s">
        <v>403</v>
      </c>
      <c r="V17" s="65" t="s">
        <v>197</v>
      </c>
      <c r="W17" s="65" t="s">
        <v>410</v>
      </c>
      <c r="X17" s="65" t="s">
        <v>415</v>
      </c>
    </row>
    <row r="18" spans="1:26" s="53" customFormat="1" ht="12.75" customHeight="1">
      <c r="B18" s="53" t="s">
        <v>1</v>
      </c>
      <c r="D18" s="65" t="s">
        <v>47</v>
      </c>
      <c r="E18" s="161"/>
      <c r="F18" s="161"/>
      <c r="G18" s="163"/>
      <c r="H18" s="161"/>
      <c r="I18" s="161"/>
      <c r="J18" s="161"/>
      <c r="K18" s="161"/>
      <c r="L18" s="161"/>
      <c r="M18" s="161"/>
      <c r="N18" s="161"/>
      <c r="O18" s="161"/>
      <c r="P18" s="161"/>
      <c r="Q18" s="65" t="s">
        <v>387</v>
      </c>
      <c r="R18" s="161"/>
      <c r="S18" s="65"/>
      <c r="T18" s="65" t="s">
        <v>399</v>
      </c>
      <c r="U18" s="65" t="s">
        <v>404</v>
      </c>
      <c r="V18" s="65"/>
      <c r="W18" s="65" t="s">
        <v>411</v>
      </c>
      <c r="X18" s="65" t="s">
        <v>416</v>
      </c>
    </row>
    <row r="19" spans="1:26" s="53" customFormat="1">
      <c r="B19" s="53" t="s">
        <v>3</v>
      </c>
      <c r="C19" s="53" t="s">
        <v>4</v>
      </c>
      <c r="D19" s="65" t="s">
        <v>7</v>
      </c>
      <c r="E19" s="162"/>
      <c r="F19" s="162"/>
      <c r="G19" s="164"/>
      <c r="H19" s="162"/>
      <c r="I19" s="162"/>
      <c r="J19" s="162"/>
      <c r="K19" s="162"/>
      <c r="L19" s="162"/>
      <c r="M19" s="162"/>
      <c r="N19" s="162"/>
      <c r="O19" s="162"/>
      <c r="P19" s="162"/>
      <c r="Q19" s="65" t="s">
        <v>386</v>
      </c>
      <c r="R19" s="65"/>
      <c r="S19" s="82"/>
      <c r="T19" s="65" t="s">
        <v>400</v>
      </c>
      <c r="U19" s="65"/>
      <c r="V19" s="65"/>
      <c r="W19" s="65"/>
      <c r="X19" s="65"/>
      <c r="Y19" s="65"/>
      <c r="Z19" s="65"/>
    </row>
    <row r="20" spans="1:26" s="56" customFormat="1">
      <c r="A20" s="84"/>
      <c r="B20" s="84"/>
      <c r="C20" s="85" t="s">
        <v>48</v>
      </c>
      <c r="D20" s="86" t="s">
        <v>150</v>
      </c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spans="1:26">
      <c r="B21" s="68">
        <v>1</v>
      </c>
      <c r="C21" s="83" t="s">
        <v>10</v>
      </c>
    </row>
    <row r="22" spans="1:26">
      <c r="B22" s="70">
        <f>+B21+1</f>
        <v>2</v>
      </c>
      <c r="C22" s="28" t="s">
        <v>9</v>
      </c>
    </row>
    <row r="23" spans="1:26" s="30" customFormat="1">
      <c r="B23" s="70">
        <f t="shared" ref="B23:B26" si="0">+B22+1</f>
        <v>3</v>
      </c>
      <c r="C23" s="30" t="s">
        <v>71</v>
      </c>
      <c r="D23" s="37">
        <f>SUM(E23:X23)</f>
        <v>-2259615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>
        <v>-2259615</v>
      </c>
      <c r="V23" s="31"/>
      <c r="W23" s="31"/>
      <c r="X23" s="31"/>
    </row>
    <row r="24" spans="1:26" s="35" customFormat="1">
      <c r="B24" s="70">
        <f t="shared" si="0"/>
        <v>4</v>
      </c>
      <c r="C24" s="35" t="s">
        <v>72</v>
      </c>
      <c r="D24" s="37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6" s="35" customFormat="1">
      <c r="B25" s="70">
        <f t="shared" si="0"/>
        <v>5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s="35" customFormat="1">
      <c r="B26" s="70">
        <f t="shared" si="0"/>
        <v>6</v>
      </c>
      <c r="C26" s="39" t="s">
        <v>73</v>
      </c>
      <c r="D26" s="40">
        <f>SUM(D23:D24)</f>
        <v>-2259615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35" customFormat="1">
      <c r="B27" s="70">
        <v>7</v>
      </c>
      <c r="C27" s="71" t="s">
        <v>121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6" s="35" customFormat="1">
      <c r="B28" s="70">
        <v>8</v>
      </c>
      <c r="C28" s="35" t="s">
        <v>340</v>
      </c>
      <c r="D28" s="37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6" s="35" customFormat="1">
      <c r="B29" s="70">
        <v>9</v>
      </c>
      <c r="C29" s="35" t="s">
        <v>341</v>
      </c>
      <c r="D29" s="37">
        <f>SUM(E29:X29)</f>
        <v>10427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>
        <v>10427</v>
      </c>
      <c r="T29" s="36"/>
      <c r="U29" s="36"/>
      <c r="V29" s="36"/>
      <c r="W29" s="36"/>
      <c r="X29" s="36"/>
    </row>
    <row r="30" spans="1:26" s="35" customFormat="1">
      <c r="B30" s="70">
        <v>10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s="35" customFormat="1">
      <c r="B31" s="70">
        <v>11</v>
      </c>
      <c r="C31" s="39" t="s">
        <v>75</v>
      </c>
      <c r="D31" s="40">
        <f>SUM(D28:D29)+D26</f>
        <v>-2249188</v>
      </c>
      <c r="E31" s="40">
        <f t="shared" ref="E31:L31" si="1">SUM(E26:E28)</f>
        <v>0</v>
      </c>
      <c r="F31" s="40">
        <f t="shared" si="1"/>
        <v>0</v>
      </c>
      <c r="G31" s="40">
        <f t="shared" si="1"/>
        <v>0</v>
      </c>
      <c r="H31" s="40">
        <f t="shared" si="1"/>
        <v>0</v>
      </c>
      <c r="I31" s="40">
        <f t="shared" si="1"/>
        <v>0</v>
      </c>
      <c r="J31" s="40">
        <f>SUM(J26:J28)</f>
        <v>0</v>
      </c>
      <c r="K31" s="40">
        <f>SUM(K26:K28)</f>
        <v>0</v>
      </c>
      <c r="L31" s="40">
        <f t="shared" si="1"/>
        <v>0</v>
      </c>
      <c r="M31" s="40">
        <f t="shared" ref="M31:R31" si="2">SUM(M26:M28)</f>
        <v>0</v>
      </c>
      <c r="N31" s="40">
        <f t="shared" si="2"/>
        <v>0</v>
      </c>
      <c r="O31" s="40">
        <f t="shared" si="2"/>
        <v>0</v>
      </c>
      <c r="P31" s="40">
        <f t="shared" si="2"/>
        <v>0</v>
      </c>
      <c r="Q31" s="40">
        <f t="shared" si="2"/>
        <v>0</v>
      </c>
      <c r="R31" s="40">
        <f t="shared" si="2"/>
        <v>0</v>
      </c>
      <c r="S31" s="40">
        <f t="shared" ref="S31:V31" si="3">SUM(S26:S28)</f>
        <v>0</v>
      </c>
      <c r="T31" s="40">
        <f t="shared" si="3"/>
        <v>0</v>
      </c>
      <c r="U31" s="40">
        <f t="shared" si="3"/>
        <v>0</v>
      </c>
      <c r="V31" s="40">
        <f t="shared" si="3"/>
        <v>0</v>
      </c>
      <c r="W31" s="40">
        <f>SUM(W26:W28)</f>
        <v>0</v>
      </c>
      <c r="X31" s="40">
        <f t="shared" ref="X31" si="4">SUM(X26:X28)</f>
        <v>0</v>
      </c>
    </row>
    <row r="32" spans="1:26" s="35" customFormat="1">
      <c r="B32" s="70">
        <v>12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2:24" s="35" customFormat="1">
      <c r="B33" s="70">
        <v>13</v>
      </c>
      <c r="C33" s="35" t="s">
        <v>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2:24" s="35" customFormat="1">
      <c r="B34" s="70">
        <v>14</v>
      </c>
      <c r="C34" s="43" t="s">
        <v>70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2:24" s="35" customFormat="1">
      <c r="B35" s="70">
        <v>15</v>
      </c>
      <c r="C35" s="44" t="s">
        <v>107</v>
      </c>
      <c r="D35" s="37">
        <f t="shared" ref="D35:D86" si="5">SUM(E35:X35)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35" customFormat="1">
      <c r="B36" s="70">
        <v>16</v>
      </c>
      <c r="C36" s="44" t="s">
        <v>108</v>
      </c>
      <c r="D36" s="37">
        <f t="shared" si="5"/>
        <v>-75213.5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>
        <v>-131331</v>
      </c>
      <c r="P36" s="37"/>
      <c r="Q36" s="37">
        <f>'[2]190976 Amort Legal &amp; Cons'!$I$13</f>
        <v>56117.5</v>
      </c>
      <c r="R36" s="37"/>
      <c r="S36" s="37"/>
      <c r="T36" s="37"/>
      <c r="U36" s="37"/>
      <c r="V36" s="37"/>
      <c r="W36" s="37"/>
      <c r="X36" s="37"/>
    </row>
    <row r="37" spans="2:24" s="35" customFormat="1">
      <c r="B37" s="70">
        <v>17</v>
      </c>
      <c r="C37" s="44" t="s">
        <v>109</v>
      </c>
      <c r="D37" s="37">
        <f t="shared" si="5"/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2:24" s="35" customFormat="1">
      <c r="B38" s="70">
        <v>18</v>
      </c>
      <c r="C38" s="44" t="s">
        <v>342</v>
      </c>
      <c r="D38" s="37">
        <f t="shared" si="5"/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2:24" s="35" customFormat="1">
      <c r="B39" s="70">
        <v>19</v>
      </c>
      <c r="C39" s="44" t="s">
        <v>165</v>
      </c>
      <c r="D39" s="37">
        <f t="shared" si="5"/>
        <v>-150000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>
        <v>-150000</v>
      </c>
      <c r="S39" s="37"/>
      <c r="T39" s="37"/>
      <c r="U39" s="37"/>
      <c r="V39" s="37"/>
      <c r="W39" s="37"/>
      <c r="X39" s="37"/>
    </row>
    <row r="40" spans="2:24" s="35" customFormat="1">
      <c r="B40" s="70">
        <v>20</v>
      </c>
      <c r="C40" s="44" t="s">
        <v>167</v>
      </c>
      <c r="D40" s="37">
        <f t="shared" si="5"/>
        <v>-389350</v>
      </c>
      <c r="E40" s="37"/>
      <c r="F40" s="37">
        <v>-389350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2:24" s="35" customFormat="1">
      <c r="B41" s="70">
        <v>21</v>
      </c>
      <c r="C41" s="44" t="s">
        <v>76</v>
      </c>
      <c r="D41" s="37">
        <f t="shared" si="5"/>
        <v>-57211</v>
      </c>
      <c r="E41" s="37">
        <v>-57211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2:24" s="35" customFormat="1">
      <c r="B42" s="70">
        <v>22</v>
      </c>
      <c r="C42" s="44" t="s">
        <v>77</v>
      </c>
      <c r="D42" s="37">
        <f t="shared" si="5"/>
        <v>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2:24" s="35" customFormat="1">
      <c r="B43" s="70">
        <v>23</v>
      </c>
      <c r="C43" s="44" t="s">
        <v>95</v>
      </c>
      <c r="D43" s="37">
        <f t="shared" si="5"/>
        <v>-154861</v>
      </c>
      <c r="E43" s="37"/>
      <c r="F43" s="37"/>
      <c r="G43" s="37"/>
      <c r="H43" s="37"/>
      <c r="I43" s="37"/>
      <c r="J43" s="37"/>
      <c r="K43" s="37"/>
      <c r="L43" s="37"/>
      <c r="M43" s="37"/>
      <c r="N43" s="37">
        <v>-55746</v>
      </c>
      <c r="O43" s="37"/>
      <c r="P43" s="37"/>
      <c r="Q43" s="37"/>
      <c r="R43" s="37"/>
      <c r="S43" s="37"/>
      <c r="T43" s="37">
        <v>-117697</v>
      </c>
      <c r="U43" s="37"/>
      <c r="V43" s="37"/>
      <c r="W43" s="37"/>
      <c r="X43" s="37">
        <v>18582</v>
      </c>
    </row>
    <row r="44" spans="2:24" s="35" customFormat="1">
      <c r="B44" s="70">
        <v>24</v>
      </c>
      <c r="C44" s="44" t="s">
        <v>96</v>
      </c>
      <c r="D44" s="37">
        <f t="shared" si="5"/>
        <v>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2:24" s="35" customFormat="1">
      <c r="B45" s="70">
        <v>25</v>
      </c>
      <c r="C45" s="44" t="s">
        <v>97</v>
      </c>
      <c r="D45" s="37">
        <f t="shared" si="5"/>
        <v>-7000</v>
      </c>
      <c r="E45" s="37"/>
      <c r="F45" s="37"/>
      <c r="G45" s="37">
        <v>-7000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2:24" s="35" customFormat="1">
      <c r="B46" s="70">
        <v>26</v>
      </c>
      <c r="C46" s="44" t="s">
        <v>177</v>
      </c>
      <c r="D46" s="37">
        <f t="shared" si="5"/>
        <v>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2:24" s="35" customFormat="1">
      <c r="B47" s="70">
        <v>27</v>
      </c>
      <c r="C47" s="44" t="s">
        <v>343</v>
      </c>
      <c r="D47" s="37">
        <f t="shared" si="5"/>
        <v>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2:24" s="35" customFormat="1">
      <c r="B48" s="70">
        <v>28</v>
      </c>
      <c r="C48" s="44" t="s">
        <v>98</v>
      </c>
      <c r="D48" s="37">
        <f t="shared" si="5"/>
        <v>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2:24" s="35" customFormat="1">
      <c r="B49" s="70">
        <v>29</v>
      </c>
      <c r="C49" s="44" t="s">
        <v>86</v>
      </c>
      <c r="D49" s="37">
        <f t="shared" si="5"/>
        <v>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2:24" s="35" customFormat="1">
      <c r="B50" s="70">
        <v>30</v>
      </c>
      <c r="C50" s="44" t="s">
        <v>87</v>
      </c>
      <c r="D50" s="37">
        <f t="shared" si="5"/>
        <v>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2:24" s="35" customFormat="1">
      <c r="B51" s="70">
        <v>34</v>
      </c>
      <c r="C51" s="44" t="s">
        <v>344</v>
      </c>
      <c r="D51" s="37">
        <f t="shared" si="5"/>
        <v>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2:24" s="35" customFormat="1">
      <c r="B52" s="70">
        <v>35</v>
      </c>
      <c r="C52" s="44" t="s">
        <v>195</v>
      </c>
      <c r="D52" s="37">
        <f t="shared" si="5"/>
        <v>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2:24" s="35" customFormat="1">
      <c r="B53" s="70">
        <v>36</v>
      </c>
      <c r="C53" s="44" t="s">
        <v>197</v>
      </c>
      <c r="D53" s="37">
        <f t="shared" si="5"/>
        <v>152998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>
        <v>152998</v>
      </c>
      <c r="W53" s="37"/>
      <c r="X53" s="37"/>
    </row>
    <row r="54" spans="2:24" s="35" customFormat="1">
      <c r="B54" s="70">
        <v>37</v>
      </c>
      <c r="C54" s="44" t="s">
        <v>78</v>
      </c>
      <c r="D54" s="37">
        <f t="shared" si="5"/>
        <v>207939</v>
      </c>
      <c r="E54" s="37"/>
      <c r="F54" s="37"/>
      <c r="G54" s="37"/>
      <c r="H54" s="37">
        <v>207939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2:24" s="35" customFormat="1">
      <c r="B55" s="70">
        <v>38</v>
      </c>
      <c r="C55" s="44" t="s">
        <v>88</v>
      </c>
      <c r="D55" s="37">
        <f t="shared" si="5"/>
        <v>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2:24" s="35" customFormat="1">
      <c r="B56" s="70">
        <v>39</v>
      </c>
      <c r="C56" s="44" t="s">
        <v>345</v>
      </c>
      <c r="D56" s="37">
        <f t="shared" si="5"/>
        <v>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2:24" s="35" customFormat="1">
      <c r="B57" s="70">
        <v>40</v>
      </c>
      <c r="C57" s="44" t="s">
        <v>346</v>
      </c>
      <c r="D57" s="37">
        <f t="shared" si="5"/>
        <v>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2:24" s="35" customFormat="1">
      <c r="B58" s="70">
        <v>41</v>
      </c>
      <c r="C58" s="44" t="s">
        <v>99</v>
      </c>
      <c r="D58" s="37">
        <f t="shared" si="5"/>
        <v>0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2:24" s="35" customFormat="1">
      <c r="B59" s="70">
        <v>42</v>
      </c>
      <c r="C59" s="44" t="s">
        <v>234</v>
      </c>
      <c r="D59" s="37">
        <f t="shared" si="5"/>
        <v>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2:24" s="35" customFormat="1">
      <c r="B60" s="70">
        <v>43</v>
      </c>
      <c r="C60" s="44" t="s">
        <v>236</v>
      </c>
      <c r="D60" s="37">
        <f t="shared" si="5"/>
        <v>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2:24">
      <c r="B61" s="70">
        <v>47</v>
      </c>
      <c r="C61" s="44" t="s">
        <v>238</v>
      </c>
      <c r="D61" s="37">
        <f t="shared" si="5"/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2:24" s="30" customFormat="1">
      <c r="B62" s="70">
        <v>48</v>
      </c>
      <c r="C62" s="44" t="s">
        <v>89</v>
      </c>
      <c r="D62" s="37">
        <f t="shared" si="5"/>
        <v>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2:24">
      <c r="B63" s="70">
        <v>49</v>
      </c>
      <c r="C63" s="44" t="s">
        <v>100</v>
      </c>
      <c r="D63" s="37">
        <f t="shared" si="5"/>
        <v>-75309</v>
      </c>
      <c r="E63" s="37"/>
      <c r="F63" s="37"/>
      <c r="G63" s="37"/>
      <c r="H63" s="37"/>
      <c r="I63" s="37">
        <v>-75309</v>
      </c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2:24" ht="17.25" customHeight="1">
      <c r="B64" s="70">
        <v>50</v>
      </c>
      <c r="C64" s="44" t="s">
        <v>347</v>
      </c>
      <c r="D64" s="37">
        <f t="shared" si="5"/>
        <v>362969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>
        <v>362969</v>
      </c>
      <c r="Q64" s="37"/>
      <c r="R64" s="37"/>
      <c r="S64" s="37"/>
      <c r="T64" s="37"/>
      <c r="U64" s="37"/>
      <c r="V64" s="37"/>
      <c r="W64" s="37"/>
      <c r="X64" s="37"/>
    </row>
    <row r="65" spans="2:24" s="35" customFormat="1">
      <c r="B65" s="70">
        <v>54</v>
      </c>
      <c r="C65" s="44" t="s">
        <v>79</v>
      </c>
      <c r="D65" s="37">
        <f t="shared" si="5"/>
        <v>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s="35" customFormat="1">
      <c r="B66" s="70">
        <v>55</v>
      </c>
      <c r="C66" s="44" t="s">
        <v>90</v>
      </c>
      <c r="D66" s="37">
        <f t="shared" si="5"/>
        <v>0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s="35" customFormat="1">
      <c r="B67" s="70">
        <v>56</v>
      </c>
      <c r="C67" s="44" t="s">
        <v>348</v>
      </c>
      <c r="D67" s="37">
        <f t="shared" si="5"/>
        <v>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s="35" customFormat="1">
      <c r="B68" s="70">
        <v>57</v>
      </c>
      <c r="C68" s="44" t="s">
        <v>80</v>
      </c>
      <c r="D68" s="37">
        <f t="shared" si="5"/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s="35" customFormat="1">
      <c r="B69" s="70">
        <v>58</v>
      </c>
      <c r="C69" s="44" t="s">
        <v>349</v>
      </c>
      <c r="D69" s="37">
        <f t="shared" si="5"/>
        <v>138667.79999999999</v>
      </c>
      <c r="E69" s="37"/>
      <c r="F69" s="37"/>
      <c r="G69" s="37"/>
      <c r="H69" s="37"/>
      <c r="I69" s="37"/>
      <c r="J69" s="37"/>
      <c r="K69" s="37">
        <f>102936.63+35731.17</f>
        <v>138667.79999999999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s="35" customFormat="1">
      <c r="B70" s="70">
        <v>59</v>
      </c>
      <c r="C70" s="44" t="s">
        <v>260</v>
      </c>
      <c r="D70" s="37">
        <f t="shared" si="5"/>
        <v>-398441</v>
      </c>
      <c r="E70" s="37"/>
      <c r="F70" s="37"/>
      <c r="G70" s="37"/>
      <c r="H70" s="37"/>
      <c r="I70" s="37"/>
      <c r="J70" s="37">
        <v>-398441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s="35" customFormat="1">
      <c r="B71" s="70">
        <v>60</v>
      </c>
      <c r="C71" s="44" t="s">
        <v>264</v>
      </c>
      <c r="D71" s="37">
        <f t="shared" si="5"/>
        <v>25063.276000000002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>
        <f>'[2]Results of Operations'!$F$57/5</f>
        <v>25063.276000000002</v>
      </c>
      <c r="X71" s="37"/>
    </row>
    <row r="72" spans="2:24" s="35" customFormat="1">
      <c r="B72" s="70">
        <v>61</v>
      </c>
      <c r="C72" s="44" t="s">
        <v>81</v>
      </c>
      <c r="D72" s="37">
        <f t="shared" si="5"/>
        <v>0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s="35" customFormat="1">
      <c r="B73" s="70">
        <v>62</v>
      </c>
      <c r="C73" s="44" t="s">
        <v>82</v>
      </c>
      <c r="D73" s="37">
        <f t="shared" si="5"/>
        <v>0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s="35" customFormat="1">
      <c r="B74" s="70">
        <v>63</v>
      </c>
      <c r="C74" s="44" t="s">
        <v>274</v>
      </c>
      <c r="D74" s="37">
        <f t="shared" si="5"/>
        <v>0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s="35" customFormat="1">
      <c r="B75" s="70">
        <v>64</v>
      </c>
      <c r="C75" s="44" t="s">
        <v>101</v>
      </c>
      <c r="D75" s="37">
        <f t="shared" si="5"/>
        <v>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s="35" customFormat="1">
      <c r="B76" s="70">
        <v>65</v>
      </c>
      <c r="C76" s="44" t="s">
        <v>102</v>
      </c>
      <c r="D76" s="37">
        <f t="shared" si="5"/>
        <v>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2:24" s="30" customFormat="1">
      <c r="B77" s="70">
        <v>66</v>
      </c>
      <c r="C77" s="44" t="s">
        <v>103</v>
      </c>
      <c r="D77" s="37">
        <f t="shared" si="5"/>
        <v>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  <row r="78" spans="2:24" ht="18.75" customHeight="1">
      <c r="B78" s="70">
        <v>67</v>
      </c>
      <c r="C78" s="44" t="s">
        <v>91</v>
      </c>
      <c r="D78" s="37">
        <f t="shared" si="5"/>
        <v>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pans="2:24">
      <c r="B79" s="70">
        <v>68</v>
      </c>
      <c r="C79" s="44" t="s">
        <v>104</v>
      </c>
      <c r="D79" s="37">
        <f t="shared" si="5"/>
        <v>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</row>
    <row r="80" spans="2:24">
      <c r="B80" s="70">
        <v>69</v>
      </c>
      <c r="C80" s="44" t="s">
        <v>105</v>
      </c>
      <c r="D80" s="37">
        <f t="shared" si="5"/>
        <v>0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</row>
    <row r="81" spans="2:26">
      <c r="B81" s="70">
        <v>70</v>
      </c>
      <c r="C81" s="44" t="s">
        <v>106</v>
      </c>
      <c r="D81" s="37"/>
      <c r="E81" s="36"/>
      <c r="F81" s="36"/>
      <c r="G81" s="36"/>
      <c r="H81" s="36"/>
      <c r="I81" s="36"/>
      <c r="J81" s="36"/>
      <c r="K81" s="36"/>
      <c r="L81" s="36">
        <f>M81</f>
        <v>0</v>
      </c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5"/>
      <c r="Z81" s="35"/>
    </row>
    <row r="82" spans="2:26">
      <c r="B82" s="70">
        <v>71</v>
      </c>
      <c r="C82" s="44" t="s">
        <v>83</v>
      </c>
      <c r="D82" s="37">
        <f t="shared" si="5"/>
        <v>0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</row>
    <row r="83" spans="2:26">
      <c r="B83" s="70">
        <v>72</v>
      </c>
      <c r="C83" s="44" t="s">
        <v>92</v>
      </c>
      <c r="D83" s="37">
        <f t="shared" si="5"/>
        <v>0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</row>
    <row r="84" spans="2:26">
      <c r="B84" s="70">
        <v>73</v>
      </c>
      <c r="C84" s="44" t="s">
        <v>84</v>
      </c>
      <c r="D84" s="37">
        <f t="shared" si="5"/>
        <v>0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</row>
    <row r="85" spans="2:26">
      <c r="B85" s="70">
        <v>74</v>
      </c>
      <c r="C85" s="44" t="s">
        <v>350</v>
      </c>
      <c r="D85" s="37">
        <f t="shared" si="5"/>
        <v>-27087</v>
      </c>
      <c r="E85" s="50"/>
      <c r="F85" s="50"/>
      <c r="G85" s="50"/>
      <c r="H85" s="50"/>
      <c r="I85" s="50"/>
      <c r="J85" s="50"/>
      <c r="K85" s="50"/>
      <c r="L85" s="50">
        <v>-3227</v>
      </c>
      <c r="M85" s="50">
        <v>-23860</v>
      </c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</row>
    <row r="86" spans="2:26">
      <c r="B86" s="70">
        <v>75</v>
      </c>
      <c r="C86" s="44" t="s">
        <v>328</v>
      </c>
      <c r="D86" s="37">
        <f t="shared" si="5"/>
        <v>0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</row>
    <row r="87" spans="2:26">
      <c r="B87" s="70">
        <v>76</v>
      </c>
      <c r="C87" s="48" t="s">
        <v>111</v>
      </c>
      <c r="D87" s="47">
        <f>SUM(D35:D86)</f>
        <v>-446835.424</v>
      </c>
      <c r="E87" s="47">
        <f t="shared" ref="E87:X87" si="6">SUM(E35:E86)</f>
        <v>-57211</v>
      </c>
      <c r="F87" s="47">
        <f t="shared" si="6"/>
        <v>-389350</v>
      </c>
      <c r="G87" s="47">
        <f t="shared" si="6"/>
        <v>-7000</v>
      </c>
      <c r="H87" s="47">
        <f t="shared" si="6"/>
        <v>207939</v>
      </c>
      <c r="I87" s="47">
        <f t="shared" si="6"/>
        <v>-75309</v>
      </c>
      <c r="J87" s="47">
        <f t="shared" si="6"/>
        <v>-398441</v>
      </c>
      <c r="K87" s="47">
        <f t="shared" si="6"/>
        <v>138667.79999999999</v>
      </c>
      <c r="L87" s="47">
        <f t="shared" si="6"/>
        <v>-3227</v>
      </c>
      <c r="M87" s="47">
        <f t="shared" si="6"/>
        <v>-23860</v>
      </c>
      <c r="N87" s="47">
        <f t="shared" si="6"/>
        <v>-55746</v>
      </c>
      <c r="O87" s="47">
        <f t="shared" si="6"/>
        <v>-131331</v>
      </c>
      <c r="P87" s="47">
        <f t="shared" si="6"/>
        <v>362969</v>
      </c>
      <c r="Q87" s="47">
        <f t="shared" si="6"/>
        <v>56117.5</v>
      </c>
      <c r="R87" s="47">
        <f t="shared" si="6"/>
        <v>-150000</v>
      </c>
      <c r="S87" s="47">
        <f t="shared" si="6"/>
        <v>0</v>
      </c>
      <c r="T87" s="47">
        <f t="shared" si="6"/>
        <v>-117697</v>
      </c>
      <c r="U87" s="47">
        <f t="shared" si="6"/>
        <v>0</v>
      </c>
      <c r="V87" s="47">
        <f t="shared" si="6"/>
        <v>152998</v>
      </c>
      <c r="W87" s="47">
        <f t="shared" si="6"/>
        <v>25063.276000000002</v>
      </c>
      <c r="X87" s="47">
        <f t="shared" si="6"/>
        <v>18582</v>
      </c>
      <c r="Y87" s="47"/>
      <c r="Z87" s="47"/>
    </row>
    <row r="88" spans="2:26">
      <c r="B88" s="70">
        <v>77</v>
      </c>
      <c r="C88" s="48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</row>
    <row r="89" spans="2:26">
      <c r="B89" s="70">
        <v>78</v>
      </c>
      <c r="C89" s="48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</row>
    <row r="90" spans="2:26">
      <c r="B90" s="70">
        <v>79</v>
      </c>
      <c r="C90" s="51" t="s">
        <v>113</v>
      </c>
      <c r="D90" s="52">
        <f t="shared" ref="D90:X90" si="7">+D31-D87</f>
        <v>-1802352.5759999999</v>
      </c>
      <c r="E90" s="38">
        <f t="shared" si="7"/>
        <v>57211</v>
      </c>
      <c r="F90" s="38">
        <f t="shared" si="7"/>
        <v>389350</v>
      </c>
      <c r="G90" s="38">
        <f t="shared" si="7"/>
        <v>7000</v>
      </c>
      <c r="H90" s="38">
        <f t="shared" si="7"/>
        <v>-207939</v>
      </c>
      <c r="I90" s="38">
        <f t="shared" si="7"/>
        <v>75309</v>
      </c>
      <c r="J90" s="38">
        <f t="shared" si="7"/>
        <v>398441</v>
      </c>
      <c r="K90" s="38">
        <f t="shared" si="7"/>
        <v>-138667.79999999999</v>
      </c>
      <c r="L90" s="38">
        <f t="shared" si="7"/>
        <v>3227</v>
      </c>
      <c r="M90" s="38">
        <f t="shared" si="7"/>
        <v>23860</v>
      </c>
      <c r="N90" s="38">
        <f t="shared" si="7"/>
        <v>55746</v>
      </c>
      <c r="O90" s="38">
        <f t="shared" si="7"/>
        <v>131331</v>
      </c>
      <c r="P90" s="38">
        <f t="shared" si="7"/>
        <v>-362969</v>
      </c>
      <c r="Q90" s="38">
        <f t="shared" si="7"/>
        <v>-56117.5</v>
      </c>
      <c r="R90" s="38">
        <f t="shared" si="7"/>
        <v>150000</v>
      </c>
      <c r="S90" s="38">
        <f t="shared" si="7"/>
        <v>0</v>
      </c>
      <c r="T90" s="38">
        <f t="shared" si="7"/>
        <v>117697</v>
      </c>
      <c r="U90" s="38">
        <f t="shared" si="7"/>
        <v>0</v>
      </c>
      <c r="V90" s="38">
        <f t="shared" si="7"/>
        <v>-152998</v>
      </c>
      <c r="W90" s="38">
        <f t="shared" si="7"/>
        <v>-25063.276000000002</v>
      </c>
      <c r="X90" s="38">
        <f t="shared" si="7"/>
        <v>-18582</v>
      </c>
      <c r="Y90" s="38"/>
      <c r="Z90" s="38"/>
    </row>
    <row r="91" spans="2:26">
      <c r="B91" s="70">
        <v>80</v>
      </c>
      <c r="C91" s="3" t="s">
        <v>115</v>
      </c>
      <c r="D91" s="37"/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</row>
    <row r="92" spans="2:26">
      <c r="B92" s="70">
        <v>81</v>
      </c>
      <c r="C92" s="3" t="s">
        <v>112</v>
      </c>
      <c r="D92" s="37">
        <f>SUM(E92:X92)</f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</row>
    <row r="93" spans="2:26">
      <c r="B93" s="70">
        <v>82</v>
      </c>
      <c r="C93" s="3" t="s">
        <v>114</v>
      </c>
      <c r="D93" s="37">
        <f>SUM(E93:X93)</f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</row>
    <row r="94" spans="2:26" ht="13.5" thickBot="1">
      <c r="B94" s="70">
        <v>83</v>
      </c>
      <c r="C94" s="51" t="s">
        <v>116</v>
      </c>
      <c r="D94" s="72">
        <f>+D90+SUM(D91:D93)</f>
        <v>-1802352.5759999999</v>
      </c>
      <c r="E94" s="80">
        <f t="shared" ref="E94:Z94" si="8">+E90+SUM(E91:E93)</f>
        <v>57211</v>
      </c>
      <c r="F94" s="80">
        <f t="shared" si="8"/>
        <v>389350</v>
      </c>
      <c r="G94" s="80">
        <f t="shared" si="8"/>
        <v>7000</v>
      </c>
      <c r="H94" s="80">
        <f t="shared" si="8"/>
        <v>-207939</v>
      </c>
      <c r="I94" s="138">
        <f t="shared" si="8"/>
        <v>75309</v>
      </c>
      <c r="J94" s="80">
        <f t="shared" si="8"/>
        <v>398441</v>
      </c>
      <c r="K94" s="80">
        <f t="shared" si="8"/>
        <v>-138667.79999999999</v>
      </c>
      <c r="L94" s="80">
        <f t="shared" si="8"/>
        <v>3227</v>
      </c>
      <c r="M94" s="80">
        <f t="shared" si="8"/>
        <v>23860</v>
      </c>
      <c r="N94" s="80">
        <f t="shared" si="8"/>
        <v>55746</v>
      </c>
      <c r="O94" s="80">
        <f t="shared" si="8"/>
        <v>131331</v>
      </c>
      <c r="P94" s="80">
        <f t="shared" si="8"/>
        <v>-362969</v>
      </c>
      <c r="Q94" s="80">
        <f t="shared" si="8"/>
        <v>-56117.5</v>
      </c>
      <c r="R94" s="80">
        <f t="shared" si="8"/>
        <v>150000</v>
      </c>
      <c r="S94" s="80">
        <f t="shared" si="8"/>
        <v>0</v>
      </c>
      <c r="T94" s="80">
        <f t="shared" si="8"/>
        <v>117697</v>
      </c>
      <c r="U94" s="80">
        <f t="shared" si="8"/>
        <v>0</v>
      </c>
      <c r="V94" s="80">
        <f t="shared" si="8"/>
        <v>-152998</v>
      </c>
      <c r="W94" s="80">
        <f t="shared" si="8"/>
        <v>-25063.276000000002</v>
      </c>
      <c r="X94" s="80">
        <f t="shared" si="8"/>
        <v>-18582</v>
      </c>
      <c r="Y94" s="80">
        <f t="shared" si="8"/>
        <v>0</v>
      </c>
      <c r="Z94" s="80">
        <f t="shared" si="8"/>
        <v>0</v>
      </c>
    </row>
    <row r="95" spans="2:26" ht="13.5" thickTop="1">
      <c r="B95" s="70">
        <v>84</v>
      </c>
    </row>
  </sheetData>
  <mergeCells count="13">
    <mergeCell ref="R17:R18"/>
    <mergeCell ref="F17:F19"/>
    <mergeCell ref="E17:E19"/>
    <mergeCell ref="G17:G19"/>
    <mergeCell ref="H17:H19"/>
    <mergeCell ref="I17:I19"/>
    <mergeCell ref="P17:P19"/>
    <mergeCell ref="M17:M19"/>
    <mergeCell ref="K17:K19"/>
    <mergeCell ref="L17:L19"/>
    <mergeCell ref="J17:J19"/>
    <mergeCell ref="O17:O19"/>
    <mergeCell ref="N17:N19"/>
  </mergeCells>
  <phoneticPr fontId="0" type="noConversion"/>
  <pageMargins left="0.7" right="0.7" top="1" bottom="0.75" header="0.3" footer="0.3"/>
  <pageSetup scale="49" fitToWidth="4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2:Y97"/>
  <sheetViews>
    <sheetView showRuler="0" topLeftCell="Q1" zoomScale="80" zoomScaleNormal="80" workbookViewId="0">
      <selection activeCell="X4" sqref="X4"/>
    </sheetView>
  </sheetViews>
  <sheetFormatPr defaultColWidth="10.58203125" defaultRowHeight="13"/>
  <cols>
    <col min="1" max="1" width="5" style="132" customWidth="1"/>
    <col min="2" max="2" width="4.25" style="56" bestFit="1" customWidth="1"/>
    <col min="3" max="3" width="33.58203125" style="28" bestFit="1" customWidth="1"/>
    <col min="4" max="4" width="13.5" style="60" bestFit="1" customWidth="1"/>
    <col min="5" max="5" width="15.08203125" style="60" bestFit="1" customWidth="1"/>
    <col min="6" max="6" width="21.33203125" style="60" bestFit="1" customWidth="1"/>
    <col min="7" max="7" width="26.58203125" style="60" bestFit="1" customWidth="1"/>
    <col min="8" max="8" width="23.25" style="60" bestFit="1" customWidth="1"/>
    <col min="9" max="9" width="18" style="60" bestFit="1" customWidth="1"/>
    <col min="10" max="10" width="24.25" style="60" bestFit="1" customWidth="1"/>
    <col min="11" max="11" width="20.33203125" style="60" bestFit="1" customWidth="1"/>
    <col min="12" max="12" width="24.83203125" style="60" bestFit="1" customWidth="1"/>
    <col min="13" max="13" width="11" style="60" bestFit="1" customWidth="1"/>
    <col min="14" max="14" width="12.83203125" style="60" bestFit="1" customWidth="1"/>
    <col min="15" max="15" width="19.5" style="60" customWidth="1"/>
    <col min="16" max="16" width="20.5" style="60" bestFit="1" customWidth="1"/>
    <col min="17" max="17" width="11.08203125" style="60" bestFit="1" customWidth="1"/>
    <col min="18" max="18" width="8.5" style="60" bestFit="1" customWidth="1"/>
    <col min="19" max="21" width="16" style="28" bestFit="1" customWidth="1"/>
    <col min="22" max="24" width="10.58203125" style="28"/>
    <col min="25" max="26" width="14.75" style="28" bestFit="1" customWidth="1"/>
    <col min="27" max="16384" width="10.58203125" style="28"/>
  </cols>
  <sheetData>
    <row r="2" spans="1:25">
      <c r="C2" s="7" t="s">
        <v>119</v>
      </c>
      <c r="G2" s="112" t="s">
        <v>361</v>
      </c>
      <c r="H2" s="89"/>
      <c r="O2" s="89" t="s">
        <v>363</v>
      </c>
      <c r="P2" s="7"/>
      <c r="Q2" s="28"/>
      <c r="X2" s="89" t="s">
        <v>425</v>
      </c>
      <c r="Y2" s="7"/>
    </row>
    <row r="3" spans="1:25">
      <c r="C3" s="7" t="s">
        <v>122</v>
      </c>
      <c r="G3" s="7" t="s">
        <v>359</v>
      </c>
      <c r="H3" s="7"/>
      <c r="O3" s="7" t="s">
        <v>359</v>
      </c>
      <c r="P3" s="7"/>
      <c r="Q3" s="28"/>
      <c r="X3" s="7" t="s">
        <v>359</v>
      </c>
      <c r="Y3" s="7"/>
    </row>
    <row r="4" spans="1:25">
      <c r="C4" s="7" t="s">
        <v>356</v>
      </c>
      <c r="G4" s="7" t="s">
        <v>144</v>
      </c>
      <c r="H4" s="7"/>
      <c r="O4" s="7" t="s">
        <v>145</v>
      </c>
      <c r="P4" s="7"/>
      <c r="Q4" s="28"/>
      <c r="X4" s="7" t="s">
        <v>426</v>
      </c>
      <c r="Y4" s="7"/>
    </row>
    <row r="8" spans="1:25">
      <c r="C8" s="57" t="s">
        <v>65</v>
      </c>
      <c r="D8" s="58"/>
      <c r="E8" s="58" t="s">
        <v>117</v>
      </c>
      <c r="F8" s="58" t="s">
        <v>117</v>
      </c>
      <c r="G8" s="58" t="s">
        <v>117</v>
      </c>
      <c r="H8" s="58" t="s">
        <v>117</v>
      </c>
      <c r="I8" s="58" t="s">
        <v>117</v>
      </c>
      <c r="J8" s="58" t="s">
        <v>117</v>
      </c>
      <c r="K8" s="58" t="s">
        <v>117</v>
      </c>
      <c r="L8" s="58" t="s">
        <v>117</v>
      </c>
      <c r="M8" s="58" t="s">
        <v>117</v>
      </c>
      <c r="N8" s="58" t="s">
        <v>117</v>
      </c>
      <c r="O8" s="58" t="s">
        <v>117</v>
      </c>
      <c r="P8" s="58" t="s">
        <v>117</v>
      </c>
      <c r="Q8" s="58" t="s">
        <v>117</v>
      </c>
      <c r="R8" s="58" t="s">
        <v>117</v>
      </c>
      <c r="S8" s="58" t="s">
        <v>117</v>
      </c>
      <c r="T8" s="58" t="s">
        <v>117</v>
      </c>
      <c r="U8" s="58" t="s">
        <v>117</v>
      </c>
      <c r="V8" s="58" t="s">
        <v>117</v>
      </c>
      <c r="W8" s="58" t="s">
        <v>117</v>
      </c>
    </row>
    <row r="9" spans="1:25">
      <c r="C9" s="60" t="s">
        <v>22</v>
      </c>
      <c r="E9" s="59" t="s">
        <v>365</v>
      </c>
      <c r="F9" s="59" t="s">
        <v>365</v>
      </c>
      <c r="G9" s="59" t="s">
        <v>365</v>
      </c>
      <c r="H9" s="59" t="s">
        <v>365</v>
      </c>
      <c r="I9" s="59" t="s">
        <v>365</v>
      </c>
      <c r="J9" s="59" t="s">
        <v>365</v>
      </c>
      <c r="K9" s="59" t="s">
        <v>369</v>
      </c>
      <c r="L9" s="59" t="s">
        <v>365</v>
      </c>
      <c r="M9" s="59" t="s">
        <v>365</v>
      </c>
      <c r="N9" s="59" t="s">
        <v>365</v>
      </c>
      <c r="O9" s="59" t="s">
        <v>365</v>
      </c>
      <c r="P9" s="59" t="s">
        <v>365</v>
      </c>
      <c r="Q9" s="59" t="s">
        <v>365</v>
      </c>
      <c r="R9" s="59" t="s">
        <v>365</v>
      </c>
      <c r="S9" s="28" t="s">
        <v>365</v>
      </c>
      <c r="T9" s="56" t="s">
        <v>369</v>
      </c>
      <c r="U9" s="56" t="s">
        <v>369</v>
      </c>
      <c r="V9" s="28" t="s">
        <v>365</v>
      </c>
      <c r="W9" s="28" t="s">
        <v>365</v>
      </c>
    </row>
    <row r="10" spans="1:25">
      <c r="C10" s="60" t="s">
        <v>69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25" ht="13.5" thickBot="1">
      <c r="C11" s="61" t="s">
        <v>66</v>
      </c>
      <c r="D11" s="62"/>
      <c r="E11" s="62" t="s">
        <v>371</v>
      </c>
      <c r="F11" s="62"/>
      <c r="G11" s="62"/>
      <c r="H11" s="62" t="s">
        <v>371</v>
      </c>
      <c r="I11" s="62" t="s">
        <v>371</v>
      </c>
      <c r="J11" s="62" t="s">
        <v>371</v>
      </c>
      <c r="K11" s="62"/>
      <c r="L11" s="62" t="s">
        <v>371</v>
      </c>
      <c r="M11" s="62" t="s">
        <v>389</v>
      </c>
      <c r="N11" s="62" t="s">
        <v>389</v>
      </c>
      <c r="O11" s="62" t="s">
        <v>389</v>
      </c>
      <c r="P11" s="62" t="s">
        <v>389</v>
      </c>
      <c r="Q11" s="62" t="s">
        <v>389</v>
      </c>
      <c r="R11" s="62" t="s">
        <v>389</v>
      </c>
      <c r="S11" s="62" t="s">
        <v>389</v>
      </c>
      <c r="T11" s="62" t="s">
        <v>389</v>
      </c>
      <c r="U11" s="62" t="s">
        <v>389</v>
      </c>
      <c r="V11" s="62" t="s">
        <v>389</v>
      </c>
      <c r="W11" s="62" t="s">
        <v>389</v>
      </c>
    </row>
    <row r="12" spans="1:25" ht="13.5" thickTop="1">
      <c r="B12" s="28"/>
      <c r="C12" s="56"/>
    </row>
    <row r="13" spans="1:25">
      <c r="B13" s="63"/>
    </row>
    <row r="14" spans="1:25">
      <c r="B14" s="28"/>
      <c r="C14" s="56" t="s">
        <v>11</v>
      </c>
      <c r="D14" s="59" t="s">
        <v>12</v>
      </c>
      <c r="E14" s="73" t="s">
        <v>13</v>
      </c>
      <c r="F14" s="59" t="s">
        <v>16</v>
      </c>
      <c r="G14" s="59" t="s">
        <v>18</v>
      </c>
      <c r="H14" s="59" t="s">
        <v>49</v>
      </c>
      <c r="I14" s="59" t="s">
        <v>50</v>
      </c>
      <c r="J14" s="59" t="s">
        <v>51</v>
      </c>
      <c r="K14" s="59" t="s">
        <v>52</v>
      </c>
      <c r="L14" s="59" t="s">
        <v>53</v>
      </c>
      <c r="M14" s="59" t="s">
        <v>53</v>
      </c>
      <c r="N14" s="59" t="s">
        <v>52</v>
      </c>
      <c r="O14" s="59" t="s">
        <v>53</v>
      </c>
      <c r="P14" s="59" t="s">
        <v>56</v>
      </c>
      <c r="Q14" s="59" t="s">
        <v>57</v>
      </c>
      <c r="R14" s="59" t="s">
        <v>64</v>
      </c>
      <c r="S14" s="28" t="s">
        <v>59</v>
      </c>
      <c r="T14" s="28" t="s">
        <v>60</v>
      </c>
      <c r="U14" s="28" t="s">
        <v>61</v>
      </c>
      <c r="V14" s="28" t="s">
        <v>383</v>
      </c>
      <c r="W14" s="28" t="s">
        <v>422</v>
      </c>
    </row>
    <row r="15" spans="1:25">
      <c r="B15" s="28"/>
      <c r="C15" s="56"/>
      <c r="D15" s="59"/>
      <c r="E15" s="73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4"/>
      <c r="Q15" s="64"/>
      <c r="R15" s="64"/>
    </row>
    <row r="16" spans="1:25">
      <c r="A16" s="153" t="e">
        <f>-#REF!</f>
        <v>#REF!</v>
      </c>
      <c r="B16" s="63"/>
      <c r="E16" s="64" t="s">
        <v>124</v>
      </c>
      <c r="F16" s="64" t="s">
        <v>125</v>
      </c>
      <c r="G16" s="64" t="s">
        <v>126</v>
      </c>
      <c r="H16" s="64" t="s">
        <v>127</v>
      </c>
      <c r="I16" s="64" t="s">
        <v>412</v>
      </c>
      <c r="J16" s="64" t="s">
        <v>128</v>
      </c>
      <c r="K16" s="64" t="s">
        <v>129</v>
      </c>
      <c r="L16" s="64" t="s">
        <v>130</v>
      </c>
      <c r="M16" s="64" t="s">
        <v>131</v>
      </c>
      <c r="N16" s="64" t="s">
        <v>132</v>
      </c>
      <c r="O16" s="64" t="s">
        <v>133</v>
      </c>
      <c r="P16" s="65" t="s">
        <v>134</v>
      </c>
      <c r="Q16" s="65" t="s">
        <v>135</v>
      </c>
      <c r="R16" s="65" t="s">
        <v>136</v>
      </c>
      <c r="S16" s="65" t="s">
        <v>137</v>
      </c>
      <c r="T16" s="65" t="s">
        <v>138</v>
      </c>
      <c r="U16" s="65" t="s">
        <v>139</v>
      </c>
      <c r="V16" s="65" t="s">
        <v>420</v>
      </c>
      <c r="W16" s="55" t="s">
        <v>423</v>
      </c>
    </row>
    <row r="17" spans="1:23" s="53" customFormat="1">
      <c r="A17" s="133"/>
      <c r="D17" s="65" t="s">
        <v>6</v>
      </c>
      <c r="E17" s="74" t="s">
        <v>118</v>
      </c>
      <c r="F17" s="74" t="s">
        <v>381</v>
      </c>
      <c r="G17" s="74" t="s">
        <v>380</v>
      </c>
      <c r="H17" s="74" t="s">
        <v>390</v>
      </c>
      <c r="I17" s="74"/>
      <c r="J17" s="74" t="s">
        <v>395</v>
      </c>
      <c r="K17" s="74" t="s">
        <v>401</v>
      </c>
      <c r="L17" s="74" t="s">
        <v>405</v>
      </c>
      <c r="M17" s="74" t="s">
        <v>101</v>
      </c>
      <c r="N17" s="74" t="s">
        <v>99</v>
      </c>
      <c r="O17" s="74" t="s">
        <v>406</v>
      </c>
      <c r="P17" s="74" t="s">
        <v>87</v>
      </c>
      <c r="Q17" s="74" t="s">
        <v>407</v>
      </c>
      <c r="R17" s="74" t="s">
        <v>98</v>
      </c>
      <c r="S17" s="53" t="s">
        <v>414</v>
      </c>
      <c r="T17" s="53" t="s">
        <v>417</v>
      </c>
      <c r="U17" s="53" t="s">
        <v>417</v>
      </c>
      <c r="V17" s="53" t="s">
        <v>421</v>
      </c>
      <c r="W17" s="53" t="s">
        <v>424</v>
      </c>
    </row>
    <row r="18" spans="1:23" s="53" customFormat="1">
      <c r="A18" s="133"/>
      <c r="B18" s="53" t="s">
        <v>1</v>
      </c>
      <c r="D18" s="65" t="s">
        <v>0</v>
      </c>
      <c r="E18" s="74" t="s">
        <v>376</v>
      </c>
      <c r="F18" s="65" t="s">
        <v>382</v>
      </c>
      <c r="G18" s="65" t="s">
        <v>409</v>
      </c>
      <c r="H18" s="65" t="s">
        <v>391</v>
      </c>
      <c r="I18" s="65" t="s">
        <v>397</v>
      </c>
      <c r="J18" s="65" t="s">
        <v>382</v>
      </c>
      <c r="K18" s="65" t="s">
        <v>402</v>
      </c>
      <c r="L18" s="65"/>
      <c r="M18" s="65"/>
      <c r="N18" s="65"/>
      <c r="O18" s="65"/>
      <c r="P18" s="65"/>
      <c r="Q18" s="65" t="s">
        <v>408</v>
      </c>
      <c r="R18" s="65"/>
    </row>
    <row r="19" spans="1:23" s="53" customFormat="1">
      <c r="A19" s="133"/>
      <c r="B19" s="66" t="s">
        <v>3</v>
      </c>
      <c r="C19" s="66" t="s">
        <v>4</v>
      </c>
      <c r="D19" s="67" t="s">
        <v>7</v>
      </c>
      <c r="E19" s="67" t="s">
        <v>377</v>
      </c>
      <c r="F19" s="75"/>
      <c r="G19" s="75" t="s">
        <v>123</v>
      </c>
      <c r="H19" s="75" t="s">
        <v>392</v>
      </c>
      <c r="I19" s="154">
        <v>2023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6"/>
      <c r="U19" s="66"/>
      <c r="V19" s="66"/>
      <c r="W19" s="66"/>
    </row>
    <row r="20" spans="1:23" s="56" customFormat="1">
      <c r="A20" s="134"/>
      <c r="C20" s="76" t="s">
        <v>48</v>
      </c>
      <c r="D20" s="77" t="s">
        <v>149</v>
      </c>
      <c r="E20" s="65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23">
      <c r="B21" s="68">
        <v>1</v>
      </c>
      <c r="C21" s="69" t="s">
        <v>10</v>
      </c>
    </row>
    <row r="22" spans="1:23">
      <c r="B22" s="70">
        <f>+B21+1</f>
        <v>2</v>
      </c>
      <c r="C22" s="28" t="s">
        <v>9</v>
      </c>
    </row>
    <row r="23" spans="1:23" s="30" customFormat="1">
      <c r="A23" s="135"/>
      <c r="B23" s="70">
        <f t="shared" ref="B23:B86" si="0">+B22+1</f>
        <v>3</v>
      </c>
      <c r="C23" s="30" t="s">
        <v>71</v>
      </c>
      <c r="D23" s="146">
        <f>SUM(E23:AH23)</f>
        <v>5469069</v>
      </c>
      <c r="E23" s="31"/>
      <c r="F23" s="31"/>
      <c r="G23" s="31"/>
      <c r="H23" s="31"/>
      <c r="I23" s="31"/>
      <c r="J23" s="31"/>
      <c r="K23" s="31"/>
      <c r="L23" s="31">
        <v>5469069</v>
      </c>
      <c r="M23" s="31"/>
      <c r="N23" s="31"/>
      <c r="O23" s="31"/>
      <c r="P23" s="31"/>
      <c r="Q23" s="31"/>
      <c r="R23" s="31"/>
    </row>
    <row r="24" spans="1:23" s="35" customFormat="1">
      <c r="A24" s="136"/>
      <c r="B24" s="70">
        <f t="shared" si="0"/>
        <v>4</v>
      </c>
      <c r="C24" s="35" t="s">
        <v>72</v>
      </c>
      <c r="D24" s="146">
        <f>SUM(E24:AH24)</f>
        <v>0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23" s="35" customFormat="1">
      <c r="A25" s="136"/>
      <c r="B25" s="70">
        <f t="shared" si="0"/>
        <v>5</v>
      </c>
      <c r="D25" s="147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55"/>
      <c r="S25" s="155"/>
      <c r="T25" s="117"/>
      <c r="U25" s="117"/>
      <c r="V25" s="117"/>
      <c r="W25" s="117"/>
    </row>
    <row r="26" spans="1:23" s="35" customFormat="1">
      <c r="A26" s="136"/>
      <c r="B26" s="70">
        <f t="shared" si="0"/>
        <v>6</v>
      </c>
      <c r="C26" s="39" t="s">
        <v>73</v>
      </c>
      <c r="D26" s="148">
        <f t="shared" ref="D26:D31" si="1">SUM(E26:AH26)</f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1:23" s="35" customFormat="1">
      <c r="A27" s="136"/>
      <c r="B27" s="70">
        <f t="shared" si="0"/>
        <v>7</v>
      </c>
      <c r="C27" s="35" t="s">
        <v>74</v>
      </c>
      <c r="D27" s="147">
        <f t="shared" si="1"/>
        <v>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23" s="35" customFormat="1">
      <c r="A28" s="136"/>
      <c r="B28" s="70">
        <v>8</v>
      </c>
      <c r="D28" s="147">
        <f t="shared" si="1"/>
        <v>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23" s="35" customFormat="1">
      <c r="A29" s="136"/>
      <c r="B29" s="70">
        <v>9</v>
      </c>
      <c r="D29" s="147">
        <f t="shared" si="1"/>
        <v>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3" s="35" customFormat="1">
      <c r="A30" s="136"/>
      <c r="B30" s="70">
        <v>10</v>
      </c>
      <c r="D30" s="147">
        <f t="shared" si="1"/>
        <v>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55"/>
      <c r="S30" s="155"/>
      <c r="T30" s="117"/>
      <c r="U30" s="117"/>
      <c r="V30" s="117"/>
      <c r="W30" s="117"/>
    </row>
    <row r="31" spans="1:23" s="35" customFormat="1">
      <c r="A31" s="136"/>
      <c r="B31" s="70">
        <v>11</v>
      </c>
      <c r="C31" s="39" t="s">
        <v>75</v>
      </c>
      <c r="D31" s="148">
        <f t="shared" si="1"/>
        <v>0</v>
      </c>
      <c r="E31" s="40">
        <f t="shared" ref="E31:Q31" si="2">SUM(E26:E27)</f>
        <v>0</v>
      </c>
      <c r="F31" s="40">
        <f t="shared" si="2"/>
        <v>0</v>
      </c>
      <c r="G31" s="40">
        <f>SUM(G26:G27)</f>
        <v>0</v>
      </c>
      <c r="H31" s="40">
        <f>SUM(H26:H27)</f>
        <v>0</v>
      </c>
      <c r="I31" s="40">
        <f t="shared" si="2"/>
        <v>0</v>
      </c>
      <c r="J31" s="40">
        <f t="shared" si="2"/>
        <v>0</v>
      </c>
      <c r="K31" s="40">
        <f t="shared" ref="K31:M31" si="3">SUM(K26:K27)</f>
        <v>0</v>
      </c>
      <c r="L31" s="40">
        <f t="shared" si="3"/>
        <v>0</v>
      </c>
      <c r="M31" s="40">
        <f t="shared" si="3"/>
        <v>0</v>
      </c>
      <c r="N31" s="40">
        <f t="shared" ref="N31:O31" si="4">SUM(N26:N27)</f>
        <v>0</v>
      </c>
      <c r="O31" s="40">
        <f t="shared" si="4"/>
        <v>0</v>
      </c>
      <c r="P31" s="40">
        <f t="shared" ref="P31" si="5">SUM(P26:P27)</f>
        <v>0</v>
      </c>
      <c r="Q31" s="40">
        <f t="shared" si="2"/>
        <v>0</v>
      </c>
      <c r="R31" s="41">
        <f t="shared" ref="R31" si="6">SUM(R26:R27)</f>
        <v>0</v>
      </c>
    </row>
    <row r="32" spans="1:23" s="35" customFormat="1">
      <c r="A32" s="136"/>
      <c r="B32" s="70">
        <v>12</v>
      </c>
      <c r="D32" s="14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5" customFormat="1">
      <c r="A33" s="136"/>
      <c r="B33" s="70">
        <f t="shared" si="0"/>
        <v>13</v>
      </c>
      <c r="C33" s="35" t="s">
        <v>5</v>
      </c>
      <c r="D33" s="14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5" customFormat="1">
      <c r="A34" s="136"/>
      <c r="B34" s="70">
        <v>14</v>
      </c>
      <c r="C34" s="43"/>
      <c r="D34" s="14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</row>
    <row r="35" spans="1:18" s="35" customFormat="1">
      <c r="A35" s="136"/>
      <c r="B35" s="70">
        <f t="shared" si="0"/>
        <v>15</v>
      </c>
      <c r="C35" s="35" t="s">
        <v>107</v>
      </c>
      <c r="D35" s="146">
        <f t="shared" ref="D35:D66" si="7">SUM(E35:AH35)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35" customFormat="1">
      <c r="A36" s="136"/>
      <c r="B36" s="70">
        <f t="shared" si="0"/>
        <v>16</v>
      </c>
      <c r="C36" s="35" t="s">
        <v>108</v>
      </c>
      <c r="D36" s="146">
        <f t="shared" si="7"/>
        <v>39119</v>
      </c>
      <c r="E36" s="37"/>
      <c r="F36" s="37">
        <v>39119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s="35" customFormat="1">
      <c r="A37" s="136"/>
      <c r="B37" s="70">
        <f t="shared" si="0"/>
        <v>17</v>
      </c>
      <c r="C37" s="35" t="s">
        <v>109</v>
      </c>
      <c r="D37" s="146">
        <f t="shared" si="7"/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18" s="35" customFormat="1">
      <c r="A38" s="136"/>
      <c r="B38" s="70">
        <f t="shared" si="0"/>
        <v>18</v>
      </c>
      <c r="C38" s="35" t="s">
        <v>342</v>
      </c>
      <c r="D38" s="146">
        <f t="shared" si="7"/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18" s="35" customFormat="1">
      <c r="A39" s="136"/>
      <c r="B39" s="70">
        <f t="shared" si="0"/>
        <v>19</v>
      </c>
      <c r="C39" s="35" t="s">
        <v>165</v>
      </c>
      <c r="D39" s="146">
        <f t="shared" si="7"/>
        <v>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1:18" s="35" customFormat="1">
      <c r="A40" s="136"/>
      <c r="B40" s="70">
        <f t="shared" si="0"/>
        <v>20</v>
      </c>
      <c r="C40" s="35" t="s">
        <v>167</v>
      </c>
      <c r="D40" s="146">
        <f t="shared" si="7"/>
        <v>0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35" customFormat="1">
      <c r="A41" s="136"/>
      <c r="B41" s="70">
        <f t="shared" si="0"/>
        <v>21</v>
      </c>
      <c r="C41" s="35" t="s">
        <v>76</v>
      </c>
      <c r="D41" s="146">
        <f t="shared" si="7"/>
        <v>19070.416666666668</v>
      </c>
      <c r="E41" s="37"/>
      <c r="F41" s="37"/>
      <c r="G41" s="37"/>
      <c r="H41" s="37">
        <f>'[2]Results of Operations'!$I$27</f>
        <v>19070.416666666668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35" customFormat="1">
      <c r="A42" s="136"/>
      <c r="B42" s="70">
        <f t="shared" si="0"/>
        <v>22</v>
      </c>
      <c r="C42" s="35" t="s">
        <v>77</v>
      </c>
      <c r="D42" s="146">
        <f t="shared" si="7"/>
        <v>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s="35" customFormat="1">
      <c r="A43" s="136"/>
      <c r="B43" s="70">
        <f t="shared" si="0"/>
        <v>23</v>
      </c>
      <c r="C43" s="35" t="s">
        <v>95</v>
      </c>
      <c r="D43" s="146">
        <f t="shared" si="7"/>
        <v>16837</v>
      </c>
      <c r="E43" s="37"/>
      <c r="F43" s="37"/>
      <c r="G43" s="37">
        <v>16837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</row>
    <row r="44" spans="1:18" s="35" customFormat="1">
      <c r="A44" s="136"/>
      <c r="B44" s="70">
        <f t="shared" si="0"/>
        <v>24</v>
      </c>
      <c r="C44" s="35" t="s">
        <v>96</v>
      </c>
      <c r="D44" s="146">
        <f t="shared" si="7"/>
        <v>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</row>
    <row r="45" spans="1:18" s="35" customFormat="1">
      <c r="A45" s="136"/>
      <c r="B45" s="70">
        <f t="shared" si="0"/>
        <v>25</v>
      </c>
      <c r="C45" s="35" t="s">
        <v>97</v>
      </c>
      <c r="D45" s="146">
        <f t="shared" si="7"/>
        <v>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</row>
    <row r="46" spans="1:18" s="35" customFormat="1">
      <c r="A46" s="136"/>
      <c r="B46" s="70">
        <f t="shared" si="0"/>
        <v>26</v>
      </c>
      <c r="C46" s="35" t="s">
        <v>177</v>
      </c>
      <c r="D46" s="146">
        <f t="shared" si="7"/>
        <v>20000</v>
      </c>
      <c r="E46" s="37">
        <v>20000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18" s="35" customFormat="1">
      <c r="A47" s="136"/>
      <c r="B47" s="70">
        <f t="shared" si="0"/>
        <v>27</v>
      </c>
      <c r="C47" s="35" t="s">
        <v>343</v>
      </c>
      <c r="D47" s="146">
        <f t="shared" si="7"/>
        <v>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18" s="35" customFormat="1">
      <c r="A48" s="136"/>
      <c r="B48" s="70">
        <f t="shared" si="0"/>
        <v>28</v>
      </c>
      <c r="C48" s="35" t="s">
        <v>98</v>
      </c>
      <c r="D48" s="146">
        <f t="shared" si="7"/>
        <v>18493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>
        <v>18493</v>
      </c>
    </row>
    <row r="49" spans="1:23" s="35" customFormat="1">
      <c r="A49" s="136"/>
      <c r="B49" s="70">
        <f t="shared" si="0"/>
        <v>29</v>
      </c>
      <c r="C49" s="35" t="s">
        <v>86</v>
      </c>
      <c r="D49" s="146">
        <f t="shared" si="7"/>
        <v>56446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>
        <v>56446</v>
      </c>
      <c r="R49" s="37"/>
    </row>
    <row r="50" spans="1:23" s="35" customFormat="1">
      <c r="A50" s="136"/>
      <c r="B50" s="70">
        <f t="shared" si="0"/>
        <v>30</v>
      </c>
      <c r="C50" s="35" t="s">
        <v>87</v>
      </c>
      <c r="D50" s="146">
        <f t="shared" si="7"/>
        <v>14584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>
        <v>14584</v>
      </c>
      <c r="Q50" s="37"/>
      <c r="R50" s="37"/>
    </row>
    <row r="51" spans="1:23" s="35" customFormat="1">
      <c r="A51" s="136"/>
      <c r="B51" s="70">
        <f t="shared" si="0"/>
        <v>31</v>
      </c>
      <c r="C51" s="35" t="s">
        <v>344</v>
      </c>
      <c r="D51" s="146">
        <f t="shared" si="7"/>
        <v>18000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>
        <v>18000</v>
      </c>
      <c r="P51" s="44"/>
      <c r="Q51" s="44"/>
      <c r="R51" s="44"/>
    </row>
    <row r="52" spans="1:23" s="35" customFormat="1">
      <c r="A52" s="136"/>
      <c r="B52" s="70">
        <f t="shared" si="0"/>
        <v>32</v>
      </c>
      <c r="C52" s="35" t="s">
        <v>195</v>
      </c>
      <c r="D52" s="146">
        <f t="shared" si="7"/>
        <v>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23" s="35" customFormat="1">
      <c r="A53" s="136"/>
      <c r="B53" s="70">
        <f t="shared" si="0"/>
        <v>33</v>
      </c>
      <c r="C53" s="35" t="s">
        <v>197</v>
      </c>
      <c r="D53" s="146">
        <f t="shared" si="7"/>
        <v>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</row>
    <row r="54" spans="1:23" s="35" customFormat="1">
      <c r="A54" s="136"/>
      <c r="B54" s="70">
        <f t="shared" si="0"/>
        <v>34</v>
      </c>
      <c r="C54" s="35" t="s">
        <v>78</v>
      </c>
      <c r="D54" s="146">
        <f t="shared" si="7"/>
        <v>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23" s="35" customFormat="1">
      <c r="A55" s="136"/>
      <c r="B55" s="70">
        <f t="shared" si="0"/>
        <v>35</v>
      </c>
      <c r="C55" s="35" t="s">
        <v>88</v>
      </c>
      <c r="D55" s="146">
        <f t="shared" si="7"/>
        <v>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23" s="35" customFormat="1">
      <c r="A56" s="136"/>
      <c r="B56" s="70">
        <f t="shared" si="0"/>
        <v>36</v>
      </c>
      <c r="C56" s="35" t="s">
        <v>345</v>
      </c>
      <c r="D56" s="146">
        <f t="shared" si="7"/>
        <v>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23" s="35" customFormat="1">
      <c r="A57" s="136"/>
      <c r="B57" s="70">
        <f t="shared" si="0"/>
        <v>37</v>
      </c>
      <c r="C57" s="35" t="s">
        <v>346</v>
      </c>
      <c r="D57" s="146">
        <f t="shared" si="7"/>
        <v>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</row>
    <row r="58" spans="1:23" s="35" customFormat="1">
      <c r="A58" s="136"/>
      <c r="B58" s="70">
        <f t="shared" si="0"/>
        <v>38</v>
      </c>
      <c r="C58" s="35" t="s">
        <v>99</v>
      </c>
      <c r="D58" s="146">
        <f t="shared" si="7"/>
        <v>59328</v>
      </c>
      <c r="E58" s="37"/>
      <c r="F58" s="37"/>
      <c r="G58" s="37"/>
      <c r="H58" s="37"/>
      <c r="I58" s="37"/>
      <c r="J58" s="37"/>
      <c r="K58" s="37"/>
      <c r="N58" s="37">
        <v>59328</v>
      </c>
      <c r="O58" s="37"/>
      <c r="P58" s="37"/>
      <c r="Q58" s="37"/>
      <c r="R58" s="37"/>
    </row>
    <row r="59" spans="1:23" s="35" customFormat="1">
      <c r="A59" s="136"/>
      <c r="B59" s="70">
        <f t="shared" si="0"/>
        <v>39</v>
      </c>
      <c r="C59" s="35" t="s">
        <v>234</v>
      </c>
      <c r="D59" s="146">
        <f t="shared" si="7"/>
        <v>-1644567</v>
      </c>
      <c r="E59" s="37"/>
      <c r="F59" s="37"/>
      <c r="G59" s="37"/>
      <c r="H59" s="37"/>
      <c r="I59" s="37"/>
      <c r="J59" s="37"/>
      <c r="K59" s="37">
        <f>-'JNS-02, Sch1.1 Results of Oper '!D53</f>
        <v>-1644567</v>
      </c>
      <c r="L59" s="37"/>
      <c r="M59" s="37"/>
      <c r="N59" s="37"/>
      <c r="O59" s="37"/>
      <c r="P59" s="37"/>
      <c r="Q59" s="37"/>
      <c r="R59" s="37"/>
    </row>
    <row r="60" spans="1:23" s="35" customFormat="1">
      <c r="A60" s="136"/>
      <c r="B60" s="70">
        <f t="shared" si="0"/>
        <v>40</v>
      </c>
      <c r="C60" s="35" t="s">
        <v>236</v>
      </c>
      <c r="D60" s="146">
        <f t="shared" si="7"/>
        <v>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1:23" s="35" customFormat="1">
      <c r="A61" s="136"/>
      <c r="B61" s="70">
        <f t="shared" si="0"/>
        <v>41</v>
      </c>
      <c r="C61" s="35" t="s">
        <v>238</v>
      </c>
      <c r="D61" s="146">
        <f t="shared" si="7"/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1:23" s="35" customFormat="1">
      <c r="A62" s="136"/>
      <c r="B62" s="70">
        <f t="shared" si="0"/>
        <v>42</v>
      </c>
      <c r="C62" s="35" t="s">
        <v>89</v>
      </c>
      <c r="D62" s="146">
        <f t="shared" si="7"/>
        <v>19500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W62" s="35">
        <v>19500</v>
      </c>
    </row>
    <row r="63" spans="1:23" s="35" customFormat="1">
      <c r="A63" s="136"/>
      <c r="B63" s="70">
        <f t="shared" si="0"/>
        <v>43</v>
      </c>
      <c r="C63" s="35" t="s">
        <v>100</v>
      </c>
      <c r="D63" s="146">
        <f t="shared" si="7"/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1:23" s="35" customFormat="1">
      <c r="A64" s="136"/>
      <c r="B64" s="70">
        <f t="shared" si="0"/>
        <v>44</v>
      </c>
      <c r="C64" s="35" t="s">
        <v>347</v>
      </c>
      <c r="D64" s="146">
        <f t="shared" si="7"/>
        <v>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22">
      <c r="B65" s="70">
        <f t="shared" si="0"/>
        <v>45</v>
      </c>
      <c r="C65" s="35" t="s">
        <v>79</v>
      </c>
      <c r="D65" s="146">
        <f t="shared" si="7"/>
        <v>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22" s="30" customFormat="1">
      <c r="A66" s="135"/>
      <c r="B66" s="70">
        <f t="shared" si="0"/>
        <v>46</v>
      </c>
      <c r="C66" s="35" t="s">
        <v>90</v>
      </c>
      <c r="D66" s="146">
        <f t="shared" si="7"/>
        <v>902438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V66" s="30">
        <v>902438</v>
      </c>
    </row>
    <row r="67" spans="1:22">
      <c r="B67" s="70">
        <f t="shared" si="0"/>
        <v>47</v>
      </c>
      <c r="C67" s="35" t="s">
        <v>348</v>
      </c>
      <c r="D67" s="146">
        <f t="shared" ref="D67:D87" si="8">SUM(E67:AH67)</f>
        <v>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</row>
    <row r="68" spans="1:22">
      <c r="B68" s="70">
        <f t="shared" si="0"/>
        <v>48</v>
      </c>
      <c r="C68" s="35" t="s">
        <v>80</v>
      </c>
      <c r="D68" s="146">
        <f t="shared" si="8"/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</row>
    <row r="69" spans="1:22" s="30" customFormat="1">
      <c r="A69" s="135"/>
      <c r="B69" s="70">
        <f t="shared" si="0"/>
        <v>49</v>
      </c>
      <c r="C69" s="35" t="s">
        <v>349</v>
      </c>
      <c r="D69" s="146">
        <f t="shared" si="8"/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1:22" s="35" customFormat="1">
      <c r="A70" s="136"/>
      <c r="B70" s="70">
        <f t="shared" si="0"/>
        <v>50</v>
      </c>
      <c r="C70" s="35" t="s">
        <v>260</v>
      </c>
      <c r="D70" s="146">
        <f t="shared" si="8"/>
        <v>0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1:22" s="35" customFormat="1">
      <c r="A71" s="136"/>
      <c r="B71" s="70">
        <f t="shared" si="0"/>
        <v>51</v>
      </c>
      <c r="C71" s="35" t="s">
        <v>264</v>
      </c>
      <c r="D71" s="146">
        <f t="shared" si="8"/>
        <v>0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</row>
    <row r="72" spans="1:22" s="35" customFormat="1">
      <c r="A72" s="136"/>
      <c r="B72" s="70">
        <f t="shared" si="0"/>
        <v>52</v>
      </c>
      <c r="C72" s="35" t="s">
        <v>81</v>
      </c>
      <c r="D72" s="146">
        <f t="shared" si="8"/>
        <v>0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</row>
    <row r="73" spans="1:22" s="35" customFormat="1">
      <c r="A73" s="136"/>
      <c r="B73" s="70">
        <f t="shared" si="0"/>
        <v>53</v>
      </c>
      <c r="C73" s="35" t="s">
        <v>82</v>
      </c>
      <c r="D73" s="146">
        <f t="shared" si="8"/>
        <v>0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</row>
    <row r="74" spans="1:22" s="35" customFormat="1">
      <c r="A74" s="136"/>
      <c r="B74" s="70">
        <f t="shared" si="0"/>
        <v>54</v>
      </c>
      <c r="C74" s="35" t="s">
        <v>274</v>
      </c>
      <c r="D74" s="146">
        <f t="shared" si="8"/>
        <v>0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</row>
    <row r="75" spans="1:22" s="35" customFormat="1">
      <c r="A75" s="136"/>
      <c r="B75" s="70">
        <f t="shared" si="0"/>
        <v>55</v>
      </c>
      <c r="C75" s="35" t="s">
        <v>101</v>
      </c>
      <c r="D75" s="146">
        <f t="shared" si="8"/>
        <v>134309</v>
      </c>
      <c r="E75" s="37"/>
      <c r="F75" s="37"/>
      <c r="G75" s="37"/>
      <c r="H75" s="37"/>
      <c r="I75" s="37"/>
      <c r="J75" s="37"/>
      <c r="K75" s="37"/>
      <c r="L75" s="37"/>
      <c r="M75" s="37">
        <v>134309</v>
      </c>
      <c r="N75" s="37"/>
      <c r="O75" s="37"/>
      <c r="P75" s="37"/>
      <c r="Q75" s="37"/>
      <c r="R75" s="37"/>
    </row>
    <row r="76" spans="1:22" s="35" customFormat="1">
      <c r="A76" s="136"/>
      <c r="B76" s="70">
        <f t="shared" si="0"/>
        <v>56</v>
      </c>
      <c r="C76" s="35" t="s">
        <v>102</v>
      </c>
      <c r="D76" s="146">
        <f t="shared" si="8"/>
        <v>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22" s="35" customFormat="1">
      <c r="A77" s="136"/>
      <c r="B77" s="70">
        <f t="shared" si="0"/>
        <v>57</v>
      </c>
      <c r="C77" s="35" t="s">
        <v>103</v>
      </c>
      <c r="D77" s="146">
        <f t="shared" si="8"/>
        <v>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8" spans="1:22" s="35" customFormat="1">
      <c r="A78" s="136"/>
      <c r="B78" s="70">
        <f t="shared" si="0"/>
        <v>58</v>
      </c>
      <c r="C78" s="35" t="s">
        <v>91</v>
      </c>
      <c r="D78" s="146">
        <f t="shared" si="8"/>
        <v>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22" s="35" customFormat="1">
      <c r="A79" s="136"/>
      <c r="B79" s="70">
        <f t="shared" si="0"/>
        <v>59</v>
      </c>
      <c r="C79" s="35" t="s">
        <v>104</v>
      </c>
      <c r="D79" s="146">
        <f t="shared" si="8"/>
        <v>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</row>
    <row r="80" spans="1:22" s="35" customFormat="1">
      <c r="A80" s="136"/>
      <c r="B80" s="70">
        <f t="shared" si="0"/>
        <v>60</v>
      </c>
      <c r="C80" s="35" t="s">
        <v>105</v>
      </c>
      <c r="D80" s="146">
        <f t="shared" si="8"/>
        <v>0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</row>
    <row r="81" spans="1:23" s="35" customFormat="1">
      <c r="A81" s="136"/>
      <c r="B81" s="70">
        <f t="shared" si="0"/>
        <v>61</v>
      </c>
      <c r="C81" s="35" t="s">
        <v>106</v>
      </c>
      <c r="D81" s="146">
        <f t="shared" si="8"/>
        <v>216337.67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T81" s="35">
        <v>413357</v>
      </c>
      <c r="U81" s="35">
        <f>'[1]JNS-01, Sch 1.3 Pro Forma Adj '!$V$81</f>
        <v>-197019.33</v>
      </c>
    </row>
    <row r="82" spans="1:23" s="35" customFormat="1">
      <c r="A82" s="136"/>
      <c r="B82" s="70">
        <f t="shared" si="0"/>
        <v>62</v>
      </c>
      <c r="C82" s="35" t="s">
        <v>83</v>
      </c>
      <c r="D82" s="146">
        <f t="shared" si="8"/>
        <v>0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</row>
    <row r="83" spans="1:23">
      <c r="B83" s="70">
        <f t="shared" si="0"/>
        <v>63</v>
      </c>
      <c r="C83" s="35" t="s">
        <v>92</v>
      </c>
      <c r="D83" s="146">
        <f t="shared" si="8"/>
        <v>201034</v>
      </c>
      <c r="E83" s="37"/>
      <c r="F83" s="37"/>
      <c r="G83" s="37"/>
      <c r="H83" s="37"/>
      <c r="I83" s="37">
        <v>201034</v>
      </c>
      <c r="J83" s="37"/>
      <c r="K83" s="37"/>
      <c r="L83" s="37"/>
      <c r="M83" s="37"/>
      <c r="N83" s="37"/>
      <c r="O83" s="37"/>
      <c r="P83" s="37"/>
      <c r="Q83" s="37"/>
      <c r="R83" s="37"/>
    </row>
    <row r="84" spans="1:23">
      <c r="B84" s="70">
        <f t="shared" si="0"/>
        <v>64</v>
      </c>
      <c r="C84" s="35" t="s">
        <v>84</v>
      </c>
      <c r="D84" s="146">
        <f t="shared" si="8"/>
        <v>45415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28">
        <v>45415</v>
      </c>
    </row>
    <row r="85" spans="1:23">
      <c r="B85" s="70">
        <f t="shared" si="0"/>
        <v>65</v>
      </c>
      <c r="C85" s="35" t="s">
        <v>350</v>
      </c>
      <c r="D85" s="146">
        <f t="shared" si="8"/>
        <v>0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23">
      <c r="B86" s="70">
        <f t="shared" si="0"/>
        <v>66</v>
      </c>
      <c r="C86" s="35" t="s">
        <v>328</v>
      </c>
      <c r="D86" s="146">
        <f t="shared" si="8"/>
        <v>0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</row>
    <row r="87" spans="1:23">
      <c r="B87" s="70">
        <v>67</v>
      </c>
      <c r="C87" s="35" t="s">
        <v>394</v>
      </c>
      <c r="D87" s="146">
        <f t="shared" si="8"/>
        <v>594472</v>
      </c>
      <c r="E87" s="37"/>
      <c r="F87" s="37"/>
      <c r="G87" s="37"/>
      <c r="H87" s="37"/>
      <c r="I87" s="37"/>
      <c r="J87" s="37">
        <v>594472</v>
      </c>
      <c r="K87" s="37"/>
      <c r="L87" s="37"/>
      <c r="M87" s="37"/>
      <c r="N87" s="37"/>
      <c r="O87" s="37"/>
      <c r="P87" s="37"/>
      <c r="Q87" s="37"/>
      <c r="R87" s="37"/>
    </row>
    <row r="88" spans="1:23">
      <c r="B88" s="70">
        <v>68</v>
      </c>
      <c r="C88" s="48" t="s">
        <v>111</v>
      </c>
      <c r="D88" s="150">
        <f>SUM(D36:D87)</f>
        <v>730816.08666666679</v>
      </c>
      <c r="E88" s="47">
        <f>SUM(E36:E87)</f>
        <v>20000</v>
      </c>
      <c r="F88" s="47">
        <f>SUM(F36:F87)</f>
        <v>39119</v>
      </c>
      <c r="G88" s="47">
        <f t="shared" ref="G88:W88" si="9">SUM(G36:G85)</f>
        <v>16837</v>
      </c>
      <c r="H88" s="47">
        <f t="shared" si="9"/>
        <v>19070.416666666668</v>
      </c>
      <c r="I88" s="47">
        <f t="shared" si="9"/>
        <v>201034</v>
      </c>
      <c r="J88" s="47">
        <f t="shared" si="9"/>
        <v>0</v>
      </c>
      <c r="K88" s="47">
        <f t="shared" si="9"/>
        <v>-1644567</v>
      </c>
      <c r="L88" s="47">
        <f t="shared" si="9"/>
        <v>0</v>
      </c>
      <c r="M88" s="47">
        <f t="shared" si="9"/>
        <v>134309</v>
      </c>
      <c r="N88" s="47">
        <f t="shared" si="9"/>
        <v>59328</v>
      </c>
      <c r="O88" s="47">
        <f t="shared" si="9"/>
        <v>18000</v>
      </c>
      <c r="P88" s="47">
        <f t="shared" si="9"/>
        <v>14584</v>
      </c>
      <c r="Q88" s="47">
        <f t="shared" si="9"/>
        <v>56446</v>
      </c>
      <c r="R88" s="47">
        <f t="shared" si="9"/>
        <v>18493</v>
      </c>
      <c r="S88" s="47">
        <f t="shared" si="9"/>
        <v>45415</v>
      </c>
      <c r="T88" s="47">
        <f t="shared" si="9"/>
        <v>413357</v>
      </c>
      <c r="U88" s="47">
        <f t="shared" si="9"/>
        <v>-197019.33</v>
      </c>
      <c r="V88" s="47">
        <f t="shared" si="9"/>
        <v>902438</v>
      </c>
      <c r="W88" s="47">
        <f t="shared" si="9"/>
        <v>19500</v>
      </c>
    </row>
    <row r="89" spans="1:23">
      <c r="B89" s="70">
        <v>69</v>
      </c>
      <c r="C89" s="48"/>
      <c r="D89" s="149"/>
      <c r="E89" s="41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1:23" s="37" customFormat="1">
      <c r="A90" s="137"/>
      <c r="B90" s="70">
        <v>70</v>
      </c>
      <c r="C90" s="78"/>
      <c r="D90" s="149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</row>
    <row r="91" spans="1:23">
      <c r="B91" s="70">
        <f t="shared" ref="B91:B97" si="10">+B90+1</f>
        <v>71</v>
      </c>
      <c r="C91" s="51" t="s">
        <v>113</v>
      </c>
      <c r="D91" s="151">
        <f t="shared" ref="D91:W91" si="11">+D31-D88</f>
        <v>-730816.08666666679</v>
      </c>
      <c r="E91" s="38">
        <f t="shared" si="11"/>
        <v>-20000</v>
      </c>
      <c r="F91" s="38">
        <f t="shared" si="11"/>
        <v>-39119</v>
      </c>
      <c r="G91" s="38">
        <f t="shared" si="11"/>
        <v>-16837</v>
      </c>
      <c r="H91" s="38">
        <f t="shared" si="11"/>
        <v>-19070.416666666668</v>
      </c>
      <c r="I91" s="38">
        <f t="shared" si="11"/>
        <v>-201034</v>
      </c>
      <c r="J91" s="38">
        <f t="shared" si="11"/>
        <v>0</v>
      </c>
      <c r="K91" s="38">
        <f t="shared" si="11"/>
        <v>1644567</v>
      </c>
      <c r="L91" s="38">
        <f t="shared" si="11"/>
        <v>0</v>
      </c>
      <c r="M91" s="38">
        <f t="shared" si="11"/>
        <v>-134309</v>
      </c>
      <c r="N91" s="38">
        <f t="shared" si="11"/>
        <v>-59328</v>
      </c>
      <c r="O91" s="38">
        <f t="shared" si="11"/>
        <v>-18000</v>
      </c>
      <c r="P91" s="38">
        <f t="shared" si="11"/>
        <v>-14584</v>
      </c>
      <c r="Q91" s="38">
        <f t="shared" si="11"/>
        <v>-56446</v>
      </c>
      <c r="R91" s="38">
        <f t="shared" si="11"/>
        <v>-18493</v>
      </c>
      <c r="S91" s="38">
        <f t="shared" si="11"/>
        <v>-45415</v>
      </c>
      <c r="T91" s="38">
        <f t="shared" si="11"/>
        <v>-413357</v>
      </c>
      <c r="U91" s="38">
        <f t="shared" si="11"/>
        <v>197019.33</v>
      </c>
      <c r="V91" s="38">
        <f t="shared" si="11"/>
        <v>-902438</v>
      </c>
      <c r="W91" s="38">
        <f t="shared" si="11"/>
        <v>-19500</v>
      </c>
    </row>
    <row r="92" spans="1:23">
      <c r="B92" s="70">
        <f t="shared" si="10"/>
        <v>72</v>
      </c>
      <c r="C92" s="3" t="s">
        <v>115</v>
      </c>
      <c r="D92" s="146">
        <f>SUM(E92:AH92)</f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</row>
    <row r="93" spans="1:23">
      <c r="B93" s="70">
        <f t="shared" si="10"/>
        <v>73</v>
      </c>
      <c r="C93" s="3" t="s">
        <v>112</v>
      </c>
      <c r="D93" s="146">
        <f>SUM(E93:AH93)</f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</row>
    <row r="94" spans="1:23">
      <c r="B94" s="70">
        <f t="shared" si="10"/>
        <v>74</v>
      </c>
      <c r="C94" s="3" t="s">
        <v>114</v>
      </c>
      <c r="D94" s="146">
        <f>SUM(E94:AH94)</f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</row>
    <row r="95" spans="1:23" ht="13.5" thickBot="1">
      <c r="B95" s="70">
        <f t="shared" si="10"/>
        <v>75</v>
      </c>
      <c r="C95" s="51" t="s">
        <v>116</v>
      </c>
      <c r="D95" s="152">
        <f>+D91+SUM(D92:D94)</f>
        <v>-730816.08666666679</v>
      </c>
      <c r="E95" s="80">
        <f>+E91+SUM(E92:E94)</f>
        <v>-20000</v>
      </c>
      <c r="F95" s="80">
        <f t="shared" ref="F95:W95" si="12">+F91+SUM(F92:F94)</f>
        <v>-39119</v>
      </c>
      <c r="G95" s="80">
        <f t="shared" si="12"/>
        <v>-16837</v>
      </c>
      <c r="H95" s="80">
        <f t="shared" si="12"/>
        <v>-19070.416666666668</v>
      </c>
      <c r="I95" s="80">
        <f t="shared" si="12"/>
        <v>-201034</v>
      </c>
      <c r="J95" s="80">
        <f t="shared" si="12"/>
        <v>0</v>
      </c>
      <c r="K95" s="80">
        <f t="shared" si="12"/>
        <v>1644567</v>
      </c>
      <c r="L95" s="80">
        <f t="shared" si="12"/>
        <v>0</v>
      </c>
      <c r="M95" s="80">
        <f t="shared" si="12"/>
        <v>-134309</v>
      </c>
      <c r="N95" s="80">
        <f t="shared" si="12"/>
        <v>-59328</v>
      </c>
      <c r="O95" s="80">
        <f t="shared" si="12"/>
        <v>-18000</v>
      </c>
      <c r="P95" s="80">
        <f t="shared" si="12"/>
        <v>-14584</v>
      </c>
      <c r="Q95" s="80">
        <f t="shared" si="12"/>
        <v>-56446</v>
      </c>
      <c r="R95" s="80">
        <f t="shared" si="12"/>
        <v>-18493</v>
      </c>
      <c r="S95" s="80">
        <f t="shared" si="12"/>
        <v>-45415</v>
      </c>
      <c r="T95" s="80">
        <f t="shared" si="12"/>
        <v>-413357</v>
      </c>
      <c r="U95" s="80">
        <f t="shared" si="12"/>
        <v>197019.33</v>
      </c>
      <c r="V95" s="80">
        <f t="shared" si="12"/>
        <v>-902438</v>
      </c>
      <c r="W95" s="80">
        <f t="shared" si="12"/>
        <v>-19500</v>
      </c>
    </row>
    <row r="96" spans="1:23" ht="13.5" thickTop="1">
      <c r="B96" s="70">
        <f t="shared" si="10"/>
        <v>76</v>
      </c>
    </row>
    <row r="97" spans="2:2">
      <c r="B97" s="70">
        <f t="shared" si="10"/>
        <v>77</v>
      </c>
    </row>
  </sheetData>
  <phoneticPr fontId="0" type="noConversion"/>
  <pageMargins left="0.25" right="0.25" top="0.75" bottom="0.75" header="0.3" footer="0.3"/>
  <pageSetup scale="55" firstPageNumber="2" fitToWidth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6">
    <tabColor indexed="10"/>
  </sheetPr>
  <dimension ref="A1"/>
  <sheetViews>
    <sheetView zoomScaleNormal="100" workbookViewId="0"/>
  </sheetViews>
  <sheetFormatPr defaultColWidth="9" defaultRowHeight="15.5"/>
  <cols>
    <col min="1" max="16384" width="9" style="1"/>
  </cols>
  <sheetData/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2023-03-03T17:23:15+00:00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6294AD0-6C2D-47D4-A6A1-9EF7E52E6EDF}"/>
</file>

<file path=customXml/itemProps2.xml><?xml version="1.0" encoding="utf-8"?>
<ds:datastoreItem xmlns:ds="http://schemas.openxmlformats.org/officeDocument/2006/customXml" ds:itemID="{0180B5A8-74E7-4A0F-8B3A-669BBFF681DE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sharepoint/v3/field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0689114-bdb9-4146-803a-240f5368dce0"/>
    <ds:schemaRef ds:uri="24f70c62-691b-492e-ba59-9d389529a97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23C7B4-15A5-427D-9336-CD49BF1EA9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7DAAC4-0EA6-4760-AF8B-D219F4D69F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JNS-01 Income Statement</vt:lpstr>
      <vt:lpstr>JNS-02, Sch1.1 Results of Oper </vt:lpstr>
      <vt:lpstr>JNS-02, Sch 1.2 Restating Adj </vt:lpstr>
      <vt:lpstr>JNS-02, Sch 1.3 Pro Forma Adj </vt:lpstr>
      <vt:lpstr>END RR Model</vt:lpstr>
      <vt:lpstr>'JNS-02, Sch1.1 Results of Oper '!Print_Area</vt:lpstr>
      <vt:lpstr>'JNS-02, Sch 1.2 Restating Adj '!Print_Titles</vt:lpstr>
      <vt:lpstr>'JNS-02, Sch 1.3 Pro Forma Adj '!Print_Titles</vt:lpstr>
      <vt:lpstr>'JNS-02, Sch1.1 Results of Oper '!Print_Titles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EXH-JNS02Revised</dc:title>
  <dc:subject>TP-190976</dc:subject>
  <dc:creator>Kermode</dc:creator>
  <cp:keywords>Puget Sound Pilots</cp:keywords>
  <dc:description/>
  <cp:lastModifiedBy>DeMarco, Betsy (UTC)</cp:lastModifiedBy>
  <cp:lastPrinted>2023-02-28T21:53:36Z</cp:lastPrinted>
  <dcterms:created xsi:type="dcterms:W3CDTF">1997-05-15T21:41:44Z</dcterms:created>
  <dcterms:modified xsi:type="dcterms:W3CDTF">2023-02-28T21:57:14Z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0x0101006E56B4D1795A2E4DB2F0B01679ED314A00CFFC0EFE9480AB49A04360964C47998D</vt:lpwstr>
  </property>
  <property fmtid="{D5CDD505-2E9C-101B-9397-08002B2CF9AE}" pid="4" name="{A44787D4-0540-4523-9961-78E4036D8C6D}">
    <vt:lpwstr>{D132C10C-3DFA-4993-A0D9-29BE3A9E25FC}</vt:lpwstr>
  </property>
  <property fmtid="{D5CDD505-2E9C-101B-9397-08002B2CF9AE}" pid="5" name="Document Type">
    <vt:lpwstr>Exhibit</vt:lpwstr>
  </property>
  <property fmtid="{D5CDD505-2E9C-101B-9397-08002B2CF9AE}" pid="7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