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480" yWindow="855" windowWidth="17490" windowHeight="7965" tabRatio="684"/>
  </bookViews>
  <sheets>
    <sheet name="Exhibit No.__(BDJ-Tariff)" sheetId="30" r:id="rId1"/>
    <sheet name="Exhibit No.__(BDJ-Rate Spread)" sheetId="19" r:id="rId2"/>
    <sheet name="Exhibit No.__(BDJ-Rate Des Sum)" sheetId="37" r:id="rId3"/>
    <sheet name="Exhibit No.__(BDJ-Prof-Prop)" sheetId="1" r:id="rId4"/>
    <sheet name="Exhibit No.__(BDJ-MYRP-SUM)" sheetId="41" r:id="rId5"/>
    <sheet name="Exhibit No.__(BDJ-MYRP)" sheetId="40" r:id="rId6"/>
    <sheet name="Exhibit No.__(BDJ-141C)" sheetId="43" r:id="rId7"/>
    <sheet name="Exhibit No.__(BDJ-Res RD)" sheetId="2" r:id="rId8"/>
    <sheet name="Exhibit No.__(BDJ-SV RD)" sheetId="13" r:id="rId9"/>
    <sheet name="Exhibit No.__(BDJ-PV RD)" sheetId="14" r:id="rId10"/>
    <sheet name="Exhibit No.__(BDJ-CONJ  DEM)" sheetId="42" r:id="rId11"/>
    <sheet name="Exhibit No.__(BDJ-HV RD)" sheetId="15" r:id="rId12"/>
    <sheet name="Exhibit No.__(BDJ-TRANSP RD)" sheetId="18" r:id="rId13"/>
    <sheet name="Exhibit No.__(BDJ-LIGHT RD) " sheetId="38" r:id="rId14"/>
  </sheets>
  <definedNames>
    <definedName name="_xlnm.Print_Area" localSheetId="6">'Exhibit No.__(BDJ-141C)'!$A$1:$V$41</definedName>
    <definedName name="_xlnm.Print_Area" localSheetId="10">'Exhibit No.__(BDJ-CONJ  DEM)'!$A$1:$E$27</definedName>
    <definedName name="_xlnm.Print_Area" localSheetId="11">'Exhibit No.__(BDJ-HV RD)'!$A$1:$K$44</definedName>
    <definedName name="_xlnm.Print_Area" localSheetId="13">'Exhibit No.__(BDJ-LIGHT RD) '!$A$1:$J$26</definedName>
    <definedName name="_xlnm.Print_Area" localSheetId="5">'Exhibit No.__(BDJ-MYRP)'!$A$2:$Y$175</definedName>
    <definedName name="_xlnm.Print_Area" localSheetId="4">'Exhibit No.__(BDJ-MYRP-SUM)'!$A$1:$AA$36</definedName>
    <definedName name="_xlnm.Print_Area" localSheetId="3">'Exhibit No.__(BDJ-Prof-Prop)'!$A$1:$R$50</definedName>
    <definedName name="_xlnm.Print_Area" localSheetId="9">'Exhibit No.__(BDJ-PV RD)'!$A$1:$K$92</definedName>
    <definedName name="_xlnm.Print_Area" localSheetId="2">'Exhibit No.__(BDJ-Rate Des Sum)'!$A$1:$H$18</definedName>
    <definedName name="_xlnm.Print_Area" localSheetId="1">'Exhibit No.__(BDJ-Rate Spread)'!$A$1:$Y$41</definedName>
    <definedName name="_xlnm.Print_Area" localSheetId="7">'Exhibit No.__(BDJ-Res RD)'!$A$1:$J$39</definedName>
    <definedName name="_xlnm.Print_Area" localSheetId="8">'Exhibit No.__(BDJ-SV RD)'!$A$1:$K$174</definedName>
    <definedName name="_xlnm.Print_Area" localSheetId="0">'Exhibit No.__(BDJ-Tariff)'!$A$1:$X$141</definedName>
    <definedName name="_xlnm.Print_Area" localSheetId="12">'Exhibit No.__(BDJ-TRANSP RD)'!$A$1:$K$58</definedName>
    <definedName name="_xlnm.Print_Titles" localSheetId="6">'Exhibit No.__(BDJ-141C)'!$A:$C</definedName>
    <definedName name="_xlnm.Print_Titles" localSheetId="11">'Exhibit No.__(BDJ-HV RD)'!$1:$10</definedName>
    <definedName name="_xlnm.Print_Titles" localSheetId="13">'Exhibit No.__(BDJ-LIGHT RD) '!$1:$10</definedName>
    <definedName name="_xlnm.Print_Titles" localSheetId="5">'Exhibit No.__(BDJ-MYRP)'!$A:$C,'Exhibit No.__(BDJ-MYRP)'!$1:$12</definedName>
    <definedName name="_xlnm.Print_Titles" localSheetId="4">'Exhibit No.__(BDJ-MYRP-SUM)'!$A:$C</definedName>
    <definedName name="_xlnm.Print_Titles" localSheetId="9">'Exhibit No.__(BDJ-PV RD)'!$1:$10</definedName>
    <definedName name="_xlnm.Print_Titles" localSheetId="1">'Exhibit No.__(BDJ-Rate Spread)'!$A:$C</definedName>
    <definedName name="_xlnm.Print_Titles" localSheetId="7">'Exhibit No.__(BDJ-Res RD)'!$1:$10</definedName>
    <definedName name="_xlnm.Print_Titles" localSheetId="8">'Exhibit No.__(BDJ-SV RD)'!$1:$10</definedName>
    <definedName name="_xlnm.Print_Titles" localSheetId="0">'Exhibit No.__(BDJ-Tariff)'!$A:$C,'Exhibit No.__(BDJ-Tariff)'!$1:$6</definedName>
    <definedName name="_xlnm.Print_Titles" localSheetId="12">'Exhibit No.__(BDJ-TRANSP RD)'!$1:$10</definedName>
  </definedNames>
  <calcPr calcId="162913" calcOnSave="0"/>
</workbook>
</file>

<file path=xl/calcChain.xml><?xml version="1.0" encoding="utf-8"?>
<calcChain xmlns="http://schemas.openxmlformats.org/spreadsheetml/2006/main">
  <c r="L55" i="30" l="1"/>
  <c r="L37" i="30"/>
  <c r="L24" i="30"/>
  <c r="L18" i="30"/>
  <c r="A170" i="40" l="1"/>
  <c r="A171" i="40" s="1"/>
  <c r="A172" i="40" s="1"/>
  <c r="A173" i="40" s="1"/>
  <c r="A174" i="40" s="1"/>
  <c r="A175" i="40" s="1"/>
  <c r="B9" i="30" l="1"/>
  <c r="B10" i="30" s="1"/>
  <c r="B11" i="30" s="1"/>
  <c r="B12" i="30" s="1"/>
  <c r="B8" i="30"/>
  <c r="B174" i="40" l="1"/>
  <c r="B173" i="40"/>
  <c r="F136" i="13" l="1"/>
  <c r="B167" i="40" l="1"/>
  <c r="S38" i="43" l="1"/>
  <c r="S26" i="43" s="1"/>
  <c r="S41" i="43" l="1"/>
  <c r="S40" i="43"/>
  <c r="N38" i="43" l="1"/>
  <c r="N26" i="43" s="1"/>
  <c r="N40" i="43" l="1"/>
  <c r="N41" i="43" l="1"/>
  <c r="I38" i="43" l="1"/>
  <c r="I40" i="43" l="1"/>
  <c r="A8" i="43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D24" i="43"/>
  <c r="E15" i="43" l="1"/>
  <c r="E21" i="43"/>
  <c r="E12" i="43"/>
  <c r="E19" i="43"/>
  <c r="E18" i="43"/>
  <c r="E10" i="43"/>
  <c r="E16" i="43"/>
  <c r="E11" i="43"/>
  <c r="E9" i="43"/>
  <c r="E22" i="43"/>
  <c r="E7" i="43"/>
  <c r="E14" i="43"/>
  <c r="D35" i="43"/>
  <c r="F24" i="43"/>
  <c r="I26" i="43"/>
  <c r="J26" i="43" s="1"/>
  <c r="G10" i="43" l="1"/>
  <c r="G22" i="43"/>
  <c r="H22" i="43" s="1"/>
  <c r="G9" i="43"/>
  <c r="H9" i="43" s="1"/>
  <c r="G15" i="43"/>
  <c r="H15" i="43" s="1"/>
  <c r="G14" i="43"/>
  <c r="G21" i="43"/>
  <c r="G11" i="43"/>
  <c r="H11" i="43" s="1"/>
  <c r="G12" i="43"/>
  <c r="H12" i="43" s="1"/>
  <c r="G18" i="43"/>
  <c r="G7" i="43"/>
  <c r="G19" i="43"/>
  <c r="G16" i="43"/>
  <c r="H16" i="43" s="1"/>
  <c r="F35" i="43"/>
  <c r="E24" i="43"/>
  <c r="E5" i="43" s="1"/>
  <c r="H7" i="43"/>
  <c r="H18" i="43"/>
  <c r="H14" i="43"/>
  <c r="H10" i="43"/>
  <c r="H19" i="43"/>
  <c r="H21" i="43"/>
  <c r="I24" i="43"/>
  <c r="I30" i="43" s="1"/>
  <c r="N22" i="43" l="1"/>
  <c r="S22" i="43"/>
  <c r="N19" i="43"/>
  <c r="S19" i="43"/>
  <c r="S18" i="43"/>
  <c r="N18" i="43"/>
  <c r="S12" i="43"/>
  <c r="N12" i="43"/>
  <c r="N21" i="43"/>
  <c r="S21" i="43"/>
  <c r="N11" i="43"/>
  <c r="S11" i="43"/>
  <c r="N15" i="43"/>
  <c r="S15" i="43"/>
  <c r="N10" i="43"/>
  <c r="S10" i="43"/>
  <c r="N9" i="43"/>
  <c r="S9" i="43"/>
  <c r="N16" i="43"/>
  <c r="S16" i="43"/>
  <c r="N14" i="43"/>
  <c r="S14" i="43"/>
  <c r="S7" i="43"/>
  <c r="N7" i="43"/>
  <c r="J12" i="43"/>
  <c r="J19" i="43"/>
  <c r="J18" i="43"/>
  <c r="J15" i="43"/>
  <c r="J10" i="43"/>
  <c r="J9" i="43"/>
  <c r="J11" i="43"/>
  <c r="J16" i="43"/>
  <c r="J14" i="43"/>
  <c r="H24" i="43"/>
  <c r="J7" i="43"/>
  <c r="J21" i="43"/>
  <c r="J22" i="43"/>
  <c r="G24" i="43"/>
  <c r="G5" i="43" s="1"/>
  <c r="S24" i="43" l="1"/>
  <c r="J24" i="43"/>
  <c r="S30" i="43" l="1"/>
  <c r="J30" i="43"/>
  <c r="A168" i="40" l="1"/>
  <c r="A169" i="40"/>
  <c r="A24" i="41" l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T21" i="43" l="1"/>
  <c r="U21" i="43" s="1"/>
  <c r="B144" i="40" l="1"/>
  <c r="B145" i="40" s="1"/>
  <c r="B146" i="40" s="1"/>
  <c r="H19" i="41" l="1"/>
  <c r="H26" i="41"/>
  <c r="H25" i="41"/>
  <c r="H24" i="41"/>
  <c r="H23" i="41"/>
  <c r="H22" i="41"/>
  <c r="H21" i="41"/>
  <c r="H20" i="41"/>
  <c r="H17" i="41"/>
  <c r="H27" i="41" l="1"/>
  <c r="G156" i="40" l="1"/>
  <c r="G149" i="40"/>
  <c r="F108" i="40"/>
  <c r="F95" i="40"/>
  <c r="F81" i="40"/>
  <c r="F61" i="40"/>
  <c r="F48" i="40"/>
  <c r="F34" i="40"/>
  <c r="H15" i="41" s="1"/>
  <c r="K25" i="41" l="1"/>
  <c r="Q156" i="40"/>
  <c r="D164" i="40"/>
  <c r="D163" i="40"/>
  <c r="G163" i="40" s="1"/>
  <c r="D162" i="40"/>
  <c r="G162" i="40" s="1"/>
  <c r="B163" i="40"/>
  <c r="B164" i="40" s="1"/>
  <c r="B165" i="40" s="1"/>
  <c r="B166" i="40" s="1"/>
  <c r="B168" i="40" s="1"/>
  <c r="A14" i="41"/>
  <c r="A15" i="41" s="1"/>
  <c r="A16" i="41" s="1"/>
  <c r="B149" i="40"/>
  <c r="B150" i="40" s="1"/>
  <c r="B151" i="40" s="1"/>
  <c r="B152" i="40" s="1"/>
  <c r="B153" i="40" s="1"/>
  <c r="P149" i="40"/>
  <c r="B156" i="40"/>
  <c r="B157" i="40" s="1"/>
  <c r="B158" i="40" s="1"/>
  <c r="B159" i="40" s="1"/>
  <c r="B160" i="40" s="1"/>
  <c r="B136" i="40"/>
  <c r="B137" i="40" s="1"/>
  <c r="B138" i="40" s="1"/>
  <c r="B139" i="40" s="1"/>
  <c r="B140" i="40" s="1"/>
  <c r="B141" i="40" s="1"/>
  <c r="B128" i="40"/>
  <c r="B129" i="40" s="1"/>
  <c r="B130" i="40" s="1"/>
  <c r="B116" i="40"/>
  <c r="B117" i="40" s="1"/>
  <c r="B118" i="40" s="1"/>
  <c r="B119" i="40" s="1"/>
  <c r="B120" i="40" s="1"/>
  <c r="B121" i="40" s="1"/>
  <c r="B122" i="40" s="1"/>
  <c r="B123" i="40" s="1"/>
  <c r="B124" i="40" s="1"/>
  <c r="B103" i="40"/>
  <c r="B104" i="40" s="1"/>
  <c r="B105" i="40" s="1"/>
  <c r="B106" i="40" s="1"/>
  <c r="B107" i="40" s="1"/>
  <c r="B108" i="40" s="1"/>
  <c r="B90" i="40"/>
  <c r="B91" i="40" s="1"/>
  <c r="B92" i="40" s="1"/>
  <c r="B93" i="40" s="1"/>
  <c r="B94" i="40" s="1"/>
  <c r="B95" i="40" s="1"/>
  <c r="B96" i="40" s="1"/>
  <c r="B97" i="40" s="1"/>
  <c r="B69" i="40"/>
  <c r="B70" i="40" s="1"/>
  <c r="B71" i="40" s="1"/>
  <c r="B72" i="40" s="1"/>
  <c r="B73" i="40" s="1"/>
  <c r="B74" i="40" s="1"/>
  <c r="B75" i="40" s="1"/>
  <c r="B76" i="40" s="1"/>
  <c r="B77" i="40" s="1"/>
  <c r="B78" i="40" s="1"/>
  <c r="B79" i="40" s="1"/>
  <c r="B80" i="40" s="1"/>
  <c r="B81" i="40" s="1"/>
  <c r="B82" i="40" s="1"/>
  <c r="B83" i="40" s="1"/>
  <c r="B56" i="40"/>
  <c r="B57" i="40" s="1"/>
  <c r="B58" i="40" s="1"/>
  <c r="B59" i="40" s="1"/>
  <c r="B60" i="40" s="1"/>
  <c r="B61" i="40" s="1"/>
  <c r="B62" i="40" s="1"/>
  <c r="B63" i="40" s="1"/>
  <c r="B64" i="40" s="1"/>
  <c r="B65" i="40" s="1"/>
  <c r="B66" i="40" s="1"/>
  <c r="B40" i="40"/>
  <c r="B41" i="40" s="1"/>
  <c r="B42" i="40" s="1"/>
  <c r="B43" i="40" s="1"/>
  <c r="B44" i="40" s="1"/>
  <c r="B45" i="40" s="1"/>
  <c r="B46" i="40" s="1"/>
  <c r="B47" i="40" s="1"/>
  <c r="B48" i="40" s="1"/>
  <c r="B49" i="40" s="1"/>
  <c r="B50" i="40" s="1"/>
  <c r="B28" i="40"/>
  <c r="B29" i="40" s="1"/>
  <c r="B30" i="40" s="1"/>
  <c r="B31" i="40" s="1"/>
  <c r="B32" i="40" s="1"/>
  <c r="B33" i="40" s="1"/>
  <c r="B34" i="40" s="1"/>
  <c r="B35" i="40" s="1"/>
  <c r="B36" i="40" s="1"/>
  <c r="B37" i="40" s="1"/>
  <c r="K28" i="43" l="1"/>
  <c r="L28" i="43" s="1"/>
  <c r="W156" i="40"/>
  <c r="W26" i="41"/>
  <c r="Q25" i="41"/>
  <c r="Q149" i="40"/>
  <c r="P156" i="40"/>
  <c r="Q26" i="41"/>
  <c r="K26" i="41"/>
  <c r="K156" i="40"/>
  <c r="B131" i="40"/>
  <c r="B132" i="40" s="1"/>
  <c r="B133" i="40" s="1"/>
  <c r="B98" i="40"/>
  <c r="B99" i="40" s="1"/>
  <c r="B100" i="40" s="1"/>
  <c r="B84" i="40"/>
  <c r="B85" i="40" s="1"/>
  <c r="B86" i="40" s="1"/>
  <c r="B51" i="40"/>
  <c r="B52" i="40" s="1"/>
  <c r="B53" i="40" s="1"/>
  <c r="V163" i="40"/>
  <c r="P163" i="40"/>
  <c r="J163" i="40"/>
  <c r="J156" i="40"/>
  <c r="J149" i="40"/>
  <c r="K149" i="40" s="1"/>
  <c r="A17" i="41"/>
  <c r="A18" i="41" s="1"/>
  <c r="A19" i="41" s="1"/>
  <c r="A20" i="41" s="1"/>
  <c r="A21" i="41" s="1"/>
  <c r="A22" i="41" s="1"/>
  <c r="A23" i="41" s="1"/>
  <c r="V156" i="40"/>
  <c r="B109" i="40"/>
  <c r="B110" i="40" s="1"/>
  <c r="B111" i="40" s="1"/>
  <c r="B112" i="40" s="1"/>
  <c r="B113" i="40" s="1"/>
  <c r="A14" i="40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B14" i="40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D20" i="40"/>
  <c r="D19" i="40"/>
  <c r="D16" i="40"/>
  <c r="D15" i="40"/>
  <c r="O26" i="43" l="1"/>
  <c r="T26" i="43"/>
  <c r="U26" i="43" s="1"/>
  <c r="O28" i="43"/>
  <c r="K26" i="43"/>
  <c r="L26" i="43" s="1"/>
  <c r="J110" i="30" s="1"/>
  <c r="V149" i="40"/>
  <c r="W25" i="41"/>
  <c r="W149" i="40"/>
  <c r="K24" i="41"/>
  <c r="A25" i="40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T28" i="43" l="1"/>
  <c r="U28" i="43" s="1"/>
  <c r="K21" i="43"/>
  <c r="L21" i="43" s="1"/>
  <c r="Q24" i="41"/>
  <c r="A38" i="40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O21" i="43" l="1"/>
  <c r="W22" i="41"/>
  <c r="W23" i="41"/>
  <c r="W27" i="41"/>
  <c r="W20" i="41"/>
  <c r="W21" i="41"/>
  <c r="W17" i="41"/>
  <c r="W19" i="41"/>
  <c r="Q27" i="41"/>
  <c r="Q23" i="41"/>
  <c r="Q20" i="41"/>
  <c r="Q21" i="41"/>
  <c r="Q22" i="41"/>
  <c r="Q17" i="41"/>
  <c r="Q19" i="41"/>
  <c r="K27" i="41"/>
  <c r="K23" i="41"/>
  <c r="K22" i="41"/>
  <c r="K21" i="41"/>
  <c r="K20" i="41"/>
  <c r="K19" i="41"/>
  <c r="K17" i="41"/>
  <c r="A51" i="40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V162" i="40"/>
  <c r="J162" i="40"/>
  <c r="P162" i="40"/>
  <c r="O34" i="40"/>
  <c r="U34" i="40"/>
  <c r="I34" i="40"/>
  <c r="O18" i="43" l="1"/>
  <c r="T16" i="43"/>
  <c r="U16" i="43" s="1"/>
  <c r="T19" i="43"/>
  <c r="U19" i="43" s="1"/>
  <c r="O16" i="43"/>
  <c r="O22" i="43"/>
  <c r="T15" i="43"/>
  <c r="U15" i="43" s="1"/>
  <c r="T18" i="43"/>
  <c r="U18" i="43" s="1"/>
  <c r="O14" i="43"/>
  <c r="O15" i="43"/>
  <c r="T14" i="43"/>
  <c r="U14" i="43" s="1"/>
  <c r="O11" i="43"/>
  <c r="O19" i="43"/>
  <c r="T11" i="43"/>
  <c r="U11" i="43" s="1"/>
  <c r="T22" i="43"/>
  <c r="U22" i="43" s="1"/>
  <c r="K15" i="43"/>
  <c r="L15" i="43" s="1"/>
  <c r="K16" i="43"/>
  <c r="L16" i="43" s="1"/>
  <c r="K22" i="43"/>
  <c r="L22" i="43" s="1"/>
  <c r="K11" i="43"/>
  <c r="L11" i="43" s="1"/>
  <c r="K18" i="43"/>
  <c r="L18" i="43" s="1"/>
  <c r="K14" i="43"/>
  <c r="L14" i="43" s="1"/>
  <c r="K19" i="43"/>
  <c r="L19" i="43" s="1"/>
  <c r="W15" i="41"/>
  <c r="Q15" i="41"/>
  <c r="A71" i="40"/>
  <c r="A72" i="40" s="1"/>
  <c r="A73" i="40" s="1"/>
  <c r="A74" i="40" s="1"/>
  <c r="A75" i="40" s="1"/>
  <c r="A76" i="40" s="1"/>
  <c r="A77" i="40" s="1"/>
  <c r="A78" i="40" s="1"/>
  <c r="A79" i="40" s="1"/>
  <c r="A80" i="40" s="1"/>
  <c r="A81" i="40" s="1"/>
  <c r="A82" i="40" s="1"/>
  <c r="A83" i="40" s="1"/>
  <c r="A84" i="40" s="1"/>
  <c r="A85" i="40" s="1"/>
  <c r="A86" i="40" s="1"/>
  <c r="A87" i="40" s="1"/>
  <c r="A88" i="40" s="1"/>
  <c r="K15" i="41"/>
  <c r="O108" i="40"/>
  <c r="I108" i="40"/>
  <c r="U81" i="40"/>
  <c r="O81" i="40"/>
  <c r="U61" i="40"/>
  <c r="I95" i="40"/>
  <c r="I81" i="40"/>
  <c r="U95" i="40"/>
  <c r="O61" i="40"/>
  <c r="U108" i="40"/>
  <c r="O95" i="40"/>
  <c r="I61" i="40"/>
  <c r="T9" i="43" l="1"/>
  <c r="U9" i="43" s="1"/>
  <c r="O9" i="43"/>
  <c r="J133" i="30"/>
  <c r="J76" i="30"/>
  <c r="J100" i="30"/>
  <c r="J125" i="30"/>
  <c r="J90" i="30"/>
  <c r="J37" i="30"/>
  <c r="K9" i="43"/>
  <c r="L9" i="43" s="1"/>
  <c r="A89" i="40"/>
  <c r="A90" i="40" s="1"/>
  <c r="A91" i="40" s="1"/>
  <c r="A92" i="40" s="1"/>
  <c r="A93" i="40" s="1"/>
  <c r="A94" i="40" s="1"/>
  <c r="A95" i="40" s="1"/>
  <c r="A96" i="40" s="1"/>
  <c r="A97" i="40" s="1"/>
  <c r="O48" i="40"/>
  <c r="U48" i="40"/>
  <c r="I48" i="40"/>
  <c r="J55" i="30" l="1"/>
  <c r="J18" i="30"/>
  <c r="A98" i="40"/>
  <c r="A99" i="40" s="1"/>
  <c r="A100" i="40" s="1"/>
  <c r="A101" i="40" s="1"/>
  <c r="A102" i="40" s="1"/>
  <c r="A103" i="40" s="1"/>
  <c r="A104" i="40" s="1"/>
  <c r="A105" i="40" s="1"/>
  <c r="A106" i="40" s="1"/>
  <c r="A107" i="40" s="1"/>
  <c r="A108" i="40" s="1"/>
  <c r="A109" i="40" s="1"/>
  <c r="A110" i="40" s="1"/>
  <c r="A111" i="40" s="1"/>
  <c r="A112" i="40" s="1"/>
  <c r="A113" i="40" s="1"/>
  <c r="A114" i="40" l="1"/>
  <c r="A115" i="40" s="1"/>
  <c r="A116" i="40" s="1"/>
  <c r="A117" i="40" s="1"/>
  <c r="A118" i="40" s="1"/>
  <c r="A119" i="40" s="1"/>
  <c r="A120" i="40" s="1"/>
  <c r="A121" i="40" s="1"/>
  <c r="A122" i="40" s="1"/>
  <c r="A123" i="40" s="1"/>
  <c r="A124" i="40" s="1"/>
  <c r="A125" i="40" l="1"/>
  <c r="A126" i="40" s="1"/>
  <c r="A127" i="40" s="1"/>
  <c r="A128" i="40" s="1"/>
  <c r="A129" i="40" s="1"/>
  <c r="A130" i="40" s="1"/>
  <c r="A131" i="40" l="1"/>
  <c r="A132" i="40" s="1"/>
  <c r="A133" i="40" s="1"/>
  <c r="A134" i="40" s="1"/>
  <c r="A135" i="40" s="1"/>
  <c r="A136" i="40" s="1"/>
  <c r="A137" i="40" s="1"/>
  <c r="A138" i="40" s="1"/>
  <c r="A139" i="40" s="1"/>
  <c r="A140" i="40" s="1"/>
  <c r="A141" i="40" s="1"/>
  <c r="A142" i="40" l="1"/>
  <c r="A143" i="40" s="1"/>
  <c r="A144" i="40" l="1"/>
  <c r="A145" i="40" s="1"/>
  <c r="A146" i="40" s="1"/>
  <c r="A147" i="40" s="1"/>
  <c r="A148" i="40" s="1"/>
  <c r="A149" i="40" s="1"/>
  <c r="A150" i="40" s="1"/>
  <c r="A151" i="40" l="1"/>
  <c r="A152" i="40" s="1"/>
  <c r="A153" i="40" s="1"/>
  <c r="A154" i="40" s="1"/>
  <c r="A155" i="40" s="1"/>
  <c r="A156" i="40" s="1"/>
  <c r="A157" i="40" s="1"/>
  <c r="A158" i="40" l="1"/>
  <c r="A159" i="40" s="1"/>
  <c r="A160" i="40" s="1"/>
  <c r="A161" i="40" s="1"/>
  <c r="A162" i="40" s="1"/>
  <c r="A163" i="40" s="1"/>
  <c r="A164" i="40" s="1"/>
  <c r="A165" i="40" s="1"/>
  <c r="A166" i="40" s="1"/>
  <c r="A167" i="40" s="1"/>
  <c r="D157" i="40" l="1"/>
  <c r="G157" i="40" s="1"/>
  <c r="A38" i="14"/>
  <c r="J157" i="40" l="1"/>
  <c r="P157" i="40"/>
  <c r="V157" i="40"/>
  <c r="C75" i="13"/>
  <c r="C74" i="13"/>
  <c r="I55" i="18" l="1"/>
  <c r="D30" i="18" l="1"/>
  <c r="D155" i="40" s="1"/>
  <c r="F67" i="30"/>
  <c r="F28" i="30"/>
  <c r="B84" i="30" l="1"/>
  <c r="B83" i="30"/>
  <c r="B82" i="30"/>
  <c r="B81" i="30"/>
  <c r="B80" i="30"/>
  <c r="B79" i="30"/>
  <c r="B45" i="30"/>
  <c r="B44" i="30"/>
  <c r="B43" i="30"/>
  <c r="B42" i="30"/>
  <c r="B41" i="30"/>
  <c r="B40" i="30"/>
  <c r="I43" i="15" l="1"/>
  <c r="I66" i="14" l="1"/>
  <c r="I39" i="14"/>
  <c r="I36" i="18" l="1"/>
  <c r="G40" i="1"/>
  <c r="D38" i="18"/>
  <c r="F36" i="18"/>
  <c r="G38" i="18" l="1"/>
  <c r="J47" i="1" l="1"/>
  <c r="J39" i="1"/>
  <c r="G39" i="1"/>
  <c r="J35" i="1"/>
  <c r="J34" i="1"/>
  <c r="G41" i="1" l="1"/>
  <c r="C120" i="13"/>
  <c r="D24" i="13" l="1"/>
  <c r="B110" i="30" l="1"/>
  <c r="B111" i="30" s="1"/>
  <c r="B112" i="30" s="1"/>
  <c r="B113" i="30" s="1"/>
  <c r="B114" i="30" s="1"/>
  <c r="B115" i="30" s="1"/>
  <c r="B116" i="30" s="1"/>
  <c r="B117" i="30" s="1"/>
  <c r="B118" i="30" s="1"/>
  <c r="B119" i="30" s="1"/>
  <c r="B120" i="30" s="1"/>
  <c r="B121" i="30" s="1"/>
  <c r="B122" i="30" s="1"/>
  <c r="A102" i="13" l="1"/>
  <c r="A3" i="38" l="1"/>
  <c r="D21" i="38"/>
  <c r="C22" i="38" l="1"/>
  <c r="G43" i="1" s="1"/>
  <c r="A7" i="37" l="1"/>
  <c r="A8" i="37" s="1"/>
  <c r="A9" i="37" s="1"/>
  <c r="A10" i="37" s="1"/>
  <c r="A11" i="37" s="1"/>
  <c r="A12" i="37" s="1"/>
  <c r="A13" i="37" s="1"/>
  <c r="A14" i="37" s="1"/>
  <c r="A15" i="37" l="1"/>
  <c r="A16" i="37" s="1"/>
  <c r="A17" i="37" s="1"/>
  <c r="A18" i="37" s="1"/>
  <c r="G9" i="18"/>
  <c r="G9" i="15"/>
  <c r="G9" i="14"/>
  <c r="G9" i="13"/>
  <c r="A3" i="18"/>
  <c r="A3" i="15"/>
  <c r="A3" i="42" s="1"/>
  <c r="A3" i="14"/>
  <c r="A3" i="13"/>
  <c r="A3" i="2"/>
  <c r="A8" i="30" l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l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E51" i="30"/>
  <c r="F51" i="30" s="1"/>
  <c r="B141" i="30" l="1"/>
  <c r="B138" i="30"/>
  <c r="B135" i="30"/>
  <c r="B134" i="30"/>
  <c r="B133" i="30"/>
  <c r="B130" i="30"/>
  <c r="B129" i="30"/>
  <c r="B128" i="30"/>
  <c r="B127" i="30"/>
  <c r="B126" i="30"/>
  <c r="B125" i="30"/>
  <c r="B106" i="30"/>
  <c r="B105" i="30"/>
  <c r="B104" i="30"/>
  <c r="B103" i="30"/>
  <c r="B102" i="30"/>
  <c r="B101" i="30"/>
  <c r="B100" i="30"/>
  <c r="B99" i="30"/>
  <c r="B98" i="30"/>
  <c r="B95" i="30"/>
  <c r="B94" i="30"/>
  <c r="B93" i="30"/>
  <c r="B92" i="30"/>
  <c r="B91" i="30"/>
  <c r="B90" i="30"/>
  <c r="B89" i="30"/>
  <c r="B88" i="30"/>
  <c r="B85" i="30"/>
  <c r="B78" i="30"/>
  <c r="B77" i="30"/>
  <c r="B76" i="30"/>
  <c r="B75" i="30"/>
  <c r="B74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6" i="30"/>
  <c r="B55" i="30"/>
  <c r="B54" i="30"/>
  <c r="B53" i="30"/>
  <c r="B52" i="30"/>
  <c r="B51" i="30"/>
  <c r="B50" i="30"/>
  <c r="B49" i="30"/>
  <c r="B48" i="30"/>
  <c r="B47" i="30"/>
  <c r="B46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G54" i="18"/>
  <c r="E164" i="40" s="1"/>
  <c r="G52" i="18"/>
  <c r="E163" i="40" s="1"/>
  <c r="G48" i="18"/>
  <c r="Q163" i="40" l="1"/>
  <c r="W163" i="40"/>
  <c r="K163" i="40"/>
  <c r="I54" i="18"/>
  <c r="G47" i="18"/>
  <c r="E162" i="40" s="1"/>
  <c r="F54" i="18"/>
  <c r="I52" i="18"/>
  <c r="F52" i="18"/>
  <c r="W162" i="40" l="1"/>
  <c r="Q162" i="40"/>
  <c r="K162" i="40"/>
  <c r="G47" i="1"/>
  <c r="F47" i="18"/>
  <c r="I47" i="18"/>
  <c r="F17" i="18" l="1"/>
  <c r="F16" i="18"/>
  <c r="I17" i="18" l="1"/>
  <c r="I16" i="18"/>
  <c r="G35" i="1" l="1"/>
  <c r="E25" i="15"/>
  <c r="E24" i="15"/>
  <c r="G34" i="1"/>
  <c r="G36" i="1" l="1"/>
  <c r="G29" i="1" l="1"/>
  <c r="C47" i="14"/>
  <c r="C75" i="14"/>
  <c r="C129" i="13"/>
  <c r="C118" i="13"/>
  <c r="C121" i="13" s="1"/>
  <c r="F137" i="13"/>
  <c r="F138" i="13" s="1"/>
  <c r="I119" i="13"/>
  <c r="A18" i="1"/>
  <c r="A21" i="1" l="1"/>
  <c r="G30" i="1"/>
  <c r="C162" i="13"/>
  <c r="C117" i="13"/>
  <c r="C16" i="2"/>
  <c r="C54" i="14"/>
  <c r="C125" i="13"/>
  <c r="C81" i="14"/>
  <c r="C154" i="13"/>
  <c r="C148" i="13"/>
  <c r="C113" i="13"/>
  <c r="C126" i="13"/>
  <c r="J29" i="1" l="1"/>
  <c r="G17" i="1"/>
  <c r="J30" i="1"/>
  <c r="J24" i="1"/>
  <c r="A22" i="1"/>
  <c r="G24" i="1"/>
  <c r="G18" i="1" l="1"/>
  <c r="A23" i="1"/>
  <c r="A24" i="1" l="1"/>
  <c r="A25" i="1" s="1"/>
  <c r="A28" i="1" l="1"/>
  <c r="A29" i="1" s="1"/>
  <c r="A30" i="1" l="1"/>
  <c r="A31" i="1" l="1"/>
  <c r="A34" i="1" l="1"/>
  <c r="A35" i="1"/>
  <c r="A36" i="1" l="1"/>
  <c r="A39" i="1" l="1"/>
  <c r="A40" i="1" l="1"/>
  <c r="A41" i="1" s="1"/>
  <c r="A43" i="1" s="1"/>
  <c r="C20" i="2"/>
  <c r="A45" i="1" l="1"/>
  <c r="A47" i="1" l="1"/>
  <c r="A49" i="1" l="1"/>
  <c r="C25" i="14"/>
  <c r="C18" i="14"/>
  <c r="J28" i="1" l="1"/>
  <c r="G28" i="1"/>
  <c r="G31" i="1" l="1"/>
  <c r="C96" i="13" l="1"/>
  <c r="C89" i="13"/>
  <c r="G23" i="1"/>
  <c r="J23" i="1" l="1"/>
  <c r="C53" i="13" l="1"/>
  <c r="C46" i="13"/>
  <c r="J22" i="1" l="1"/>
  <c r="G22" i="1"/>
  <c r="C17" i="13" l="1"/>
  <c r="G21" i="1" l="1"/>
  <c r="G25" i="1" l="1"/>
  <c r="C21" i="13"/>
  <c r="G45" i="1" l="1"/>
  <c r="G49" i="1" l="1"/>
  <c r="I38" i="18" l="1"/>
  <c r="D14" i="2" l="1"/>
  <c r="G14" i="2" s="1"/>
  <c r="E8" i="30" l="1"/>
  <c r="F14" i="2"/>
  <c r="F8" i="30" l="1"/>
  <c r="E15" i="40"/>
  <c r="I14" i="2"/>
  <c r="I35" i="2" s="1"/>
  <c r="D15" i="2"/>
  <c r="G15" i="2" s="1"/>
  <c r="F15" i="2" l="1"/>
  <c r="F16" i="2" s="1"/>
  <c r="I15" i="2" l="1"/>
  <c r="I16" i="2" s="1"/>
  <c r="E9" i="30"/>
  <c r="F9" i="30" l="1"/>
  <c r="E16" i="40"/>
  <c r="D45" i="13"/>
  <c r="D43" i="40" s="1"/>
  <c r="D35" i="15" l="1"/>
  <c r="D47" i="13"/>
  <c r="F45" i="13"/>
  <c r="D138" i="40" l="1"/>
  <c r="P138" i="40" s="1"/>
  <c r="G35" i="15"/>
  <c r="G138" i="40"/>
  <c r="V138" i="40"/>
  <c r="J138" i="40"/>
  <c r="F35" i="15"/>
  <c r="D18" i="2" l="1"/>
  <c r="F18" i="2" l="1"/>
  <c r="D19" i="2"/>
  <c r="D21" i="2" l="1"/>
  <c r="F19" i="2"/>
  <c r="D20" i="15"/>
  <c r="D130" i="40" l="1"/>
  <c r="G130" i="40" s="1"/>
  <c r="G20" i="15"/>
  <c r="V130" i="40"/>
  <c r="P130" i="40"/>
  <c r="J130" i="40"/>
  <c r="F20" i="2"/>
  <c r="D25" i="15"/>
  <c r="F20" i="15"/>
  <c r="D14" i="18" l="1"/>
  <c r="D148" i="40" s="1"/>
  <c r="F14" i="18" l="1"/>
  <c r="F30" i="18"/>
  <c r="D98" i="13" l="1"/>
  <c r="D63" i="40" l="1"/>
  <c r="G98" i="13"/>
  <c r="D128" i="13"/>
  <c r="F98" i="13"/>
  <c r="D31" i="15"/>
  <c r="D136" i="40" s="1"/>
  <c r="D86" i="13"/>
  <c r="D55" i="40" l="1"/>
  <c r="G86" i="13"/>
  <c r="G136" i="40"/>
  <c r="G139" i="40" s="1"/>
  <c r="I23" i="41" s="1"/>
  <c r="P136" i="40"/>
  <c r="P139" i="40" s="1"/>
  <c r="R23" i="41" s="1"/>
  <c r="J136" i="40"/>
  <c r="J139" i="40" s="1"/>
  <c r="L23" i="41" s="1"/>
  <c r="V136" i="40"/>
  <c r="V139" i="40" s="1"/>
  <c r="X23" i="41" s="1"/>
  <c r="F31" i="15"/>
  <c r="D80" i="14"/>
  <c r="D41" i="13"/>
  <c r="D17" i="14"/>
  <c r="D91" i="40" s="1"/>
  <c r="G91" i="40" s="1"/>
  <c r="F128" i="13"/>
  <c r="D129" i="13"/>
  <c r="F129" i="13" s="1"/>
  <c r="D85" i="14"/>
  <c r="D16" i="15"/>
  <c r="D128" i="40" s="1"/>
  <c r="G128" i="40" s="1"/>
  <c r="G131" i="40" s="1"/>
  <c r="I22" i="41" s="1"/>
  <c r="D24" i="14"/>
  <c r="D27" i="14"/>
  <c r="D23" i="14"/>
  <c r="D112" i="13"/>
  <c r="F112" i="13" s="1"/>
  <c r="F86" i="13"/>
  <c r="D15" i="14"/>
  <c r="D113" i="13"/>
  <c r="F113" i="13" s="1"/>
  <c r="D88" i="13"/>
  <c r="D57" i="40" s="1"/>
  <c r="D119" i="40" l="1"/>
  <c r="G119" i="40" s="1"/>
  <c r="G80" i="14"/>
  <c r="D121" i="40"/>
  <c r="G85" i="14"/>
  <c r="D97" i="40"/>
  <c r="G27" i="14"/>
  <c r="D89" i="40"/>
  <c r="G15" i="14"/>
  <c r="D94" i="40"/>
  <c r="G94" i="40" s="1"/>
  <c r="G24" i="14"/>
  <c r="D93" i="40"/>
  <c r="G93" i="40" s="1"/>
  <c r="G23" i="14"/>
  <c r="D39" i="40"/>
  <c r="G41" i="13"/>
  <c r="G57" i="40"/>
  <c r="J128" i="40"/>
  <c r="V128" i="40"/>
  <c r="V131" i="40" s="1"/>
  <c r="X22" i="41" s="1"/>
  <c r="P128" i="40"/>
  <c r="P131" i="40" s="1"/>
  <c r="R22" i="41" s="1"/>
  <c r="V91" i="40"/>
  <c r="J91" i="40"/>
  <c r="P91" i="40"/>
  <c r="V94" i="40"/>
  <c r="P94" i="40"/>
  <c r="J94" i="40"/>
  <c r="V119" i="40"/>
  <c r="P119" i="40"/>
  <c r="J119" i="40"/>
  <c r="J57" i="40"/>
  <c r="P57" i="40"/>
  <c r="V57" i="40"/>
  <c r="D16" i="13"/>
  <c r="D19" i="13"/>
  <c r="D32" i="40" s="1"/>
  <c r="G32" i="40" s="1"/>
  <c r="D15" i="13"/>
  <c r="D20" i="13"/>
  <c r="D33" i="40" s="1"/>
  <c r="G33" i="40" s="1"/>
  <c r="F114" i="13"/>
  <c r="D161" i="13"/>
  <c r="D160" i="13"/>
  <c r="D72" i="14"/>
  <c r="D44" i="14"/>
  <c r="D90" i="13"/>
  <c r="D116" i="13"/>
  <c r="F88" i="13"/>
  <c r="F89" i="13" s="1"/>
  <c r="D164" i="13"/>
  <c r="D83" i="14"/>
  <c r="F83" i="14" s="1"/>
  <c r="F23" i="14"/>
  <c r="F24" i="14"/>
  <c r="F85" i="14"/>
  <c r="F130" i="13"/>
  <c r="F41" i="13"/>
  <c r="D95" i="13"/>
  <c r="F15" i="14"/>
  <c r="D94" i="13"/>
  <c r="F15" i="13"/>
  <c r="F27" i="14"/>
  <c r="D24" i="15"/>
  <c r="F16" i="15"/>
  <c r="D19" i="14"/>
  <c r="F17" i="14"/>
  <c r="F18" i="14" s="1"/>
  <c r="F80" i="14"/>
  <c r="F81" i="14" s="1"/>
  <c r="G83" i="14" l="1"/>
  <c r="G95" i="40"/>
  <c r="V93" i="40"/>
  <c r="D59" i="40"/>
  <c r="V59" i="40" s="1"/>
  <c r="G94" i="13"/>
  <c r="D60" i="40"/>
  <c r="J60" i="40" s="1"/>
  <c r="G95" i="13"/>
  <c r="D102" i="40"/>
  <c r="G44" i="14"/>
  <c r="J93" i="40"/>
  <c r="J95" i="40" s="1"/>
  <c r="D115" i="40"/>
  <c r="G72" i="14"/>
  <c r="P93" i="40"/>
  <c r="P95" i="40" s="1"/>
  <c r="D80" i="40"/>
  <c r="G80" i="40" s="1"/>
  <c r="G161" i="13"/>
  <c r="D83" i="40"/>
  <c r="G164" i="13"/>
  <c r="D79" i="40"/>
  <c r="G79" i="40" s="1"/>
  <c r="G81" i="40" s="1"/>
  <c r="G160" i="13"/>
  <c r="D28" i="40"/>
  <c r="G15" i="13"/>
  <c r="D29" i="40"/>
  <c r="G16" i="13"/>
  <c r="J131" i="40"/>
  <c r="L22" i="41" s="1"/>
  <c r="G60" i="40"/>
  <c r="G34" i="40"/>
  <c r="V95" i="40"/>
  <c r="V33" i="40"/>
  <c r="P33" i="40"/>
  <c r="J33" i="40"/>
  <c r="J59" i="40"/>
  <c r="V32" i="40"/>
  <c r="P32" i="40"/>
  <c r="J32" i="40"/>
  <c r="F44" i="14"/>
  <c r="F72" i="14"/>
  <c r="D23" i="13"/>
  <c r="D22" i="13"/>
  <c r="F16" i="13"/>
  <c r="F17" i="13" s="1"/>
  <c r="D150" i="13"/>
  <c r="D152" i="13"/>
  <c r="D147" i="13"/>
  <c r="D153" i="13"/>
  <c r="D76" i="40" s="1"/>
  <c r="F20" i="13"/>
  <c r="D146" i="13"/>
  <c r="D151" i="13"/>
  <c r="D74" i="40" s="1"/>
  <c r="F19" i="13"/>
  <c r="D117" i="13"/>
  <c r="F117" i="13" s="1"/>
  <c r="D74" i="14"/>
  <c r="D117" i="40" s="1"/>
  <c r="G117" i="40" s="1"/>
  <c r="D119" i="13"/>
  <c r="F119" i="13" s="1"/>
  <c r="F116" i="13"/>
  <c r="D123" i="13"/>
  <c r="F123" i="13" s="1"/>
  <c r="F94" i="13"/>
  <c r="D124" i="13"/>
  <c r="F124" i="13" s="1"/>
  <c r="F95" i="13"/>
  <c r="F164" i="13"/>
  <c r="F160" i="13"/>
  <c r="F25" i="14"/>
  <c r="D31" i="14" s="1"/>
  <c r="F161" i="13"/>
  <c r="P59" i="40" l="1"/>
  <c r="G59" i="40"/>
  <c r="G61" i="40" s="1"/>
  <c r="P60" i="40"/>
  <c r="P61" i="40" s="1"/>
  <c r="P80" i="40"/>
  <c r="J79" i="40"/>
  <c r="V60" i="40"/>
  <c r="V61" i="40" s="1"/>
  <c r="J80" i="40"/>
  <c r="P79" i="40"/>
  <c r="P81" i="40" s="1"/>
  <c r="V79" i="40"/>
  <c r="V80" i="40"/>
  <c r="V81" i="40" s="1"/>
  <c r="D70" i="40"/>
  <c r="G147" i="13"/>
  <c r="D69" i="40"/>
  <c r="G146" i="13"/>
  <c r="D73" i="40"/>
  <c r="D75" i="40"/>
  <c r="J34" i="40"/>
  <c r="J61" i="40"/>
  <c r="J117" i="40"/>
  <c r="V117" i="40"/>
  <c r="P117" i="40"/>
  <c r="P34" i="40"/>
  <c r="V34" i="40"/>
  <c r="F151" i="13"/>
  <c r="F146" i="13"/>
  <c r="F152" i="13"/>
  <c r="F147" i="13"/>
  <c r="F150" i="13"/>
  <c r="F153" i="13"/>
  <c r="D155" i="13"/>
  <c r="D156" i="13"/>
  <c r="F21" i="13"/>
  <c r="F74" i="14"/>
  <c r="F75" i="14" s="1"/>
  <c r="D76" i="14"/>
  <c r="F96" i="13"/>
  <c r="D102" i="13" s="1"/>
  <c r="F162" i="13"/>
  <c r="D174" i="13" s="1"/>
  <c r="F118" i="13"/>
  <c r="D125" i="13"/>
  <c r="F125" i="13" s="1"/>
  <c r="F126" i="13" s="1"/>
  <c r="J81" i="40" l="1"/>
  <c r="D173" i="13"/>
  <c r="F154" i="13"/>
  <c r="F148" i="13"/>
  <c r="D172" i="13"/>
  <c r="D120" i="13"/>
  <c r="D46" i="14"/>
  <c r="D56" i="14"/>
  <c r="D53" i="14"/>
  <c r="D52" i="14"/>
  <c r="F120" i="13" l="1"/>
  <c r="F121" i="13" s="1"/>
  <c r="F132" i="13" s="1"/>
  <c r="D110" i="40"/>
  <c r="G56" i="14"/>
  <c r="D104" i="40"/>
  <c r="G104" i="40" s="1"/>
  <c r="G46" i="14"/>
  <c r="D106" i="40"/>
  <c r="G106" i="40" s="1"/>
  <c r="G52" i="14"/>
  <c r="D107" i="40"/>
  <c r="G107" i="40" s="1"/>
  <c r="G53" i="14"/>
  <c r="J106" i="40"/>
  <c r="V106" i="40"/>
  <c r="D43" i="13"/>
  <c r="D41" i="40" s="1"/>
  <c r="D44" i="13"/>
  <c r="D42" i="40" s="1"/>
  <c r="F56" i="14"/>
  <c r="F53" i="14"/>
  <c r="D52" i="13"/>
  <c r="D55" i="13"/>
  <c r="D48" i="14"/>
  <c r="F46" i="14"/>
  <c r="F47" i="14" s="1"/>
  <c r="D51" i="13"/>
  <c r="F52" i="14"/>
  <c r="P106" i="40" l="1"/>
  <c r="V107" i="40"/>
  <c r="V108" i="40" s="1"/>
  <c r="P104" i="40"/>
  <c r="G108" i="40"/>
  <c r="J107" i="40"/>
  <c r="J108" i="40" s="1"/>
  <c r="J104" i="40"/>
  <c r="P107" i="40"/>
  <c r="V104" i="40"/>
  <c r="D50" i="40"/>
  <c r="G55" i="13"/>
  <c r="D46" i="40"/>
  <c r="G46" i="40" s="1"/>
  <c r="G51" i="13"/>
  <c r="D47" i="40"/>
  <c r="G47" i="40" s="1"/>
  <c r="G52" i="13"/>
  <c r="F48" i="14"/>
  <c r="D73" i="13"/>
  <c r="F52" i="13"/>
  <c r="D72" i="13"/>
  <c r="F51" i="13"/>
  <c r="F54" i="14"/>
  <c r="F43" i="13"/>
  <c r="F55" i="13"/>
  <c r="F44" i="13"/>
  <c r="P108" i="40" l="1"/>
  <c r="P47" i="40"/>
  <c r="G48" i="40"/>
  <c r="V47" i="40"/>
  <c r="J47" i="40"/>
  <c r="P46" i="40"/>
  <c r="V46" i="40"/>
  <c r="V48" i="40" s="1"/>
  <c r="J46" i="40"/>
  <c r="P48" i="40"/>
  <c r="F76" i="13"/>
  <c r="D80" i="13"/>
  <c r="F46" i="13"/>
  <c r="F53" i="13"/>
  <c r="F77" i="13" s="1"/>
  <c r="J48" i="40" l="1"/>
  <c r="F78" i="13"/>
  <c r="D81" i="13"/>
  <c r="I22" i="38" l="1"/>
  <c r="F156" i="13" l="1"/>
  <c r="F155" i="13" l="1"/>
  <c r="I37" i="18" l="1"/>
  <c r="I39" i="18" s="1"/>
  <c r="F37" i="18"/>
  <c r="F39" i="18" s="1"/>
  <c r="C39" i="18"/>
  <c r="I40" i="1" l="1"/>
  <c r="D26" i="41" l="1"/>
  <c r="J40" i="1" l="1"/>
  <c r="F41" i="18" l="1"/>
  <c r="L40" i="1" l="1"/>
  <c r="E26" i="41" l="1"/>
  <c r="N24" i="43" l="1"/>
  <c r="N30" i="43" l="1"/>
  <c r="P9" i="43" l="1"/>
  <c r="Q9" i="43" l="1"/>
  <c r="V9" i="43"/>
  <c r="F22" i="13" l="1"/>
  <c r="F23" i="13"/>
  <c r="F25" i="13" l="1"/>
  <c r="I33" i="13" s="1"/>
  <c r="C25" i="13"/>
  <c r="I21" i="1" s="1"/>
  <c r="D15" i="41" l="1"/>
  <c r="D11" i="19"/>
  <c r="F26" i="13"/>
  <c r="L21" i="1" s="1"/>
  <c r="D28" i="13"/>
  <c r="E15" i="41" l="1"/>
  <c r="E11" i="19"/>
  <c r="F76" i="14" l="1"/>
  <c r="C92" i="13" l="1"/>
  <c r="I23" i="1" s="1"/>
  <c r="F90" i="13"/>
  <c r="C21" i="14"/>
  <c r="I28" i="1" s="1"/>
  <c r="F19" i="14"/>
  <c r="F48" i="18"/>
  <c r="F50" i="18" s="1"/>
  <c r="F58" i="18" s="1"/>
  <c r="L47" i="1" s="1"/>
  <c r="I48" i="18"/>
  <c r="F21" i="2"/>
  <c r="C49" i="13"/>
  <c r="I22" i="1" s="1"/>
  <c r="F47" i="13"/>
  <c r="D19" i="41" l="1"/>
  <c r="D17" i="19"/>
  <c r="E27" i="41"/>
  <c r="E30" i="19"/>
  <c r="D16" i="41"/>
  <c r="D17" i="41"/>
  <c r="D13" i="19"/>
  <c r="I23" i="18" l="1"/>
  <c r="G150" i="40" s="1"/>
  <c r="K150" i="40" s="1"/>
  <c r="Q150" i="40" s="1"/>
  <c r="W150" i="40" s="1"/>
  <c r="P150" i="40" l="1"/>
  <c r="V150" i="40"/>
  <c r="J150" i="40"/>
  <c r="D19" i="38" l="1"/>
  <c r="D16" i="38" l="1"/>
  <c r="D15" i="38"/>
  <c r="D14" i="38"/>
  <c r="D18" i="38"/>
  <c r="D20" i="38"/>
  <c r="D17" i="38"/>
  <c r="C158" i="13"/>
  <c r="I24" i="1" s="1"/>
  <c r="C33" i="15"/>
  <c r="I35" i="1" s="1"/>
  <c r="D23" i="41" l="1"/>
  <c r="D18" i="41"/>
  <c r="I25" i="1"/>
  <c r="D12" i="19"/>
  <c r="D14" i="19" s="1"/>
  <c r="D13" i="38"/>
  <c r="D22" i="38" s="1"/>
  <c r="E22" i="38"/>
  <c r="F22" i="38"/>
  <c r="C19" i="18"/>
  <c r="I39" i="1" s="1"/>
  <c r="C18" i="15"/>
  <c r="I34" i="1" s="1"/>
  <c r="C78" i="14"/>
  <c r="I30" i="1" s="1"/>
  <c r="C50" i="14"/>
  <c r="I29" i="1" s="1"/>
  <c r="D19" i="19" l="1"/>
  <c r="D21" i="41"/>
  <c r="D49" i="18"/>
  <c r="G49" i="18" s="1"/>
  <c r="I49" i="18" s="1"/>
  <c r="I50" i="18" s="1"/>
  <c r="C50" i="18"/>
  <c r="I47" i="1" s="1"/>
  <c r="D32" i="15"/>
  <c r="F33" i="15"/>
  <c r="F37" i="15" s="1"/>
  <c r="L35" i="1" s="1"/>
  <c r="D25" i="41"/>
  <c r="I41" i="1"/>
  <c r="D157" i="13"/>
  <c r="F158" i="13"/>
  <c r="F166" i="13" s="1"/>
  <c r="L24" i="1" s="1"/>
  <c r="D20" i="41"/>
  <c r="D18" i="19"/>
  <c r="I31" i="1"/>
  <c r="D22" i="41"/>
  <c r="I36" i="1"/>
  <c r="D26" i="19"/>
  <c r="I43" i="1"/>
  <c r="D24" i="19" l="1"/>
  <c r="D22" i="19"/>
  <c r="D20" i="19"/>
  <c r="E23" i="41"/>
  <c r="E18" i="41"/>
  <c r="D48" i="13"/>
  <c r="F49" i="13"/>
  <c r="F57" i="13" s="1"/>
  <c r="D91" i="13"/>
  <c r="F92" i="13"/>
  <c r="F100" i="13" s="1"/>
  <c r="L23" i="1" s="1"/>
  <c r="D49" i="14"/>
  <c r="G49" i="14" s="1"/>
  <c r="F50" i="14"/>
  <c r="F58" i="14" s="1"/>
  <c r="L29" i="1" s="1"/>
  <c r="D77" i="14"/>
  <c r="F78" i="14"/>
  <c r="F87" i="14" s="1"/>
  <c r="L30" i="1" s="1"/>
  <c r="D17" i="15"/>
  <c r="F18" i="15"/>
  <c r="F22" i="15" s="1"/>
  <c r="L34" i="1" s="1"/>
  <c r="D18" i="18"/>
  <c r="G18" i="18" s="1"/>
  <c r="I18" i="18" s="1"/>
  <c r="I19" i="18" s="1"/>
  <c r="F19" i="18"/>
  <c r="F25" i="18" s="1"/>
  <c r="D24" i="41"/>
  <c r="D20" i="14"/>
  <c r="F21" i="14"/>
  <c r="F29" i="14" s="1"/>
  <c r="L28" i="1" s="1"/>
  <c r="D27" i="41"/>
  <c r="D30" i="19"/>
  <c r="L22" i="1" l="1"/>
  <c r="I66" i="13"/>
  <c r="L39" i="1"/>
  <c r="L31" i="1"/>
  <c r="E17" i="19"/>
  <c r="E19" i="41"/>
  <c r="E20" i="41"/>
  <c r="E18" i="19"/>
  <c r="E22" i="41"/>
  <c r="L36" i="1"/>
  <c r="E21" i="41"/>
  <c r="E19" i="19"/>
  <c r="E13" i="19"/>
  <c r="E17" i="41"/>
  <c r="E22" i="19" l="1"/>
  <c r="E12" i="19"/>
  <c r="L25" i="1"/>
  <c r="E16" i="41"/>
  <c r="L41" i="1"/>
  <c r="E25" i="41"/>
  <c r="E14" i="19"/>
  <c r="E20" i="19"/>
  <c r="C23" i="2"/>
  <c r="I17" i="1" s="1"/>
  <c r="E24" i="19" l="1"/>
  <c r="D14" i="41"/>
  <c r="D29" i="41" s="1"/>
  <c r="D8" i="19"/>
  <c r="D28" i="19" s="1"/>
  <c r="D32" i="19" s="1"/>
  <c r="I18" i="1"/>
  <c r="I45" i="1" s="1"/>
  <c r="I49" i="1" s="1"/>
  <c r="D30" i="41" l="1"/>
  <c r="J21" i="38" l="1"/>
  <c r="H21" i="38" s="1"/>
  <c r="J16" i="38"/>
  <c r="H16" i="38" s="1"/>
  <c r="J14" i="38"/>
  <c r="H14" i="38" s="1"/>
  <c r="J20" i="38"/>
  <c r="H20" i="38" s="1"/>
  <c r="J18" i="38"/>
  <c r="H18" i="38" s="1"/>
  <c r="J15" i="38"/>
  <c r="H15" i="38" s="1"/>
  <c r="J17" i="38"/>
  <c r="H17" i="38" s="1"/>
  <c r="J19" i="38"/>
  <c r="H19" i="38" s="1"/>
  <c r="J13" i="38"/>
  <c r="H13" i="38" s="1"/>
  <c r="H22" i="38" l="1"/>
  <c r="E26" i="19" l="1"/>
  <c r="L43" i="1"/>
  <c r="D22" i="2" l="1"/>
  <c r="F23" i="2"/>
  <c r="E24" i="41"/>
  <c r="D143" i="40"/>
  <c r="J143" i="40" l="1"/>
  <c r="J144" i="40" s="1"/>
  <c r="V143" i="40"/>
  <c r="V144" i="40" s="1"/>
  <c r="G143" i="40"/>
  <c r="G144" i="40" s="1"/>
  <c r="I24" i="41" s="1"/>
  <c r="P143" i="40"/>
  <c r="P144" i="40" s="1"/>
  <c r="F24" i="2"/>
  <c r="L17" i="1" s="1"/>
  <c r="I37" i="2"/>
  <c r="X24" i="41" l="1"/>
  <c r="R24" i="41"/>
  <c r="E8" i="19"/>
  <c r="L18" i="1"/>
  <c r="L45" i="1" s="1"/>
  <c r="L49" i="1" s="1"/>
  <c r="E14" i="41"/>
  <c r="E29" i="41" s="1"/>
  <c r="L24" i="41"/>
  <c r="E28" i="19" l="1"/>
  <c r="E32" i="19" s="1"/>
  <c r="G8" i="19" l="1"/>
  <c r="G11" i="19"/>
  <c r="G12" i="19"/>
  <c r="G17" i="19"/>
  <c r="G19" i="19"/>
  <c r="G22" i="19"/>
  <c r="G18" i="19"/>
  <c r="G13" i="19"/>
  <c r="G26" i="19"/>
  <c r="I37" i="19" l="1"/>
  <c r="G32" i="19"/>
  <c r="I32" i="19" l="1"/>
  <c r="I35" i="19"/>
  <c r="S32" i="41"/>
  <c r="Y32" i="41" s="1"/>
  <c r="E127" i="30" l="1"/>
  <c r="I20" i="15"/>
  <c r="G25" i="15"/>
  <c r="E129" i="30" s="1"/>
  <c r="F129" i="30" s="1"/>
  <c r="E130" i="40"/>
  <c r="E22" i="30"/>
  <c r="E39" i="40"/>
  <c r="I41" i="13"/>
  <c r="E135" i="30"/>
  <c r="I35" i="15"/>
  <c r="E138" i="40"/>
  <c r="F135" i="30" l="1"/>
  <c r="F22" i="30"/>
  <c r="F127" i="30"/>
  <c r="Q138" i="40"/>
  <c r="K138" i="40"/>
  <c r="W138" i="40"/>
  <c r="I147" i="13"/>
  <c r="E70" i="40"/>
  <c r="E60" i="30"/>
  <c r="E69" i="40"/>
  <c r="I146" i="13"/>
  <c r="E59" i="30"/>
  <c r="E46" i="30"/>
  <c r="I98" i="13"/>
  <c r="G128" i="13"/>
  <c r="I128" i="13" s="1"/>
  <c r="I138" i="13"/>
  <c r="G129" i="13" s="1"/>
  <c r="I129" i="13" s="1"/>
  <c r="E63" i="40"/>
  <c r="W130" i="40"/>
  <c r="K130" i="40"/>
  <c r="Q130" i="40"/>
  <c r="E80" i="40"/>
  <c r="E69" i="30"/>
  <c r="I161" i="13"/>
  <c r="I160" i="13"/>
  <c r="E68" i="30"/>
  <c r="E79" i="40"/>
  <c r="E71" i="30"/>
  <c r="I164" i="13"/>
  <c r="E83" i="40"/>
  <c r="I86" i="13"/>
  <c r="E35" i="30"/>
  <c r="G112" i="13"/>
  <c r="I112" i="13" s="1"/>
  <c r="E55" i="40"/>
  <c r="I148" i="13" l="1"/>
  <c r="I162" i="13"/>
  <c r="I130" i="13"/>
  <c r="F69" i="30"/>
  <c r="F68" i="30"/>
  <c r="F35" i="30"/>
  <c r="F71" i="30"/>
  <c r="F60" i="30"/>
  <c r="F59" i="30"/>
  <c r="G174" i="13"/>
  <c r="E28" i="40"/>
  <c r="E15" i="30"/>
  <c r="I15" i="13"/>
  <c r="E85" i="30"/>
  <c r="E97" i="40"/>
  <c r="I27" i="14"/>
  <c r="I85" i="14"/>
  <c r="E121" i="40"/>
  <c r="E106" i="30"/>
  <c r="F106" i="30" s="1"/>
  <c r="K80" i="40"/>
  <c r="W80" i="40"/>
  <c r="Q80" i="40"/>
  <c r="E102" i="30"/>
  <c r="F102" i="30" s="1"/>
  <c r="I80" i="14"/>
  <c r="I81" i="14" s="1"/>
  <c r="E119" i="40"/>
  <c r="Q79" i="40"/>
  <c r="K79" i="40"/>
  <c r="W79" i="40"/>
  <c r="F46" i="30"/>
  <c r="E56" i="30"/>
  <c r="F56" i="30" s="1"/>
  <c r="I24" i="14"/>
  <c r="E94" i="40"/>
  <c r="E24" i="42"/>
  <c r="E81" i="30"/>
  <c r="D24" i="42"/>
  <c r="E78" i="30"/>
  <c r="I23" i="14"/>
  <c r="E93" i="40"/>
  <c r="E74" i="30"/>
  <c r="F135" i="13"/>
  <c r="G113" i="13" s="1"/>
  <c r="E89" i="40"/>
  <c r="I15" i="14"/>
  <c r="I16" i="13"/>
  <c r="E29" i="40"/>
  <c r="E16" i="30"/>
  <c r="I25" i="14" l="1"/>
  <c r="G31" i="14" s="1"/>
  <c r="Q81" i="40"/>
  <c r="F85" i="30"/>
  <c r="F15" i="30"/>
  <c r="F74" i="30"/>
  <c r="F78" i="30"/>
  <c r="F81" i="30"/>
  <c r="F16" i="30"/>
  <c r="K81" i="40"/>
  <c r="I113" i="13"/>
  <c r="I114" i="13" s="1"/>
  <c r="E49" i="30"/>
  <c r="E60" i="40"/>
  <c r="E42" i="30"/>
  <c r="I95" i="13"/>
  <c r="E14" i="42"/>
  <c r="G124" i="13"/>
  <c r="I124" i="13" s="1"/>
  <c r="W81" i="40"/>
  <c r="K119" i="40"/>
  <c r="Q119" i="40"/>
  <c r="W119" i="40"/>
  <c r="E39" i="30"/>
  <c r="E59" i="40"/>
  <c r="G123" i="13"/>
  <c r="I123" i="13" s="1"/>
  <c r="D14" i="42"/>
  <c r="I94" i="13"/>
  <c r="I72" i="14"/>
  <c r="E98" i="30"/>
  <c r="F98" i="30" s="1"/>
  <c r="E115" i="40"/>
  <c r="I44" i="14"/>
  <c r="E102" i="40"/>
  <c r="E88" i="30"/>
  <c r="F88" i="30" s="1"/>
  <c r="K93" i="40"/>
  <c r="Q93" i="40"/>
  <c r="W93" i="40"/>
  <c r="I83" i="14"/>
  <c r="E104" i="30"/>
  <c r="F104" i="30" s="1"/>
  <c r="W94" i="40"/>
  <c r="Q94" i="40"/>
  <c r="K94" i="40"/>
  <c r="I17" i="13"/>
  <c r="W95" i="40" l="1"/>
  <c r="I96" i="13"/>
  <c r="G102" i="13" s="1"/>
  <c r="F42" i="30"/>
  <c r="F39" i="30"/>
  <c r="W60" i="40"/>
  <c r="K60" i="40"/>
  <c r="Q60" i="40"/>
  <c r="Q95" i="40"/>
  <c r="I62" i="14"/>
  <c r="K95" i="40"/>
  <c r="K59" i="40"/>
  <c r="W59" i="40"/>
  <c r="Q59" i="40"/>
  <c r="F49" i="30"/>
  <c r="E52" i="30"/>
  <c r="F52" i="30" s="1"/>
  <c r="K61" i="40" l="1"/>
  <c r="I136" i="13"/>
  <c r="G125" i="13" s="1"/>
  <c r="E50" i="30" s="1"/>
  <c r="Q61" i="40"/>
  <c r="W61" i="40"/>
  <c r="I49" i="14"/>
  <c r="I55" i="13"/>
  <c r="E32" i="30"/>
  <c r="E50" i="40"/>
  <c r="I51" i="13"/>
  <c r="E46" i="40"/>
  <c r="E29" i="30"/>
  <c r="E30" i="30"/>
  <c r="E47" i="40"/>
  <c r="I52" i="13"/>
  <c r="I125" i="13" l="1"/>
  <c r="I126" i="13" s="1"/>
  <c r="F32" i="30"/>
  <c r="F29" i="30"/>
  <c r="F30" i="30"/>
  <c r="I53" i="13"/>
  <c r="G81" i="13" s="1"/>
  <c r="F50" i="30"/>
  <c r="E53" i="30"/>
  <c r="F53" i="30" s="1"/>
  <c r="E54" i="30"/>
  <c r="F54" i="30" s="1"/>
  <c r="G48" i="14"/>
  <c r="I48" i="14" s="1"/>
  <c r="E104" i="40"/>
  <c r="E90" i="30"/>
  <c r="F90" i="30" s="1"/>
  <c r="I46" i="14"/>
  <c r="I47" i="14" s="1"/>
  <c r="E106" i="40"/>
  <c r="E92" i="30"/>
  <c r="F92" i="30" s="1"/>
  <c r="I52" i="14"/>
  <c r="Q47" i="40"/>
  <c r="K47" i="40"/>
  <c r="W47" i="40"/>
  <c r="E110" i="40"/>
  <c r="I56" i="14"/>
  <c r="E95" i="30"/>
  <c r="F95" i="30" s="1"/>
  <c r="W46" i="40"/>
  <c r="Q46" i="40"/>
  <c r="K46" i="40"/>
  <c r="I53" i="14"/>
  <c r="E93" i="30"/>
  <c r="F93" i="30" s="1"/>
  <c r="E107" i="40"/>
  <c r="W48" i="40" l="1"/>
  <c r="K48" i="40"/>
  <c r="Q48" i="40"/>
  <c r="Q107" i="40"/>
  <c r="K107" i="40"/>
  <c r="W107" i="40"/>
  <c r="Q106" i="40"/>
  <c r="W106" i="40"/>
  <c r="K106" i="40"/>
  <c r="W104" i="40"/>
  <c r="Q104" i="40"/>
  <c r="K104" i="40"/>
  <c r="I54" i="14"/>
  <c r="I50" i="14"/>
  <c r="I58" i="14" l="1"/>
  <c r="Q108" i="40"/>
  <c r="W108" i="40"/>
  <c r="K108" i="40"/>
  <c r="N29" i="1"/>
  <c r="F20" i="41" l="1"/>
  <c r="P29" i="1"/>
  <c r="S29" i="1"/>
  <c r="Q29" i="1" l="1"/>
  <c r="G164" i="40" l="1"/>
  <c r="P164" i="40" l="1"/>
  <c r="P166" i="40" s="1"/>
  <c r="Q164" i="40"/>
  <c r="W164" i="40"/>
  <c r="V164" i="40"/>
  <c r="V166" i="40" s="1"/>
  <c r="K164" i="40"/>
  <c r="J164" i="40"/>
  <c r="J166" i="40" s="1"/>
  <c r="L27" i="41" l="1"/>
  <c r="X27" i="41"/>
  <c r="R27" i="41"/>
  <c r="G97" i="40"/>
  <c r="G121" i="40"/>
  <c r="G110" i="40"/>
  <c r="J121" i="40" l="1"/>
  <c r="K121" i="40"/>
  <c r="P97" i="40"/>
  <c r="Q97" i="40"/>
  <c r="V121" i="40"/>
  <c r="W121" i="40"/>
  <c r="P110" i="40"/>
  <c r="Q110" i="40"/>
  <c r="J97" i="40"/>
  <c r="K97" i="40"/>
  <c r="V97" i="40"/>
  <c r="W97" i="40"/>
  <c r="P121" i="40"/>
  <c r="Q121" i="40"/>
  <c r="J110" i="40"/>
  <c r="K110" i="40"/>
  <c r="V110" i="40"/>
  <c r="W110" i="40"/>
  <c r="G74" i="40"/>
  <c r="G76" i="40"/>
  <c r="G63" i="40"/>
  <c r="G75" i="40"/>
  <c r="P74" i="40" l="1"/>
  <c r="J73" i="40"/>
  <c r="I77" i="40"/>
  <c r="V63" i="40"/>
  <c r="W63" i="40"/>
  <c r="F77" i="40"/>
  <c r="G73" i="40"/>
  <c r="G77" i="40" s="1"/>
  <c r="O77" i="40"/>
  <c r="P73" i="40"/>
  <c r="V74" i="40"/>
  <c r="P63" i="40"/>
  <c r="Q63" i="40"/>
  <c r="J74" i="40"/>
  <c r="U77" i="40"/>
  <c r="V73" i="40"/>
  <c r="V75" i="40"/>
  <c r="P75" i="40"/>
  <c r="V76" i="40"/>
  <c r="J75" i="40"/>
  <c r="J63" i="40"/>
  <c r="K63" i="40"/>
  <c r="J76" i="40"/>
  <c r="P76" i="40"/>
  <c r="G83" i="40"/>
  <c r="V77" i="40" l="1"/>
  <c r="P83" i="40"/>
  <c r="Q83" i="40"/>
  <c r="V83" i="40"/>
  <c r="W83" i="40"/>
  <c r="W18" i="41"/>
  <c r="J83" i="40"/>
  <c r="K83" i="40"/>
  <c r="P77" i="40"/>
  <c r="J77" i="40"/>
  <c r="Q18" i="41"/>
  <c r="H18" i="41"/>
  <c r="K18" i="41"/>
  <c r="G42" i="40"/>
  <c r="G43" i="40"/>
  <c r="O12" i="43" l="1"/>
  <c r="P12" i="43" s="1"/>
  <c r="T12" i="43"/>
  <c r="U12" i="43" s="1"/>
  <c r="K12" i="43"/>
  <c r="L12" i="43" s="1"/>
  <c r="J62" i="30" s="1"/>
  <c r="J43" i="40"/>
  <c r="P41" i="40"/>
  <c r="O44" i="40"/>
  <c r="J41" i="40"/>
  <c r="I44" i="40"/>
  <c r="F44" i="40"/>
  <c r="G41" i="40"/>
  <c r="G44" i="40" s="1"/>
  <c r="V42" i="40"/>
  <c r="P43" i="40"/>
  <c r="V41" i="40"/>
  <c r="U44" i="40"/>
  <c r="V12" i="43"/>
  <c r="V43" i="40"/>
  <c r="P42" i="40"/>
  <c r="J42" i="40"/>
  <c r="G50" i="40"/>
  <c r="Q12" i="43" l="1"/>
  <c r="V44" i="40"/>
  <c r="V50" i="40"/>
  <c r="W50" i="40"/>
  <c r="W16" i="41"/>
  <c r="K16" i="41"/>
  <c r="P44" i="40"/>
  <c r="J44" i="40"/>
  <c r="J50" i="40"/>
  <c r="K50" i="40"/>
  <c r="Q16" i="41"/>
  <c r="P50" i="40"/>
  <c r="Q50" i="40"/>
  <c r="H16" i="41"/>
  <c r="T10" i="43" l="1"/>
  <c r="U10" i="43" s="1"/>
  <c r="O10" i="43"/>
  <c r="P10" i="43" s="1"/>
  <c r="K10" i="43"/>
  <c r="L10" i="43" s="1"/>
  <c r="J24" i="30" s="1"/>
  <c r="Q10" i="43" l="1"/>
  <c r="V10" i="43"/>
  <c r="G20" i="40"/>
  <c r="J20" i="40" l="1"/>
  <c r="V20" i="40"/>
  <c r="P20" i="40"/>
  <c r="V19" i="40"/>
  <c r="U21" i="40"/>
  <c r="J19" i="40"/>
  <c r="J21" i="40" s="1"/>
  <c r="I21" i="40"/>
  <c r="F21" i="40"/>
  <c r="G19" i="40"/>
  <c r="G21" i="40" s="1"/>
  <c r="P19" i="40"/>
  <c r="O21" i="40"/>
  <c r="V21" i="40" l="1"/>
  <c r="P21" i="40"/>
  <c r="Q14" i="41"/>
  <c r="O169" i="40"/>
  <c r="W14" i="41"/>
  <c r="U169" i="40"/>
  <c r="K14" i="41"/>
  <c r="I169" i="40"/>
  <c r="H14" i="41"/>
  <c r="H29" i="41" s="1"/>
  <c r="F169" i="40"/>
  <c r="T7" i="43" l="1"/>
  <c r="W29" i="41"/>
  <c r="K29" i="41"/>
  <c r="K7" i="43"/>
  <c r="H30" i="41"/>
  <c r="O7" i="43"/>
  <c r="Q29" i="41"/>
  <c r="Q30" i="41" l="1"/>
  <c r="W30" i="41"/>
  <c r="K34" i="43"/>
  <c r="K24" i="43"/>
  <c r="L7" i="43"/>
  <c r="J11" i="30" s="1"/>
  <c r="T24" i="43"/>
  <c r="U7" i="43"/>
  <c r="K30" i="41"/>
  <c r="P7" i="43"/>
  <c r="O24" i="43"/>
  <c r="Q7" i="43" l="1"/>
  <c r="K30" i="43"/>
  <c r="K35" i="43" s="1"/>
  <c r="L24" i="43"/>
  <c r="V7" i="43"/>
  <c r="O30" i="43"/>
  <c r="P24" i="43"/>
  <c r="T30" i="43"/>
  <c r="U24" i="43"/>
  <c r="P28" i="43" l="1"/>
  <c r="F117" i="30" l="1"/>
  <c r="G155" i="40" l="1"/>
  <c r="G158" i="40" s="1"/>
  <c r="G115" i="40"/>
  <c r="G122" i="40" s="1"/>
  <c r="I21" i="41" s="1"/>
  <c r="G39" i="40"/>
  <c r="G51" i="40" s="1"/>
  <c r="I16" i="41" s="1"/>
  <c r="G102" i="40"/>
  <c r="G111" i="40" s="1"/>
  <c r="I20" i="41" s="1"/>
  <c r="G148" i="40"/>
  <c r="G151" i="40" s="1"/>
  <c r="I25" i="41" s="1"/>
  <c r="G89" i="40"/>
  <c r="G98" i="40" s="1"/>
  <c r="I19" i="41" s="1"/>
  <c r="J148" i="40" l="1"/>
  <c r="J151" i="40" s="1"/>
  <c r="L25" i="41" s="1"/>
  <c r="P39" i="40"/>
  <c r="P51" i="40" s="1"/>
  <c r="R16" i="41" s="1"/>
  <c r="Q39" i="40"/>
  <c r="V115" i="40"/>
  <c r="V122" i="40" s="1"/>
  <c r="X21" i="41" s="1"/>
  <c r="W115" i="40"/>
  <c r="K89" i="40"/>
  <c r="J89" i="40"/>
  <c r="J98" i="40" s="1"/>
  <c r="L19" i="41" s="1"/>
  <c r="K39" i="40"/>
  <c r="J39" i="40"/>
  <c r="J51" i="40" s="1"/>
  <c r="L16" i="41" s="1"/>
  <c r="V102" i="40"/>
  <c r="V111" i="40" s="1"/>
  <c r="X20" i="41" s="1"/>
  <c r="W102" i="40"/>
  <c r="W111" i="40" s="1"/>
  <c r="W89" i="40"/>
  <c r="V89" i="40"/>
  <c r="V98" i="40" s="1"/>
  <c r="X19" i="41" s="1"/>
  <c r="I26" i="41"/>
  <c r="J155" i="40"/>
  <c r="J158" i="40" s="1"/>
  <c r="P115" i="40"/>
  <c r="P122" i="40" s="1"/>
  <c r="R21" i="41" s="1"/>
  <c r="Q115" i="40"/>
  <c r="V148" i="40"/>
  <c r="V151" i="40" s="1"/>
  <c r="X25" i="41" s="1"/>
  <c r="Q89" i="40"/>
  <c r="P89" i="40"/>
  <c r="P98" i="40" s="1"/>
  <c r="R19" i="41" s="1"/>
  <c r="P155" i="40"/>
  <c r="P158" i="40" s="1"/>
  <c r="V155" i="40"/>
  <c r="V158" i="40" s="1"/>
  <c r="P148" i="40"/>
  <c r="V39" i="40"/>
  <c r="V51" i="40" s="1"/>
  <c r="X16" i="41" s="1"/>
  <c r="W39" i="40"/>
  <c r="J102" i="40"/>
  <c r="J111" i="40" s="1"/>
  <c r="L20" i="41" s="1"/>
  <c r="K102" i="40"/>
  <c r="K111" i="40" s="1"/>
  <c r="P102" i="40"/>
  <c r="P111" i="40" s="1"/>
  <c r="R20" i="41" s="1"/>
  <c r="Q102" i="40"/>
  <c r="Q111" i="40" s="1"/>
  <c r="J115" i="40"/>
  <c r="J122" i="40" s="1"/>
  <c r="L21" i="41" s="1"/>
  <c r="K115" i="40"/>
  <c r="G55" i="40"/>
  <c r="G64" i="40" s="1"/>
  <c r="I17" i="41" s="1"/>
  <c r="P55" i="40" l="1"/>
  <c r="P64" i="40" s="1"/>
  <c r="R17" i="41" s="1"/>
  <c r="Q55" i="40"/>
  <c r="S20" i="41"/>
  <c r="Y20" i="41"/>
  <c r="K55" i="40"/>
  <c r="J55" i="40"/>
  <c r="J64" i="40" s="1"/>
  <c r="L17" i="41" s="1"/>
  <c r="P151" i="40"/>
  <c r="R25" i="41" s="1"/>
  <c r="R26" i="41"/>
  <c r="L26" i="41"/>
  <c r="W55" i="40"/>
  <c r="V55" i="40"/>
  <c r="V64" i="40" s="1"/>
  <c r="X17" i="41" s="1"/>
  <c r="M20" i="41"/>
  <c r="X26" i="41"/>
  <c r="G70" i="40" l="1"/>
  <c r="G16" i="40"/>
  <c r="W16" i="40" l="1"/>
  <c r="V16" i="40"/>
  <c r="P15" i="40"/>
  <c r="P17" i="40" s="1"/>
  <c r="P22" i="40" s="1"/>
  <c r="R14" i="41" s="1"/>
  <c r="Q15" i="40"/>
  <c r="O17" i="40"/>
  <c r="J16" i="40"/>
  <c r="K16" i="40"/>
  <c r="W70" i="40"/>
  <c r="V70" i="40"/>
  <c r="U17" i="40"/>
  <c r="V15" i="40"/>
  <c r="V17" i="40" s="1"/>
  <c r="V22" i="40" s="1"/>
  <c r="X14" i="41" s="1"/>
  <c r="W15" i="40"/>
  <c r="Q16" i="40"/>
  <c r="P16" i="40"/>
  <c r="P70" i="40"/>
  <c r="Q70" i="40"/>
  <c r="F17" i="40"/>
  <c r="G15" i="40"/>
  <c r="G17" i="40" s="1"/>
  <c r="G22" i="40" s="1"/>
  <c r="I14" i="41" s="1"/>
  <c r="K70" i="40"/>
  <c r="J70" i="40"/>
  <c r="J15" i="40"/>
  <c r="I17" i="40"/>
  <c r="K15" i="40"/>
  <c r="K17" i="40" s="1"/>
  <c r="V69" i="40"/>
  <c r="U71" i="40"/>
  <c r="W69" i="40"/>
  <c r="J69" i="40"/>
  <c r="K69" i="40"/>
  <c r="K71" i="40" s="1"/>
  <c r="I71" i="40"/>
  <c r="Q69" i="40"/>
  <c r="O71" i="40"/>
  <c r="P69" i="40"/>
  <c r="P71" i="40" s="1"/>
  <c r="P84" i="40" s="1"/>
  <c r="G69" i="40"/>
  <c r="G71" i="40" s="1"/>
  <c r="G84" i="40" s="1"/>
  <c r="F71" i="40"/>
  <c r="V71" i="40" l="1"/>
  <c r="V84" i="40" s="1"/>
  <c r="W17" i="40"/>
  <c r="Q17" i="40"/>
  <c r="J17" i="40"/>
  <c r="J22" i="40" s="1"/>
  <c r="L14" i="41" s="1"/>
  <c r="R18" i="41"/>
  <c r="Q71" i="40"/>
  <c r="W71" i="40"/>
  <c r="X18" i="41"/>
  <c r="J71" i="40"/>
  <c r="J84" i="40" s="1"/>
  <c r="I18" i="41"/>
  <c r="L18" i="41" l="1"/>
  <c r="G29" i="40" l="1"/>
  <c r="P29" i="40" l="1"/>
  <c r="Q29" i="40"/>
  <c r="V29" i="40"/>
  <c r="W29" i="40"/>
  <c r="I30" i="40"/>
  <c r="J28" i="40"/>
  <c r="K28" i="40"/>
  <c r="K30" i="40" s="1"/>
  <c r="G28" i="40"/>
  <c r="G30" i="40" s="1"/>
  <c r="G35" i="40" s="1"/>
  <c r="F30" i="40"/>
  <c r="V28" i="40"/>
  <c r="W28" i="40"/>
  <c r="U30" i="40"/>
  <c r="J29" i="40"/>
  <c r="K29" i="40"/>
  <c r="P28" i="40"/>
  <c r="P30" i="40" s="1"/>
  <c r="P35" i="40" s="1"/>
  <c r="O30" i="40"/>
  <c r="Q28" i="40"/>
  <c r="J30" i="40" l="1"/>
  <c r="J35" i="40" s="1"/>
  <c r="J169" i="40" s="1"/>
  <c r="L30" i="41" s="1"/>
  <c r="R15" i="41"/>
  <c r="P169" i="40"/>
  <c r="R30" i="41" s="1"/>
  <c r="W30" i="40"/>
  <c r="L15" i="41"/>
  <c r="I15" i="41"/>
  <c r="V30" i="40"/>
  <c r="V35" i="40" s="1"/>
  <c r="Q30" i="40"/>
  <c r="X15" i="41" l="1"/>
  <c r="V169" i="40"/>
  <c r="X30" i="41" s="1"/>
  <c r="L29" i="41"/>
  <c r="R29" i="41"/>
  <c r="X29" i="41" l="1"/>
  <c r="P22" i="43" l="1"/>
  <c r="Q22" i="43" l="1"/>
  <c r="V22" i="43"/>
  <c r="E157" i="40" l="1"/>
  <c r="Q157" i="40" l="1"/>
  <c r="K157" i="40"/>
  <c r="W157" i="40"/>
  <c r="P18" i="43" l="1"/>
  <c r="V18" i="43"/>
  <c r="Q18" i="43" l="1"/>
  <c r="P26" i="43"/>
  <c r="V26" i="43" l="1"/>
  <c r="Q26" i="43"/>
  <c r="P14" i="43"/>
  <c r="V14" i="43" l="1"/>
  <c r="Q14" i="43"/>
  <c r="P19" i="43"/>
  <c r="P15" i="43"/>
  <c r="P11" i="43"/>
  <c r="P16" i="43"/>
  <c r="Q19" i="43" l="1"/>
  <c r="V19" i="43"/>
  <c r="Q11" i="43"/>
  <c r="V11" i="43"/>
  <c r="Q15" i="43"/>
  <c r="V15" i="43"/>
  <c r="V16" i="43"/>
  <c r="Q16" i="43"/>
  <c r="P21" i="43" l="1"/>
  <c r="V21" i="43"/>
  <c r="V24" i="43" s="1"/>
  <c r="V30" i="43" s="1"/>
  <c r="Q21" i="43" l="1"/>
  <c r="Q24" i="43" s="1"/>
  <c r="Q30" i="43" s="1"/>
  <c r="F112" i="30" l="1"/>
  <c r="F111" i="30" l="1"/>
  <c r="E113" i="30"/>
  <c r="F113" i="30" s="1"/>
  <c r="I30" i="18" l="1"/>
  <c r="I41" i="18" s="1"/>
  <c r="N40" i="1" s="1"/>
  <c r="E109" i="30"/>
  <c r="F109" i="30" s="1"/>
  <c r="E155" i="40"/>
  <c r="E148" i="40"/>
  <c r="I14" i="18"/>
  <c r="I25" i="18" s="1"/>
  <c r="E138" i="30"/>
  <c r="K148" i="40" l="1"/>
  <c r="K151" i="40" s="1"/>
  <c r="W148" i="40"/>
  <c r="W151" i="40" s="1"/>
  <c r="Q148" i="40"/>
  <c r="Q151" i="40" s="1"/>
  <c r="Q155" i="40"/>
  <c r="Q158" i="40" s="1"/>
  <c r="W155" i="40"/>
  <c r="W158" i="40" s="1"/>
  <c r="K155" i="40"/>
  <c r="K158" i="40" s="1"/>
  <c r="F138" i="30"/>
  <c r="E141" i="30"/>
  <c r="F141" i="30" s="1"/>
  <c r="K25" i="18"/>
  <c r="N39" i="1"/>
  <c r="J24" i="19"/>
  <c r="F26" i="41"/>
  <c r="P40" i="1"/>
  <c r="S40" i="1"/>
  <c r="S26" i="41" l="1"/>
  <c r="U41" i="1"/>
  <c r="I24" i="19"/>
  <c r="K24" i="19"/>
  <c r="M24" i="19"/>
  <c r="S25" i="41"/>
  <c r="F25" i="41"/>
  <c r="S39" i="1"/>
  <c r="P39" i="1"/>
  <c r="Q39" i="1" s="1"/>
  <c r="N41" i="1"/>
  <c r="S41" i="1" s="1"/>
  <c r="M26" i="41"/>
  <c r="Y25" i="41"/>
  <c r="Q40" i="1"/>
  <c r="Y26" i="41"/>
  <c r="M25" i="41"/>
  <c r="P41" i="1" l="1"/>
  <c r="Q41" i="1" s="1"/>
  <c r="V41" i="1" l="1"/>
  <c r="Q20" i="19" l="1"/>
  <c r="I175" i="40"/>
  <c r="Q14" i="19"/>
  <c r="Q28" i="19" l="1"/>
  <c r="Q32" i="19" s="1"/>
  <c r="R8" i="19" l="1"/>
  <c r="R30" i="19"/>
  <c r="R12" i="19"/>
  <c r="R13" i="19"/>
  <c r="R11" i="19"/>
  <c r="R17" i="19"/>
  <c r="R26" i="19"/>
  <c r="R18" i="19"/>
  <c r="R22" i="19"/>
  <c r="R19" i="19"/>
  <c r="R24" i="19"/>
  <c r="W26" i="19" l="1"/>
  <c r="X26" i="19"/>
  <c r="Y26" i="19"/>
  <c r="Y145" i="40" s="1"/>
  <c r="Y143" i="40" s="1"/>
  <c r="W18" i="19"/>
  <c r="M112" i="40" s="1"/>
  <c r="M104" i="40" s="1"/>
  <c r="X18" i="19"/>
  <c r="S112" i="40" s="1"/>
  <c r="S104" i="40" s="1"/>
  <c r="Y18" i="19"/>
  <c r="Y112" i="40" s="1"/>
  <c r="Y104" i="40" s="1"/>
  <c r="X13" i="19"/>
  <c r="S65" i="40" s="1"/>
  <c r="S57" i="40" s="1"/>
  <c r="Y13" i="19"/>
  <c r="Y65" i="40" s="1"/>
  <c r="Y57" i="40" s="1"/>
  <c r="W13" i="19"/>
  <c r="M65" i="40" s="1"/>
  <c r="M57" i="40" s="1"/>
  <c r="Y24" i="19"/>
  <c r="X24" i="19"/>
  <c r="W24" i="19"/>
  <c r="Y12" i="19"/>
  <c r="X12" i="19"/>
  <c r="W12" i="19"/>
  <c r="X19" i="19"/>
  <c r="S123" i="40" s="1"/>
  <c r="S117" i="40" s="1"/>
  <c r="Y19" i="19"/>
  <c r="Y123" i="40" s="1"/>
  <c r="Y117" i="40" s="1"/>
  <c r="W19" i="19"/>
  <c r="M123" i="40" s="1"/>
  <c r="M117" i="40" s="1"/>
  <c r="W17" i="19"/>
  <c r="Y17" i="19"/>
  <c r="X17" i="19"/>
  <c r="W30" i="19"/>
  <c r="M167" i="40" s="1"/>
  <c r="M162" i="40" s="1"/>
  <c r="X30" i="19"/>
  <c r="S167" i="40" s="1"/>
  <c r="S162" i="40" s="1"/>
  <c r="Y30" i="19"/>
  <c r="Y167" i="40" s="1"/>
  <c r="Y162" i="40" s="1"/>
  <c r="W22" i="19"/>
  <c r="X22" i="19"/>
  <c r="Y22" i="19"/>
  <c r="X11" i="19"/>
  <c r="W11" i="19"/>
  <c r="Y11" i="19"/>
  <c r="W8" i="19"/>
  <c r="M23" i="40" s="1"/>
  <c r="M21" i="40" s="1"/>
  <c r="X8" i="19"/>
  <c r="S23" i="40" s="1"/>
  <c r="S21" i="40" s="1"/>
  <c r="Y8" i="19"/>
  <c r="Y23" i="40" s="1"/>
  <c r="Y21" i="40" s="1"/>
  <c r="R32" i="19"/>
  <c r="Y166" i="40" l="1"/>
  <c r="S166" i="40"/>
  <c r="M166" i="40"/>
  <c r="Y144" i="40"/>
  <c r="AA24" i="41" s="1"/>
  <c r="M36" i="40"/>
  <c r="M34" i="40" s="1"/>
  <c r="W14" i="19"/>
  <c r="U27" i="41"/>
  <c r="V100" i="30"/>
  <c r="Y122" i="40"/>
  <c r="AA21" i="41" s="1"/>
  <c r="S159" i="40"/>
  <c r="S156" i="40" s="1"/>
  <c r="S152" i="40"/>
  <c r="S148" i="40" s="1"/>
  <c r="T152" i="40"/>
  <c r="T148" i="40" s="1"/>
  <c r="U90" i="30"/>
  <c r="S111" i="40"/>
  <c r="U20" i="41" s="1"/>
  <c r="Y132" i="40"/>
  <c r="Y128" i="40" s="1"/>
  <c r="Y140" i="40"/>
  <c r="Y136" i="40" s="1"/>
  <c r="S122" i="40"/>
  <c r="U21" i="41" s="1"/>
  <c r="U100" i="30"/>
  <c r="M52" i="40"/>
  <c r="M44" i="40" s="1"/>
  <c r="M85" i="40"/>
  <c r="M77" i="40" s="1"/>
  <c r="Y152" i="40"/>
  <c r="Y148" i="40" s="1"/>
  <c r="Y159" i="40"/>
  <c r="Y156" i="40" s="1"/>
  <c r="T37" i="30"/>
  <c r="M64" i="40"/>
  <c r="O17" i="41" s="1"/>
  <c r="T90" i="30"/>
  <c r="M111" i="40"/>
  <c r="O20" i="41" s="1"/>
  <c r="O27" i="41"/>
  <c r="S99" i="40"/>
  <c r="S91" i="40" s="1"/>
  <c r="X20" i="19"/>
  <c r="U11" i="30"/>
  <c r="S22" i="40"/>
  <c r="U14" i="41" s="1"/>
  <c r="S132" i="40"/>
  <c r="S128" i="40" s="1"/>
  <c r="S140" i="40"/>
  <c r="S136" i="40" s="1"/>
  <c r="Y99" i="40"/>
  <c r="Y91" i="40" s="1"/>
  <c r="Y20" i="19"/>
  <c r="S52" i="40"/>
  <c r="S44" i="40" s="1"/>
  <c r="S85" i="40"/>
  <c r="S77" i="40" s="1"/>
  <c r="V37" i="30"/>
  <c r="Y64" i="40"/>
  <c r="AA17" i="41" s="1"/>
  <c r="S145" i="40"/>
  <c r="S143" i="40" s="1"/>
  <c r="V11" i="30"/>
  <c r="Y22" i="40"/>
  <c r="AA14" i="41" s="1"/>
  <c r="S36" i="40"/>
  <c r="S34" i="40" s="1"/>
  <c r="X14" i="19"/>
  <c r="T11" i="30"/>
  <c r="M22" i="40"/>
  <c r="O14" i="41" s="1"/>
  <c r="Y36" i="40"/>
  <c r="Y34" i="40" s="1"/>
  <c r="Y14" i="19"/>
  <c r="Y28" i="19" s="1"/>
  <c r="Y32" i="19" s="1"/>
  <c r="M140" i="40"/>
  <c r="M136" i="40" s="1"/>
  <c r="M132" i="40"/>
  <c r="M128" i="40" s="1"/>
  <c r="AA27" i="41"/>
  <c r="M99" i="40"/>
  <c r="M91" i="40" s="1"/>
  <c r="W20" i="19"/>
  <c r="T100" i="30"/>
  <c r="M122" i="40"/>
  <c r="O21" i="41" s="1"/>
  <c r="Y52" i="40"/>
  <c r="Y44" i="40" s="1"/>
  <c r="Y85" i="40"/>
  <c r="Y77" i="40" s="1"/>
  <c r="M152" i="40"/>
  <c r="M148" i="40" s="1"/>
  <c r="M159" i="40"/>
  <c r="M156" i="40" s="1"/>
  <c r="U37" i="30"/>
  <c r="S64" i="40"/>
  <c r="U17" i="41" s="1"/>
  <c r="Y111" i="40"/>
  <c r="AA20" i="41" s="1"/>
  <c r="V90" i="30"/>
  <c r="M145" i="40"/>
  <c r="M143" i="40" s="1"/>
  <c r="W28" i="19" l="1"/>
  <c r="W32" i="19" s="1"/>
  <c r="X28" i="19"/>
  <c r="X32" i="19" s="1"/>
  <c r="M144" i="40"/>
  <c r="O24" i="41" s="1"/>
  <c r="U55" i="30"/>
  <c r="S144" i="40"/>
  <c r="U24" i="41" s="1"/>
  <c r="T55" i="30"/>
  <c r="V55" i="30"/>
  <c r="V24" i="30"/>
  <c r="Y51" i="40"/>
  <c r="AA16" i="41" s="1"/>
  <c r="M139" i="40"/>
  <c r="O23" i="41" s="1"/>
  <c r="T133" i="30"/>
  <c r="V125" i="30"/>
  <c r="Y131" i="40"/>
  <c r="AA22" i="41" s="1"/>
  <c r="S151" i="40"/>
  <c r="U25" i="41" s="1"/>
  <c r="U138" i="30"/>
  <c r="M158" i="40"/>
  <c r="T110" i="30"/>
  <c r="U62" i="30"/>
  <c r="S84" i="40"/>
  <c r="U18" i="41" s="1"/>
  <c r="S139" i="40"/>
  <c r="U23" i="41" s="1"/>
  <c r="U133" i="30"/>
  <c r="V110" i="30"/>
  <c r="Y158" i="40"/>
  <c r="S158" i="40"/>
  <c r="U110" i="30"/>
  <c r="U18" i="30"/>
  <c r="S35" i="40"/>
  <c r="U15" i="41" s="1"/>
  <c r="U24" i="30"/>
  <c r="S51" i="40"/>
  <c r="U16" i="41" s="1"/>
  <c r="U76" i="30"/>
  <c r="S98" i="40"/>
  <c r="U19" i="41" s="1"/>
  <c r="V138" i="30"/>
  <c r="Y151" i="40"/>
  <c r="AA25" i="41" s="1"/>
  <c r="T76" i="30"/>
  <c r="M98" i="40"/>
  <c r="O19" i="41" s="1"/>
  <c r="Y98" i="40"/>
  <c r="AA19" i="41" s="1"/>
  <c r="V76" i="30"/>
  <c r="T24" i="30"/>
  <c r="M51" i="40"/>
  <c r="O16" i="41" s="1"/>
  <c r="M151" i="40"/>
  <c r="O25" i="41" s="1"/>
  <c r="T138" i="30"/>
  <c r="Y35" i="40"/>
  <c r="AA15" i="41" s="1"/>
  <c r="V18" i="30"/>
  <c r="U125" i="30"/>
  <c r="S131" i="40"/>
  <c r="U22" i="41" s="1"/>
  <c r="Y84" i="40"/>
  <c r="AA18" i="41" s="1"/>
  <c r="V62" i="30"/>
  <c r="M131" i="40"/>
  <c r="O22" i="41" s="1"/>
  <c r="T125" i="30"/>
  <c r="T62" i="30"/>
  <c r="M84" i="40"/>
  <c r="O18" i="41" s="1"/>
  <c r="V133" i="30"/>
  <c r="Y139" i="40"/>
  <c r="AA23" i="41" s="1"/>
  <c r="T18" i="30"/>
  <c r="M35" i="40"/>
  <c r="O15" i="41" s="1"/>
  <c r="U141" i="30" l="1"/>
  <c r="V141" i="30"/>
  <c r="T141" i="30"/>
  <c r="AA26" i="41"/>
  <c r="AA29" i="41" s="1"/>
  <c r="Y169" i="40"/>
  <c r="AA30" i="41" s="1"/>
  <c r="AA33" i="41" s="1"/>
  <c r="U26" i="41"/>
  <c r="U29" i="41" s="1"/>
  <c r="S169" i="40"/>
  <c r="U30" i="41" s="1"/>
  <c r="U33" i="41" s="1"/>
  <c r="O26" i="41"/>
  <c r="O29" i="41" s="1"/>
  <c r="M169" i="40"/>
  <c r="O30" i="41" s="1"/>
  <c r="O33" i="41" s="1"/>
  <c r="F115" i="30" l="1"/>
  <c r="F114" i="30" l="1"/>
  <c r="F120" i="30" l="1"/>
  <c r="F121" i="30"/>
  <c r="F122" i="30" l="1"/>
  <c r="B14" i="42" l="1"/>
  <c r="B24" i="42"/>
  <c r="C22" i="42" l="1"/>
  <c r="C21" i="42"/>
  <c r="C23" i="42"/>
  <c r="C26" i="42" s="1"/>
  <c r="C11" i="42"/>
  <c r="C13" i="42"/>
  <c r="C16" i="42" s="1"/>
  <c r="C12" i="42"/>
  <c r="C14" i="42" l="1"/>
  <c r="C17" i="42"/>
  <c r="D26" i="42"/>
  <c r="E79" i="30" s="1"/>
  <c r="F79" i="30" s="1"/>
  <c r="E26" i="42"/>
  <c r="E82" i="30" s="1"/>
  <c r="F82" i="30" s="1"/>
  <c r="C27" i="42"/>
  <c r="C24" i="42"/>
  <c r="D16" i="42"/>
  <c r="E40" i="30" s="1"/>
  <c r="F40" i="30" s="1"/>
  <c r="E16" i="42"/>
  <c r="E43" i="30" s="1"/>
  <c r="F43" i="30" s="1"/>
  <c r="D17" i="42" l="1"/>
  <c r="E41" i="30" s="1"/>
  <c r="F41" i="30" s="1"/>
  <c r="E17" i="42"/>
  <c r="E44" i="30" s="1"/>
  <c r="F44" i="30" s="1"/>
  <c r="E27" i="42"/>
  <c r="E83" i="30" s="1"/>
  <c r="F83" i="30" s="1"/>
  <c r="D27" i="42"/>
  <c r="E80" i="30" s="1"/>
  <c r="F80" i="30" s="1"/>
  <c r="I36" i="19" l="1"/>
  <c r="I38" i="19" s="1"/>
  <c r="I30" i="19"/>
  <c r="M30" i="19"/>
  <c r="U47" i="1"/>
  <c r="I56" i="18"/>
  <c r="I58" i="18" s="1"/>
  <c r="N47" i="1" s="1"/>
  <c r="K30" i="19"/>
  <c r="F27" i="41" l="1"/>
  <c r="P47" i="1"/>
  <c r="S47" i="1"/>
  <c r="I11" i="19"/>
  <c r="J11" i="19" s="1"/>
  <c r="I8" i="19"/>
  <c r="J8" i="19" s="1"/>
  <c r="I26" i="19"/>
  <c r="I13" i="19"/>
  <c r="J13" i="19" s="1"/>
  <c r="I12" i="19"/>
  <c r="J12" i="19" s="1"/>
  <c r="I18" i="19"/>
  <c r="J18" i="19" s="1"/>
  <c r="I17" i="19"/>
  <c r="J17" i="19" s="1"/>
  <c r="I22" i="19"/>
  <c r="J22" i="19" s="1"/>
  <c r="I19" i="19"/>
  <c r="J19" i="19" s="1"/>
  <c r="M8" i="19" l="1"/>
  <c r="U18" i="1"/>
  <c r="K8" i="19"/>
  <c r="I30" i="2" s="1"/>
  <c r="K19" i="19"/>
  <c r="I89" i="14" s="1"/>
  <c r="I90" i="14" s="1"/>
  <c r="M19" i="19"/>
  <c r="K18" i="19"/>
  <c r="M18" i="19"/>
  <c r="M12" i="19"/>
  <c r="K12" i="19"/>
  <c r="I59" i="13" s="1"/>
  <c r="K22" i="19"/>
  <c r="I39" i="15" s="1"/>
  <c r="M22" i="19"/>
  <c r="U36" i="1"/>
  <c r="Q47" i="1"/>
  <c r="G165" i="40"/>
  <c r="K11" i="19"/>
  <c r="J14" i="19"/>
  <c r="M11" i="19"/>
  <c r="M13" i="19"/>
  <c r="K13" i="19"/>
  <c r="I104" i="13" s="1"/>
  <c r="K17" i="19"/>
  <c r="M17" i="19"/>
  <c r="J20" i="19"/>
  <c r="I24" i="38"/>
  <c r="J26" i="19"/>
  <c r="V47" i="1"/>
  <c r="I63" i="13" l="1"/>
  <c r="I60" i="14"/>
  <c r="I61" i="14" s="1"/>
  <c r="I25" i="38"/>
  <c r="J24" i="38"/>
  <c r="J25" i="38" s="1"/>
  <c r="J26" i="38" s="1"/>
  <c r="I31" i="2"/>
  <c r="I106" i="13"/>
  <c r="I105" i="13"/>
  <c r="I107" i="13" s="1"/>
  <c r="I30" i="13"/>
  <c r="K14" i="19"/>
  <c r="I65" i="14"/>
  <c r="I67" i="14" s="1"/>
  <c r="I63" i="14"/>
  <c r="I64" i="14" s="1"/>
  <c r="K165" i="40"/>
  <c r="G166" i="40"/>
  <c r="I40" i="15"/>
  <c r="I41" i="15"/>
  <c r="I91" i="14"/>
  <c r="I92" i="14"/>
  <c r="M20" i="19"/>
  <c r="U31" i="1"/>
  <c r="M26" i="19"/>
  <c r="J28" i="19"/>
  <c r="K26" i="19"/>
  <c r="U43" i="1"/>
  <c r="I33" i="14"/>
  <c r="K20" i="19"/>
  <c r="M14" i="19"/>
  <c r="U25" i="1"/>
  <c r="I61" i="13"/>
  <c r="I168" i="13" s="1"/>
  <c r="I169" i="13" s="1"/>
  <c r="N43" i="1" l="1"/>
  <c r="K28" i="19"/>
  <c r="K32" i="19" s="1"/>
  <c r="G32" i="15"/>
  <c r="I32" i="15" s="1"/>
  <c r="G31" i="15"/>
  <c r="G17" i="15"/>
  <c r="I17" i="15" s="1"/>
  <c r="I31" i="13"/>
  <c r="I34" i="13" s="1"/>
  <c r="I32" i="13"/>
  <c r="I32" i="2"/>
  <c r="I36" i="2"/>
  <c r="I38" i="2" s="1"/>
  <c r="G74" i="14"/>
  <c r="G77" i="14"/>
  <c r="I77" i="14" s="1"/>
  <c r="G91" i="13"/>
  <c r="I91" i="13" s="1"/>
  <c r="G120" i="13"/>
  <c r="I120" i="13" s="1"/>
  <c r="G88" i="13"/>
  <c r="M28" i="19"/>
  <c r="I28" i="19"/>
  <c r="J32" i="19"/>
  <c r="I34" i="14"/>
  <c r="I36" i="14" s="1"/>
  <c r="I35" i="14"/>
  <c r="I170" i="13"/>
  <c r="I64" i="13"/>
  <c r="I65" i="13" s="1"/>
  <c r="I67" i="13" s="1"/>
  <c r="G169" i="40"/>
  <c r="I30" i="41" s="1"/>
  <c r="I27" i="41"/>
  <c r="I29" i="41" s="1"/>
  <c r="U45" i="1"/>
  <c r="K166" i="40"/>
  <c r="Q165" i="40"/>
  <c r="H25" i="38"/>
  <c r="I26" i="38"/>
  <c r="H26" i="38" s="1"/>
  <c r="M32" i="19" l="1"/>
  <c r="H24" i="38"/>
  <c r="G17" i="14"/>
  <c r="G20" i="14"/>
  <c r="I20" i="14" s="1"/>
  <c r="E37" i="30"/>
  <c r="I88" i="13"/>
  <c r="I89" i="13" s="1"/>
  <c r="G116" i="13"/>
  <c r="I116" i="13" s="1"/>
  <c r="I137" i="13"/>
  <c r="G117" i="13" s="1"/>
  <c r="I117" i="13" s="1"/>
  <c r="E57" i="40"/>
  <c r="G90" i="13"/>
  <c r="I90" i="13" s="1"/>
  <c r="E100" i="30"/>
  <c r="F100" i="30" s="1"/>
  <c r="I74" i="14"/>
  <c r="I75" i="14" s="1"/>
  <c r="E117" i="40"/>
  <c r="G76" i="14"/>
  <c r="I76" i="14" s="1"/>
  <c r="E133" i="30"/>
  <c r="G16" i="15"/>
  <c r="E136" i="40"/>
  <c r="I31" i="15"/>
  <c r="I33" i="15" s="1"/>
  <c r="I37" i="15" s="1"/>
  <c r="U49" i="1"/>
  <c r="G43" i="13"/>
  <c r="G48" i="13"/>
  <c r="I48" i="13" s="1"/>
  <c r="G45" i="13"/>
  <c r="G44" i="13"/>
  <c r="I22" i="2"/>
  <c r="G22" i="2" s="1"/>
  <c r="G18" i="2"/>
  <c r="G19" i="2"/>
  <c r="Q166" i="40"/>
  <c r="W165" i="40"/>
  <c r="W166" i="40" s="1"/>
  <c r="M27" i="41"/>
  <c r="G153" i="13"/>
  <c r="G152" i="13"/>
  <c r="G150" i="13"/>
  <c r="G151" i="13"/>
  <c r="G157" i="13"/>
  <c r="I157" i="13" s="1"/>
  <c r="G19" i="13"/>
  <c r="G20" i="13"/>
  <c r="G24" i="13"/>
  <c r="I24" i="13" s="1"/>
  <c r="S43" i="1"/>
  <c r="F24" i="41"/>
  <c r="E143" i="40"/>
  <c r="P43" i="1"/>
  <c r="F133" i="30" l="1"/>
  <c r="E18" i="30"/>
  <c r="G22" i="13"/>
  <c r="I22" i="13" s="1"/>
  <c r="I19" i="13"/>
  <c r="E32" i="40"/>
  <c r="E11" i="30"/>
  <c r="I18" i="2"/>
  <c r="N35" i="1"/>
  <c r="I92" i="13"/>
  <c r="I100" i="13" s="1"/>
  <c r="E75" i="40"/>
  <c r="E64" i="30"/>
  <c r="I152" i="13"/>
  <c r="E65" i="30"/>
  <c r="E76" i="40"/>
  <c r="I153" i="13"/>
  <c r="G156" i="13"/>
  <c r="I156" i="13" s="1"/>
  <c r="Y27" i="41"/>
  <c r="E41" i="40"/>
  <c r="E24" i="30"/>
  <c r="I43" i="13"/>
  <c r="W136" i="40"/>
  <c r="W139" i="40" s="1"/>
  <c r="K136" i="40"/>
  <c r="K139" i="40" s="1"/>
  <c r="Q136" i="40"/>
  <c r="Q139" i="40" s="1"/>
  <c r="Q117" i="40"/>
  <c r="Q122" i="40" s="1"/>
  <c r="K117" i="40"/>
  <c r="K122" i="40" s="1"/>
  <c r="W117" i="40"/>
  <c r="W122" i="40" s="1"/>
  <c r="K57" i="40"/>
  <c r="K64" i="40" s="1"/>
  <c r="W57" i="40"/>
  <c r="W64" i="40" s="1"/>
  <c r="Q57" i="40"/>
  <c r="Q64" i="40" s="1"/>
  <c r="F37" i="30"/>
  <c r="E55" i="30"/>
  <c r="F55" i="30" s="1"/>
  <c r="E63" i="30"/>
  <c r="E74" i="40"/>
  <c r="I151" i="13"/>
  <c r="G155" i="13"/>
  <c r="I155" i="13" s="1"/>
  <c r="S27" i="41"/>
  <c r="E42" i="40"/>
  <c r="I44" i="13"/>
  <c r="E25" i="30"/>
  <c r="I16" i="15"/>
  <c r="I18" i="15" s="1"/>
  <c r="I22" i="15" s="1"/>
  <c r="N34" i="1" s="1"/>
  <c r="G24" i="15"/>
  <c r="E130" i="30" s="1"/>
  <c r="F130" i="30" s="1"/>
  <c r="E128" i="40"/>
  <c r="E125" i="30"/>
  <c r="I78" i="14"/>
  <c r="I87" i="14" s="1"/>
  <c r="Q43" i="1"/>
  <c r="V43" i="1"/>
  <c r="Q143" i="40"/>
  <c r="Q144" i="40" s="1"/>
  <c r="W143" i="40"/>
  <c r="W144" i="40" s="1"/>
  <c r="K143" i="40"/>
  <c r="K144" i="40" s="1"/>
  <c r="E33" i="40"/>
  <c r="G23" i="13"/>
  <c r="I23" i="13" s="1"/>
  <c r="I20" i="13"/>
  <c r="E19" i="30"/>
  <c r="I150" i="13"/>
  <c r="E73" i="40"/>
  <c r="E62" i="30"/>
  <c r="I19" i="2"/>
  <c r="G21" i="2"/>
  <c r="I21" i="2" s="1"/>
  <c r="E12" i="30"/>
  <c r="G47" i="13"/>
  <c r="I47" i="13" s="1"/>
  <c r="I45" i="13"/>
  <c r="E43" i="40"/>
  <c r="E26" i="30"/>
  <c r="I118" i="13"/>
  <c r="I121" i="13" s="1"/>
  <c r="I132" i="13" s="1"/>
  <c r="G19" i="14"/>
  <c r="I19" i="14" s="1"/>
  <c r="I17" i="14"/>
  <c r="I18" i="14" s="1"/>
  <c r="E91" i="40"/>
  <c r="E76" i="30"/>
  <c r="I21" i="14" l="1"/>
  <c r="I29" i="14" s="1"/>
  <c r="F63" i="30"/>
  <c r="F125" i="30"/>
  <c r="F25" i="30"/>
  <c r="F24" i="30"/>
  <c r="F64" i="30"/>
  <c r="F26" i="30"/>
  <c r="F76" i="30"/>
  <c r="F62" i="30"/>
  <c r="F19" i="30"/>
  <c r="F65" i="30"/>
  <c r="F18" i="30"/>
  <c r="G173" i="13"/>
  <c r="K105" i="13"/>
  <c r="Q33" i="40"/>
  <c r="W33" i="40"/>
  <c r="K33" i="40"/>
  <c r="W74" i="40"/>
  <c r="Q74" i="40"/>
  <c r="K74" i="40"/>
  <c r="S17" i="41"/>
  <c r="M21" i="41"/>
  <c r="Y23" i="41"/>
  <c r="P35" i="1"/>
  <c r="Q35" i="1" s="1"/>
  <c r="S35" i="1"/>
  <c r="F23" i="41"/>
  <c r="W32" i="40"/>
  <c r="Q32" i="40"/>
  <c r="Q34" i="40" s="1"/>
  <c r="Q35" i="40" s="1"/>
  <c r="K32" i="40"/>
  <c r="K34" i="40" s="1"/>
  <c r="K35" i="40" s="1"/>
  <c r="M24" i="41"/>
  <c r="Q128" i="40"/>
  <c r="Q131" i="40" s="1"/>
  <c r="W128" i="40"/>
  <c r="W131" i="40" s="1"/>
  <c r="K128" i="40"/>
  <c r="K131" i="40" s="1"/>
  <c r="Y17" i="41"/>
  <c r="S21" i="41"/>
  <c r="I46" i="13"/>
  <c r="I49" i="13" s="1"/>
  <c r="I57" i="13" s="1"/>
  <c r="G80" i="13"/>
  <c r="Q76" i="40"/>
  <c r="W76" i="40"/>
  <c r="K76" i="40"/>
  <c r="Q75" i="40"/>
  <c r="K75" i="40"/>
  <c r="W75" i="40"/>
  <c r="I42" i="15"/>
  <c r="I44" i="15" s="1"/>
  <c r="I21" i="13"/>
  <c r="I25" i="13" s="1"/>
  <c r="K91" i="40"/>
  <c r="K98" i="40" s="1"/>
  <c r="Q91" i="40"/>
  <c r="Q98" i="40" s="1"/>
  <c r="W91" i="40"/>
  <c r="W98" i="40" s="1"/>
  <c r="F12" i="30"/>
  <c r="E20" i="40"/>
  <c r="K73" i="40"/>
  <c r="W73" i="40"/>
  <c r="W77" i="40" s="1"/>
  <c r="W84" i="40" s="1"/>
  <c r="Q73" i="40"/>
  <c r="Y24" i="41"/>
  <c r="K42" i="40"/>
  <c r="W42" i="40"/>
  <c r="Q42" i="40"/>
  <c r="M17" i="41"/>
  <c r="S23" i="41"/>
  <c r="I20" i="2"/>
  <c r="I23" i="2" s="1"/>
  <c r="I24" i="2" s="1"/>
  <c r="N28" i="1"/>
  <c r="I37" i="14"/>
  <c r="I38" i="14" s="1"/>
  <c r="W43" i="40"/>
  <c r="K43" i="40"/>
  <c r="Q43" i="40"/>
  <c r="G172" i="13"/>
  <c r="I154" i="13"/>
  <c r="I158" i="13" s="1"/>
  <c r="I166" i="13" s="1"/>
  <c r="S24" i="41"/>
  <c r="K87" i="14"/>
  <c r="N30" i="1"/>
  <c r="N36" i="1"/>
  <c r="P34" i="1"/>
  <c r="F22" i="41"/>
  <c r="S34" i="1"/>
  <c r="Y21" i="41"/>
  <c r="M23" i="41"/>
  <c r="Q41" i="40"/>
  <c r="W41" i="40"/>
  <c r="K41" i="40"/>
  <c r="I108" i="13"/>
  <c r="N23" i="1"/>
  <c r="F11" i="30"/>
  <c r="E19" i="40"/>
  <c r="K44" i="40" l="1"/>
  <c r="K51" i="40" s="1"/>
  <c r="W34" i="40"/>
  <c r="W35" i="40" s="1"/>
  <c r="Y15" i="41" s="1"/>
  <c r="W44" i="40"/>
  <c r="W51" i="40" s="1"/>
  <c r="Y16" i="41" s="1"/>
  <c r="Q77" i="40"/>
  <c r="Q84" i="40" s="1"/>
  <c r="S18" i="41" s="1"/>
  <c r="K19" i="40"/>
  <c r="Q19" i="40"/>
  <c r="W19" i="40"/>
  <c r="M16" i="41"/>
  <c r="I26" i="13"/>
  <c r="G28" i="13"/>
  <c r="S22" i="41"/>
  <c r="M15" i="41"/>
  <c r="P36" i="1"/>
  <c r="Q34" i="1"/>
  <c r="N31" i="1"/>
  <c r="S31" i="1" s="1"/>
  <c r="F19" i="41"/>
  <c r="S28" i="1"/>
  <c r="P28" i="1"/>
  <c r="Y18" i="41"/>
  <c r="Y19" i="41"/>
  <c r="N22" i="1"/>
  <c r="I68" i="13"/>
  <c r="I69" i="13" s="1"/>
  <c r="S15" i="41"/>
  <c r="Q44" i="40"/>
  <c r="Q51" i="40" s="1"/>
  <c r="S36" i="1"/>
  <c r="N17" i="1"/>
  <c r="I33" i="2"/>
  <c r="K77" i="40"/>
  <c r="K84" i="40" s="1"/>
  <c r="S19" i="41"/>
  <c r="M22" i="41"/>
  <c r="S23" i="1"/>
  <c r="P23" i="1"/>
  <c r="Q23" i="1" s="1"/>
  <c r="F17" i="41"/>
  <c r="S30" i="1"/>
  <c r="F21" i="41"/>
  <c r="P30" i="1"/>
  <c r="Q30" i="1" s="1"/>
  <c r="N24" i="1"/>
  <c r="K169" i="13"/>
  <c r="I60" i="13"/>
  <c r="Q20" i="40"/>
  <c r="K20" i="40"/>
  <c r="W20" i="40"/>
  <c r="M19" i="41"/>
  <c r="Y22" i="41"/>
  <c r="P22" i="1" l="1"/>
  <c r="Q22" i="1" s="1"/>
  <c r="S22" i="1"/>
  <c r="F16" i="41"/>
  <c r="N21" i="1"/>
  <c r="I35" i="13"/>
  <c r="I36" i="13"/>
  <c r="P17" i="1"/>
  <c r="F14" i="41"/>
  <c r="S17" i="1"/>
  <c r="N18" i="1"/>
  <c r="S18" i="1" s="1"/>
  <c r="P31" i="1"/>
  <c r="Q28" i="1"/>
  <c r="W21" i="40"/>
  <c r="W22" i="40" s="1"/>
  <c r="S16" i="41"/>
  <c r="Q36" i="1"/>
  <c r="V36" i="1"/>
  <c r="Q21" i="40"/>
  <c r="Q22" i="40" s="1"/>
  <c r="P24" i="1"/>
  <c r="Q24" i="1" s="1"/>
  <c r="F18" i="41"/>
  <c r="S24" i="1"/>
  <c r="M18" i="41"/>
  <c r="K21" i="40"/>
  <c r="K22" i="40" s="1"/>
  <c r="S14" i="41" l="1"/>
  <c r="Q169" i="40"/>
  <c r="S30" i="41" s="1"/>
  <c r="S31" i="41" s="1"/>
  <c r="S33" i="41" s="1"/>
  <c r="T35" i="19" s="1"/>
  <c r="T36" i="19" s="1"/>
  <c r="M14" i="41"/>
  <c r="Q31" i="1"/>
  <c r="V31" i="1"/>
  <c r="P18" i="1"/>
  <c r="Q17" i="1"/>
  <c r="P21" i="1"/>
  <c r="F15" i="41"/>
  <c r="F29" i="41" s="1"/>
  <c r="F30" i="41" s="1"/>
  <c r="S21" i="1"/>
  <c r="N25" i="1"/>
  <c r="K169" i="40"/>
  <c r="M30" i="41" s="1"/>
  <c r="M31" i="41" s="1"/>
  <c r="M33" i="41" s="1"/>
  <c r="S35" i="19" s="1"/>
  <c r="S36" i="19" s="1"/>
  <c r="Y14" i="41"/>
  <c r="W169" i="40"/>
  <c r="Y30" i="41" s="1"/>
  <c r="Y31" i="41" s="1"/>
  <c r="Y33" i="41" s="1"/>
  <c r="U35" i="19" s="1"/>
  <c r="U36" i="19" s="1"/>
  <c r="Y29" i="41" l="1"/>
  <c r="S29" i="41"/>
  <c r="M29" i="41"/>
  <c r="T26" i="19"/>
  <c r="T8" i="19"/>
  <c r="R23" i="40" s="1"/>
  <c r="R21" i="40" s="1"/>
  <c r="T30" i="19"/>
  <c r="R167" i="40" s="1"/>
  <c r="R162" i="40" s="1"/>
  <c r="T17" i="19"/>
  <c r="T22" i="19"/>
  <c r="T24" i="19"/>
  <c r="T11" i="19"/>
  <c r="T18" i="19"/>
  <c r="R112" i="40" s="1"/>
  <c r="R104" i="40" s="1"/>
  <c r="T13" i="19"/>
  <c r="R65" i="40" s="1"/>
  <c r="R57" i="40" s="1"/>
  <c r="T12" i="19"/>
  <c r="T19" i="19"/>
  <c r="R123" i="40" s="1"/>
  <c r="R117" i="40" s="1"/>
  <c r="S13" i="19"/>
  <c r="L65" i="40" s="1"/>
  <c r="L57" i="40" s="1"/>
  <c r="S12" i="19"/>
  <c r="S26" i="19"/>
  <c r="L145" i="40" s="1"/>
  <c r="L143" i="40" s="1"/>
  <c r="S18" i="19"/>
  <c r="L112" i="40" s="1"/>
  <c r="L104" i="40" s="1"/>
  <c r="S19" i="19"/>
  <c r="L123" i="40" s="1"/>
  <c r="L117" i="40" s="1"/>
  <c r="S30" i="19"/>
  <c r="L167" i="40" s="1"/>
  <c r="L162" i="40" s="1"/>
  <c r="S11" i="19"/>
  <c r="S8" i="19"/>
  <c r="L23" i="40" s="1"/>
  <c r="L21" i="40" s="1"/>
  <c r="S24" i="19"/>
  <c r="S17" i="19"/>
  <c r="S22" i="19"/>
  <c r="P25" i="1"/>
  <c r="Q21" i="1"/>
  <c r="Q18" i="1"/>
  <c r="V18" i="1"/>
  <c r="U17" i="19"/>
  <c r="U22" i="19"/>
  <c r="U13" i="19"/>
  <c r="X65" i="40" s="1"/>
  <c r="X57" i="40" s="1"/>
  <c r="U24" i="19"/>
  <c r="U12" i="19"/>
  <c r="U8" i="19"/>
  <c r="X23" i="40" s="1"/>
  <c r="X21" i="40" s="1"/>
  <c r="U19" i="19"/>
  <c r="X123" i="40" s="1"/>
  <c r="X117" i="40" s="1"/>
  <c r="U18" i="19"/>
  <c r="X112" i="40" s="1"/>
  <c r="X104" i="40" s="1"/>
  <c r="U26" i="19"/>
  <c r="X145" i="40" s="1"/>
  <c r="X143" i="40" s="1"/>
  <c r="U30" i="19"/>
  <c r="X167" i="40" s="1"/>
  <c r="X162" i="40" s="1"/>
  <c r="U11" i="19"/>
  <c r="S25" i="1"/>
  <c r="N45" i="1"/>
  <c r="X166" i="40" l="1"/>
  <c r="Z27" i="41" s="1"/>
  <c r="R166" i="40"/>
  <c r="L144" i="40"/>
  <c r="N24" i="41" s="1"/>
  <c r="X144" i="40"/>
  <c r="Z24" i="41" s="1"/>
  <c r="L166" i="40"/>
  <c r="P11" i="30"/>
  <c r="X22" i="40"/>
  <c r="X140" i="40"/>
  <c r="X136" i="40" s="1"/>
  <c r="X132" i="40"/>
  <c r="X128" i="40" s="1"/>
  <c r="L159" i="40"/>
  <c r="L156" i="40" s="1"/>
  <c r="L152" i="40"/>
  <c r="L148" i="40" s="1"/>
  <c r="L122" i="40"/>
  <c r="N100" i="30"/>
  <c r="L64" i="40"/>
  <c r="N37" i="30"/>
  <c r="R111" i="40"/>
  <c r="O90" i="30"/>
  <c r="R99" i="40"/>
  <c r="R91" i="40" s="1"/>
  <c r="T20" i="19"/>
  <c r="S45" i="1"/>
  <c r="N49" i="1"/>
  <c r="X85" i="40"/>
  <c r="X77" i="40" s="1"/>
  <c r="X52" i="40"/>
  <c r="X44" i="40" s="1"/>
  <c r="N90" i="30"/>
  <c r="L111" i="40"/>
  <c r="R122" i="40"/>
  <c r="O100" i="30"/>
  <c r="T14" i="19"/>
  <c r="R36" i="40"/>
  <c r="R34" i="40" s="1"/>
  <c r="T27" i="41"/>
  <c r="S168" i="40"/>
  <c r="N11" i="30"/>
  <c r="L22" i="40"/>
  <c r="X152" i="40"/>
  <c r="X148" i="40" s="1"/>
  <c r="X159" i="40"/>
  <c r="X156" i="40" s="1"/>
  <c r="R52" i="40"/>
  <c r="R44" i="40" s="1"/>
  <c r="R85" i="40"/>
  <c r="R77" i="40" s="1"/>
  <c r="R152" i="40"/>
  <c r="R148" i="40" s="1"/>
  <c r="R159" i="40"/>
  <c r="R156" i="40" s="1"/>
  <c r="O11" i="30"/>
  <c r="R22" i="40"/>
  <c r="U20" i="19"/>
  <c r="X99" i="40"/>
  <c r="X91" i="40" s="1"/>
  <c r="Q25" i="1"/>
  <c r="V25" i="1"/>
  <c r="P45" i="1"/>
  <c r="P90" i="30"/>
  <c r="X111" i="40"/>
  <c r="L140" i="40"/>
  <c r="L136" i="40" s="1"/>
  <c r="L132" i="40"/>
  <c r="L128" i="40" s="1"/>
  <c r="L36" i="40"/>
  <c r="L34" i="40" s="1"/>
  <c r="S14" i="19"/>
  <c r="U14" i="19"/>
  <c r="X36" i="40"/>
  <c r="X34" i="40" s="1"/>
  <c r="X122" i="40"/>
  <c r="P100" i="30"/>
  <c r="X64" i="40"/>
  <c r="P37" i="30"/>
  <c r="L99" i="40"/>
  <c r="L91" i="40" s="1"/>
  <c r="S20" i="19"/>
  <c r="N27" i="41"/>
  <c r="M168" i="40"/>
  <c r="L85" i="40"/>
  <c r="L77" i="40" s="1"/>
  <c r="L52" i="40"/>
  <c r="L44" i="40" s="1"/>
  <c r="R64" i="40"/>
  <c r="O37" i="30"/>
  <c r="R140" i="40"/>
  <c r="R136" i="40" s="1"/>
  <c r="R132" i="40"/>
  <c r="R128" i="40" s="1"/>
  <c r="R145" i="40"/>
  <c r="R143" i="40" s="1"/>
  <c r="Y146" i="40" l="1"/>
  <c r="M146" i="40"/>
  <c r="Y168" i="40"/>
  <c r="T28" i="19"/>
  <c r="T32" i="19" s="1"/>
  <c r="N55" i="30"/>
  <c r="O55" i="30"/>
  <c r="P55" i="30"/>
  <c r="R144" i="40"/>
  <c r="S146" i="40" s="1"/>
  <c r="S49" i="1"/>
  <c r="N24" i="30"/>
  <c r="L51" i="40"/>
  <c r="Z17" i="41"/>
  <c r="Y66" i="40"/>
  <c r="L139" i="40"/>
  <c r="N133" i="30"/>
  <c r="R158" i="40"/>
  <c r="O110" i="30"/>
  <c r="N14" i="41"/>
  <c r="M24" i="40"/>
  <c r="T21" i="41"/>
  <c r="S124" i="40"/>
  <c r="X84" i="40"/>
  <c r="P62" i="30"/>
  <c r="R98" i="40"/>
  <c r="O76" i="30"/>
  <c r="N17" i="41"/>
  <c r="M66" i="40"/>
  <c r="N110" i="30"/>
  <c r="L158" i="40"/>
  <c r="R131" i="40"/>
  <c r="O125" i="30"/>
  <c r="L84" i="40"/>
  <c r="N62" i="30"/>
  <c r="S28" i="19"/>
  <c r="S32" i="19" s="1"/>
  <c r="Y113" i="40"/>
  <c r="Z20" i="41"/>
  <c r="R151" i="40"/>
  <c r="O138" i="30"/>
  <c r="O18" i="30"/>
  <c r="R35" i="40"/>
  <c r="N20" i="41"/>
  <c r="M113" i="40"/>
  <c r="P125" i="30"/>
  <c r="X131" i="40"/>
  <c r="R139" i="40"/>
  <c r="O133" i="30"/>
  <c r="N76" i="30"/>
  <c r="L98" i="40"/>
  <c r="Z21" i="41"/>
  <c r="Y124" i="40"/>
  <c r="N18" i="30"/>
  <c r="L35" i="40"/>
  <c r="X98" i="40"/>
  <c r="P76" i="30"/>
  <c r="T14" i="41"/>
  <c r="S24" i="40"/>
  <c r="R84" i="40"/>
  <c r="O62" i="30"/>
  <c r="X158" i="40"/>
  <c r="P110" i="30"/>
  <c r="T20" i="41"/>
  <c r="S113" i="40"/>
  <c r="N21" i="41"/>
  <c r="M124" i="40"/>
  <c r="P133" i="30"/>
  <c r="X139" i="40"/>
  <c r="T17" i="41"/>
  <c r="S66" i="40"/>
  <c r="P18" i="30"/>
  <c r="X35" i="40"/>
  <c r="L131" i="40"/>
  <c r="N125" i="30"/>
  <c r="Q45" i="1"/>
  <c r="P49" i="1"/>
  <c r="Q49" i="1" s="1"/>
  <c r="V45" i="1"/>
  <c r="V49" i="1" s="1"/>
  <c r="U28" i="19"/>
  <c r="U32" i="19" s="1"/>
  <c r="R51" i="40"/>
  <c r="O24" i="30"/>
  <c r="P138" i="30"/>
  <c r="X151" i="40"/>
  <c r="X51" i="40"/>
  <c r="P24" i="30"/>
  <c r="L151" i="40"/>
  <c r="N138" i="30"/>
  <c r="Z14" i="41"/>
  <c r="Y24" i="40"/>
  <c r="T24" i="41" l="1"/>
  <c r="N141" i="30"/>
  <c r="O141" i="30"/>
  <c r="P141" i="30"/>
  <c r="N22" i="41"/>
  <c r="M133" i="40"/>
  <c r="T18" i="41"/>
  <c r="S86" i="40"/>
  <c r="Z19" i="41"/>
  <c r="Y100" i="40"/>
  <c r="T23" i="41"/>
  <c r="S141" i="40"/>
  <c r="T25" i="41"/>
  <c r="S153" i="40"/>
  <c r="T153" i="40" s="1"/>
  <c r="N26" i="41"/>
  <c r="M160" i="40"/>
  <c r="L169" i="40"/>
  <c r="N30" i="41" s="1"/>
  <c r="N33" i="41" s="1"/>
  <c r="Z15" i="41"/>
  <c r="Y37" i="40"/>
  <c r="N15" i="41"/>
  <c r="M37" i="40"/>
  <c r="N19" i="41"/>
  <c r="M100" i="40"/>
  <c r="Z22" i="41"/>
  <c r="Y133" i="40"/>
  <c r="T15" i="41"/>
  <c r="S37" i="40"/>
  <c r="N18" i="41"/>
  <c r="M86" i="40"/>
  <c r="T19" i="41"/>
  <c r="S100" i="40"/>
  <c r="T26" i="41"/>
  <c r="S160" i="40"/>
  <c r="R169" i="40"/>
  <c r="T30" i="41" s="1"/>
  <c r="T33" i="41" s="1"/>
  <c r="Z26" i="41"/>
  <c r="Y160" i="40"/>
  <c r="X169" i="40"/>
  <c r="Z30" i="41" s="1"/>
  <c r="Z33" i="41" s="1"/>
  <c r="N16" i="41"/>
  <c r="M53" i="40"/>
  <c r="N25" i="41"/>
  <c r="M153" i="40"/>
  <c r="Z16" i="41"/>
  <c r="Y53" i="40"/>
  <c r="T16" i="41"/>
  <c r="S53" i="40"/>
  <c r="Z25" i="41"/>
  <c r="Y153" i="40"/>
  <c r="Z23" i="41"/>
  <c r="Y141" i="40"/>
  <c r="T22" i="41"/>
  <c r="S133" i="40"/>
  <c r="Z18" i="41"/>
  <c r="Y86" i="40"/>
  <c r="N23" i="41"/>
  <c r="M141" i="40"/>
  <c r="T29" i="41" l="1"/>
  <c r="U34" i="41" s="1"/>
  <c r="U36" i="41" s="1"/>
  <c r="T38" i="19" s="1"/>
  <c r="N29" i="41"/>
  <c r="O34" i="41" s="1"/>
  <c r="O36" i="41" s="1"/>
  <c r="S38" i="19" s="1"/>
  <c r="Z29" i="41"/>
  <c r="AA34" i="41" s="1"/>
  <c r="AA36" i="41" s="1"/>
  <c r="U38" i="19" s="1"/>
  <c r="I52" i="1" l="1"/>
  <c r="L52" i="1" l="1"/>
</calcChain>
</file>

<file path=xl/sharedStrings.xml><?xml version="1.0" encoding="utf-8"?>
<sst xmlns="http://schemas.openxmlformats.org/spreadsheetml/2006/main" count="1443" uniqueCount="587">
  <si>
    <t xml:space="preserve"> </t>
  </si>
  <si>
    <t>TABLE A. PRESENT AND PROPOSED RATES</t>
  </si>
  <si>
    <t>ESTIMATED EFFECT OF PROPOSED BASE RATE INCREASE</t>
  </si>
  <si>
    <t>Present</t>
  </si>
  <si>
    <t>Proposed</t>
  </si>
  <si>
    <t>Line</t>
  </si>
  <si>
    <t>No.</t>
  </si>
  <si>
    <t>Description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</si>
  <si>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</si>
  <si>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</si>
  <si>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</si>
  <si>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</si>
  <si>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</si>
  <si>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</si>
  <si>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</si>
  <si>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</si>
  <si>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</si>
  <si>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</si>
  <si>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</si>
  <si>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</si>
  <si>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</si>
  <si>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</si>
  <si>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</si>
  <si>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</si>
  <si>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</si>
  <si>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</si>
  <si>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</si>
  <si>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</si>
  <si>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</si>
  <si>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</si>
  <si>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</si>
  <si>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</si>
  <si>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</si>
  <si>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</si>
  <si>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</si>
  <si>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</si>
  <si>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</si>
  <si>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</si>
  <si>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</si>
  <si>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</si>
  <si>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</si>
  <si>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</si>
  <si>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</si>
  <si>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</si>
  <si>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</si>
  <si>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</si>
  <si>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</si>
  <si>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</si>
  <si>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</si>
  <si>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</si>
  <si>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</si>
  <si>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</si>
  <si>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</si>
  <si>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</si>
  <si>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</si>
  <si>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</si>
  <si>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</si>
  <si>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</si>
  <si>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</si>
  <si>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</si>
  <si>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</si>
  <si>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</si>
  <si>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</si>
  <si>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</si>
  <si>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</si>
  <si>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</si>
  <si>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</si>
  <si>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</si>
  <si>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</si>
  <si>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</si>
  <si>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</si>
  <si>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</si>
  <si>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</si>
  <si>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</si>
  <si>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</si>
  <si>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</si>
  <si>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</si>
  <si>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</si>
  <si>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</si>
  <si>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</si>
  <si>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</si>
  <si>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</si>
  <si>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</si>
  <si>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</si>
  <si>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</si>
  <si>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</si>
  <si>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</si>
  <si>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</si>
  <si>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</si>
  <si>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</si>
  <si>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</si>
  <si>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</si>
  <si>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</si>
  <si>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</si>
  <si>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</si>
  <si>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</si>
  <si>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</si>
  <si>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</si>
  <si>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</si>
  <si>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</si>
  <si>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</si>
  <si>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</si>
  <si>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</si>
  <si>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</si>
  <si>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</si>
  <si>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</si>
  <si>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</si>
  <si>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</si>
  <si>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</si>
  <si>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SCHEDULES 10 &amp; 31</t>
  </si>
  <si>
    <t>Primary Voltage Rate Design</t>
  </si>
  <si>
    <t>Primary Voltage General Service</t>
  </si>
  <si>
    <t>SCHEDULE 35</t>
  </si>
  <si>
    <t>Same as Sch 31</t>
  </si>
  <si>
    <t>Loss Adj</t>
  </si>
  <si>
    <t>Reactive Power Charge Reduction to Base Rates:</t>
  </si>
  <si>
    <t>SCHEDULE 43</t>
  </si>
  <si>
    <t>Primary Voltage Interruptible Schools</t>
  </si>
  <si>
    <t>All Demand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</si>
  <si>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</si>
  <si>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</si>
  <si>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</si>
  <si>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</si>
  <si>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</si>
  <si>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</si>
  <si>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</si>
  <si>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</si>
  <si>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</si>
  <si>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</si>
  <si>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</si>
  <si>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</si>
  <si>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</si>
  <si>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</si>
  <si>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</si>
  <si>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</si>
  <si>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</si>
  <si>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</si>
  <si>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</si>
  <si>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</si>
  <si>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</si>
  <si>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</si>
  <si>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</si>
  <si>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</si>
  <si>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</si>
  <si>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</si>
  <si>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</si>
  <si>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</si>
  <si>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</si>
  <si>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</si>
  <si>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</si>
  <si>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</si>
  <si>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</si>
  <si>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</si>
  <si>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</si>
  <si>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</si>
  <si>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</si>
  <si>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</si>
  <si>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</si>
  <si>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</si>
  <si>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</si>
  <si>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</si>
  <si>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</si>
  <si>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</si>
  <si>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</si>
  <si>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</si>
  <si>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</si>
  <si>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</si>
  <si>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</si>
  <si>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</si>
  <si>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</si>
  <si>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</si>
  <si>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</si>
  <si>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</si>
  <si>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</si>
  <si>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</si>
  <si>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</si>
  <si>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</si>
  <si>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</si>
  <si>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</si>
  <si>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</si>
  <si>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</si>
  <si>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MWh</t>
  </si>
  <si>
    <t>Proposed
Revenue
($000)</t>
  </si>
  <si>
    <t>Proforma
Revenue
($000)</t>
  </si>
  <si>
    <t>Over 600 kWh</t>
  </si>
  <si>
    <t>Tariffed Rate Components</t>
  </si>
  <si>
    <t>Tariff
Rate
Schedule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</si>
  <si>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</si>
  <si>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</si>
  <si>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</si>
  <si>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</si>
  <si>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</si>
  <si>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</si>
  <si>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</si>
  <si>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</si>
  <si>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</si>
  <si>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</si>
  <si>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</si>
  <si>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</si>
  <si>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</si>
  <si>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</si>
  <si>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</si>
  <si>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</si>
  <si>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</si>
  <si>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</si>
  <si>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</si>
  <si>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</si>
  <si>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</si>
  <si>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</si>
  <si>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</si>
  <si>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</si>
  <si>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</si>
  <si>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</si>
  <si>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</si>
  <si>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</si>
  <si>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</si>
  <si>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</si>
  <si>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</si>
  <si>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</si>
  <si>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</si>
  <si>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</si>
  <si>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</si>
  <si>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</si>
  <si>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</si>
  <si>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</si>
  <si>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</si>
  <si>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</si>
  <si>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</si>
  <si>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</si>
  <si>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</si>
  <si>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</si>
  <si>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</si>
  <si>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</si>
  <si>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</si>
  <si>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</si>
  <si>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</si>
  <si>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</si>
  <si>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</si>
  <si>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</si>
  <si>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</si>
  <si>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</si>
  <si>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</si>
  <si>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</si>
  <si>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</si>
  <si>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</si>
  <si>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</si>
  <si>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</si>
  <si>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</si>
  <si>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</si>
  <si>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</si>
  <si>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>Summary of Proposed Rate Design</t>
  </si>
  <si>
    <t>Rate Schedule</t>
  </si>
  <si>
    <t>Tariff</t>
  </si>
  <si>
    <t>Lamp Charge</t>
  </si>
  <si>
    <t>na</t>
  </si>
  <si>
    <t>Sec Volt &lt;= 50 kW Demand</t>
  </si>
  <si>
    <t xml:space="preserve">Sec Volt 50 &gt; kW Demand &lt;=350 </t>
  </si>
  <si>
    <t>Sec Volt &gt; 350 kW Demand</t>
  </si>
  <si>
    <t>Sec Volt, Irrigation</t>
  </si>
  <si>
    <t>Pri Volt - Gen Svc</t>
  </si>
  <si>
    <t>Pri Volt - Irrigation</t>
  </si>
  <si>
    <t>Pri Volt - Interruptible Schools</t>
  </si>
  <si>
    <t>High Volt - Interruptible</t>
  </si>
  <si>
    <t>Same as Schedule 49</t>
  </si>
  <si>
    <t>High Volt - Gen Service</t>
  </si>
  <si>
    <t>448/449</t>
  </si>
  <si>
    <t>See Testimony</t>
  </si>
  <si>
    <t>General Service</t>
  </si>
  <si>
    <t>Irrigation</t>
  </si>
  <si>
    <t>10 / 31</t>
  </si>
  <si>
    <t>Same as Tail Block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</si>
  <si>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</si>
  <si>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</si>
  <si>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</si>
  <si>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</si>
  <si>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</si>
  <si>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Target Dollars Sch 35</t>
  </si>
  <si>
    <t>Basic Charge Increase</t>
  </si>
  <si>
    <t>Target Dollars Sch 10/31</t>
  </si>
  <si>
    <t>kW &amp; Reactive Rev</t>
  </si>
  <si>
    <t>Total Demand Revenue</t>
  </si>
  <si>
    <t>Energy Rounding Adjustment =</t>
  </si>
  <si>
    <t>Present Revenue</t>
  </si>
  <si>
    <t>Pole Rentals - Sch 55, 56, 58 &amp; 59</t>
  </si>
  <si>
    <t>Avg Demand</t>
  </si>
  <si>
    <t>Avg Energy Block 1</t>
  </si>
  <si>
    <t>Avg Energy Block 2</t>
  </si>
  <si>
    <t>MSSC</t>
  </si>
  <si>
    <t>Choice / Retail Wheeling / Special Contract</t>
  </si>
  <si>
    <t>Transportation &amp; Wholesale for Resale &amp; Special Contract</t>
  </si>
  <si>
    <t>Total kVa</t>
  </si>
  <si>
    <t>Actual
Annual</t>
  </si>
  <si>
    <t>Customers</t>
  </si>
  <si>
    <t>Distribution Charges</t>
  </si>
  <si>
    <t>Distribution Demand Charge Direct Assignment</t>
  </si>
  <si>
    <t>Basic Chg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</si>
  <si>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</si>
  <si>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</si>
  <si>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</si>
  <si>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</si>
  <si>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</si>
  <si>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</si>
  <si>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</si>
  <si>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</si>
  <si>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</si>
  <si>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(MWH)</t>
  </si>
  <si>
    <t>Set to COS Basic Charge</t>
  </si>
  <si>
    <t>Special Contract</t>
  </si>
  <si>
    <t>449 / 459 / SC</t>
  </si>
  <si>
    <t>Delivery Demand Charge</t>
  </si>
  <si>
    <t>Conjunctive Maximum Demand Charge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</si>
  <si>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</si>
  <si>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</si>
  <si>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</si>
  <si>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</si>
  <si>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</si>
  <si>
    <t>ECOS Parity Ratio</t>
  </si>
  <si>
    <t>C = B - A</t>
  </si>
  <si>
    <t>Sheet No.</t>
  </si>
  <si>
    <t>Schedule 26</t>
  </si>
  <si>
    <t>26-B</t>
  </si>
  <si>
    <t>---</t>
  </si>
  <si>
    <t>Schedule 31</t>
  </si>
  <si>
    <t>31-B</t>
  </si>
  <si>
    <t>Schedule 35</t>
  </si>
  <si>
    <t>Schedule 49</t>
  </si>
  <si>
    <t>Schedule 29</t>
  </si>
  <si>
    <t>Schedule 46</t>
  </si>
  <si>
    <t>46-A</t>
  </si>
  <si>
    <t>Schedule 7A, 25</t>
  </si>
  <si>
    <t>Schedule 24</t>
  </si>
  <si>
    <t>Schedule 43</t>
  </si>
  <si>
    <t>43-A</t>
  </si>
  <si>
    <t>7-B, 25</t>
  </si>
  <si>
    <t>7-B, 25-A</t>
  </si>
  <si>
    <t>Current
Rates
Effective
October 1, 2021</t>
  </si>
  <si>
    <t>Proposed
Rate
Change
January 2023</t>
  </si>
  <si>
    <t>Docket No. UE-22xxxx</t>
  </si>
  <si>
    <t>Percent of Total w/o Schedule 449, SC &amp; Firm Resale</t>
  </si>
  <si>
    <t>12 MONTHS ENDED JUNE 2021</t>
  </si>
  <si>
    <t>Effective January 2023</t>
  </si>
  <si>
    <t>State Utility Tax</t>
  </si>
  <si>
    <t>Proposed Effective 
January 2023</t>
  </si>
  <si>
    <t>YE 2024</t>
  </si>
  <si>
    <t>YE 2025</t>
  </si>
  <si>
    <t>Schedule 25 Demand Related Revenue</t>
  </si>
  <si>
    <t>Energy $ / kWh Adj</t>
  </si>
  <si>
    <t>Schedule 24 $/kWh Adjustment</t>
  </si>
  <si>
    <t>Schedule 24 Rounding Residual</t>
  </si>
  <si>
    <t>Target Dollars Sch 46 &amp; 49</t>
  </si>
  <si>
    <t>YE 2023</t>
  </si>
  <si>
    <t>Proposed
Rate Year Rates
Effective
January 2023</t>
  </si>
  <si>
    <t>Proposed
Test Year Rates
Effective
January 2023</t>
  </si>
  <si>
    <t>Proposed
Rate Year Rates
Effective
January 2024</t>
  </si>
  <si>
    <t>Proposed
Rate Year Rates
Effective
January 2025</t>
  </si>
  <si>
    <t>Twelve Months ended June 2021</t>
  </si>
  <si>
    <t>MYRP 2023 Increase</t>
  </si>
  <si>
    <t>MYRP 2024 Increase</t>
  </si>
  <si>
    <t>MYRP 2025 Increase</t>
  </si>
  <si>
    <t>a</t>
  </si>
  <si>
    <t>b</t>
  </si>
  <si>
    <t>c=a*b</t>
  </si>
  <si>
    <t>d=b*A</t>
  </si>
  <si>
    <t>e=a*d</t>
  </si>
  <si>
    <t>f</t>
  </si>
  <si>
    <t>g</t>
  </si>
  <si>
    <t>h</t>
  </si>
  <si>
    <t>ESTIMATED EFFECT OF PROPOSED MULTI-YEAR RATE PLAN RATE INCREASE</t>
  </si>
  <si>
    <t>Bill Determinants</t>
  </si>
  <si>
    <t>Proforma</t>
  </si>
  <si>
    <t>Proforma $</t>
  </si>
  <si>
    <t>c</t>
  </si>
  <si>
    <t>d</t>
  </si>
  <si>
    <t>e</t>
  </si>
  <si>
    <t>i</t>
  </si>
  <si>
    <t>j</t>
  </si>
  <si>
    <t>Single Phase</t>
  </si>
  <si>
    <t>Three Phase</t>
  </si>
  <si>
    <t>Total Schedule 7</t>
  </si>
  <si>
    <t>Total Schedule 8, 24</t>
  </si>
  <si>
    <t>Total Schedule 7A, 11, 25</t>
  </si>
  <si>
    <t>MYRP Increase</t>
  </si>
  <si>
    <t>Total Schedule 12, 26, 26P</t>
  </si>
  <si>
    <t>Total Schedule 29</t>
  </si>
  <si>
    <t>Total Schedule 31</t>
  </si>
  <si>
    <t>Total Schedule 35</t>
  </si>
  <si>
    <t>All kW</t>
  </si>
  <si>
    <t>Total Schedule 43</t>
  </si>
  <si>
    <t>All kVa</t>
  </si>
  <si>
    <t>Total Schedule 46</t>
  </si>
  <si>
    <t>Total Schedule 49</t>
  </si>
  <si>
    <t>3, 50-59</t>
  </si>
  <si>
    <t>Lighting - kWh</t>
  </si>
  <si>
    <t>Total Lighting</t>
  </si>
  <si>
    <t>Total Retail Wheeling</t>
  </si>
  <si>
    <t>Secondary Voltage Pumping &amp; Irrigation Service</t>
  </si>
  <si>
    <t>Primary Voltage Pumping &amp; Irrigation Service</t>
  </si>
  <si>
    <t>Primary Voltage Interruptible Service</t>
  </si>
  <si>
    <t>Lighting Service</t>
  </si>
  <si>
    <t>Retail Wheeling Service</t>
  </si>
  <si>
    <t>kW</t>
  </si>
  <si>
    <t>Total Special Contract</t>
  </si>
  <si>
    <t>OATT</t>
  </si>
  <si>
    <t>$ / Month</t>
  </si>
  <si>
    <t>$ / kWh</t>
  </si>
  <si>
    <t>12 MONTHS ENDED DECEMBER 2023, 2024 &amp; 2025</t>
  </si>
  <si>
    <t>YE 2022</t>
  </si>
  <si>
    <t>12 MONTHS ENDED DECEMBER 2022, 2023, 2024 &amp; 2025</t>
  </si>
  <si>
    <t>MYRP Rates - Non-Refundable Sch 141N</t>
  </si>
  <si>
    <t>Refundable</t>
  </si>
  <si>
    <t>Non-Refundable</t>
  </si>
  <si>
    <t>Proposed Base $</t>
  </si>
  <si>
    <t>Proforma Base $</t>
  </si>
  <si>
    <t>Subtotal Base Revenue</t>
  </si>
  <si>
    <t>Sch 141N</t>
  </si>
  <si>
    <t>Sch 141R</t>
  </si>
  <si>
    <t>YE 2021</t>
  </si>
  <si>
    <t>Eff Jan 2023</t>
  </si>
  <si>
    <t>Eff Oct 15, 2021</t>
  </si>
  <si>
    <t>$ to Recover Sch 141N</t>
  </si>
  <si>
    <t>k</t>
  </si>
  <si>
    <t>l</t>
  </si>
  <si>
    <t>m</t>
  </si>
  <si>
    <t>n</t>
  </si>
  <si>
    <t>o</t>
  </si>
  <si>
    <t>p</t>
  </si>
  <si>
    <t>q</t>
  </si>
  <si>
    <t>r</t>
  </si>
  <si>
    <t>t</t>
  </si>
  <si>
    <t>s</t>
  </si>
  <si>
    <t>MYRP Rates - Non-Refundable Sch 141R</t>
  </si>
  <si>
    <t>Rounding Difference</t>
  </si>
  <si>
    <t>Proposed
Base
x$000</t>
  </si>
  <si>
    <t>Proforma
Base 
x$000</t>
  </si>
  <si>
    <t>Sch 141N
x$000</t>
  </si>
  <si>
    <t>Sch 141R
x$000</t>
  </si>
  <si>
    <t>Revenue Difference</t>
  </si>
  <si>
    <t>Net Revenue Change</t>
  </si>
  <si>
    <t>Rounding</t>
  </si>
  <si>
    <t>Conjunctive Demand Service Option</t>
  </si>
  <si>
    <t>Secondary and Primary Voltage Rate Design</t>
  </si>
  <si>
    <t>Proposed kW Demand Charges</t>
  </si>
  <si>
    <t>Base Revenue Requirement</t>
  </si>
  <si>
    <t>% To Total</t>
  </si>
  <si>
    <t>Winter</t>
  </si>
  <si>
    <t>Summer</t>
  </si>
  <si>
    <t>SCHEDULE 26 - Secondary Voltage Service</t>
  </si>
  <si>
    <t>Cost of Service Demand Components</t>
  </si>
  <si>
    <t>Production</t>
  </si>
  <si>
    <t>Transmission</t>
  </si>
  <si>
    <t>Distribution</t>
  </si>
  <si>
    <t>Total Demand Cost of Service</t>
  </si>
  <si>
    <t>Delivery Demand %</t>
  </si>
  <si>
    <t>Conjunctive Maximum Demand %</t>
  </si>
  <si>
    <t>SCHEDULE 31 - Primary Voltage Service</t>
  </si>
  <si>
    <t>SEF-4</t>
  </si>
  <si>
    <t>Base Rev Adj for Load</t>
  </si>
  <si>
    <t>SEF-4 Sch 141N/141R</t>
  </si>
  <si>
    <t>Allocation of Colstrip Tracker Revenue Requirement to Rate Schedule</t>
  </si>
  <si>
    <t>Schedule 141C</t>
  </si>
  <si>
    <t>Customer Class</t>
  </si>
  <si>
    <t>Schedules</t>
  </si>
  <si>
    <t>2022 GRC Energy
Allocator
(Docket No.
UE-22xxxx)</t>
  </si>
  <si>
    <t>2022 GRC 12CP Demand Allocator,
Net of Renewables
(Docket No.
UE-22xxxx)</t>
  </si>
  <si>
    <t>2022 GRC Weighted Allocation (Docket No. UE-22xxxx)</t>
  </si>
  <si>
    <t>2023 Revenue Requirement to Spread</t>
  </si>
  <si>
    <t>2023 Revenue Requirement</t>
  </si>
  <si>
    <t>kWh
Source: F2021 January 2023 to December 2023</t>
  </si>
  <si>
    <t>$ per kWh Proposed
Eff 1-1-2023</t>
  </si>
  <si>
    <t>e = b + d</t>
  </si>
  <si>
    <t>g = e * Revenue Requirement</t>
  </si>
  <si>
    <t>i = g / h</t>
  </si>
  <si>
    <t>Sec Gen Svc - Small</t>
  </si>
  <si>
    <t>8/24</t>
  </si>
  <si>
    <t>Sec Gen Svc - Medium</t>
  </si>
  <si>
    <t>7A/11/25</t>
  </si>
  <si>
    <t>Sec Gen Svc - Large</t>
  </si>
  <si>
    <t>12/26</t>
  </si>
  <si>
    <t>Sec Irrigation Svc</t>
  </si>
  <si>
    <t>Pri Gen Svc</t>
  </si>
  <si>
    <t>10/31</t>
  </si>
  <si>
    <t>Pri Irrigation Svc</t>
  </si>
  <si>
    <t>Pri Interruptible Svc</t>
  </si>
  <si>
    <t>HV - Interruptible Svc</t>
  </si>
  <si>
    <t>HV - General Svc</t>
  </si>
  <si>
    <t>Lights</t>
  </si>
  <si>
    <t>Firm Resale - Small</t>
  </si>
  <si>
    <t>Transportation</t>
  </si>
  <si>
    <t>449-459</t>
  </si>
  <si>
    <t>Revenue Requirement to Spread to Remaining Classes</t>
  </si>
  <si>
    <t>Schedule 141C Colstrip Tracker</t>
  </si>
  <si>
    <t>n/a</t>
  </si>
  <si>
    <t>Unrecovered Costs (D&amp;R) (SEF-06)</t>
  </si>
  <si>
    <t>Revenue Requirement (SEF-06)</t>
  </si>
  <si>
    <t>Special Contract % of Unrecovered Cost (D&amp;R)  Revenue Req (Exh No. JAP-04)</t>
  </si>
  <si>
    <t>Current
Schedule
No.</t>
  </si>
  <si>
    <t xml:space="preserve"> Demand
(MW or MVa)</t>
  </si>
  <si>
    <t>Present
Base
Revenue
($000)</t>
  </si>
  <si>
    <t>Proposed
Base
Revenue
($000)</t>
  </si>
  <si>
    <t>Proposed
Base
% Change</t>
  </si>
  <si>
    <t>Proposed
Rates
(cents/kWh)</t>
  </si>
  <si>
    <t>Line
No.</t>
  </si>
  <si>
    <t>Proposed
Rate
Spread
($000)</t>
  </si>
  <si>
    <t>Rounding
Difference ($000)</t>
  </si>
  <si>
    <t>PRESENT AND PROPOSED RATES</t>
  </si>
  <si>
    <t>Increase 10%</t>
  </si>
  <si>
    <t>Present Energy Revenue</t>
  </si>
  <si>
    <t>Class Average Decrease</t>
  </si>
  <si>
    <t>2024 Revenue Requirement</t>
  </si>
  <si>
    <t>kWh
Source: F2021 January 2024 to December 2024</t>
  </si>
  <si>
    <t>$ per kWh Proposed
Eff 1-1-2024 Example</t>
  </si>
  <si>
    <t>kWh
Source: F2021 January 2025 to December 2025</t>
  </si>
  <si>
    <t>$ per kWh Proposed
Eff 1-1-2025 Example</t>
  </si>
  <si>
    <t>2025 Revenue Requirement</t>
  </si>
  <si>
    <t>$ Variance - 2024 vs. 2023</t>
  </si>
  <si>
    <t>$ Variance - 2025 vs. 2024</t>
  </si>
  <si>
    <t>GRC Increase</t>
  </si>
  <si>
    <t>Class Average % Decrease</t>
  </si>
  <si>
    <t>Class Decrease</t>
  </si>
  <si>
    <t>Schedule 25 &amp; 29 Decrease</t>
  </si>
  <si>
    <t>Sch 29 Decrease</t>
  </si>
  <si>
    <t>Difference = Sch 25 Decrease</t>
  </si>
  <si>
    <t>Class Average Decrease (Sch 26, 26P)</t>
  </si>
  <si>
    <t>Schedule 25 &amp; 29 Class Average Decrease</t>
  </si>
  <si>
    <t>Schedule 29 Decrease</t>
  </si>
  <si>
    <t>Remaining Adjusted Decrease</t>
  </si>
  <si>
    <t xml:space="preserve">Class Decrease </t>
  </si>
  <si>
    <t>Class Average Decrease  %</t>
  </si>
  <si>
    <t xml:space="preserve">Adjusted Decrease </t>
  </si>
  <si>
    <t xml:space="preserve">Remaining Adjusted Decrease </t>
  </si>
  <si>
    <t>Class Adjusted Average % Decrease</t>
  </si>
  <si>
    <t>Basic Charge Decrease</t>
  </si>
  <si>
    <t>Net Decrease</t>
  </si>
  <si>
    <t>Proposed Revenue Requirement</t>
  </si>
  <si>
    <t>ECOS Ratebase (Note 1) %</t>
  </si>
  <si>
    <t>ECOS
Ratebase
(Note 1)</t>
  </si>
  <si>
    <t>Tariff Reference
Schedule 141C</t>
  </si>
  <si>
    <t>Tariff Reference
Schedule 141N</t>
  </si>
  <si>
    <t>Tariff Reference
Schedule 141R</t>
  </si>
  <si>
    <t xml:space="preserve">Sheet No. </t>
  </si>
  <si>
    <t>Proposed
Base
Decrease
($000)</t>
  </si>
  <si>
    <t>Proposed Revenue Sufficiency</t>
  </si>
  <si>
    <t>Proposed
Revenue
Change
($)</t>
  </si>
  <si>
    <t>Proposed Revenue Change
(%)</t>
  </si>
  <si>
    <t>Proposed
Revenue
Change
($000)</t>
  </si>
  <si>
    <t>Average Change Before Transportation, Special Contract &amp; Firm Resale</t>
  </si>
  <si>
    <t>Average Change After Transportation, Special Contract, Firm Resale</t>
  </si>
  <si>
    <t>Adjustment to Average Change for Unequal Allocation of Change</t>
  </si>
  <si>
    <t>Average Change After Firm Resale adjusted for Unequal Allocation of Change</t>
  </si>
  <si>
    <t>Percent of Uniform Change</t>
  </si>
  <si>
    <t>Proposed Base
Change
Effective
January 2023
($)</t>
  </si>
  <si>
    <t>Note 1:  Ratebase Allocation for Special Contract and Retail Wheeling excludes transmission ratebase</t>
  </si>
  <si>
    <t>No Change</t>
  </si>
  <si>
    <t>b = 20% * a / ∑(a)</t>
  </si>
  <si>
    <t>d = 80% * c / ∑(c)</t>
  </si>
  <si>
    <t>Present Rev Less Basic Charge</t>
  </si>
  <si>
    <t>Adjusted Decrease %</t>
  </si>
  <si>
    <t>Adjusted % Decrease</t>
  </si>
  <si>
    <t>Same as Winter</t>
  </si>
  <si>
    <t>Same as Summer</t>
  </si>
  <si>
    <t>Same as Tailblock</t>
  </si>
  <si>
    <t>Present Revenue Less Basic, Demand &amp; Reactive</t>
  </si>
  <si>
    <t>Decrease to allocate to Energy Charge</t>
  </si>
  <si>
    <t>Adjusted Energy Decrease %</t>
  </si>
  <si>
    <t>Energy % Decrease</t>
  </si>
  <si>
    <t>Average Energy Decrease</t>
  </si>
  <si>
    <t>Average Energy Decrease %</t>
  </si>
  <si>
    <t>Adjusted Energy Decrease</t>
  </si>
  <si>
    <t>Adjusted  Decrease %</t>
  </si>
  <si>
    <t>Adjusted Average %</t>
  </si>
  <si>
    <t>Tariff
Reference</t>
  </si>
  <si>
    <t>Adjusted Decrease</t>
  </si>
  <si>
    <t>Blocks 1 &amp; 2 - Adjusted Decrease</t>
  </si>
  <si>
    <t>Adjusted % Decrease, adjusted for residual</t>
  </si>
  <si>
    <t>Adjusted % Decrease, adjusted for Residual</t>
  </si>
  <si>
    <t>Average Energy Decrease %, Adjusted for residual</t>
  </si>
  <si>
    <t>Adjusted % Decrease, Adjusted for Residual</t>
  </si>
  <si>
    <t>Adjusted Decrease %, Adjusted for residual</t>
  </si>
  <si>
    <t>Remaining Adjusted Decrease. Ajusted for residual</t>
  </si>
  <si>
    <t>Non-Transmission Ratebase</t>
  </si>
  <si>
    <t>7 (7D1, 7D2)</t>
  </si>
  <si>
    <t>Schedule 7, 7D1, 7D2</t>
  </si>
  <si>
    <t>Sheet No. 141C-B</t>
  </si>
  <si>
    <t>Schedule 448</t>
  </si>
  <si>
    <t>Schedule 449</t>
  </si>
  <si>
    <t>448-I</t>
  </si>
  <si>
    <t>449-I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</si>
</sst>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0000000000000%"/>
    <numFmt numFmtId="167" formatCode="_(* #,##0_);_(* \(#,##0\);_(* &quot;-&quot;??_);_(@_)"/>
    <numFmt numFmtId="168" formatCode="0.000000_)"/>
    <numFmt numFmtId="169" formatCode="0.0000%"/>
    <numFmt numFmtId="170" formatCode="0.00_)"/>
    <numFmt numFmtId="171" formatCode="0.000%"/>
    <numFmt numFmtId="172" formatCode="0.000000000_)"/>
    <numFmt numFmtId="173" formatCode="_(&quot;$&quot;* #,##0.000000_);_(&quot;$&quot;* \(#,##0.000000\);_(&quot;$&quot;* &quot;-&quot;??_);_(@_)"/>
    <numFmt numFmtId="174" formatCode="_(&quot;$&quot;* #,##0.00000_);_(&quot;$&quot;* \(#,##0.00000\);_(&quot;$&quot;* &quot;-&quot;??_);_(@_)"/>
    <numFmt numFmtId="175" formatCode="_(&quot;$&quot;* #,##0.000_);_(&quot;$&quot;* \(#,##0.000\);_(&quot;$&quot;* &quot;-&quot;??_);_(@_)"/>
    <numFmt numFmtId="176" formatCode="&quot;$&quot;#,##0"/>
    <numFmt numFmtId="177" formatCode="_(* #,##0.000000_);_(* \(#,##0.000000\);_(* &quot;-&quot;??_);_(@_)"/>
    <numFmt numFmtId="178" formatCode="0.0000\ \¢"/>
    <numFmt numFmtId="179" formatCode="0.000"/>
  </numFmts>
  <fonts count="13" x14ac:knownFonts="1">
    <font>
      <sz val="12"/>
      <name val="Times New Roman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Continuous"/>
    </xf>
    <xf numFmtId="0" fontId="1" fillId="0" borderId="5" xfId="0" quotePrefix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horizontal="left" indent="1"/>
    </xf>
    <xf numFmtId="0" fontId="1" fillId="0" borderId="0" xfId="0" quotePrefix="1" applyFont="1" applyFill="1" applyAlignment="1">
      <alignment horizontal="left"/>
    </xf>
    <xf numFmtId="173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left" indent="2"/>
    </xf>
    <xf numFmtId="174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0" fontId="1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44" fontId="1" fillId="0" borderId="0" xfId="0" applyNumberFormat="1" applyFont="1" applyFill="1" applyBorder="1"/>
    <xf numFmtId="44" fontId="1" fillId="0" borderId="0" xfId="0" applyNumberFormat="1" applyFont="1" applyFill="1"/>
    <xf numFmtId="169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9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2"/>
    </xf>
    <xf numFmtId="44" fontId="1" fillId="0" borderId="0" xfId="0" quotePrefix="1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Continuous"/>
    </xf>
    <xf numFmtId="0" fontId="3" fillId="0" borderId="5" xfId="0" applyFont="1" applyFill="1" applyBorder="1" applyAlignment="1">
      <alignment horizontal="center" wrapText="1"/>
    </xf>
    <xf numFmtId="0" fontId="3" fillId="0" borderId="5" xfId="0" quotePrefix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167" fontId="3" fillId="0" borderId="10" xfId="0" applyNumberFormat="1" applyFont="1" applyFill="1" applyBorder="1"/>
    <xf numFmtId="10" fontId="3" fillId="0" borderId="0" xfId="0" applyNumberFormat="1" applyFont="1" applyFill="1" applyBorder="1"/>
    <xf numFmtId="9" fontId="3" fillId="0" borderId="0" xfId="0" applyNumberFormat="1" applyFont="1" applyFill="1"/>
    <xf numFmtId="10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Border="1"/>
    <xf numFmtId="165" fontId="3" fillId="0" borderId="0" xfId="0" applyNumberFormat="1" applyFont="1" applyFill="1" applyBorder="1"/>
    <xf numFmtId="9" fontId="3" fillId="0" borderId="0" xfId="0" applyNumberFormat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3" fontId="3" fillId="0" borderId="0" xfId="0" applyNumberFormat="1" applyFont="1" applyFill="1" applyBorder="1"/>
    <xf numFmtId="3" fontId="3" fillId="0" borderId="10" xfId="0" applyNumberFormat="1" applyFont="1" applyFill="1" applyBorder="1"/>
    <xf numFmtId="0" fontId="3" fillId="0" borderId="0" xfId="0" applyFont="1" applyFill="1" applyAlignment="1">
      <alignment horizontal="left" indent="1"/>
    </xf>
    <xf numFmtId="3" fontId="3" fillId="0" borderId="0" xfId="0" applyNumberFormat="1" applyFont="1" applyFill="1"/>
    <xf numFmtId="10" fontId="3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167" fontId="3" fillId="0" borderId="0" xfId="0" applyNumberFormat="1" applyFont="1" applyFill="1"/>
    <xf numFmtId="179" fontId="3" fillId="0" borderId="0" xfId="0" applyNumberFormat="1" applyFont="1" applyFill="1" applyAlignment="1">
      <alignment horizontal="center"/>
    </xf>
    <xf numFmtId="167" fontId="3" fillId="0" borderId="14" xfId="0" applyNumberFormat="1" applyFont="1" applyFill="1" applyBorder="1"/>
    <xf numFmtId="165" fontId="3" fillId="0" borderId="14" xfId="0" applyNumberFormat="1" applyFont="1" applyFill="1" applyBorder="1"/>
    <xf numFmtId="165" fontId="3" fillId="0" borderId="10" xfId="0" applyNumberFormat="1" applyFont="1" applyFill="1" applyBorder="1"/>
    <xf numFmtId="10" fontId="3" fillId="0" borderId="14" xfId="0" applyNumberFormat="1" applyFont="1" applyFill="1" applyBorder="1" applyAlignment="1">
      <alignment horizontal="center"/>
    </xf>
    <xf numFmtId="10" fontId="3" fillId="0" borderId="14" xfId="0" applyNumberFormat="1" applyFont="1" applyFill="1" applyBorder="1"/>
    <xf numFmtId="44" fontId="3" fillId="0" borderId="0" xfId="0" applyNumberFormat="1" applyFont="1" applyFill="1" applyBorder="1"/>
    <xf numFmtId="42" fontId="3" fillId="0" borderId="0" xfId="0" applyNumberFormat="1" applyFont="1" applyFill="1"/>
    <xf numFmtId="9" fontId="4" fillId="0" borderId="21" xfId="0" applyNumberFormat="1" applyFont="1" applyFill="1" applyBorder="1"/>
    <xf numFmtId="0" fontId="3" fillId="0" borderId="21" xfId="0" applyFont="1" applyFill="1" applyBorder="1"/>
    <xf numFmtId="10" fontId="3" fillId="0" borderId="16" xfId="0" applyNumberFormat="1" applyFont="1" applyFill="1" applyBorder="1"/>
    <xf numFmtId="10" fontId="3" fillId="0" borderId="18" xfId="0" applyNumberFormat="1" applyFont="1" applyFill="1" applyBorder="1"/>
    <xf numFmtId="9" fontId="3" fillId="0" borderId="18" xfId="0" applyNumberFormat="1" applyFont="1" applyFill="1" applyBorder="1"/>
    <xf numFmtId="0" fontId="3" fillId="0" borderId="22" xfId="0" applyFont="1" applyFill="1" applyBorder="1"/>
    <xf numFmtId="10" fontId="4" fillId="0" borderId="20" xfId="0" applyNumberFormat="1" applyFont="1" applyFill="1" applyBorder="1"/>
    <xf numFmtId="0" fontId="4" fillId="0" borderId="0" xfId="0" quotePrefix="1" applyFont="1" applyFill="1" applyAlignment="1">
      <alignment wrapText="1"/>
    </xf>
    <xf numFmtId="165" fontId="3" fillId="0" borderId="0" xfId="0" quotePrefix="1" applyNumberFormat="1" applyFont="1" applyFill="1" applyAlignment="1">
      <alignment horizontal="left"/>
    </xf>
    <xf numFmtId="0" fontId="5" fillId="0" borderId="0" xfId="0" applyFont="1" applyFill="1"/>
    <xf numFmtId="0" fontId="1" fillId="0" borderId="23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 wrapText="1"/>
    </xf>
    <xf numFmtId="6" fontId="1" fillId="0" borderId="28" xfId="0" quotePrefix="1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8" xfId="0" quotePrefix="1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quotePrefix="1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28" xfId="0" quotePrefix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6" fillId="0" borderId="0" xfId="0" applyFont="1" applyFill="1"/>
    <xf numFmtId="0" fontId="7" fillId="0" borderId="0" xfId="0" quotePrefix="1" applyFont="1" applyFill="1" applyAlignment="1"/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5" fillId="0" borderId="0" xfId="0" quotePrefix="1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7" xfId="0" quotePrefix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5" fillId="0" borderId="5" xfId="0" quotePrefix="1" applyFont="1" applyFill="1" applyBorder="1" applyAlignment="1">
      <alignment horizontal="center" wrapText="1"/>
    </xf>
    <xf numFmtId="6" fontId="5" fillId="0" borderId="7" xfId="0" quotePrefix="1" applyNumberFormat="1" applyFont="1" applyFill="1" applyBorder="1" applyAlignment="1">
      <alignment horizontal="center" wrapText="1"/>
    </xf>
    <xf numFmtId="5" fontId="5" fillId="0" borderId="5" xfId="0" quotePrefix="1" applyNumberFormat="1" applyFont="1" applyFill="1" applyBorder="1" applyAlignment="1">
      <alignment horizontal="center" wrapText="1"/>
    </xf>
    <xf numFmtId="6" fontId="5" fillId="0" borderId="0" xfId="0" quotePrefix="1" applyNumberFormat="1" applyFont="1" applyFill="1" applyBorder="1" applyAlignment="1">
      <alignment horizontal="center"/>
    </xf>
    <xf numFmtId="0" fontId="5" fillId="0" borderId="0" xfId="0" quotePrefix="1" applyFont="1" applyFill="1"/>
    <xf numFmtId="0" fontId="9" fillId="0" borderId="0" xfId="0" quotePrefix="1" applyFont="1" applyFill="1" applyAlignment="1">
      <alignment horizontal="left"/>
    </xf>
    <xf numFmtId="37" fontId="5" fillId="0" borderId="0" xfId="0" applyNumberFormat="1" applyFont="1" applyFill="1" applyProtection="1"/>
    <xf numFmtId="167" fontId="5" fillId="0" borderId="0" xfId="0" applyNumberFormat="1" applyFont="1" applyFill="1"/>
    <xf numFmtId="0" fontId="8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 indent="1"/>
    </xf>
    <xf numFmtId="37" fontId="5" fillId="0" borderId="10" xfId="0" applyNumberFormat="1" applyFont="1" applyFill="1" applyBorder="1" applyProtection="1"/>
    <xf numFmtId="176" fontId="5" fillId="0" borderId="0" xfId="0" applyNumberFormat="1" applyFont="1" applyFill="1"/>
    <xf numFmtId="0" fontId="7" fillId="0" borderId="0" xfId="0" applyFont="1" applyFill="1"/>
    <xf numFmtId="37" fontId="5" fillId="0" borderId="0" xfId="0" applyNumberFormat="1" applyFont="1" applyFill="1"/>
    <xf numFmtId="0" fontId="8" fillId="0" borderId="0" xfId="0" applyFont="1" applyFill="1"/>
    <xf numFmtId="0" fontId="7" fillId="0" borderId="0" xfId="0" quotePrefix="1" applyFont="1" applyFill="1" applyAlignment="1">
      <alignment horizontal="left"/>
    </xf>
    <xf numFmtId="0" fontId="10" fillId="0" borderId="0" xfId="0" quotePrefix="1" applyFont="1" applyFill="1" applyAlignment="1">
      <alignment horizontal="left"/>
    </xf>
    <xf numFmtId="37" fontId="5" fillId="0" borderId="8" xfId="0" applyNumberFormat="1" applyFont="1" applyFill="1" applyBorder="1"/>
    <xf numFmtId="37" fontId="5" fillId="0" borderId="0" xfId="0" applyNumberFormat="1" applyFont="1" applyFill="1" applyBorder="1"/>
    <xf numFmtId="5" fontId="5" fillId="0" borderId="0" xfId="0" applyNumberFormat="1" applyFont="1" applyFill="1" applyBorder="1"/>
    <xf numFmtId="164" fontId="5" fillId="0" borderId="0" xfId="0" applyNumberFormat="1" applyFont="1" applyFill="1" applyBorder="1" applyProtection="1">
      <protection locked="0"/>
    </xf>
    <xf numFmtId="167" fontId="5" fillId="0" borderId="8" xfId="0" applyNumberFormat="1" applyFont="1" applyFill="1" applyBorder="1"/>
    <xf numFmtId="1" fontId="5" fillId="0" borderId="0" xfId="0" applyNumberFormat="1" applyFont="1" applyFill="1"/>
    <xf numFmtId="166" fontId="5" fillId="0" borderId="0" xfId="0" applyNumberFormat="1" applyFont="1" applyFill="1"/>
    <xf numFmtId="165" fontId="5" fillId="0" borderId="0" xfId="0" applyNumberFormat="1" applyFont="1" applyFill="1" applyProtection="1">
      <protection locked="0"/>
    </xf>
    <xf numFmtId="165" fontId="5" fillId="0" borderId="10" xfId="0" applyNumberFormat="1" applyFont="1" applyFill="1" applyBorder="1" applyProtection="1">
      <protection locked="0"/>
    </xf>
    <xf numFmtId="165" fontId="5" fillId="0" borderId="8" xfId="0" applyNumberFormat="1" applyFont="1" applyFill="1" applyBorder="1"/>
    <xf numFmtId="165" fontId="5" fillId="0" borderId="0" xfId="0" applyNumberFormat="1" applyFont="1" applyFill="1" applyBorder="1" applyProtection="1">
      <protection locked="0"/>
    </xf>
    <xf numFmtId="165" fontId="5" fillId="0" borderId="10" xfId="0" applyNumberFormat="1" applyFont="1" applyFill="1" applyBorder="1" applyProtection="1"/>
    <xf numFmtId="165" fontId="5" fillId="0" borderId="0" xfId="0" applyNumberFormat="1" applyFont="1" applyFill="1" applyAlignment="1">
      <alignment horizontal="right"/>
    </xf>
    <xf numFmtId="0" fontId="7" fillId="0" borderId="7" xfId="0" quotePrefix="1" applyFont="1" applyFill="1" applyBorder="1" applyAlignment="1" applyProtection="1">
      <alignment horizontal="center" wrapText="1"/>
    </xf>
    <xf numFmtId="0" fontId="7" fillId="0" borderId="7" xfId="0" quotePrefix="1" applyFont="1" applyFill="1" applyBorder="1" applyAlignment="1" applyProtection="1">
      <alignment horizontal="left" wrapText="1"/>
    </xf>
    <xf numFmtId="0" fontId="7" fillId="0" borderId="7" xfId="0" quotePrefix="1" applyFont="1" applyFill="1" applyBorder="1" applyAlignment="1" applyProtection="1">
      <alignment horizontal="center"/>
    </xf>
    <xf numFmtId="0" fontId="8" fillId="0" borderId="0" xfId="0" quotePrefix="1" applyFont="1" applyFill="1" applyAlignment="1"/>
    <xf numFmtId="0" fontId="5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 applyProtection="1">
      <alignment horizontal="center" wrapText="1"/>
    </xf>
    <xf numFmtId="37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indent="1"/>
    </xf>
    <xf numFmtId="44" fontId="5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horizontal="left" indent="3"/>
    </xf>
    <xf numFmtId="7" fontId="5" fillId="0" borderId="0" xfId="0" applyNumberFormat="1" applyFont="1" applyFill="1" applyProtection="1">
      <protection locked="0"/>
    </xf>
    <xf numFmtId="0" fontId="5" fillId="0" borderId="0" xfId="0" quotePrefix="1" applyFont="1" applyFill="1" applyAlignment="1" applyProtection="1">
      <alignment horizontal="left" indent="2"/>
    </xf>
    <xf numFmtId="0" fontId="1" fillId="0" borderId="0" xfId="0" applyFont="1" applyFill="1" applyBorder="1"/>
    <xf numFmtId="0" fontId="1" fillId="0" borderId="17" xfId="0" applyFont="1" applyFill="1" applyBorder="1" applyAlignment="1">
      <alignment horizontal="center"/>
    </xf>
    <xf numFmtId="167" fontId="1" fillId="0" borderId="0" xfId="0" applyNumberFormat="1" applyFont="1" applyFill="1" applyBorder="1"/>
    <xf numFmtId="0" fontId="1" fillId="0" borderId="18" xfId="0" applyFont="1" applyFill="1" applyBorder="1"/>
    <xf numFmtId="0" fontId="1" fillId="0" borderId="19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167" fontId="1" fillId="0" borderId="22" xfId="0" quotePrefix="1" applyNumberFormat="1" applyFont="1" applyFill="1" applyBorder="1" applyAlignment="1">
      <alignment horizontal="center" wrapText="1"/>
    </xf>
    <xf numFmtId="0" fontId="1" fillId="0" borderId="22" xfId="0" quotePrefix="1" applyFont="1" applyFill="1" applyBorder="1" applyAlignment="1">
      <alignment horizontal="center" wrapText="1"/>
    </xf>
    <xf numFmtId="0" fontId="1" fillId="0" borderId="20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167" fontId="1" fillId="0" borderId="0" xfId="0" applyNumberFormat="1" applyFont="1" applyFill="1" applyBorder="1" applyAlignment="1">
      <alignment horizontal="center" vertical="center" wrapText="1"/>
    </xf>
    <xf numFmtId="167" fontId="1" fillId="0" borderId="0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 wrapText="1"/>
    </xf>
    <xf numFmtId="0" fontId="1" fillId="0" borderId="18" xfId="0" quotePrefix="1" applyFont="1" applyFill="1" applyBorder="1" applyAlignment="1">
      <alignment horizontal="center" vertical="center" wrapText="1"/>
    </xf>
    <xf numFmtId="0" fontId="1" fillId="0" borderId="17" xfId="0" quotePrefix="1" applyFont="1" applyFill="1" applyBorder="1" applyAlignment="1">
      <alignment horizontal="center" vertical="center" wrapText="1"/>
    </xf>
    <xf numFmtId="44" fontId="1" fillId="0" borderId="17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73" fontId="1" fillId="0" borderId="0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/>
    <xf numFmtId="173" fontId="1" fillId="0" borderId="18" xfId="0" applyNumberFormat="1" applyFont="1" applyFill="1" applyBorder="1" applyAlignment="1">
      <alignment horizontal="center"/>
    </xf>
    <xf numFmtId="44" fontId="1" fillId="0" borderId="17" xfId="0" applyNumberFormat="1" applyFont="1" applyFill="1" applyBorder="1"/>
    <xf numFmtId="173" fontId="1" fillId="0" borderId="0" xfId="0" applyNumberFormat="1" applyFont="1" applyFill="1" applyBorder="1" applyAlignment="1">
      <alignment horizontal="center"/>
    </xf>
    <xf numFmtId="165" fontId="1" fillId="0" borderId="18" xfId="0" applyNumberFormat="1" applyFont="1" applyFill="1" applyBorder="1" applyAlignment="1">
      <alignment horizontal="center"/>
    </xf>
    <xf numFmtId="16" fontId="1" fillId="0" borderId="0" xfId="0" applyNumberFormat="1" applyFont="1" applyFill="1" applyBorder="1"/>
    <xf numFmtId="178" fontId="1" fillId="0" borderId="18" xfId="0" applyNumberFormat="1" applyFont="1" applyFill="1" applyBorder="1" applyAlignment="1">
      <alignment horizontal="center"/>
    </xf>
    <xf numFmtId="165" fontId="1" fillId="0" borderId="17" xfId="0" applyNumberFormat="1" applyFont="1" applyFill="1" applyBorder="1"/>
    <xf numFmtId="178" fontId="1" fillId="0" borderId="0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165" fontId="1" fillId="0" borderId="18" xfId="0" applyNumberFormat="1" applyFont="1" applyFill="1" applyBorder="1"/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22" xfId="0" applyFont="1" applyFill="1" applyBorder="1"/>
    <xf numFmtId="167" fontId="1" fillId="0" borderId="22" xfId="0" applyNumberFormat="1" applyFont="1" applyFill="1" applyBorder="1"/>
    <xf numFmtId="0" fontId="1" fillId="0" borderId="20" xfId="0" applyFont="1" applyFill="1" applyBorder="1"/>
    <xf numFmtId="0" fontId="1" fillId="0" borderId="19" xfId="0" applyFont="1" applyFill="1" applyBorder="1"/>
    <xf numFmtId="165" fontId="1" fillId="0" borderId="20" xfId="0" applyNumberFormat="1" applyFont="1" applyFill="1" applyBorder="1"/>
    <xf numFmtId="167" fontId="11" fillId="0" borderId="0" xfId="0" applyNumberFormat="1" applyFont="1" applyFill="1" applyBorder="1"/>
    <xf numFmtId="10" fontId="1" fillId="0" borderId="0" xfId="0" applyNumberFormat="1" applyFont="1" applyFill="1" applyBorder="1"/>
    <xf numFmtId="165" fontId="1" fillId="0" borderId="0" xfId="0" applyNumberFormat="1" applyFont="1" applyFill="1" applyBorder="1"/>
    <xf numFmtId="0" fontId="7" fillId="0" borderId="0" xfId="0" quotePrefix="1" applyFont="1" applyFill="1" applyAlignment="1" applyProtection="1">
      <alignment horizontal="centerContinuous"/>
    </xf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0" fontId="7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5" fillId="0" borderId="0" xfId="0" quotePrefix="1" applyFont="1" applyFill="1" applyAlignment="1" applyProtection="1">
      <alignment horizontal="left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5" fillId="0" borderId="0" xfId="0" quotePrefix="1" applyFont="1" applyFill="1" applyAlignment="1" applyProtection="1">
      <alignment horizontal="center"/>
    </xf>
    <xf numFmtId="37" fontId="5" fillId="0" borderId="0" xfId="0" quotePrefix="1" applyNumberFormat="1" applyFont="1" applyFill="1" applyAlignment="1" applyProtection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 applyProtection="1">
      <alignment horizontal="left" indent="2"/>
    </xf>
    <xf numFmtId="167" fontId="5" fillId="0" borderId="10" xfId="0" applyNumberFormat="1" applyFont="1" applyFill="1" applyBorder="1" applyProtection="1"/>
    <xf numFmtId="165" fontId="5" fillId="0" borderId="0" xfId="0" applyNumberFormat="1" applyFont="1" applyFill="1" applyBorder="1" applyProtection="1"/>
    <xf numFmtId="0" fontId="5" fillId="0" borderId="0" xfId="0" quotePrefix="1" applyFont="1" applyFill="1" applyAlignment="1" applyProtection="1">
      <alignment horizontal="left" indent="1"/>
    </xf>
    <xf numFmtId="167" fontId="5" fillId="0" borderId="0" xfId="0" applyNumberFormat="1" applyFont="1" applyFill="1" applyProtection="1"/>
    <xf numFmtId="5" fontId="5" fillId="0" borderId="0" xfId="0" applyNumberFormat="1" applyFont="1" applyFill="1" applyProtection="1">
      <protection locked="0"/>
    </xf>
    <xf numFmtId="5" fontId="5" fillId="0" borderId="0" xfId="0" applyNumberFormat="1" applyFont="1" applyFill="1" applyProtection="1"/>
    <xf numFmtId="0" fontId="5" fillId="0" borderId="0" xfId="0" quotePrefix="1" applyFont="1" applyFill="1" applyAlignment="1"/>
    <xf numFmtId="165" fontId="5" fillId="0" borderId="5" xfId="0" applyNumberFormat="1" applyFont="1" applyFill="1" applyBorder="1" applyProtection="1"/>
    <xf numFmtId="165" fontId="5" fillId="0" borderId="14" xfId="0" applyNumberFormat="1" applyFont="1" applyFill="1" applyBorder="1" applyProtection="1"/>
    <xf numFmtId="37" fontId="5" fillId="0" borderId="0" xfId="0" applyNumberFormat="1" applyFont="1" applyFill="1" applyBorder="1" applyProtection="1"/>
    <xf numFmtId="5" fontId="5" fillId="0" borderId="0" xfId="0" applyNumberFormat="1" applyFont="1" applyFill="1" applyBorder="1" applyProtection="1"/>
    <xf numFmtId="165" fontId="5" fillId="0" borderId="0" xfId="0" applyNumberFormat="1" applyFont="1" applyFill="1" applyProtection="1"/>
    <xf numFmtId="5" fontId="5" fillId="0" borderId="0" xfId="0" applyNumberFormat="1" applyFont="1" applyFill="1"/>
    <xf numFmtId="0" fontId="5" fillId="0" borderId="15" xfId="0" applyFont="1" applyFill="1" applyBorder="1"/>
    <xf numFmtId="0" fontId="5" fillId="0" borderId="21" xfId="0" applyFont="1" applyFill="1" applyBorder="1"/>
    <xf numFmtId="5" fontId="5" fillId="0" borderId="21" xfId="0" applyNumberFormat="1" applyFont="1" applyFill="1" applyBorder="1" applyProtection="1"/>
    <xf numFmtId="165" fontId="5" fillId="0" borderId="16" xfId="0" applyNumberFormat="1" applyFont="1" applyFill="1" applyBorder="1"/>
    <xf numFmtId="0" fontId="5" fillId="0" borderId="17" xfId="0" quotePrefix="1" applyFont="1" applyFill="1" applyBorder="1" applyAlignment="1">
      <alignment horizontal="left"/>
    </xf>
    <xf numFmtId="0" fontId="5" fillId="0" borderId="0" xfId="0" applyFont="1" applyFill="1" applyBorder="1" applyProtection="1"/>
    <xf numFmtId="165" fontId="5" fillId="0" borderId="18" xfId="0" applyNumberFormat="1" applyFont="1" applyFill="1" applyBorder="1"/>
    <xf numFmtId="0" fontId="5" fillId="0" borderId="17" xfId="0" applyFont="1" applyFill="1" applyBorder="1"/>
    <xf numFmtId="5" fontId="5" fillId="0" borderId="17" xfId="0" applyNumberFormat="1" applyFont="1" applyFill="1" applyBorder="1" applyProtection="1"/>
    <xf numFmtId="165" fontId="5" fillId="0" borderId="18" xfId="0" applyNumberFormat="1" applyFont="1" applyFill="1" applyBorder="1" applyProtection="1"/>
    <xf numFmtId="5" fontId="5" fillId="0" borderId="17" xfId="0" quotePrefix="1" applyNumberFormat="1" applyFont="1" applyFill="1" applyBorder="1" applyAlignment="1" applyProtection="1">
      <alignment horizontal="left"/>
    </xf>
    <xf numFmtId="10" fontId="10" fillId="0" borderId="33" xfId="0" applyNumberFormat="1" applyFont="1" applyFill="1" applyBorder="1"/>
    <xf numFmtId="0" fontId="5" fillId="0" borderId="19" xfId="0" applyFont="1" applyFill="1" applyBorder="1"/>
    <xf numFmtId="0" fontId="5" fillId="0" borderId="22" xfId="0" applyFont="1" applyFill="1" applyBorder="1"/>
    <xf numFmtId="5" fontId="5" fillId="0" borderId="22" xfId="0" applyNumberFormat="1" applyFont="1" applyFill="1" applyBorder="1" applyProtection="1"/>
    <xf numFmtId="5" fontId="10" fillId="0" borderId="34" xfId="0" applyNumberFormat="1" applyFont="1" applyFill="1" applyBorder="1" applyAlignment="1" applyProtection="1">
      <alignment horizontal="right"/>
    </xf>
    <xf numFmtId="173" fontId="5" fillId="0" borderId="0" xfId="0" applyNumberFormat="1" applyFont="1" applyFill="1"/>
    <xf numFmtId="3" fontId="5" fillId="0" borderId="0" xfId="0" applyNumberFormat="1" applyFont="1" applyFill="1"/>
    <xf numFmtId="3" fontId="5" fillId="0" borderId="0" xfId="0" applyNumberFormat="1" applyFont="1" applyFill="1" applyBorder="1"/>
    <xf numFmtId="168" fontId="5" fillId="0" borderId="0" xfId="0" applyNumberFormat="1" applyFont="1" applyFill="1" applyProtection="1"/>
    <xf numFmtId="0" fontId="5" fillId="0" borderId="0" xfId="0" applyFont="1" applyFill="1" applyProtection="1">
      <protection locked="0"/>
    </xf>
    <xf numFmtId="0" fontId="5" fillId="0" borderId="0" xfId="0" quotePrefix="1" applyFont="1" applyFill="1" applyAlignment="1">
      <alignment horizontal="left" wrapText="1"/>
    </xf>
    <xf numFmtId="170" fontId="5" fillId="0" borderId="0" xfId="0" applyNumberFormat="1" applyFont="1" applyFill="1" applyProtection="1">
      <protection locked="0"/>
    </xf>
    <xf numFmtId="37" fontId="5" fillId="0" borderId="5" xfId="0" applyNumberFormat="1" applyFont="1" applyFill="1" applyBorder="1" applyProtection="1"/>
    <xf numFmtId="167" fontId="5" fillId="0" borderId="0" xfId="0" applyNumberFormat="1" applyFont="1" applyFill="1" applyBorder="1" applyProtection="1"/>
    <xf numFmtId="5" fontId="5" fillId="0" borderId="12" xfId="0" applyNumberFormat="1" applyFont="1" applyFill="1" applyBorder="1" applyProtection="1"/>
    <xf numFmtId="10" fontId="5" fillId="0" borderId="0" xfId="0" applyNumberFormat="1" applyFont="1" applyFill="1" applyBorder="1"/>
    <xf numFmtId="173" fontId="5" fillId="0" borderId="0" xfId="0" applyNumberFormat="1" applyFont="1" applyFill="1" applyProtection="1"/>
    <xf numFmtId="0" fontId="1" fillId="0" borderId="0" xfId="0" quotePrefix="1" applyFont="1" applyFill="1" applyAlignment="1">
      <alignment horizontal="right"/>
    </xf>
    <xf numFmtId="0" fontId="5" fillId="0" borderId="21" xfId="0" applyFont="1" applyFill="1" applyBorder="1" applyProtection="1"/>
    <xf numFmtId="37" fontId="5" fillId="0" borderId="21" xfId="0" applyNumberFormat="1" applyFont="1" applyFill="1" applyBorder="1" applyProtection="1"/>
    <xf numFmtId="173" fontId="5" fillId="0" borderId="21" xfId="0" applyNumberFormat="1" applyFont="1" applyFill="1" applyBorder="1" applyProtection="1"/>
    <xf numFmtId="5" fontId="5" fillId="0" borderId="16" xfId="0" applyNumberFormat="1" applyFont="1" applyFill="1" applyBorder="1"/>
    <xf numFmtId="0" fontId="5" fillId="0" borderId="17" xfId="0" applyFont="1" applyFill="1" applyBorder="1" applyProtection="1"/>
    <xf numFmtId="173" fontId="5" fillId="0" borderId="0" xfId="0" applyNumberFormat="1" applyFont="1" applyFill="1" applyBorder="1" applyProtection="1"/>
    <xf numFmtId="5" fontId="5" fillId="0" borderId="18" xfId="0" applyNumberFormat="1" applyFont="1" applyFill="1" applyBorder="1"/>
    <xf numFmtId="0" fontId="5" fillId="0" borderId="22" xfId="0" applyFont="1" applyFill="1" applyBorder="1" applyProtection="1"/>
    <xf numFmtId="37" fontId="5" fillId="0" borderId="22" xfId="0" applyNumberFormat="1" applyFont="1" applyFill="1" applyBorder="1" applyProtection="1"/>
    <xf numFmtId="173" fontId="5" fillId="0" borderId="22" xfId="0" applyNumberFormat="1" applyFont="1" applyFill="1" applyBorder="1" applyProtection="1"/>
    <xf numFmtId="7" fontId="5" fillId="0" borderId="0" xfId="0" applyNumberFormat="1" applyFont="1" applyFill="1" applyProtection="1"/>
    <xf numFmtId="173" fontId="5" fillId="0" borderId="0" xfId="0" applyNumberFormat="1" applyFont="1" applyFill="1" applyProtection="1">
      <protection locked="0"/>
    </xf>
    <xf numFmtId="5" fontId="5" fillId="0" borderId="10" xfId="0" applyNumberFormat="1" applyFont="1" applyFill="1" applyBorder="1" applyProtection="1"/>
    <xf numFmtId="7" fontId="5" fillId="0" borderId="0" xfId="0" applyNumberFormat="1" applyFont="1" applyFill="1" applyBorder="1"/>
    <xf numFmtId="164" fontId="5" fillId="0" borderId="0" xfId="0" applyNumberFormat="1" applyFont="1" applyFill="1" applyBorder="1"/>
    <xf numFmtId="44" fontId="5" fillId="0" borderId="0" xfId="0" applyNumberFormat="1" applyFont="1" applyFill="1" applyBorder="1"/>
    <xf numFmtId="9" fontId="5" fillId="0" borderId="0" xfId="0" applyNumberFormat="1" applyFont="1" applyFill="1" applyBorder="1"/>
    <xf numFmtId="174" fontId="5" fillId="0" borderId="0" xfId="0" applyNumberFormat="1" applyFont="1" applyFill="1" applyProtection="1">
      <protection locked="0"/>
    </xf>
    <xf numFmtId="165" fontId="5" fillId="0" borderId="0" xfId="0" applyNumberFormat="1" applyFont="1" applyFill="1" applyAlignment="1"/>
    <xf numFmtId="172" fontId="5" fillId="0" borderId="0" xfId="0" applyNumberFormat="1" applyFont="1" applyFill="1" applyProtection="1"/>
    <xf numFmtId="0" fontId="5" fillId="0" borderId="1" xfId="0" quotePrefix="1" applyFont="1" applyFill="1" applyBorder="1" applyAlignment="1">
      <alignment horizontal="left"/>
    </xf>
    <xf numFmtId="172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0" fontId="5" fillId="0" borderId="2" xfId="0" applyFont="1" applyFill="1" applyBorder="1" applyProtection="1"/>
    <xf numFmtId="5" fontId="5" fillId="0" borderId="2" xfId="0" applyNumberFormat="1" applyFont="1" applyFill="1" applyBorder="1" applyProtection="1"/>
    <xf numFmtId="5" fontId="5" fillId="0" borderId="3" xfId="0" applyNumberFormat="1" applyFont="1" applyFill="1" applyBorder="1"/>
    <xf numFmtId="0" fontId="5" fillId="0" borderId="13" xfId="0" applyFont="1" applyFill="1" applyBorder="1"/>
    <xf numFmtId="172" fontId="5" fillId="0" borderId="0" xfId="0" applyNumberFormat="1" applyFont="1" applyFill="1" applyBorder="1" applyProtection="1"/>
    <xf numFmtId="5" fontId="5" fillId="0" borderId="32" xfId="0" applyNumberFormat="1" applyFont="1" applyFill="1" applyBorder="1"/>
    <xf numFmtId="169" fontId="5" fillId="0" borderId="0" xfId="0" applyNumberFormat="1" applyFont="1" applyFill="1" applyBorder="1"/>
    <xf numFmtId="0" fontId="5" fillId="0" borderId="4" xfId="0" applyFont="1" applyFill="1" applyBorder="1" applyProtection="1"/>
    <xf numFmtId="172" fontId="5" fillId="0" borderId="5" xfId="0" applyNumberFormat="1" applyFont="1" applyFill="1" applyBorder="1" applyProtection="1"/>
    <xf numFmtId="0" fontId="5" fillId="0" borderId="5" xfId="0" applyFont="1" applyFill="1" applyBorder="1" applyProtection="1"/>
    <xf numFmtId="5" fontId="5" fillId="0" borderId="5" xfId="0" applyNumberFormat="1" applyFont="1" applyFill="1" applyBorder="1" applyProtection="1"/>
    <xf numFmtId="10" fontId="5" fillId="0" borderId="6" xfId="0" applyNumberFormat="1" applyFont="1" applyFill="1" applyBorder="1"/>
    <xf numFmtId="3" fontId="5" fillId="0" borderId="0" xfId="0" quotePrefix="1" applyNumberFormat="1" applyFont="1" applyFill="1" applyBorder="1" applyAlignment="1">
      <alignment horizontal="left"/>
    </xf>
    <xf numFmtId="173" fontId="5" fillId="0" borderId="0" xfId="0" applyNumberFormat="1" applyFont="1" applyFill="1" applyBorder="1"/>
    <xf numFmtId="165" fontId="5" fillId="0" borderId="0" xfId="0" applyNumberFormat="1" applyFont="1" applyFill="1" applyBorder="1"/>
    <xf numFmtId="0" fontId="2" fillId="0" borderId="0" xfId="0" quotePrefix="1" applyFont="1" applyFill="1" applyAlignment="1">
      <alignment horizontal="left"/>
    </xf>
    <xf numFmtId="0" fontId="5" fillId="0" borderId="2" xfId="0" applyFont="1" applyFill="1" applyBorder="1"/>
    <xf numFmtId="44" fontId="5" fillId="0" borderId="2" xfId="0" applyNumberFormat="1" applyFont="1" applyFill="1" applyBorder="1"/>
    <xf numFmtId="0" fontId="5" fillId="0" borderId="13" xfId="0" quotePrefix="1" applyFont="1" applyFill="1" applyBorder="1" applyAlignment="1">
      <alignment horizontal="left"/>
    </xf>
    <xf numFmtId="0" fontId="5" fillId="0" borderId="4" xfId="0" quotePrefix="1" applyFont="1" applyFill="1" applyBorder="1" applyAlignment="1">
      <alignment horizontal="left"/>
    </xf>
    <xf numFmtId="0" fontId="5" fillId="0" borderId="5" xfId="0" applyFont="1" applyFill="1" applyBorder="1"/>
    <xf numFmtId="44" fontId="5" fillId="0" borderId="5" xfId="0" applyNumberFormat="1" applyFont="1" applyFill="1" applyBorder="1"/>
    <xf numFmtId="173" fontId="5" fillId="0" borderId="5" xfId="0" applyNumberFormat="1" applyFont="1" applyFill="1" applyBorder="1"/>
    <xf numFmtId="173" fontId="5" fillId="0" borderId="6" xfId="0" applyNumberFormat="1" applyFont="1" applyFill="1" applyBorder="1"/>
    <xf numFmtId="44" fontId="8" fillId="0" borderId="0" xfId="0" applyNumberFormat="1" applyFont="1" applyFill="1" applyBorder="1"/>
    <xf numFmtId="0" fontId="8" fillId="0" borderId="32" xfId="0" applyFont="1" applyFill="1" applyBorder="1"/>
    <xf numFmtId="44" fontId="8" fillId="0" borderId="32" xfId="0" applyNumberFormat="1" applyFont="1" applyFill="1" applyBorder="1"/>
    <xf numFmtId="10" fontId="8" fillId="0" borderId="0" xfId="0" applyNumberFormat="1" applyFont="1" applyFill="1" applyBorder="1"/>
    <xf numFmtId="173" fontId="8" fillId="0" borderId="32" xfId="0" applyNumberFormat="1" applyFont="1" applyFill="1" applyBorder="1"/>
    <xf numFmtId="0" fontId="8" fillId="0" borderId="4" xfId="0" quotePrefix="1" applyFont="1" applyFill="1" applyBorder="1" applyAlignment="1">
      <alignment horizontal="left"/>
    </xf>
    <xf numFmtId="10" fontId="8" fillId="0" borderId="5" xfId="0" applyNumberFormat="1" applyFont="1" applyFill="1" applyBorder="1"/>
    <xf numFmtId="174" fontId="8" fillId="0" borderId="6" xfId="0" applyNumberFormat="1" applyFont="1" applyFill="1" applyBorder="1"/>
    <xf numFmtId="0" fontId="8" fillId="0" borderId="0" xfId="0" quotePrefix="1" applyFont="1" applyFill="1" applyBorder="1" applyAlignment="1">
      <alignment horizontal="left"/>
    </xf>
    <xf numFmtId="174" fontId="8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171" fontId="1" fillId="0" borderId="0" xfId="0" applyNumberFormat="1" applyFont="1" applyFill="1" applyBorder="1"/>
    <xf numFmtId="10" fontId="2" fillId="0" borderId="0" xfId="0" quotePrefix="1" applyNumberFormat="1" applyFont="1" applyFill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/>
    <xf numFmtId="0" fontId="8" fillId="0" borderId="1" xfId="0" quotePrefix="1" applyFont="1" applyFill="1" applyBorder="1" applyAlignment="1"/>
    <xf numFmtId="172" fontId="8" fillId="0" borderId="2" xfId="0" applyNumberFormat="1" applyFont="1" applyFill="1" applyBorder="1" applyProtection="1"/>
    <xf numFmtId="37" fontId="8" fillId="0" borderId="2" xfId="0" applyNumberFormat="1" applyFont="1" applyFill="1" applyBorder="1" applyProtection="1"/>
    <xf numFmtId="0" fontId="8" fillId="0" borderId="2" xfId="0" applyFont="1" applyFill="1" applyBorder="1" applyProtection="1"/>
    <xf numFmtId="5" fontId="8" fillId="0" borderId="2" xfId="0" applyNumberFormat="1" applyFont="1" applyFill="1" applyBorder="1" applyProtection="1"/>
    <xf numFmtId="5" fontId="8" fillId="0" borderId="3" xfId="0" applyNumberFormat="1" applyFont="1" applyFill="1" applyBorder="1"/>
    <xf numFmtId="0" fontId="8" fillId="0" borderId="0" xfId="0" applyFont="1" applyFill="1" applyBorder="1"/>
    <xf numFmtId="10" fontId="8" fillId="0" borderId="32" xfId="0" applyNumberFormat="1" applyFont="1" applyFill="1" applyBorder="1"/>
    <xf numFmtId="0" fontId="8" fillId="0" borderId="13" xfId="0" applyFont="1" applyFill="1" applyBorder="1" applyAlignment="1"/>
    <xf numFmtId="172" fontId="8" fillId="0" borderId="0" xfId="0" applyNumberFormat="1" applyFont="1" applyFill="1" applyBorder="1" applyProtection="1"/>
    <xf numFmtId="37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5" fontId="8" fillId="0" borderId="0" xfId="0" applyNumberFormat="1" applyFont="1" applyFill="1" applyBorder="1" applyProtection="1"/>
    <xf numFmtId="5" fontId="8" fillId="0" borderId="32" xfId="0" applyNumberFormat="1" applyFont="1" applyFill="1" applyBorder="1"/>
    <xf numFmtId="0" fontId="8" fillId="0" borderId="13" xfId="0" quotePrefix="1" applyFont="1" applyFill="1" applyBorder="1" applyAlignment="1"/>
    <xf numFmtId="172" fontId="8" fillId="0" borderId="5" xfId="0" applyNumberFormat="1" applyFont="1" applyFill="1" applyBorder="1" applyProtection="1"/>
    <xf numFmtId="37" fontId="8" fillId="0" borderId="5" xfId="0" applyNumberFormat="1" applyFont="1" applyFill="1" applyBorder="1" applyProtection="1"/>
    <xf numFmtId="0" fontId="8" fillId="0" borderId="5" xfId="0" applyFont="1" applyFill="1" applyBorder="1" applyProtection="1"/>
    <xf numFmtId="5" fontId="8" fillId="0" borderId="5" xfId="0" applyNumberFormat="1" applyFont="1" applyFill="1" applyBorder="1" applyProtection="1"/>
    <xf numFmtId="0" fontId="2" fillId="0" borderId="0" xfId="0" applyFont="1" applyFill="1" applyAlignment="1">
      <alignment horizontal="left"/>
    </xf>
    <xf numFmtId="44" fontId="5" fillId="0" borderId="0" xfId="0" applyNumberFormat="1" applyFont="1" applyFill="1" applyBorder="1" applyProtection="1"/>
    <xf numFmtId="5" fontId="5" fillId="0" borderId="14" xfId="0" applyNumberFormat="1" applyFont="1" applyFill="1" applyBorder="1" applyProtection="1"/>
    <xf numFmtId="9" fontId="1" fillId="0" borderId="0" xfId="0" applyNumberFormat="1" applyFont="1" applyFill="1"/>
    <xf numFmtId="0" fontId="5" fillId="0" borderId="1" xfId="0" quotePrefix="1" applyFont="1" applyFill="1" applyBorder="1" applyAlignment="1"/>
    <xf numFmtId="44" fontId="5" fillId="0" borderId="2" xfId="0" applyNumberFormat="1" applyFont="1" applyFill="1" applyBorder="1" applyProtection="1">
      <protection locked="0"/>
    </xf>
    <xf numFmtId="0" fontId="5" fillId="0" borderId="13" xfId="0" applyFont="1" applyFill="1" applyBorder="1" applyAlignment="1"/>
    <xf numFmtId="0" fontId="5" fillId="0" borderId="0" xfId="0" applyFont="1" applyFill="1" applyBorder="1" applyAlignment="1"/>
    <xf numFmtId="44" fontId="5" fillId="0" borderId="0" xfId="0" applyNumberFormat="1" applyFont="1" applyFill="1" applyBorder="1" applyProtection="1">
      <protection locked="0"/>
    </xf>
    <xf numFmtId="0" fontId="5" fillId="0" borderId="13" xfId="0" quotePrefix="1" applyFont="1" applyFill="1" applyBorder="1" applyAlignment="1"/>
    <xf numFmtId="44" fontId="5" fillId="0" borderId="5" xfId="0" applyNumberFormat="1" applyFont="1" applyFill="1" applyBorder="1" applyProtection="1">
      <protection locked="0"/>
    </xf>
    <xf numFmtId="0" fontId="12" fillId="0" borderId="0" xfId="0" quotePrefix="1" applyFont="1" applyFill="1" applyAlignment="1" applyProtection="1">
      <alignment horizontal="left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 indent="3"/>
    </xf>
    <xf numFmtId="0" fontId="5" fillId="0" borderId="0" xfId="0" quotePrefix="1" applyFont="1" applyFill="1" applyAlignment="1">
      <alignment horizontal="left" indent="4"/>
    </xf>
    <xf numFmtId="9" fontId="5" fillId="0" borderId="0" xfId="0" applyNumberFormat="1" applyFont="1" applyFill="1"/>
    <xf numFmtId="44" fontId="5" fillId="0" borderId="0" xfId="0" applyNumberFormat="1" applyFont="1" applyFill="1" applyAlignment="1"/>
    <xf numFmtId="175" fontId="5" fillId="0" borderId="0" xfId="0" applyNumberFormat="1" applyFont="1" applyFill="1" applyProtection="1">
      <protection locked="0"/>
    </xf>
    <xf numFmtId="5" fontId="5" fillId="0" borderId="0" xfId="0" quotePrefix="1" applyNumberFormat="1" applyFont="1" applyFill="1" applyAlignment="1">
      <alignment horizontal="left"/>
    </xf>
    <xf numFmtId="0" fontId="7" fillId="0" borderId="0" xfId="0" applyFont="1" applyFill="1" applyBorder="1" applyAlignment="1" applyProtection="1">
      <alignment wrapText="1"/>
    </xf>
    <xf numFmtId="37" fontId="7" fillId="0" borderId="0" xfId="0" quotePrefix="1" applyNumberFormat="1" applyFont="1" applyFill="1" applyAlignment="1" applyProtection="1">
      <alignment horizontal="center"/>
    </xf>
    <xf numFmtId="37" fontId="7" fillId="0" borderId="7" xfId="0" quotePrefix="1" applyNumberFormat="1" applyFont="1" applyFill="1" applyBorder="1" applyAlignment="1" applyProtection="1">
      <alignment horizontal="center" wrapText="1"/>
    </xf>
    <xf numFmtId="167" fontId="5" fillId="0" borderId="0" xfId="0" applyNumberFormat="1" applyFont="1" applyFill="1" applyBorder="1"/>
    <xf numFmtId="167" fontId="5" fillId="0" borderId="14" xfId="0" applyNumberFormat="1" applyFont="1" applyFill="1" applyBorder="1" applyProtection="1"/>
    <xf numFmtId="42" fontId="5" fillId="0" borderId="14" xfId="0" applyNumberFormat="1" applyFont="1" applyFill="1" applyBorder="1" applyProtection="1"/>
    <xf numFmtId="10" fontId="5" fillId="0" borderId="0" xfId="0" applyNumberFormat="1" applyFont="1" applyFill="1" applyProtection="1"/>
    <xf numFmtId="44" fontId="5" fillId="0" borderId="0" xfId="0" applyNumberFormat="1" applyFont="1" applyFill="1"/>
    <xf numFmtId="10" fontId="5" fillId="0" borderId="18" xfId="0" applyNumberFormat="1" applyFont="1" applyFill="1" applyBorder="1"/>
    <xf numFmtId="0" fontId="5" fillId="0" borderId="1" xfId="0" applyFont="1" applyFill="1" applyBorder="1"/>
    <xf numFmtId="165" fontId="5" fillId="0" borderId="3" xfId="0" applyNumberFormat="1" applyFont="1" applyFill="1" applyBorder="1"/>
    <xf numFmtId="165" fontId="5" fillId="0" borderId="32" xfId="0" applyNumberFormat="1" applyFont="1" applyFill="1" applyBorder="1"/>
    <xf numFmtId="3" fontId="5" fillId="0" borderId="9" xfId="0" quotePrefix="1" applyNumberFormat="1" applyFont="1" applyFill="1" applyBorder="1" applyAlignment="1">
      <alignment horizontal="left"/>
    </xf>
    <xf numFmtId="3" fontId="10" fillId="0" borderId="10" xfId="0" applyNumberFormat="1" applyFont="1" applyFill="1" applyBorder="1" applyAlignment="1"/>
    <xf numFmtId="0" fontId="5" fillId="0" borderId="3" xfId="0" applyFont="1" applyFill="1" applyBorder="1"/>
    <xf numFmtId="3" fontId="5" fillId="0" borderId="13" xfId="0" quotePrefix="1" applyNumberFormat="1" applyFont="1" applyFill="1" applyBorder="1" applyAlignment="1">
      <alignment horizontal="left"/>
    </xf>
    <xf numFmtId="0" fontId="5" fillId="0" borderId="32" xfId="0" applyFont="1" applyFill="1" applyBorder="1"/>
    <xf numFmtId="3" fontId="5" fillId="0" borderId="4" xfId="0" quotePrefix="1" applyNumberFormat="1" applyFont="1" applyFill="1" applyBorder="1" applyAlignment="1">
      <alignment horizontal="left"/>
    </xf>
    <xf numFmtId="165" fontId="5" fillId="0" borderId="5" xfId="0" applyNumberFormat="1" applyFont="1" applyFill="1" applyBorder="1"/>
    <xf numFmtId="0" fontId="5" fillId="0" borderId="6" xfId="0" applyFont="1" applyFill="1" applyBorder="1"/>
    <xf numFmtId="164" fontId="5" fillId="0" borderId="0" xfId="0" applyNumberFormat="1" applyFont="1" applyFill="1"/>
    <xf numFmtId="10" fontId="5" fillId="0" borderId="0" xfId="0" applyNumberFormat="1" applyFont="1" applyFill="1"/>
    <xf numFmtId="5" fontId="2" fillId="0" borderId="0" xfId="0" quotePrefix="1" applyNumberFormat="1" applyFont="1" applyFill="1" applyAlignment="1">
      <alignment horizontal="left"/>
    </xf>
    <xf numFmtId="10" fontId="5" fillId="0" borderId="32" xfId="0" applyNumberFormat="1" applyFont="1" applyFill="1" applyBorder="1"/>
    <xf numFmtId="43" fontId="5" fillId="0" borderId="0" xfId="0" applyNumberFormat="1" applyFont="1" applyFill="1" applyProtection="1"/>
    <xf numFmtId="43" fontId="5" fillId="0" borderId="10" xfId="0" applyNumberFormat="1" applyFont="1" applyFill="1" applyBorder="1" applyProtection="1"/>
    <xf numFmtId="43" fontId="5" fillId="0" borderId="0" xfId="0" applyNumberFormat="1" applyFont="1" applyFill="1"/>
    <xf numFmtId="43" fontId="5" fillId="0" borderId="8" xfId="0" applyNumberFormat="1" applyFont="1" applyFill="1" applyBorder="1" applyProtection="1"/>
    <xf numFmtId="164" fontId="5" fillId="0" borderId="0" xfId="0" applyNumberFormat="1" applyFont="1" applyFill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8" xfId="0" applyNumberFormat="1" applyFont="1" applyFill="1" applyBorder="1" applyProtection="1">
      <protection locked="0"/>
    </xf>
    <xf numFmtId="165" fontId="5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165" fontId="3" fillId="0" borderId="0" xfId="0" applyNumberFormat="1" applyFont="1" applyFill="1"/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0" xfId="0" applyFont="1" applyFill="1" applyAlignment="1"/>
    <xf numFmtId="0" fontId="1" fillId="0" borderId="15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7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5" xfId="0" quotePrefix="1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1" fillId="0" borderId="35" xfId="0" quotePrefix="1" applyFont="1" applyFill="1" applyBorder="1" applyAlignment="1">
      <alignment horizontal="center" wrapText="1"/>
    </xf>
    <xf numFmtId="0" fontId="1" fillId="0" borderId="36" xfId="0" quotePrefix="1" applyFont="1" applyFill="1" applyBorder="1" applyAlignment="1">
      <alignment horizontal="center" wrapText="1"/>
    </xf>
    <xf numFmtId="0" fontId="1" fillId="0" borderId="37" xfId="0" quotePrefix="1" applyFont="1" applyFill="1" applyBorder="1" applyAlignment="1">
      <alignment horizontal="center" wrapText="1"/>
    </xf>
    <xf numFmtId="0" fontId="7" fillId="0" borderId="0" xfId="0" applyFont="1" applyFill="1" applyBorder="1" applyAlignment="1" applyProtection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8" fillId="0" borderId="13" xfId="0" quotePrefix="1" applyFont="1" applyFill="1" applyBorder="1" applyAlignment="1">
      <alignment horizontal="left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173" fontId="5" fillId="0" borderId="32" xfId="0" applyNumberFormat="1" applyFont="1" applyFill="1" applyBorder="1"/>
    <xf numFmtId="173" fontId="8" fillId="0" borderId="6" xfId="0" applyNumberFormat="1" applyFont="1" applyFill="1" applyBorder="1"/>
    <xf numFmtId="173" fontId="5" fillId="0" borderId="20" xfId="0" applyNumberFormat="1" applyFont="1" applyFill="1" applyBorder="1"/>
    <xf numFmtId="0" fontId="11" fillId="0" borderId="0" xfId="0" applyFont="1" applyFill="1" applyBorder="1"/>
    <xf numFmtId="37" fontId="11" fillId="0" borderId="0" xfId="0" applyNumberFormat="1" applyFont="1" applyFill="1" applyBorder="1"/>
    <xf numFmtId="0" fontId="10" fillId="0" borderId="0" xfId="0" quotePrefix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7" fontId="5" fillId="0" borderId="10" xfId="0" applyNumberFormat="1" applyFont="1" applyFill="1" applyBorder="1"/>
    <xf numFmtId="165" fontId="5" fillId="0" borderId="10" xfId="0" applyNumberFormat="1" applyFont="1" applyFill="1" applyBorder="1"/>
    <xf numFmtId="165" fontId="5" fillId="0" borderId="14" xfId="0" applyNumberFormat="1" applyFont="1" applyFill="1" applyBorder="1"/>
    <xf numFmtId="0" fontId="5" fillId="0" borderId="0" xfId="0" applyFont="1" applyFill="1" applyAlignment="1">
      <alignment horizontal="left" indent="4"/>
    </xf>
    <xf numFmtId="0" fontId="5" fillId="0" borderId="0" xfId="0" quotePrefix="1" applyFont="1" applyFill="1" applyAlignment="1">
      <alignment horizontal="left" indent="1"/>
    </xf>
    <xf numFmtId="174" fontId="5" fillId="0" borderId="0" xfId="0" applyNumberFormat="1" applyFont="1" applyFill="1"/>
    <xf numFmtId="0" fontId="5" fillId="0" borderId="0" xfId="0" applyFont="1" applyFill="1" applyAlignment="1">
      <alignment horizontal="left" indent="5"/>
    </xf>
    <xf numFmtId="0" fontId="5" fillId="0" borderId="0" xfId="0" quotePrefix="1" applyFont="1" applyFill="1" applyAlignment="1">
      <alignment horizontal="left" indent="2"/>
    </xf>
    <xf numFmtId="0" fontId="5" fillId="0" borderId="0" xfId="0" quotePrefix="1" applyFont="1" applyFill="1" applyAlignment="1">
      <alignment horizontal="left" indent="5"/>
    </xf>
    <xf numFmtId="167" fontId="5" fillId="0" borderId="14" xfId="0" applyNumberFormat="1" applyFont="1" applyFill="1" applyBorder="1"/>
    <xf numFmtId="44" fontId="3" fillId="0" borderId="14" xfId="0" applyNumberFormat="1" applyFont="1" applyFill="1" applyBorder="1"/>
    <xf numFmtId="0" fontId="1" fillId="0" borderId="0" xfId="0" applyFont="1" applyFill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0" fontId="3" fillId="0" borderId="19" xfId="0" quotePrefix="1" applyFont="1" applyFill="1" applyBorder="1" applyAlignment="1">
      <alignment horizontal="left"/>
    </xf>
    <xf numFmtId="0" fontId="3" fillId="0" borderId="22" xfId="0" quotePrefix="1" applyFont="1" applyFill="1" applyBorder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5" xfId="0" quotePrefix="1" applyFont="1" applyFill="1" applyBorder="1" applyAlignment="1">
      <alignment horizontal="left"/>
    </xf>
    <xf numFmtId="0" fontId="3" fillId="0" borderId="21" xfId="0" quotePrefix="1" applyFont="1" applyFill="1" applyBorder="1" applyAlignment="1">
      <alignment horizontal="left"/>
    </xf>
    <xf numFmtId="0" fontId="3" fillId="0" borderId="17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1" xfId="0" quotePrefix="1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5" fillId="0" borderId="5" xfId="0" quotePrefix="1" applyFont="1" applyFill="1" applyBorder="1" applyAlignment="1">
      <alignment horizontal="center"/>
    </xf>
    <xf numFmtId="0" fontId="5" fillId="0" borderId="6" xfId="0" quotePrefix="1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quotePrefix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5" xfId="0" quotePrefix="1" applyFont="1" applyFill="1" applyBorder="1" applyAlignment="1">
      <alignment horizontal="center" wrapText="1"/>
    </xf>
    <xf numFmtId="0" fontId="1" fillId="0" borderId="36" xfId="0" quotePrefix="1" applyFont="1" applyFill="1" applyBorder="1" applyAlignment="1">
      <alignment horizontal="center" wrapText="1"/>
    </xf>
    <xf numFmtId="0" fontId="1" fillId="0" borderId="37" xfId="0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 wrapText="1"/>
    </xf>
    <xf numFmtId="0" fontId="7" fillId="0" borderId="5" xfId="0" quotePrefix="1" applyFont="1" applyFill="1" applyBorder="1" applyAlignment="1" applyProtection="1">
      <alignment horizontal="center" wrapText="1"/>
    </xf>
    <xf numFmtId="0" fontId="7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13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9" xfId="0" quotePrefix="1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10" fillId="0" borderId="0" xfId="0" quotePrefix="1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58"/>
  <sheetViews>
    <sheetView tabSelected="1" zoomScale="80" zoomScaleNormal="80" workbookViewId="0">
      <pane xSplit="3" ySplit="6" topLeftCell="D133" activePane="bottomRight" state="frozen"/>
      <selection activeCell="C31" sqref="C31"/>
      <selection pane="topRight" activeCell="C31" sqref="C31"/>
      <selection pane="bottomLeft" activeCell="C31" sqref="C31"/>
      <selection pane="bottomRight" activeCell="H141" sqref="H141"/>
    </sheetView>
  </sheetViews>
  <sheetFormatPr defaultColWidth="8.25" defaultRowHeight="12.75" x14ac:dyDescent="0.2"/>
  <cols>
    <col min="1" max="1" width="4.125" style="1" bestFit="1" customWidth="1"/>
    <col min="2" max="2" width="13.125" style="1" bestFit="1" customWidth="1"/>
    <col min="3" max="3" width="54.125" style="1" bestFit="1" customWidth="1"/>
    <col min="4" max="4" width="12.25" style="1" bestFit="1" customWidth="1"/>
    <col min="5" max="5" width="12.75" style="1" bestFit="1" customWidth="1"/>
    <col min="6" max="6" width="10.375" style="1" bestFit="1" customWidth="1"/>
    <col min="7" max="7" width="16.5" style="1" bestFit="1" customWidth="1"/>
    <col min="8" max="8" width="8.125" style="2" bestFit="1" customWidth="1"/>
    <col min="9" max="9" width="2.5" style="1" customWidth="1"/>
    <col min="10" max="10" width="11.375" style="1" bestFit="1" customWidth="1"/>
    <col min="11" max="11" width="7.75" style="1" bestFit="1" customWidth="1"/>
    <col min="12" max="12" width="11.625" style="1" bestFit="1" customWidth="1"/>
    <col min="13" max="13" width="2.5" style="1" customWidth="1"/>
    <col min="14" max="16" width="11.375" style="1" bestFit="1" customWidth="1"/>
    <col min="17" max="17" width="9.25" style="1" bestFit="1" customWidth="1"/>
    <col min="18" max="18" width="11.875" style="387" bestFit="1" customWidth="1"/>
    <col min="19" max="19" width="2.875" style="1" customWidth="1"/>
    <col min="20" max="22" width="11.375" style="1" bestFit="1" customWidth="1"/>
    <col min="23" max="23" width="9.25" style="1" bestFit="1" customWidth="1"/>
    <col min="24" max="24" width="11.75" style="387" bestFit="1" customWidth="1"/>
    <col min="25" max="249" width="8.25" style="1"/>
    <col min="250" max="250" width="4" style="1" bestFit="1" customWidth="1"/>
    <col min="251" max="251" width="9.875" style="1" customWidth="1"/>
    <col min="252" max="252" width="56.125" style="1" bestFit="1" customWidth="1"/>
    <col min="253" max="253" width="13" style="1" customWidth="1"/>
    <col min="254" max="254" width="11.25" style="1" bestFit="1" customWidth="1"/>
    <col min="255" max="255" width="11.75" style="1" customWidth="1"/>
    <col min="256" max="256" width="2.875" style="1" customWidth="1"/>
    <col min="257" max="257" width="13" style="1" bestFit="1" customWidth="1"/>
    <col min="258" max="258" width="14.875" style="1" bestFit="1" customWidth="1"/>
    <col min="259" max="259" width="13" style="1" bestFit="1" customWidth="1"/>
    <col min="260" max="505" width="8.25" style="1"/>
    <col min="506" max="506" width="4" style="1" bestFit="1" customWidth="1"/>
    <col min="507" max="507" width="9.875" style="1" customWidth="1"/>
    <col min="508" max="508" width="56.125" style="1" bestFit="1" customWidth="1"/>
    <col min="509" max="509" width="13" style="1" customWidth="1"/>
    <col min="510" max="510" width="11.25" style="1" bestFit="1" customWidth="1"/>
    <col min="511" max="511" width="11.75" style="1" customWidth="1"/>
    <col min="512" max="512" width="2.875" style="1" customWidth="1"/>
    <col min="513" max="513" width="13" style="1" bestFit="1" customWidth="1"/>
    <col min="514" max="514" width="14.875" style="1" bestFit="1" customWidth="1"/>
    <col min="515" max="515" width="13" style="1" bestFit="1" customWidth="1"/>
    <col min="516" max="761" width="8.25" style="1"/>
    <col min="762" max="762" width="4" style="1" bestFit="1" customWidth="1"/>
    <col min="763" max="763" width="9.875" style="1" customWidth="1"/>
    <col min="764" max="764" width="56.125" style="1" bestFit="1" customWidth="1"/>
    <col min="765" max="765" width="13" style="1" customWidth="1"/>
    <col min="766" max="766" width="11.25" style="1" bestFit="1" customWidth="1"/>
    <col min="767" max="767" width="11.75" style="1" customWidth="1"/>
    <col min="768" max="768" width="2.875" style="1" customWidth="1"/>
    <col min="769" max="769" width="13" style="1" bestFit="1" customWidth="1"/>
    <col min="770" max="770" width="14.875" style="1" bestFit="1" customWidth="1"/>
    <col min="771" max="771" width="13" style="1" bestFit="1" customWidth="1"/>
    <col min="772" max="1017" width="8.25" style="1"/>
    <col min="1018" max="1018" width="4" style="1" bestFit="1" customWidth="1"/>
    <col min="1019" max="1019" width="9.875" style="1" customWidth="1"/>
    <col min="1020" max="1020" width="56.125" style="1" bestFit="1" customWidth="1"/>
    <col min="1021" max="1021" width="13" style="1" customWidth="1"/>
    <col min="1022" max="1022" width="11.25" style="1" bestFit="1" customWidth="1"/>
    <col min="1023" max="1023" width="11.75" style="1" customWidth="1"/>
    <col min="1024" max="1024" width="2.875" style="1" customWidth="1"/>
    <col min="1025" max="1025" width="13" style="1" bestFit="1" customWidth="1"/>
    <col min="1026" max="1026" width="14.875" style="1" bestFit="1" customWidth="1"/>
    <col min="1027" max="1027" width="13" style="1" bestFit="1" customWidth="1"/>
    <col min="1028" max="1273" width="8.25" style="1"/>
    <col min="1274" max="1274" width="4" style="1" bestFit="1" customWidth="1"/>
    <col min="1275" max="1275" width="9.875" style="1" customWidth="1"/>
    <col min="1276" max="1276" width="56.125" style="1" bestFit="1" customWidth="1"/>
    <col min="1277" max="1277" width="13" style="1" customWidth="1"/>
    <col min="1278" max="1278" width="11.25" style="1" bestFit="1" customWidth="1"/>
    <col min="1279" max="1279" width="11.75" style="1" customWidth="1"/>
    <col min="1280" max="1280" width="2.875" style="1" customWidth="1"/>
    <col min="1281" max="1281" width="13" style="1" bestFit="1" customWidth="1"/>
    <col min="1282" max="1282" width="14.875" style="1" bestFit="1" customWidth="1"/>
    <col min="1283" max="1283" width="13" style="1" bestFit="1" customWidth="1"/>
    <col min="1284" max="1529" width="8.25" style="1"/>
    <col min="1530" max="1530" width="4" style="1" bestFit="1" customWidth="1"/>
    <col min="1531" max="1531" width="9.875" style="1" customWidth="1"/>
    <col min="1532" max="1532" width="56.125" style="1" bestFit="1" customWidth="1"/>
    <col min="1533" max="1533" width="13" style="1" customWidth="1"/>
    <col min="1534" max="1534" width="11.25" style="1" bestFit="1" customWidth="1"/>
    <col min="1535" max="1535" width="11.75" style="1" customWidth="1"/>
    <col min="1536" max="1536" width="2.875" style="1" customWidth="1"/>
    <col min="1537" max="1537" width="13" style="1" bestFit="1" customWidth="1"/>
    <col min="1538" max="1538" width="14.875" style="1" bestFit="1" customWidth="1"/>
    <col min="1539" max="1539" width="13" style="1" bestFit="1" customWidth="1"/>
    <col min="1540" max="1785" width="8.25" style="1"/>
    <col min="1786" max="1786" width="4" style="1" bestFit="1" customWidth="1"/>
    <col min="1787" max="1787" width="9.875" style="1" customWidth="1"/>
    <col min="1788" max="1788" width="56.125" style="1" bestFit="1" customWidth="1"/>
    <col min="1789" max="1789" width="13" style="1" customWidth="1"/>
    <col min="1790" max="1790" width="11.25" style="1" bestFit="1" customWidth="1"/>
    <col min="1791" max="1791" width="11.75" style="1" customWidth="1"/>
    <col min="1792" max="1792" width="2.875" style="1" customWidth="1"/>
    <col min="1793" max="1793" width="13" style="1" bestFit="1" customWidth="1"/>
    <col min="1794" max="1794" width="14.875" style="1" bestFit="1" customWidth="1"/>
    <col min="1795" max="1795" width="13" style="1" bestFit="1" customWidth="1"/>
    <col min="1796" max="2041" width="8.25" style="1"/>
    <col min="2042" max="2042" width="4" style="1" bestFit="1" customWidth="1"/>
    <col min="2043" max="2043" width="9.875" style="1" customWidth="1"/>
    <col min="2044" max="2044" width="56.125" style="1" bestFit="1" customWidth="1"/>
    <col min="2045" max="2045" width="13" style="1" customWidth="1"/>
    <col min="2046" max="2046" width="11.25" style="1" bestFit="1" customWidth="1"/>
    <col min="2047" max="2047" width="11.75" style="1" customWidth="1"/>
    <col min="2048" max="2048" width="2.875" style="1" customWidth="1"/>
    <col min="2049" max="2049" width="13" style="1" bestFit="1" customWidth="1"/>
    <col min="2050" max="2050" width="14.875" style="1" bestFit="1" customWidth="1"/>
    <col min="2051" max="2051" width="13" style="1" bestFit="1" customWidth="1"/>
    <col min="2052" max="2297" width="8.25" style="1"/>
    <col min="2298" max="2298" width="4" style="1" bestFit="1" customWidth="1"/>
    <col min="2299" max="2299" width="9.875" style="1" customWidth="1"/>
    <col min="2300" max="2300" width="56.125" style="1" bestFit="1" customWidth="1"/>
    <col min="2301" max="2301" width="13" style="1" customWidth="1"/>
    <col min="2302" max="2302" width="11.25" style="1" bestFit="1" customWidth="1"/>
    <col min="2303" max="2303" width="11.75" style="1" customWidth="1"/>
    <col min="2304" max="2304" width="2.875" style="1" customWidth="1"/>
    <col min="2305" max="2305" width="13" style="1" bestFit="1" customWidth="1"/>
    <col min="2306" max="2306" width="14.875" style="1" bestFit="1" customWidth="1"/>
    <col min="2307" max="2307" width="13" style="1" bestFit="1" customWidth="1"/>
    <col min="2308" max="2553" width="8.25" style="1"/>
    <col min="2554" max="2554" width="4" style="1" bestFit="1" customWidth="1"/>
    <col min="2555" max="2555" width="9.875" style="1" customWidth="1"/>
    <col min="2556" max="2556" width="56.125" style="1" bestFit="1" customWidth="1"/>
    <col min="2557" max="2557" width="13" style="1" customWidth="1"/>
    <col min="2558" max="2558" width="11.25" style="1" bestFit="1" customWidth="1"/>
    <col min="2559" max="2559" width="11.75" style="1" customWidth="1"/>
    <col min="2560" max="2560" width="2.875" style="1" customWidth="1"/>
    <col min="2561" max="2561" width="13" style="1" bestFit="1" customWidth="1"/>
    <col min="2562" max="2562" width="14.875" style="1" bestFit="1" customWidth="1"/>
    <col min="2563" max="2563" width="13" style="1" bestFit="1" customWidth="1"/>
    <col min="2564" max="2809" width="8.25" style="1"/>
    <col min="2810" max="2810" width="4" style="1" bestFit="1" customWidth="1"/>
    <col min="2811" max="2811" width="9.875" style="1" customWidth="1"/>
    <col min="2812" max="2812" width="56.125" style="1" bestFit="1" customWidth="1"/>
    <col min="2813" max="2813" width="13" style="1" customWidth="1"/>
    <col min="2814" max="2814" width="11.25" style="1" bestFit="1" customWidth="1"/>
    <col min="2815" max="2815" width="11.75" style="1" customWidth="1"/>
    <col min="2816" max="2816" width="2.875" style="1" customWidth="1"/>
    <col min="2817" max="2817" width="13" style="1" bestFit="1" customWidth="1"/>
    <col min="2818" max="2818" width="14.875" style="1" bestFit="1" customWidth="1"/>
    <col min="2819" max="2819" width="13" style="1" bestFit="1" customWidth="1"/>
    <col min="2820" max="3065" width="8.25" style="1"/>
    <col min="3066" max="3066" width="4" style="1" bestFit="1" customWidth="1"/>
    <col min="3067" max="3067" width="9.875" style="1" customWidth="1"/>
    <col min="3068" max="3068" width="56.125" style="1" bestFit="1" customWidth="1"/>
    <col min="3069" max="3069" width="13" style="1" customWidth="1"/>
    <col min="3070" max="3070" width="11.25" style="1" bestFit="1" customWidth="1"/>
    <col min="3071" max="3071" width="11.75" style="1" customWidth="1"/>
    <col min="3072" max="3072" width="2.875" style="1" customWidth="1"/>
    <col min="3073" max="3073" width="13" style="1" bestFit="1" customWidth="1"/>
    <col min="3074" max="3074" width="14.875" style="1" bestFit="1" customWidth="1"/>
    <col min="3075" max="3075" width="13" style="1" bestFit="1" customWidth="1"/>
    <col min="3076" max="3321" width="8.25" style="1"/>
    <col min="3322" max="3322" width="4" style="1" bestFit="1" customWidth="1"/>
    <col min="3323" max="3323" width="9.875" style="1" customWidth="1"/>
    <col min="3324" max="3324" width="56.125" style="1" bestFit="1" customWidth="1"/>
    <col min="3325" max="3325" width="13" style="1" customWidth="1"/>
    <col min="3326" max="3326" width="11.25" style="1" bestFit="1" customWidth="1"/>
    <col min="3327" max="3327" width="11.75" style="1" customWidth="1"/>
    <col min="3328" max="3328" width="2.875" style="1" customWidth="1"/>
    <col min="3329" max="3329" width="13" style="1" bestFit="1" customWidth="1"/>
    <col min="3330" max="3330" width="14.875" style="1" bestFit="1" customWidth="1"/>
    <col min="3331" max="3331" width="13" style="1" bestFit="1" customWidth="1"/>
    <col min="3332" max="3577" width="8.25" style="1"/>
    <col min="3578" max="3578" width="4" style="1" bestFit="1" customWidth="1"/>
    <col min="3579" max="3579" width="9.875" style="1" customWidth="1"/>
    <col min="3580" max="3580" width="56.125" style="1" bestFit="1" customWidth="1"/>
    <col min="3581" max="3581" width="13" style="1" customWidth="1"/>
    <col min="3582" max="3582" width="11.25" style="1" bestFit="1" customWidth="1"/>
    <col min="3583" max="3583" width="11.75" style="1" customWidth="1"/>
    <col min="3584" max="3584" width="2.875" style="1" customWidth="1"/>
    <col min="3585" max="3585" width="13" style="1" bestFit="1" customWidth="1"/>
    <col min="3586" max="3586" width="14.875" style="1" bestFit="1" customWidth="1"/>
    <col min="3587" max="3587" width="13" style="1" bestFit="1" customWidth="1"/>
    <col min="3588" max="3833" width="8.25" style="1"/>
    <col min="3834" max="3834" width="4" style="1" bestFit="1" customWidth="1"/>
    <col min="3835" max="3835" width="9.875" style="1" customWidth="1"/>
    <col min="3836" max="3836" width="56.125" style="1" bestFit="1" customWidth="1"/>
    <col min="3837" max="3837" width="13" style="1" customWidth="1"/>
    <col min="3838" max="3838" width="11.25" style="1" bestFit="1" customWidth="1"/>
    <col min="3839" max="3839" width="11.75" style="1" customWidth="1"/>
    <col min="3840" max="3840" width="2.875" style="1" customWidth="1"/>
    <col min="3841" max="3841" width="13" style="1" bestFit="1" customWidth="1"/>
    <col min="3842" max="3842" width="14.875" style="1" bestFit="1" customWidth="1"/>
    <col min="3843" max="3843" width="13" style="1" bestFit="1" customWidth="1"/>
    <col min="3844" max="4089" width="8.25" style="1"/>
    <col min="4090" max="4090" width="4" style="1" bestFit="1" customWidth="1"/>
    <col min="4091" max="4091" width="9.875" style="1" customWidth="1"/>
    <col min="4092" max="4092" width="56.125" style="1" bestFit="1" customWidth="1"/>
    <col min="4093" max="4093" width="13" style="1" customWidth="1"/>
    <col min="4094" max="4094" width="11.25" style="1" bestFit="1" customWidth="1"/>
    <col min="4095" max="4095" width="11.75" style="1" customWidth="1"/>
    <col min="4096" max="4096" width="2.875" style="1" customWidth="1"/>
    <col min="4097" max="4097" width="13" style="1" bestFit="1" customWidth="1"/>
    <col min="4098" max="4098" width="14.875" style="1" bestFit="1" customWidth="1"/>
    <col min="4099" max="4099" width="13" style="1" bestFit="1" customWidth="1"/>
    <col min="4100" max="4345" width="8.25" style="1"/>
    <col min="4346" max="4346" width="4" style="1" bestFit="1" customWidth="1"/>
    <col min="4347" max="4347" width="9.875" style="1" customWidth="1"/>
    <col min="4348" max="4348" width="56.125" style="1" bestFit="1" customWidth="1"/>
    <col min="4349" max="4349" width="13" style="1" customWidth="1"/>
    <col min="4350" max="4350" width="11.25" style="1" bestFit="1" customWidth="1"/>
    <col min="4351" max="4351" width="11.75" style="1" customWidth="1"/>
    <col min="4352" max="4352" width="2.875" style="1" customWidth="1"/>
    <col min="4353" max="4353" width="13" style="1" bestFit="1" customWidth="1"/>
    <col min="4354" max="4354" width="14.875" style="1" bestFit="1" customWidth="1"/>
    <col min="4355" max="4355" width="13" style="1" bestFit="1" customWidth="1"/>
    <col min="4356" max="4601" width="8.25" style="1"/>
    <col min="4602" max="4602" width="4" style="1" bestFit="1" customWidth="1"/>
    <col min="4603" max="4603" width="9.875" style="1" customWidth="1"/>
    <col min="4604" max="4604" width="56.125" style="1" bestFit="1" customWidth="1"/>
    <col min="4605" max="4605" width="13" style="1" customWidth="1"/>
    <col min="4606" max="4606" width="11.25" style="1" bestFit="1" customWidth="1"/>
    <col min="4607" max="4607" width="11.75" style="1" customWidth="1"/>
    <col min="4608" max="4608" width="2.875" style="1" customWidth="1"/>
    <col min="4609" max="4609" width="13" style="1" bestFit="1" customWidth="1"/>
    <col min="4610" max="4610" width="14.875" style="1" bestFit="1" customWidth="1"/>
    <col min="4611" max="4611" width="13" style="1" bestFit="1" customWidth="1"/>
    <col min="4612" max="4857" width="8.25" style="1"/>
    <col min="4858" max="4858" width="4" style="1" bestFit="1" customWidth="1"/>
    <col min="4859" max="4859" width="9.875" style="1" customWidth="1"/>
    <col min="4860" max="4860" width="56.125" style="1" bestFit="1" customWidth="1"/>
    <col min="4861" max="4861" width="13" style="1" customWidth="1"/>
    <col min="4862" max="4862" width="11.25" style="1" bestFit="1" customWidth="1"/>
    <col min="4863" max="4863" width="11.75" style="1" customWidth="1"/>
    <col min="4864" max="4864" width="2.875" style="1" customWidth="1"/>
    <col min="4865" max="4865" width="13" style="1" bestFit="1" customWidth="1"/>
    <col min="4866" max="4866" width="14.875" style="1" bestFit="1" customWidth="1"/>
    <col min="4867" max="4867" width="13" style="1" bestFit="1" customWidth="1"/>
    <col min="4868" max="5113" width="8.25" style="1"/>
    <col min="5114" max="5114" width="4" style="1" bestFit="1" customWidth="1"/>
    <col min="5115" max="5115" width="9.875" style="1" customWidth="1"/>
    <col min="5116" max="5116" width="56.125" style="1" bestFit="1" customWidth="1"/>
    <col min="5117" max="5117" width="13" style="1" customWidth="1"/>
    <col min="5118" max="5118" width="11.25" style="1" bestFit="1" customWidth="1"/>
    <col min="5119" max="5119" width="11.75" style="1" customWidth="1"/>
    <col min="5120" max="5120" width="2.875" style="1" customWidth="1"/>
    <col min="5121" max="5121" width="13" style="1" bestFit="1" customWidth="1"/>
    <col min="5122" max="5122" width="14.875" style="1" bestFit="1" customWidth="1"/>
    <col min="5123" max="5123" width="13" style="1" bestFit="1" customWidth="1"/>
    <col min="5124" max="5369" width="8.25" style="1"/>
    <col min="5370" max="5370" width="4" style="1" bestFit="1" customWidth="1"/>
    <col min="5371" max="5371" width="9.875" style="1" customWidth="1"/>
    <col min="5372" max="5372" width="56.125" style="1" bestFit="1" customWidth="1"/>
    <col min="5373" max="5373" width="13" style="1" customWidth="1"/>
    <col min="5374" max="5374" width="11.25" style="1" bestFit="1" customWidth="1"/>
    <col min="5375" max="5375" width="11.75" style="1" customWidth="1"/>
    <col min="5376" max="5376" width="2.875" style="1" customWidth="1"/>
    <col min="5377" max="5377" width="13" style="1" bestFit="1" customWidth="1"/>
    <col min="5378" max="5378" width="14.875" style="1" bestFit="1" customWidth="1"/>
    <col min="5379" max="5379" width="13" style="1" bestFit="1" customWidth="1"/>
    <col min="5380" max="5625" width="8.25" style="1"/>
    <col min="5626" max="5626" width="4" style="1" bestFit="1" customWidth="1"/>
    <col min="5627" max="5627" width="9.875" style="1" customWidth="1"/>
    <col min="5628" max="5628" width="56.125" style="1" bestFit="1" customWidth="1"/>
    <col min="5629" max="5629" width="13" style="1" customWidth="1"/>
    <col min="5630" max="5630" width="11.25" style="1" bestFit="1" customWidth="1"/>
    <col min="5631" max="5631" width="11.75" style="1" customWidth="1"/>
    <col min="5632" max="5632" width="2.875" style="1" customWidth="1"/>
    <col min="5633" max="5633" width="13" style="1" bestFit="1" customWidth="1"/>
    <col min="5634" max="5634" width="14.875" style="1" bestFit="1" customWidth="1"/>
    <col min="5635" max="5635" width="13" style="1" bestFit="1" customWidth="1"/>
    <col min="5636" max="5881" width="8.25" style="1"/>
    <col min="5882" max="5882" width="4" style="1" bestFit="1" customWidth="1"/>
    <col min="5883" max="5883" width="9.875" style="1" customWidth="1"/>
    <col min="5884" max="5884" width="56.125" style="1" bestFit="1" customWidth="1"/>
    <col min="5885" max="5885" width="13" style="1" customWidth="1"/>
    <col min="5886" max="5886" width="11.25" style="1" bestFit="1" customWidth="1"/>
    <col min="5887" max="5887" width="11.75" style="1" customWidth="1"/>
    <col min="5888" max="5888" width="2.875" style="1" customWidth="1"/>
    <col min="5889" max="5889" width="13" style="1" bestFit="1" customWidth="1"/>
    <col min="5890" max="5890" width="14.875" style="1" bestFit="1" customWidth="1"/>
    <col min="5891" max="5891" width="13" style="1" bestFit="1" customWidth="1"/>
    <col min="5892" max="6137" width="8.25" style="1"/>
    <col min="6138" max="6138" width="4" style="1" bestFit="1" customWidth="1"/>
    <col min="6139" max="6139" width="9.875" style="1" customWidth="1"/>
    <col min="6140" max="6140" width="56.125" style="1" bestFit="1" customWidth="1"/>
    <col min="6141" max="6141" width="13" style="1" customWidth="1"/>
    <col min="6142" max="6142" width="11.25" style="1" bestFit="1" customWidth="1"/>
    <col min="6143" max="6143" width="11.75" style="1" customWidth="1"/>
    <col min="6144" max="6144" width="2.875" style="1" customWidth="1"/>
    <col min="6145" max="6145" width="13" style="1" bestFit="1" customWidth="1"/>
    <col min="6146" max="6146" width="14.875" style="1" bestFit="1" customWidth="1"/>
    <col min="6147" max="6147" width="13" style="1" bestFit="1" customWidth="1"/>
    <col min="6148" max="6393" width="8.25" style="1"/>
    <col min="6394" max="6394" width="4" style="1" bestFit="1" customWidth="1"/>
    <col min="6395" max="6395" width="9.875" style="1" customWidth="1"/>
    <col min="6396" max="6396" width="56.125" style="1" bestFit="1" customWidth="1"/>
    <col min="6397" max="6397" width="13" style="1" customWidth="1"/>
    <col min="6398" max="6398" width="11.25" style="1" bestFit="1" customWidth="1"/>
    <col min="6399" max="6399" width="11.75" style="1" customWidth="1"/>
    <col min="6400" max="6400" width="2.875" style="1" customWidth="1"/>
    <col min="6401" max="6401" width="13" style="1" bestFit="1" customWidth="1"/>
    <col min="6402" max="6402" width="14.875" style="1" bestFit="1" customWidth="1"/>
    <col min="6403" max="6403" width="13" style="1" bestFit="1" customWidth="1"/>
    <col min="6404" max="6649" width="8.25" style="1"/>
    <col min="6650" max="6650" width="4" style="1" bestFit="1" customWidth="1"/>
    <col min="6651" max="6651" width="9.875" style="1" customWidth="1"/>
    <col min="6652" max="6652" width="56.125" style="1" bestFit="1" customWidth="1"/>
    <col min="6653" max="6653" width="13" style="1" customWidth="1"/>
    <col min="6654" max="6654" width="11.25" style="1" bestFit="1" customWidth="1"/>
    <col min="6655" max="6655" width="11.75" style="1" customWidth="1"/>
    <col min="6656" max="6656" width="2.875" style="1" customWidth="1"/>
    <col min="6657" max="6657" width="13" style="1" bestFit="1" customWidth="1"/>
    <col min="6658" max="6658" width="14.875" style="1" bestFit="1" customWidth="1"/>
    <col min="6659" max="6659" width="13" style="1" bestFit="1" customWidth="1"/>
    <col min="6660" max="6905" width="8.25" style="1"/>
    <col min="6906" max="6906" width="4" style="1" bestFit="1" customWidth="1"/>
    <col min="6907" max="6907" width="9.875" style="1" customWidth="1"/>
    <col min="6908" max="6908" width="56.125" style="1" bestFit="1" customWidth="1"/>
    <col min="6909" max="6909" width="13" style="1" customWidth="1"/>
    <col min="6910" max="6910" width="11.25" style="1" bestFit="1" customWidth="1"/>
    <col min="6911" max="6911" width="11.75" style="1" customWidth="1"/>
    <col min="6912" max="6912" width="2.875" style="1" customWidth="1"/>
    <col min="6913" max="6913" width="13" style="1" bestFit="1" customWidth="1"/>
    <col min="6914" max="6914" width="14.875" style="1" bestFit="1" customWidth="1"/>
    <col min="6915" max="6915" width="13" style="1" bestFit="1" customWidth="1"/>
    <col min="6916" max="7161" width="8.25" style="1"/>
    <col min="7162" max="7162" width="4" style="1" bestFit="1" customWidth="1"/>
    <col min="7163" max="7163" width="9.875" style="1" customWidth="1"/>
    <col min="7164" max="7164" width="56.125" style="1" bestFit="1" customWidth="1"/>
    <col min="7165" max="7165" width="13" style="1" customWidth="1"/>
    <col min="7166" max="7166" width="11.25" style="1" bestFit="1" customWidth="1"/>
    <col min="7167" max="7167" width="11.75" style="1" customWidth="1"/>
    <col min="7168" max="7168" width="2.875" style="1" customWidth="1"/>
    <col min="7169" max="7169" width="13" style="1" bestFit="1" customWidth="1"/>
    <col min="7170" max="7170" width="14.875" style="1" bestFit="1" customWidth="1"/>
    <col min="7171" max="7171" width="13" style="1" bestFit="1" customWidth="1"/>
    <col min="7172" max="7417" width="8.25" style="1"/>
    <col min="7418" max="7418" width="4" style="1" bestFit="1" customWidth="1"/>
    <col min="7419" max="7419" width="9.875" style="1" customWidth="1"/>
    <col min="7420" max="7420" width="56.125" style="1" bestFit="1" customWidth="1"/>
    <col min="7421" max="7421" width="13" style="1" customWidth="1"/>
    <col min="7422" max="7422" width="11.25" style="1" bestFit="1" customWidth="1"/>
    <col min="7423" max="7423" width="11.75" style="1" customWidth="1"/>
    <col min="7424" max="7424" width="2.875" style="1" customWidth="1"/>
    <col min="7425" max="7425" width="13" style="1" bestFit="1" customWidth="1"/>
    <col min="7426" max="7426" width="14.875" style="1" bestFit="1" customWidth="1"/>
    <col min="7427" max="7427" width="13" style="1" bestFit="1" customWidth="1"/>
    <col min="7428" max="7673" width="8.25" style="1"/>
    <col min="7674" max="7674" width="4" style="1" bestFit="1" customWidth="1"/>
    <col min="7675" max="7675" width="9.875" style="1" customWidth="1"/>
    <col min="7676" max="7676" width="56.125" style="1" bestFit="1" customWidth="1"/>
    <col min="7677" max="7677" width="13" style="1" customWidth="1"/>
    <col min="7678" max="7678" width="11.25" style="1" bestFit="1" customWidth="1"/>
    <col min="7679" max="7679" width="11.75" style="1" customWidth="1"/>
    <col min="7680" max="7680" width="2.875" style="1" customWidth="1"/>
    <col min="7681" max="7681" width="13" style="1" bestFit="1" customWidth="1"/>
    <col min="7682" max="7682" width="14.875" style="1" bestFit="1" customWidth="1"/>
    <col min="7683" max="7683" width="13" style="1" bestFit="1" customWidth="1"/>
    <col min="7684" max="7929" width="8.25" style="1"/>
    <col min="7930" max="7930" width="4" style="1" bestFit="1" customWidth="1"/>
    <col min="7931" max="7931" width="9.875" style="1" customWidth="1"/>
    <col min="7932" max="7932" width="56.125" style="1" bestFit="1" customWidth="1"/>
    <col min="7933" max="7933" width="13" style="1" customWidth="1"/>
    <col min="7934" max="7934" width="11.25" style="1" bestFit="1" customWidth="1"/>
    <col min="7935" max="7935" width="11.75" style="1" customWidth="1"/>
    <col min="7936" max="7936" width="2.875" style="1" customWidth="1"/>
    <col min="7937" max="7937" width="13" style="1" bestFit="1" customWidth="1"/>
    <col min="7938" max="7938" width="14.875" style="1" bestFit="1" customWidth="1"/>
    <col min="7939" max="7939" width="13" style="1" bestFit="1" customWidth="1"/>
    <col min="7940" max="8185" width="8.25" style="1"/>
    <col min="8186" max="8186" width="4" style="1" bestFit="1" customWidth="1"/>
    <col min="8187" max="8187" width="9.875" style="1" customWidth="1"/>
    <col min="8188" max="8188" width="56.125" style="1" bestFit="1" customWidth="1"/>
    <col min="8189" max="8189" width="13" style="1" customWidth="1"/>
    <col min="8190" max="8190" width="11.25" style="1" bestFit="1" customWidth="1"/>
    <col min="8191" max="8191" width="11.75" style="1" customWidth="1"/>
    <col min="8192" max="8192" width="2.875" style="1" customWidth="1"/>
    <col min="8193" max="8193" width="13" style="1" bestFit="1" customWidth="1"/>
    <col min="8194" max="8194" width="14.875" style="1" bestFit="1" customWidth="1"/>
    <col min="8195" max="8195" width="13" style="1" bestFit="1" customWidth="1"/>
    <col min="8196" max="8441" width="8.25" style="1"/>
    <col min="8442" max="8442" width="4" style="1" bestFit="1" customWidth="1"/>
    <col min="8443" max="8443" width="9.875" style="1" customWidth="1"/>
    <col min="8444" max="8444" width="56.125" style="1" bestFit="1" customWidth="1"/>
    <col min="8445" max="8445" width="13" style="1" customWidth="1"/>
    <col min="8446" max="8446" width="11.25" style="1" bestFit="1" customWidth="1"/>
    <col min="8447" max="8447" width="11.75" style="1" customWidth="1"/>
    <col min="8448" max="8448" width="2.875" style="1" customWidth="1"/>
    <col min="8449" max="8449" width="13" style="1" bestFit="1" customWidth="1"/>
    <col min="8450" max="8450" width="14.875" style="1" bestFit="1" customWidth="1"/>
    <col min="8451" max="8451" width="13" style="1" bestFit="1" customWidth="1"/>
    <col min="8452" max="8697" width="8.25" style="1"/>
    <col min="8698" max="8698" width="4" style="1" bestFit="1" customWidth="1"/>
    <col min="8699" max="8699" width="9.875" style="1" customWidth="1"/>
    <col min="8700" max="8700" width="56.125" style="1" bestFit="1" customWidth="1"/>
    <col min="8701" max="8701" width="13" style="1" customWidth="1"/>
    <col min="8702" max="8702" width="11.25" style="1" bestFit="1" customWidth="1"/>
    <col min="8703" max="8703" width="11.75" style="1" customWidth="1"/>
    <col min="8704" max="8704" width="2.875" style="1" customWidth="1"/>
    <col min="8705" max="8705" width="13" style="1" bestFit="1" customWidth="1"/>
    <col min="8706" max="8706" width="14.875" style="1" bestFit="1" customWidth="1"/>
    <col min="8707" max="8707" width="13" style="1" bestFit="1" customWidth="1"/>
    <col min="8708" max="8953" width="8.25" style="1"/>
    <col min="8954" max="8954" width="4" style="1" bestFit="1" customWidth="1"/>
    <col min="8955" max="8955" width="9.875" style="1" customWidth="1"/>
    <col min="8956" max="8956" width="56.125" style="1" bestFit="1" customWidth="1"/>
    <col min="8957" max="8957" width="13" style="1" customWidth="1"/>
    <col min="8958" max="8958" width="11.25" style="1" bestFit="1" customWidth="1"/>
    <col min="8959" max="8959" width="11.75" style="1" customWidth="1"/>
    <col min="8960" max="8960" width="2.875" style="1" customWidth="1"/>
    <col min="8961" max="8961" width="13" style="1" bestFit="1" customWidth="1"/>
    <col min="8962" max="8962" width="14.875" style="1" bestFit="1" customWidth="1"/>
    <col min="8963" max="8963" width="13" style="1" bestFit="1" customWidth="1"/>
    <col min="8964" max="9209" width="8.25" style="1"/>
    <col min="9210" max="9210" width="4" style="1" bestFit="1" customWidth="1"/>
    <col min="9211" max="9211" width="9.875" style="1" customWidth="1"/>
    <col min="9212" max="9212" width="56.125" style="1" bestFit="1" customWidth="1"/>
    <col min="9213" max="9213" width="13" style="1" customWidth="1"/>
    <col min="9214" max="9214" width="11.25" style="1" bestFit="1" customWidth="1"/>
    <col min="9215" max="9215" width="11.75" style="1" customWidth="1"/>
    <col min="9216" max="9216" width="2.875" style="1" customWidth="1"/>
    <col min="9217" max="9217" width="13" style="1" bestFit="1" customWidth="1"/>
    <col min="9218" max="9218" width="14.875" style="1" bestFit="1" customWidth="1"/>
    <col min="9219" max="9219" width="13" style="1" bestFit="1" customWidth="1"/>
    <col min="9220" max="9465" width="8.25" style="1"/>
    <col min="9466" max="9466" width="4" style="1" bestFit="1" customWidth="1"/>
    <col min="9467" max="9467" width="9.875" style="1" customWidth="1"/>
    <col min="9468" max="9468" width="56.125" style="1" bestFit="1" customWidth="1"/>
    <col min="9469" max="9469" width="13" style="1" customWidth="1"/>
    <col min="9470" max="9470" width="11.25" style="1" bestFit="1" customWidth="1"/>
    <col min="9471" max="9471" width="11.75" style="1" customWidth="1"/>
    <col min="9472" max="9472" width="2.875" style="1" customWidth="1"/>
    <col min="9473" max="9473" width="13" style="1" bestFit="1" customWidth="1"/>
    <col min="9474" max="9474" width="14.875" style="1" bestFit="1" customWidth="1"/>
    <col min="9475" max="9475" width="13" style="1" bestFit="1" customWidth="1"/>
    <col min="9476" max="9721" width="8.25" style="1"/>
    <col min="9722" max="9722" width="4" style="1" bestFit="1" customWidth="1"/>
    <col min="9723" max="9723" width="9.875" style="1" customWidth="1"/>
    <col min="9724" max="9724" width="56.125" style="1" bestFit="1" customWidth="1"/>
    <col min="9725" max="9725" width="13" style="1" customWidth="1"/>
    <col min="9726" max="9726" width="11.25" style="1" bestFit="1" customWidth="1"/>
    <col min="9727" max="9727" width="11.75" style="1" customWidth="1"/>
    <col min="9728" max="9728" width="2.875" style="1" customWidth="1"/>
    <col min="9729" max="9729" width="13" style="1" bestFit="1" customWidth="1"/>
    <col min="9730" max="9730" width="14.875" style="1" bestFit="1" customWidth="1"/>
    <col min="9731" max="9731" width="13" style="1" bestFit="1" customWidth="1"/>
    <col min="9732" max="9977" width="8.25" style="1"/>
    <col min="9978" max="9978" width="4" style="1" bestFit="1" customWidth="1"/>
    <col min="9979" max="9979" width="9.875" style="1" customWidth="1"/>
    <col min="9980" max="9980" width="56.125" style="1" bestFit="1" customWidth="1"/>
    <col min="9981" max="9981" width="13" style="1" customWidth="1"/>
    <col min="9982" max="9982" width="11.25" style="1" bestFit="1" customWidth="1"/>
    <col min="9983" max="9983" width="11.75" style="1" customWidth="1"/>
    <col min="9984" max="9984" width="2.875" style="1" customWidth="1"/>
    <col min="9985" max="9985" width="13" style="1" bestFit="1" customWidth="1"/>
    <col min="9986" max="9986" width="14.875" style="1" bestFit="1" customWidth="1"/>
    <col min="9987" max="9987" width="13" style="1" bestFit="1" customWidth="1"/>
    <col min="9988" max="10233" width="8.25" style="1"/>
    <col min="10234" max="10234" width="4" style="1" bestFit="1" customWidth="1"/>
    <col min="10235" max="10235" width="9.875" style="1" customWidth="1"/>
    <col min="10236" max="10236" width="56.125" style="1" bestFit="1" customWidth="1"/>
    <col min="10237" max="10237" width="13" style="1" customWidth="1"/>
    <col min="10238" max="10238" width="11.25" style="1" bestFit="1" customWidth="1"/>
    <col min="10239" max="10239" width="11.75" style="1" customWidth="1"/>
    <col min="10240" max="10240" width="2.875" style="1" customWidth="1"/>
    <col min="10241" max="10241" width="13" style="1" bestFit="1" customWidth="1"/>
    <col min="10242" max="10242" width="14.875" style="1" bestFit="1" customWidth="1"/>
    <col min="10243" max="10243" width="13" style="1" bestFit="1" customWidth="1"/>
    <col min="10244" max="10489" width="8.25" style="1"/>
    <col min="10490" max="10490" width="4" style="1" bestFit="1" customWidth="1"/>
    <col min="10491" max="10491" width="9.875" style="1" customWidth="1"/>
    <col min="10492" max="10492" width="56.125" style="1" bestFit="1" customWidth="1"/>
    <col min="10493" max="10493" width="13" style="1" customWidth="1"/>
    <col min="10494" max="10494" width="11.25" style="1" bestFit="1" customWidth="1"/>
    <col min="10495" max="10495" width="11.75" style="1" customWidth="1"/>
    <col min="10496" max="10496" width="2.875" style="1" customWidth="1"/>
    <col min="10497" max="10497" width="13" style="1" bestFit="1" customWidth="1"/>
    <col min="10498" max="10498" width="14.875" style="1" bestFit="1" customWidth="1"/>
    <col min="10499" max="10499" width="13" style="1" bestFit="1" customWidth="1"/>
    <col min="10500" max="10745" width="8.25" style="1"/>
    <col min="10746" max="10746" width="4" style="1" bestFit="1" customWidth="1"/>
    <col min="10747" max="10747" width="9.875" style="1" customWidth="1"/>
    <col min="10748" max="10748" width="56.125" style="1" bestFit="1" customWidth="1"/>
    <col min="10749" max="10749" width="13" style="1" customWidth="1"/>
    <col min="10750" max="10750" width="11.25" style="1" bestFit="1" customWidth="1"/>
    <col min="10751" max="10751" width="11.75" style="1" customWidth="1"/>
    <col min="10752" max="10752" width="2.875" style="1" customWidth="1"/>
    <col min="10753" max="10753" width="13" style="1" bestFit="1" customWidth="1"/>
    <col min="10754" max="10754" width="14.875" style="1" bestFit="1" customWidth="1"/>
    <col min="10755" max="10755" width="13" style="1" bestFit="1" customWidth="1"/>
    <col min="10756" max="11001" width="8.25" style="1"/>
    <col min="11002" max="11002" width="4" style="1" bestFit="1" customWidth="1"/>
    <col min="11003" max="11003" width="9.875" style="1" customWidth="1"/>
    <col min="11004" max="11004" width="56.125" style="1" bestFit="1" customWidth="1"/>
    <col min="11005" max="11005" width="13" style="1" customWidth="1"/>
    <col min="11006" max="11006" width="11.25" style="1" bestFit="1" customWidth="1"/>
    <col min="11007" max="11007" width="11.75" style="1" customWidth="1"/>
    <col min="11008" max="11008" width="2.875" style="1" customWidth="1"/>
    <col min="11009" max="11009" width="13" style="1" bestFit="1" customWidth="1"/>
    <col min="11010" max="11010" width="14.875" style="1" bestFit="1" customWidth="1"/>
    <col min="11011" max="11011" width="13" style="1" bestFit="1" customWidth="1"/>
    <col min="11012" max="11257" width="8.25" style="1"/>
    <col min="11258" max="11258" width="4" style="1" bestFit="1" customWidth="1"/>
    <col min="11259" max="11259" width="9.875" style="1" customWidth="1"/>
    <col min="11260" max="11260" width="56.125" style="1" bestFit="1" customWidth="1"/>
    <col min="11261" max="11261" width="13" style="1" customWidth="1"/>
    <col min="11262" max="11262" width="11.25" style="1" bestFit="1" customWidth="1"/>
    <col min="11263" max="11263" width="11.75" style="1" customWidth="1"/>
    <col min="11264" max="11264" width="2.875" style="1" customWidth="1"/>
    <col min="11265" max="11265" width="13" style="1" bestFit="1" customWidth="1"/>
    <col min="11266" max="11266" width="14.875" style="1" bestFit="1" customWidth="1"/>
    <col min="11267" max="11267" width="13" style="1" bestFit="1" customWidth="1"/>
    <col min="11268" max="11513" width="8.25" style="1"/>
    <col min="11514" max="11514" width="4" style="1" bestFit="1" customWidth="1"/>
    <col min="11515" max="11515" width="9.875" style="1" customWidth="1"/>
    <col min="11516" max="11516" width="56.125" style="1" bestFit="1" customWidth="1"/>
    <col min="11517" max="11517" width="13" style="1" customWidth="1"/>
    <col min="11518" max="11518" width="11.25" style="1" bestFit="1" customWidth="1"/>
    <col min="11519" max="11519" width="11.75" style="1" customWidth="1"/>
    <col min="11520" max="11520" width="2.875" style="1" customWidth="1"/>
    <col min="11521" max="11521" width="13" style="1" bestFit="1" customWidth="1"/>
    <col min="11522" max="11522" width="14.875" style="1" bestFit="1" customWidth="1"/>
    <col min="11523" max="11523" width="13" style="1" bestFit="1" customWidth="1"/>
    <col min="11524" max="11769" width="8.25" style="1"/>
    <col min="11770" max="11770" width="4" style="1" bestFit="1" customWidth="1"/>
    <col min="11771" max="11771" width="9.875" style="1" customWidth="1"/>
    <col min="11772" max="11772" width="56.125" style="1" bestFit="1" customWidth="1"/>
    <col min="11773" max="11773" width="13" style="1" customWidth="1"/>
    <col min="11774" max="11774" width="11.25" style="1" bestFit="1" customWidth="1"/>
    <col min="11775" max="11775" width="11.75" style="1" customWidth="1"/>
    <col min="11776" max="11776" width="2.875" style="1" customWidth="1"/>
    <col min="11777" max="11777" width="13" style="1" bestFit="1" customWidth="1"/>
    <col min="11778" max="11778" width="14.875" style="1" bestFit="1" customWidth="1"/>
    <col min="11779" max="11779" width="13" style="1" bestFit="1" customWidth="1"/>
    <col min="11780" max="12025" width="8.25" style="1"/>
    <col min="12026" max="12026" width="4" style="1" bestFit="1" customWidth="1"/>
    <col min="12027" max="12027" width="9.875" style="1" customWidth="1"/>
    <col min="12028" max="12028" width="56.125" style="1" bestFit="1" customWidth="1"/>
    <col min="12029" max="12029" width="13" style="1" customWidth="1"/>
    <col min="12030" max="12030" width="11.25" style="1" bestFit="1" customWidth="1"/>
    <col min="12031" max="12031" width="11.75" style="1" customWidth="1"/>
    <col min="12032" max="12032" width="2.875" style="1" customWidth="1"/>
    <col min="12033" max="12033" width="13" style="1" bestFit="1" customWidth="1"/>
    <col min="12034" max="12034" width="14.875" style="1" bestFit="1" customWidth="1"/>
    <col min="12035" max="12035" width="13" style="1" bestFit="1" customWidth="1"/>
    <col min="12036" max="12281" width="8.25" style="1"/>
    <col min="12282" max="12282" width="4" style="1" bestFit="1" customWidth="1"/>
    <col min="12283" max="12283" width="9.875" style="1" customWidth="1"/>
    <col min="12284" max="12284" width="56.125" style="1" bestFit="1" customWidth="1"/>
    <col min="12285" max="12285" width="13" style="1" customWidth="1"/>
    <col min="12286" max="12286" width="11.25" style="1" bestFit="1" customWidth="1"/>
    <col min="12287" max="12287" width="11.75" style="1" customWidth="1"/>
    <col min="12288" max="12288" width="2.875" style="1" customWidth="1"/>
    <col min="12289" max="12289" width="13" style="1" bestFit="1" customWidth="1"/>
    <col min="12290" max="12290" width="14.875" style="1" bestFit="1" customWidth="1"/>
    <col min="12291" max="12291" width="13" style="1" bestFit="1" customWidth="1"/>
    <col min="12292" max="12537" width="8.25" style="1"/>
    <col min="12538" max="12538" width="4" style="1" bestFit="1" customWidth="1"/>
    <col min="12539" max="12539" width="9.875" style="1" customWidth="1"/>
    <col min="12540" max="12540" width="56.125" style="1" bestFit="1" customWidth="1"/>
    <col min="12541" max="12541" width="13" style="1" customWidth="1"/>
    <col min="12542" max="12542" width="11.25" style="1" bestFit="1" customWidth="1"/>
    <col min="12543" max="12543" width="11.75" style="1" customWidth="1"/>
    <col min="12544" max="12544" width="2.875" style="1" customWidth="1"/>
    <col min="12545" max="12545" width="13" style="1" bestFit="1" customWidth="1"/>
    <col min="12546" max="12546" width="14.875" style="1" bestFit="1" customWidth="1"/>
    <col min="12547" max="12547" width="13" style="1" bestFit="1" customWidth="1"/>
    <col min="12548" max="12793" width="8.25" style="1"/>
    <col min="12794" max="12794" width="4" style="1" bestFit="1" customWidth="1"/>
    <col min="12795" max="12795" width="9.875" style="1" customWidth="1"/>
    <col min="12796" max="12796" width="56.125" style="1" bestFit="1" customWidth="1"/>
    <col min="12797" max="12797" width="13" style="1" customWidth="1"/>
    <col min="12798" max="12798" width="11.25" style="1" bestFit="1" customWidth="1"/>
    <col min="12799" max="12799" width="11.75" style="1" customWidth="1"/>
    <col min="12800" max="12800" width="2.875" style="1" customWidth="1"/>
    <col min="12801" max="12801" width="13" style="1" bestFit="1" customWidth="1"/>
    <col min="12802" max="12802" width="14.875" style="1" bestFit="1" customWidth="1"/>
    <col min="12803" max="12803" width="13" style="1" bestFit="1" customWidth="1"/>
    <col min="12804" max="13049" width="8.25" style="1"/>
    <col min="13050" max="13050" width="4" style="1" bestFit="1" customWidth="1"/>
    <col min="13051" max="13051" width="9.875" style="1" customWidth="1"/>
    <col min="13052" max="13052" width="56.125" style="1" bestFit="1" customWidth="1"/>
    <col min="13053" max="13053" width="13" style="1" customWidth="1"/>
    <col min="13054" max="13054" width="11.25" style="1" bestFit="1" customWidth="1"/>
    <col min="13055" max="13055" width="11.75" style="1" customWidth="1"/>
    <col min="13056" max="13056" width="2.875" style="1" customWidth="1"/>
    <col min="13057" max="13057" width="13" style="1" bestFit="1" customWidth="1"/>
    <col min="13058" max="13058" width="14.875" style="1" bestFit="1" customWidth="1"/>
    <col min="13059" max="13059" width="13" style="1" bestFit="1" customWidth="1"/>
    <col min="13060" max="13305" width="8.25" style="1"/>
    <col min="13306" max="13306" width="4" style="1" bestFit="1" customWidth="1"/>
    <col min="13307" max="13307" width="9.875" style="1" customWidth="1"/>
    <col min="13308" max="13308" width="56.125" style="1" bestFit="1" customWidth="1"/>
    <col min="13309" max="13309" width="13" style="1" customWidth="1"/>
    <col min="13310" max="13310" width="11.25" style="1" bestFit="1" customWidth="1"/>
    <col min="13311" max="13311" width="11.75" style="1" customWidth="1"/>
    <col min="13312" max="13312" width="2.875" style="1" customWidth="1"/>
    <col min="13313" max="13313" width="13" style="1" bestFit="1" customWidth="1"/>
    <col min="13314" max="13314" width="14.875" style="1" bestFit="1" customWidth="1"/>
    <col min="13315" max="13315" width="13" style="1" bestFit="1" customWidth="1"/>
    <col min="13316" max="13561" width="8.25" style="1"/>
    <col min="13562" max="13562" width="4" style="1" bestFit="1" customWidth="1"/>
    <col min="13563" max="13563" width="9.875" style="1" customWidth="1"/>
    <col min="13564" max="13564" width="56.125" style="1" bestFit="1" customWidth="1"/>
    <col min="13565" max="13565" width="13" style="1" customWidth="1"/>
    <col min="13566" max="13566" width="11.25" style="1" bestFit="1" customWidth="1"/>
    <col min="13567" max="13567" width="11.75" style="1" customWidth="1"/>
    <col min="13568" max="13568" width="2.875" style="1" customWidth="1"/>
    <col min="13569" max="13569" width="13" style="1" bestFit="1" customWidth="1"/>
    <col min="13570" max="13570" width="14.875" style="1" bestFit="1" customWidth="1"/>
    <col min="13571" max="13571" width="13" style="1" bestFit="1" customWidth="1"/>
    <col min="13572" max="13817" width="8.25" style="1"/>
    <col min="13818" max="13818" width="4" style="1" bestFit="1" customWidth="1"/>
    <col min="13819" max="13819" width="9.875" style="1" customWidth="1"/>
    <col min="13820" max="13820" width="56.125" style="1" bestFit="1" customWidth="1"/>
    <col min="13821" max="13821" width="13" style="1" customWidth="1"/>
    <col min="13822" max="13822" width="11.25" style="1" bestFit="1" customWidth="1"/>
    <col min="13823" max="13823" width="11.75" style="1" customWidth="1"/>
    <col min="13824" max="13824" width="2.875" style="1" customWidth="1"/>
    <col min="13825" max="13825" width="13" style="1" bestFit="1" customWidth="1"/>
    <col min="13826" max="13826" width="14.875" style="1" bestFit="1" customWidth="1"/>
    <col min="13827" max="13827" width="13" style="1" bestFit="1" customWidth="1"/>
    <col min="13828" max="14073" width="8.25" style="1"/>
    <col min="14074" max="14074" width="4" style="1" bestFit="1" customWidth="1"/>
    <col min="14075" max="14075" width="9.875" style="1" customWidth="1"/>
    <col min="14076" max="14076" width="56.125" style="1" bestFit="1" customWidth="1"/>
    <col min="14077" max="14077" width="13" style="1" customWidth="1"/>
    <col min="14078" max="14078" width="11.25" style="1" bestFit="1" customWidth="1"/>
    <col min="14079" max="14079" width="11.75" style="1" customWidth="1"/>
    <col min="14080" max="14080" width="2.875" style="1" customWidth="1"/>
    <col min="14081" max="14081" width="13" style="1" bestFit="1" customWidth="1"/>
    <col min="14082" max="14082" width="14.875" style="1" bestFit="1" customWidth="1"/>
    <col min="14083" max="14083" width="13" style="1" bestFit="1" customWidth="1"/>
    <col min="14084" max="14329" width="8.25" style="1"/>
    <col min="14330" max="14330" width="4" style="1" bestFit="1" customWidth="1"/>
    <col min="14331" max="14331" width="9.875" style="1" customWidth="1"/>
    <col min="14332" max="14332" width="56.125" style="1" bestFit="1" customWidth="1"/>
    <col min="14333" max="14333" width="13" style="1" customWidth="1"/>
    <col min="14334" max="14334" width="11.25" style="1" bestFit="1" customWidth="1"/>
    <col min="14335" max="14335" width="11.75" style="1" customWidth="1"/>
    <col min="14336" max="14336" width="2.875" style="1" customWidth="1"/>
    <col min="14337" max="14337" width="13" style="1" bestFit="1" customWidth="1"/>
    <col min="14338" max="14338" width="14.875" style="1" bestFit="1" customWidth="1"/>
    <col min="14339" max="14339" width="13" style="1" bestFit="1" customWidth="1"/>
    <col min="14340" max="14585" width="8.25" style="1"/>
    <col min="14586" max="14586" width="4" style="1" bestFit="1" customWidth="1"/>
    <col min="14587" max="14587" width="9.875" style="1" customWidth="1"/>
    <col min="14588" max="14588" width="56.125" style="1" bestFit="1" customWidth="1"/>
    <col min="14589" max="14589" width="13" style="1" customWidth="1"/>
    <col min="14590" max="14590" width="11.25" style="1" bestFit="1" customWidth="1"/>
    <col min="14591" max="14591" width="11.75" style="1" customWidth="1"/>
    <col min="14592" max="14592" width="2.875" style="1" customWidth="1"/>
    <col min="14593" max="14593" width="13" style="1" bestFit="1" customWidth="1"/>
    <col min="14594" max="14594" width="14.875" style="1" bestFit="1" customWidth="1"/>
    <col min="14595" max="14595" width="13" style="1" bestFit="1" customWidth="1"/>
    <col min="14596" max="14841" width="8.25" style="1"/>
    <col min="14842" max="14842" width="4" style="1" bestFit="1" customWidth="1"/>
    <col min="14843" max="14843" width="9.875" style="1" customWidth="1"/>
    <col min="14844" max="14844" width="56.125" style="1" bestFit="1" customWidth="1"/>
    <col min="14845" max="14845" width="13" style="1" customWidth="1"/>
    <col min="14846" max="14846" width="11.25" style="1" bestFit="1" customWidth="1"/>
    <col min="14847" max="14847" width="11.75" style="1" customWidth="1"/>
    <col min="14848" max="14848" width="2.875" style="1" customWidth="1"/>
    <col min="14849" max="14849" width="13" style="1" bestFit="1" customWidth="1"/>
    <col min="14850" max="14850" width="14.875" style="1" bestFit="1" customWidth="1"/>
    <col min="14851" max="14851" width="13" style="1" bestFit="1" customWidth="1"/>
    <col min="14852" max="15097" width="8.25" style="1"/>
    <col min="15098" max="15098" width="4" style="1" bestFit="1" customWidth="1"/>
    <col min="15099" max="15099" width="9.875" style="1" customWidth="1"/>
    <col min="15100" max="15100" width="56.125" style="1" bestFit="1" customWidth="1"/>
    <col min="15101" max="15101" width="13" style="1" customWidth="1"/>
    <col min="15102" max="15102" width="11.25" style="1" bestFit="1" customWidth="1"/>
    <col min="15103" max="15103" width="11.75" style="1" customWidth="1"/>
    <col min="15104" max="15104" width="2.875" style="1" customWidth="1"/>
    <col min="15105" max="15105" width="13" style="1" bestFit="1" customWidth="1"/>
    <col min="15106" max="15106" width="14.875" style="1" bestFit="1" customWidth="1"/>
    <col min="15107" max="15107" width="13" style="1" bestFit="1" customWidth="1"/>
    <col min="15108" max="15353" width="8.25" style="1"/>
    <col min="15354" max="15354" width="4" style="1" bestFit="1" customWidth="1"/>
    <col min="15355" max="15355" width="9.875" style="1" customWidth="1"/>
    <col min="15356" max="15356" width="56.125" style="1" bestFit="1" customWidth="1"/>
    <col min="15357" max="15357" width="13" style="1" customWidth="1"/>
    <col min="15358" max="15358" width="11.25" style="1" bestFit="1" customWidth="1"/>
    <col min="15359" max="15359" width="11.75" style="1" customWidth="1"/>
    <col min="15360" max="15360" width="2.875" style="1" customWidth="1"/>
    <col min="15361" max="15361" width="13" style="1" bestFit="1" customWidth="1"/>
    <col min="15362" max="15362" width="14.875" style="1" bestFit="1" customWidth="1"/>
    <col min="15363" max="15363" width="13" style="1" bestFit="1" customWidth="1"/>
    <col min="15364" max="15609" width="8.25" style="1"/>
    <col min="15610" max="15610" width="4" style="1" bestFit="1" customWidth="1"/>
    <col min="15611" max="15611" width="9.875" style="1" customWidth="1"/>
    <col min="15612" max="15612" width="56.125" style="1" bestFit="1" customWidth="1"/>
    <col min="15613" max="15613" width="13" style="1" customWidth="1"/>
    <col min="15614" max="15614" width="11.25" style="1" bestFit="1" customWidth="1"/>
    <col min="15615" max="15615" width="11.75" style="1" customWidth="1"/>
    <col min="15616" max="15616" width="2.875" style="1" customWidth="1"/>
    <col min="15617" max="15617" width="13" style="1" bestFit="1" customWidth="1"/>
    <col min="15618" max="15618" width="14.875" style="1" bestFit="1" customWidth="1"/>
    <col min="15619" max="15619" width="13" style="1" bestFit="1" customWidth="1"/>
    <col min="15620" max="15865" width="8.25" style="1"/>
    <col min="15866" max="15866" width="4" style="1" bestFit="1" customWidth="1"/>
    <col min="15867" max="15867" width="9.875" style="1" customWidth="1"/>
    <col min="15868" max="15868" width="56.125" style="1" bestFit="1" customWidth="1"/>
    <col min="15869" max="15869" width="13" style="1" customWidth="1"/>
    <col min="15870" max="15870" width="11.25" style="1" bestFit="1" customWidth="1"/>
    <col min="15871" max="15871" width="11.75" style="1" customWidth="1"/>
    <col min="15872" max="15872" width="2.875" style="1" customWidth="1"/>
    <col min="15873" max="15873" width="13" style="1" bestFit="1" customWidth="1"/>
    <col min="15874" max="15874" width="14.875" style="1" bestFit="1" customWidth="1"/>
    <col min="15875" max="15875" width="13" style="1" bestFit="1" customWidth="1"/>
    <col min="15876" max="16121" width="8.25" style="1"/>
    <col min="16122" max="16122" width="4" style="1" bestFit="1" customWidth="1"/>
    <col min="16123" max="16123" width="9.875" style="1" customWidth="1"/>
    <col min="16124" max="16124" width="56.125" style="1" bestFit="1" customWidth="1"/>
    <col min="16125" max="16125" width="13" style="1" customWidth="1"/>
    <col min="16126" max="16126" width="11.25" style="1" bestFit="1" customWidth="1"/>
    <col min="16127" max="16127" width="11.75" style="1" customWidth="1"/>
    <col min="16128" max="16128" width="2.875" style="1" customWidth="1"/>
    <col min="16129" max="16129" width="13" style="1" bestFit="1" customWidth="1"/>
    <col min="16130" max="16130" width="14.875" style="1" bestFit="1" customWidth="1"/>
    <col min="16131" max="16131" width="13" style="1" bestFit="1" customWidth="1"/>
    <col min="16132" max="16384" width="8.25" style="1"/>
  </cols>
  <sheetData>
    <row r="1" spans="1:24" x14ac:dyDescent="0.2">
      <c r="A1" s="426" t="s">
        <v>72</v>
      </c>
      <c r="B1" s="426"/>
      <c r="C1" s="426"/>
      <c r="D1" s="426"/>
      <c r="E1" s="426"/>
    </row>
    <row r="2" spans="1:24" x14ac:dyDescent="0.2">
      <c r="A2" s="426" t="s">
        <v>185</v>
      </c>
      <c r="B2" s="426"/>
      <c r="C2" s="426"/>
      <c r="D2" s="426"/>
      <c r="E2" s="426"/>
    </row>
    <row r="3" spans="1:24" x14ac:dyDescent="0.2">
      <c r="A3" s="387"/>
      <c r="B3" s="387"/>
      <c r="C3" s="387"/>
      <c r="D3" s="387"/>
      <c r="E3" s="387"/>
      <c r="F3" s="387"/>
    </row>
    <row r="4" spans="1:24" x14ac:dyDescent="0.2">
      <c r="A4" s="3"/>
      <c r="B4" s="3"/>
      <c r="C4" s="3"/>
      <c r="D4" s="3"/>
      <c r="E4" s="3"/>
      <c r="F4" s="3"/>
      <c r="J4" s="427" t="s">
        <v>490</v>
      </c>
      <c r="K4" s="427"/>
      <c r="L4" s="427"/>
      <c r="N4" s="427" t="s">
        <v>408</v>
      </c>
      <c r="O4" s="427"/>
      <c r="P4" s="427"/>
      <c r="Q4" s="427"/>
      <c r="R4" s="427"/>
      <c r="T4" s="427" t="s">
        <v>430</v>
      </c>
      <c r="U4" s="427"/>
      <c r="V4" s="427"/>
      <c r="W4" s="427"/>
      <c r="X4" s="427"/>
    </row>
    <row r="5" spans="1:24" s="6" customFormat="1" ht="63.75" x14ac:dyDescent="0.2">
      <c r="A5" s="4" t="s">
        <v>152</v>
      </c>
      <c r="B5" s="4" t="s">
        <v>186</v>
      </c>
      <c r="C5" s="5" t="s">
        <v>42</v>
      </c>
      <c r="D5" s="4" t="s">
        <v>335</v>
      </c>
      <c r="E5" s="4" t="s">
        <v>352</v>
      </c>
      <c r="F5" s="4" t="s">
        <v>336</v>
      </c>
      <c r="G5" s="4" t="s">
        <v>570</v>
      </c>
      <c r="H5" s="4" t="s">
        <v>318</v>
      </c>
      <c r="J5" s="4" t="s">
        <v>351</v>
      </c>
      <c r="K5" s="4" t="s">
        <v>42</v>
      </c>
      <c r="L5" s="4" t="s">
        <v>536</v>
      </c>
      <c r="N5" s="4" t="s">
        <v>351</v>
      </c>
      <c r="O5" s="4" t="s">
        <v>353</v>
      </c>
      <c r="P5" s="4" t="s">
        <v>354</v>
      </c>
      <c r="Q5" s="4" t="s">
        <v>42</v>
      </c>
      <c r="R5" s="4" t="s">
        <v>537</v>
      </c>
      <c r="S5" s="7"/>
      <c r="T5" s="4" t="s">
        <v>351</v>
      </c>
      <c r="U5" s="4" t="s">
        <v>353</v>
      </c>
      <c r="V5" s="4" t="s">
        <v>354</v>
      </c>
      <c r="W5" s="4" t="s">
        <v>42</v>
      </c>
      <c r="X5" s="4" t="s">
        <v>538</v>
      </c>
    </row>
    <row r="6" spans="1:24" x14ac:dyDescent="0.2">
      <c r="D6" s="6" t="s">
        <v>155</v>
      </c>
      <c r="E6" s="6" t="s">
        <v>156</v>
      </c>
      <c r="F6" s="6" t="s">
        <v>317</v>
      </c>
    </row>
    <row r="7" spans="1:24" x14ac:dyDescent="0.2">
      <c r="A7" s="387">
        <v>1</v>
      </c>
      <c r="B7" s="11" t="s">
        <v>580</v>
      </c>
      <c r="C7" s="1" t="s">
        <v>19</v>
      </c>
    </row>
    <row r="8" spans="1:24" x14ac:dyDescent="0.2">
      <c r="A8" s="387">
        <f>+A7+1</f>
        <v>2</v>
      </c>
      <c r="B8" s="387" t="str">
        <f>+B7</f>
        <v>7 (7D1, 7D2)</v>
      </c>
      <c r="C8" s="8" t="s">
        <v>187</v>
      </c>
      <c r="D8" s="19">
        <v>7.49</v>
      </c>
      <c r="E8" s="19">
        <f>+'Exhibit No.__(BDJ-Res RD)'!G14</f>
        <v>8.24</v>
      </c>
      <c r="F8" s="19">
        <f>+E8-D8</f>
        <v>0.75</v>
      </c>
      <c r="G8" s="9" t="s">
        <v>321</v>
      </c>
      <c r="H8" s="9" t="s">
        <v>321</v>
      </c>
    </row>
    <row r="9" spans="1:24" x14ac:dyDescent="0.2">
      <c r="A9" s="387">
        <f t="shared" ref="A9:A72" si="0">+A8+1</f>
        <v>3</v>
      </c>
      <c r="B9" s="387" t="str">
        <f t="shared" ref="B9:B11" si="1">+B8</f>
        <v>7 (7D1, 7D2)</v>
      </c>
      <c r="C9" s="8" t="s">
        <v>188</v>
      </c>
      <c r="D9" s="19">
        <v>17.989999999999998</v>
      </c>
      <c r="E9" s="19">
        <f>+'Exhibit No.__(BDJ-Res RD)'!G15</f>
        <v>19.79</v>
      </c>
      <c r="F9" s="19">
        <f>+E9-D9</f>
        <v>1.8000000000000007</v>
      </c>
      <c r="G9" s="9" t="s">
        <v>321</v>
      </c>
      <c r="H9" s="9" t="s">
        <v>321</v>
      </c>
    </row>
    <row r="10" spans="1:24" x14ac:dyDescent="0.2">
      <c r="A10" s="387">
        <f t="shared" si="0"/>
        <v>4</v>
      </c>
      <c r="B10" s="387" t="str">
        <f t="shared" si="1"/>
        <v>7 (7D1, 7D2)</v>
      </c>
      <c r="C10" s="8"/>
      <c r="D10" s="19"/>
      <c r="E10" s="19"/>
      <c r="F10" s="19"/>
    </row>
    <row r="11" spans="1:24" x14ac:dyDescent="0.2">
      <c r="A11" s="387">
        <f t="shared" si="0"/>
        <v>5</v>
      </c>
      <c r="B11" s="387" t="str">
        <f t="shared" si="1"/>
        <v>7 (7D1, 7D2)</v>
      </c>
      <c r="C11" s="8" t="s">
        <v>245</v>
      </c>
      <c r="D11" s="10">
        <v>9.1343999999999995E-2</v>
      </c>
      <c r="E11" s="10">
        <f>+'Exhibit No.__(BDJ-Res RD)'!G18</f>
        <v>8.9991000000000002E-2</v>
      </c>
      <c r="F11" s="10">
        <f>+E11-D11</f>
        <v>-1.3529999999999931E-3</v>
      </c>
      <c r="G11" s="9" t="s">
        <v>581</v>
      </c>
      <c r="H11" s="2">
        <v>7</v>
      </c>
      <c r="J11" s="10">
        <f>ROUND(+'Exhibit No.__(BDJ-141C)'!L7,6)</f>
        <v>2.892E-3</v>
      </c>
      <c r="K11" s="10" t="s">
        <v>404</v>
      </c>
      <c r="L11" s="9" t="s">
        <v>582</v>
      </c>
      <c r="N11" s="10">
        <f>+'Exhibit No.__(BDJ-MYRP)'!L21</f>
        <v>1.3376000000000001E-2</v>
      </c>
      <c r="O11" s="10">
        <f>+'Exhibit No.__(BDJ-MYRP)'!R21</f>
        <v>1.0187999999999999E-2</v>
      </c>
      <c r="P11" s="10">
        <f>+'Exhibit No.__(BDJ-MYRP)'!X21</f>
        <v>4.4200000000000003E-3</v>
      </c>
      <c r="Q11" s="10" t="s">
        <v>404</v>
      </c>
      <c r="R11" s="9" t="s">
        <v>539</v>
      </c>
      <c r="T11" s="10">
        <f>+'Exhibit No.__(BDJ-MYRP)'!M21</f>
        <v>5.6880000000000003E-3</v>
      </c>
      <c r="U11" s="10">
        <f>+'Exhibit No.__(BDJ-MYRP)'!S21</f>
        <v>1.2151E-2</v>
      </c>
      <c r="V11" s="10">
        <f>+'Exhibit No.__(BDJ-MYRP)'!Y21</f>
        <v>1.8373E-2</v>
      </c>
      <c r="W11" s="10" t="s">
        <v>404</v>
      </c>
      <c r="X11" s="9" t="s">
        <v>539</v>
      </c>
    </row>
    <row r="12" spans="1:24" x14ac:dyDescent="0.2">
      <c r="A12" s="387">
        <f t="shared" si="0"/>
        <v>6</v>
      </c>
      <c r="B12" s="387" t="str">
        <f>+B11</f>
        <v>7 (7D1, 7D2)</v>
      </c>
      <c r="C12" s="8" t="s">
        <v>246</v>
      </c>
      <c r="D12" s="10">
        <v>0.111175</v>
      </c>
      <c r="E12" s="10">
        <f>+'Exhibit No.__(BDJ-Res RD)'!G19</f>
        <v>0.109528</v>
      </c>
      <c r="F12" s="10">
        <f>+E12-D12</f>
        <v>-1.6469999999999957E-3</v>
      </c>
      <c r="G12" s="9" t="s">
        <v>581</v>
      </c>
      <c r="H12" s="2">
        <v>7</v>
      </c>
      <c r="J12" s="10"/>
      <c r="K12" s="10"/>
      <c r="L12" s="2"/>
      <c r="N12" s="10"/>
      <c r="O12" s="10"/>
      <c r="P12" s="10"/>
      <c r="Q12" s="10"/>
      <c r="R12" s="2"/>
      <c r="T12" s="10"/>
      <c r="U12" s="10"/>
      <c r="V12" s="10"/>
      <c r="W12" s="10"/>
      <c r="X12" s="2"/>
    </row>
    <row r="13" spans="1:24" x14ac:dyDescent="0.2">
      <c r="A13" s="387">
        <f t="shared" si="0"/>
        <v>7</v>
      </c>
      <c r="K13" s="10"/>
      <c r="L13" s="2"/>
      <c r="N13" s="10"/>
      <c r="O13" s="10"/>
      <c r="P13" s="10"/>
      <c r="Q13" s="10"/>
      <c r="R13" s="2"/>
      <c r="T13" s="10"/>
      <c r="U13" s="10"/>
      <c r="V13" s="10"/>
      <c r="W13" s="10"/>
      <c r="X13" s="2"/>
    </row>
    <row r="14" spans="1:24" x14ac:dyDescent="0.2">
      <c r="A14" s="387">
        <f t="shared" si="0"/>
        <v>8</v>
      </c>
      <c r="B14" s="387" t="s">
        <v>189</v>
      </c>
      <c r="C14" s="9" t="s">
        <v>190</v>
      </c>
      <c r="D14" s="19"/>
      <c r="E14" s="19"/>
      <c r="F14" s="19"/>
      <c r="K14" s="10"/>
      <c r="L14" s="2"/>
      <c r="N14" s="10"/>
      <c r="O14" s="10"/>
      <c r="P14" s="10"/>
      <c r="Q14" s="10"/>
      <c r="R14" s="2"/>
      <c r="T14" s="10"/>
      <c r="U14" s="10"/>
      <c r="V14" s="10"/>
      <c r="W14" s="10"/>
      <c r="X14" s="2"/>
    </row>
    <row r="15" spans="1:24" x14ac:dyDescent="0.2">
      <c r="A15" s="387">
        <f t="shared" si="0"/>
        <v>9</v>
      </c>
      <c r="B15" s="387" t="str">
        <f>+$B$14</f>
        <v>24 (08)</v>
      </c>
      <c r="C15" s="8" t="s">
        <v>187</v>
      </c>
      <c r="D15" s="19">
        <v>10.210000000000001</v>
      </c>
      <c r="E15" s="19">
        <f>+'Exhibit No.__(BDJ-SV RD)'!G15</f>
        <v>10.210000000000001</v>
      </c>
      <c r="F15" s="19">
        <f>+E15-D15</f>
        <v>0</v>
      </c>
      <c r="G15" s="1" t="s">
        <v>330</v>
      </c>
      <c r="H15" s="2">
        <v>24</v>
      </c>
      <c r="K15" s="10"/>
      <c r="L15" s="2"/>
      <c r="N15" s="10"/>
      <c r="O15" s="10"/>
      <c r="P15" s="10"/>
      <c r="Q15" s="10"/>
      <c r="R15" s="2"/>
      <c r="T15" s="10"/>
      <c r="U15" s="10"/>
      <c r="V15" s="10"/>
      <c r="W15" s="10"/>
      <c r="X15" s="2"/>
    </row>
    <row r="16" spans="1:24" x14ac:dyDescent="0.2">
      <c r="A16" s="387">
        <f t="shared" si="0"/>
        <v>10</v>
      </c>
      <c r="B16" s="387" t="str">
        <f>+$B$14</f>
        <v>24 (08)</v>
      </c>
      <c r="C16" s="8" t="s">
        <v>188</v>
      </c>
      <c r="D16" s="19">
        <v>25.95</v>
      </c>
      <c r="E16" s="19">
        <f>+'Exhibit No.__(BDJ-SV RD)'!G16</f>
        <v>25.95</v>
      </c>
      <c r="F16" s="19">
        <f>+E16-D16</f>
        <v>0</v>
      </c>
      <c r="G16" s="1" t="s">
        <v>330</v>
      </c>
      <c r="H16" s="2">
        <v>24</v>
      </c>
      <c r="K16" s="10"/>
      <c r="L16" s="2"/>
      <c r="N16" s="10"/>
      <c r="O16" s="10"/>
      <c r="P16" s="10"/>
      <c r="Q16" s="10"/>
      <c r="R16" s="2"/>
      <c r="T16" s="10"/>
      <c r="U16" s="10"/>
      <c r="V16" s="10"/>
      <c r="W16" s="10"/>
      <c r="X16" s="2"/>
    </row>
    <row r="17" spans="1:24" x14ac:dyDescent="0.2">
      <c r="A17" s="387">
        <f t="shared" si="0"/>
        <v>11</v>
      </c>
      <c r="B17" s="387" t="str">
        <f>+$B$14</f>
        <v>24 (08)</v>
      </c>
      <c r="C17" s="8"/>
      <c r="D17" s="19"/>
      <c r="E17" s="19"/>
      <c r="F17" s="19"/>
      <c r="K17" s="10"/>
      <c r="L17" s="2"/>
      <c r="N17" s="10"/>
      <c r="O17" s="10"/>
      <c r="P17" s="10"/>
      <c r="Q17" s="10"/>
      <c r="R17" s="2"/>
      <c r="T17" s="10"/>
      <c r="U17" s="10"/>
      <c r="V17" s="10"/>
      <c r="W17" s="10"/>
      <c r="X17" s="2"/>
    </row>
    <row r="18" spans="1:24" x14ac:dyDescent="0.2">
      <c r="A18" s="387">
        <f t="shared" si="0"/>
        <v>12</v>
      </c>
      <c r="B18" s="387" t="str">
        <f>+$B$14</f>
        <v>24 (08)</v>
      </c>
      <c r="C18" s="8" t="s">
        <v>191</v>
      </c>
      <c r="D18" s="10">
        <v>9.4531000000000004E-2</v>
      </c>
      <c r="E18" s="10">
        <f>+'Exhibit No.__(BDJ-SV RD)'!G19</f>
        <v>9.3921000000000004E-2</v>
      </c>
      <c r="F18" s="10">
        <f>+E18-D18</f>
        <v>-6.0999999999999943E-4</v>
      </c>
      <c r="G18" s="1" t="s">
        <v>330</v>
      </c>
      <c r="H18" s="2">
        <v>24</v>
      </c>
      <c r="J18" s="10">
        <f>ROUND(+'Exhibit No.__(BDJ-141C)'!L9,6)</f>
        <v>2.5140000000000002E-3</v>
      </c>
      <c r="K18" s="10" t="s">
        <v>404</v>
      </c>
      <c r="L18" s="9" t="str">
        <f>+$L$11</f>
        <v>Sheet No. 141C-B</v>
      </c>
      <c r="N18" s="10">
        <f>+'Exhibit No.__(BDJ-MYRP)'!L34</f>
        <v>1.0369E-2</v>
      </c>
      <c r="O18" s="10">
        <f>+'Exhibit No.__(BDJ-MYRP)'!R34</f>
        <v>7.8799999999999999E-3</v>
      </c>
      <c r="P18" s="10">
        <f>+'Exhibit No.__(BDJ-MYRP)'!X34</f>
        <v>3.4390000000000002E-3</v>
      </c>
      <c r="Q18" s="10" t="s">
        <v>404</v>
      </c>
      <c r="R18" s="9" t="s">
        <v>539</v>
      </c>
      <c r="T18" s="10">
        <f>+'Exhibit No.__(BDJ-MYRP)'!M34</f>
        <v>4.4089999999999997E-3</v>
      </c>
      <c r="U18" s="10">
        <f>+'Exhibit No.__(BDJ-MYRP)'!S34</f>
        <v>9.3980000000000001E-3</v>
      </c>
      <c r="V18" s="10">
        <f>+'Exhibit No.__(BDJ-MYRP)'!Y34</f>
        <v>1.4295E-2</v>
      </c>
      <c r="W18" s="10" t="s">
        <v>404</v>
      </c>
      <c r="X18" s="9" t="s">
        <v>539</v>
      </c>
    </row>
    <row r="19" spans="1:24" x14ac:dyDescent="0.2">
      <c r="A19" s="387">
        <f t="shared" si="0"/>
        <v>13</v>
      </c>
      <c r="B19" s="387" t="str">
        <f>+$B$14</f>
        <v>24 (08)</v>
      </c>
      <c r="C19" s="8" t="s">
        <v>192</v>
      </c>
      <c r="D19" s="10">
        <v>9.1261999999999996E-2</v>
      </c>
      <c r="E19" s="10">
        <f>+'Exhibit No.__(BDJ-SV RD)'!G20</f>
        <v>9.0673000000000004E-2</v>
      </c>
      <c r="F19" s="10">
        <f>+E19-D19</f>
        <v>-5.8899999999999231E-4</v>
      </c>
      <c r="G19" s="1" t="s">
        <v>330</v>
      </c>
      <c r="H19" s="2">
        <v>24</v>
      </c>
      <c r="K19" s="10"/>
      <c r="L19" s="2"/>
      <c r="N19" s="10"/>
      <c r="O19" s="10"/>
      <c r="P19" s="10"/>
      <c r="Q19" s="10"/>
      <c r="R19" s="2"/>
      <c r="T19" s="10"/>
      <c r="U19" s="10"/>
      <c r="V19" s="10"/>
      <c r="W19" s="10"/>
      <c r="X19" s="2"/>
    </row>
    <row r="20" spans="1:24" x14ac:dyDescent="0.2">
      <c r="A20" s="387">
        <f t="shared" si="0"/>
        <v>14</v>
      </c>
      <c r="K20" s="10"/>
      <c r="L20" s="2"/>
      <c r="N20" s="10"/>
      <c r="O20" s="10"/>
      <c r="P20" s="10"/>
      <c r="Q20" s="10"/>
      <c r="R20" s="2"/>
      <c r="T20" s="10"/>
      <c r="U20" s="10"/>
      <c r="V20" s="10"/>
      <c r="W20" s="10"/>
      <c r="X20" s="2"/>
    </row>
    <row r="21" spans="1:24" x14ac:dyDescent="0.2">
      <c r="A21" s="387">
        <f t="shared" si="0"/>
        <v>15</v>
      </c>
      <c r="B21" s="11" t="s">
        <v>193</v>
      </c>
      <c r="C21" s="9" t="s">
        <v>194</v>
      </c>
      <c r="K21" s="10"/>
      <c r="L21" s="2"/>
      <c r="N21" s="10"/>
      <c r="O21" s="10"/>
      <c r="P21" s="10"/>
      <c r="Q21" s="10"/>
      <c r="R21" s="2"/>
      <c r="T21" s="10"/>
      <c r="U21" s="10"/>
      <c r="V21" s="10"/>
      <c r="W21" s="10"/>
      <c r="X21" s="2"/>
    </row>
    <row r="22" spans="1:24" x14ac:dyDescent="0.2">
      <c r="A22" s="387">
        <f t="shared" si="0"/>
        <v>16</v>
      </c>
      <c r="B22" s="11" t="str">
        <f>+$B$21</f>
        <v>25 (7A) (11)</v>
      </c>
      <c r="C22" s="8" t="s">
        <v>195</v>
      </c>
      <c r="D22" s="19">
        <v>53.95</v>
      </c>
      <c r="E22" s="19">
        <f>+'Exhibit No.__(BDJ-SV RD)'!G41</f>
        <v>53.95</v>
      </c>
      <c r="F22" s="19">
        <f>+E22-D22</f>
        <v>0</v>
      </c>
      <c r="G22" s="1" t="s">
        <v>329</v>
      </c>
      <c r="H22" s="9" t="s">
        <v>333</v>
      </c>
      <c r="K22" s="10"/>
      <c r="L22" s="2"/>
      <c r="N22" s="10"/>
      <c r="O22" s="10"/>
      <c r="P22" s="10"/>
      <c r="Q22" s="10"/>
      <c r="R22" s="2"/>
      <c r="T22" s="10"/>
      <c r="U22" s="10"/>
      <c r="V22" s="10"/>
      <c r="W22" s="10"/>
      <c r="X22" s="2"/>
    </row>
    <row r="23" spans="1:24" x14ac:dyDescent="0.2">
      <c r="A23" s="387">
        <f t="shared" si="0"/>
        <v>17</v>
      </c>
      <c r="B23" s="11" t="str">
        <f t="shared" ref="B23:B32" si="2">+$B$21</f>
        <v>25 (7A) (11)</v>
      </c>
      <c r="C23" s="8"/>
      <c r="D23" s="19"/>
      <c r="E23" s="19"/>
      <c r="F23" s="19"/>
      <c r="K23" s="10"/>
      <c r="L23" s="2"/>
      <c r="N23" s="10"/>
      <c r="O23" s="10"/>
      <c r="P23" s="10"/>
      <c r="Q23" s="10"/>
      <c r="R23" s="2"/>
      <c r="T23" s="10"/>
      <c r="U23" s="10"/>
      <c r="V23" s="10"/>
      <c r="W23" s="10"/>
      <c r="X23" s="2"/>
    </row>
    <row r="24" spans="1:24" x14ac:dyDescent="0.2">
      <c r="A24" s="387">
        <f t="shared" si="0"/>
        <v>18</v>
      </c>
      <c r="B24" s="11" t="str">
        <f t="shared" si="2"/>
        <v>25 (7A) (11)</v>
      </c>
      <c r="C24" s="8" t="s">
        <v>196</v>
      </c>
      <c r="D24" s="10">
        <v>9.2719999999999997E-2</v>
      </c>
      <c r="E24" s="10">
        <f>+'Exhibit No.__(BDJ-SV RD)'!G43</f>
        <v>9.2069999999999999E-2</v>
      </c>
      <c r="F24" s="10">
        <f>+E24-D24</f>
        <v>-6.499999999999978E-4</v>
      </c>
      <c r="G24" s="1" t="s">
        <v>329</v>
      </c>
      <c r="H24" s="9" t="s">
        <v>333</v>
      </c>
      <c r="J24" s="10">
        <f>ROUND(+'Exhibit No.__(BDJ-141C)'!L10,6)</f>
        <v>2.503E-3</v>
      </c>
      <c r="K24" s="10" t="s">
        <v>404</v>
      </c>
      <c r="L24" s="9" t="str">
        <f>+$L$11</f>
        <v>Sheet No. 141C-B</v>
      </c>
      <c r="N24" s="10">
        <f>+'Exhibit No.__(BDJ-MYRP)'!L44</f>
        <v>1.0456E-2</v>
      </c>
      <c r="O24" s="10">
        <f>+'Exhibit No.__(BDJ-MYRP)'!R44</f>
        <v>7.9439999999999997E-3</v>
      </c>
      <c r="P24" s="10">
        <f>+'Exhibit No.__(BDJ-MYRP)'!X44</f>
        <v>3.4640000000000001E-3</v>
      </c>
      <c r="Q24" s="10" t="s">
        <v>404</v>
      </c>
      <c r="R24" s="9" t="s">
        <v>539</v>
      </c>
      <c r="T24" s="10">
        <f>+'Exhibit No.__(BDJ-MYRP)'!M44</f>
        <v>4.4460000000000003E-3</v>
      </c>
      <c r="U24" s="10">
        <f>+'Exhibit No.__(BDJ-MYRP)'!S44</f>
        <v>9.4739999999999998E-3</v>
      </c>
      <c r="V24" s="10">
        <f>+'Exhibit No.__(BDJ-MYRP)'!Y44</f>
        <v>1.4399E-2</v>
      </c>
      <c r="W24" s="10" t="s">
        <v>404</v>
      </c>
      <c r="X24" s="9" t="s">
        <v>539</v>
      </c>
    </row>
    <row r="25" spans="1:24" x14ac:dyDescent="0.2">
      <c r="A25" s="387">
        <f t="shared" si="0"/>
        <v>19</v>
      </c>
      <c r="B25" s="11" t="str">
        <f t="shared" si="2"/>
        <v>25 (7A) (11)</v>
      </c>
      <c r="C25" s="8" t="s">
        <v>197</v>
      </c>
      <c r="D25" s="10">
        <v>8.3563999999999999E-2</v>
      </c>
      <c r="E25" s="10">
        <f>+'Exhibit No.__(BDJ-SV RD)'!G44</f>
        <v>8.2977999999999996E-2</v>
      </c>
      <c r="F25" s="10">
        <f>+E25-D25</f>
        <v>-5.8600000000000319E-4</v>
      </c>
      <c r="G25" s="1" t="s">
        <v>329</v>
      </c>
      <c r="H25" s="9" t="s">
        <v>333</v>
      </c>
      <c r="K25" s="10"/>
      <c r="L25" s="2"/>
      <c r="N25" s="10"/>
      <c r="O25" s="10"/>
      <c r="P25" s="10"/>
      <c r="Q25" s="10"/>
      <c r="R25" s="2"/>
      <c r="T25" s="10"/>
      <c r="U25" s="10"/>
      <c r="V25" s="10"/>
      <c r="W25" s="10"/>
      <c r="X25" s="2"/>
    </row>
    <row r="26" spans="1:24" x14ac:dyDescent="0.2">
      <c r="A26" s="387">
        <f t="shared" si="0"/>
        <v>20</v>
      </c>
      <c r="B26" s="11" t="str">
        <f t="shared" si="2"/>
        <v>25 (7A) (11)</v>
      </c>
      <c r="C26" s="8" t="s">
        <v>198</v>
      </c>
      <c r="D26" s="10">
        <v>6.6092999999999999E-2</v>
      </c>
      <c r="E26" s="10">
        <f>+'Exhibit No.__(BDJ-SV RD)'!G45</f>
        <v>6.5629999999999994E-2</v>
      </c>
      <c r="F26" s="10">
        <f>+E26-D26</f>
        <v>-4.6300000000000507E-4</v>
      </c>
      <c r="G26" s="1" t="s">
        <v>329</v>
      </c>
      <c r="H26" s="9" t="s">
        <v>333</v>
      </c>
      <c r="K26" s="10"/>
      <c r="L26" s="2"/>
      <c r="N26" s="10"/>
      <c r="O26" s="10"/>
      <c r="P26" s="10"/>
      <c r="Q26" s="10"/>
      <c r="R26" s="2"/>
      <c r="T26" s="10"/>
      <c r="U26" s="10"/>
      <c r="V26" s="10"/>
      <c r="W26" s="10"/>
      <c r="X26" s="2"/>
    </row>
    <row r="27" spans="1:24" x14ac:dyDescent="0.2">
      <c r="A27" s="387">
        <f t="shared" si="0"/>
        <v>21</v>
      </c>
      <c r="B27" s="11" t="str">
        <f t="shared" si="2"/>
        <v>25 (7A) (11)</v>
      </c>
      <c r="C27" s="12"/>
      <c r="L27" s="2"/>
      <c r="R27" s="2"/>
      <c r="X27" s="2"/>
    </row>
    <row r="28" spans="1:24" x14ac:dyDescent="0.2">
      <c r="A28" s="387">
        <f t="shared" si="0"/>
        <v>22</v>
      </c>
      <c r="B28" s="11" t="str">
        <f t="shared" si="2"/>
        <v>25 (7A) (11)</v>
      </c>
      <c r="C28" s="8" t="s">
        <v>199</v>
      </c>
      <c r="D28" s="19">
        <v>0</v>
      </c>
      <c r="E28" s="19">
        <v>0</v>
      </c>
      <c r="F28" s="19">
        <f>+E28-D28</f>
        <v>0</v>
      </c>
      <c r="G28" s="9" t="s">
        <v>321</v>
      </c>
      <c r="H28" s="9" t="s">
        <v>321</v>
      </c>
      <c r="K28" s="10"/>
      <c r="L28" s="2"/>
      <c r="N28" s="10"/>
      <c r="O28" s="10"/>
      <c r="P28" s="10"/>
      <c r="Q28" s="10"/>
      <c r="R28" s="2"/>
      <c r="T28" s="10"/>
      <c r="U28" s="10"/>
      <c r="V28" s="10"/>
      <c r="W28" s="10"/>
      <c r="X28" s="2"/>
    </row>
    <row r="29" spans="1:24" x14ac:dyDescent="0.2">
      <c r="A29" s="387">
        <f t="shared" si="0"/>
        <v>23</v>
      </c>
      <c r="B29" s="11" t="str">
        <f t="shared" si="2"/>
        <v>25 (7A) (11)</v>
      </c>
      <c r="C29" s="8" t="s">
        <v>200</v>
      </c>
      <c r="D29" s="19">
        <v>10.119999999999999</v>
      </c>
      <c r="E29" s="19">
        <f>+'Exhibit No.__(BDJ-SV RD)'!G51</f>
        <v>10.119999999999999</v>
      </c>
      <c r="F29" s="19">
        <f>+E29-D29</f>
        <v>0</v>
      </c>
      <c r="G29" s="1" t="s">
        <v>329</v>
      </c>
      <c r="H29" s="9" t="s">
        <v>333</v>
      </c>
      <c r="K29" s="10"/>
      <c r="L29" s="2"/>
      <c r="N29" s="10"/>
      <c r="O29" s="10"/>
      <c r="P29" s="10"/>
      <c r="Q29" s="10"/>
      <c r="R29" s="2"/>
      <c r="T29" s="10"/>
      <c r="U29" s="10"/>
      <c r="V29" s="10"/>
      <c r="W29" s="10"/>
      <c r="X29" s="2"/>
    </row>
    <row r="30" spans="1:24" x14ac:dyDescent="0.2">
      <c r="A30" s="387">
        <f t="shared" si="0"/>
        <v>24</v>
      </c>
      <c r="B30" s="11" t="str">
        <f t="shared" si="2"/>
        <v>25 (7A) (11)</v>
      </c>
      <c r="C30" s="8" t="s">
        <v>201</v>
      </c>
      <c r="D30" s="19">
        <v>6.75</v>
      </c>
      <c r="E30" s="19">
        <f>+'Exhibit No.__(BDJ-SV RD)'!G52</f>
        <v>6.75</v>
      </c>
      <c r="F30" s="19">
        <f>+E30-D30</f>
        <v>0</v>
      </c>
      <c r="G30" s="1" t="s">
        <v>329</v>
      </c>
      <c r="H30" s="9" t="s">
        <v>333</v>
      </c>
      <c r="K30" s="10"/>
      <c r="L30" s="2"/>
      <c r="N30" s="10"/>
      <c r="O30" s="10"/>
      <c r="P30" s="10"/>
      <c r="Q30" s="10"/>
      <c r="R30" s="2"/>
      <c r="T30" s="10"/>
      <c r="U30" s="10"/>
      <c r="V30" s="10"/>
      <c r="W30" s="10"/>
      <c r="X30" s="2"/>
    </row>
    <row r="31" spans="1:24" x14ac:dyDescent="0.2">
      <c r="A31" s="387">
        <f t="shared" si="0"/>
        <v>25</v>
      </c>
      <c r="B31" s="11" t="str">
        <f t="shared" si="2"/>
        <v>25 (7A) (11)</v>
      </c>
      <c r="C31" s="8"/>
      <c r="D31" s="19"/>
      <c r="E31" s="19"/>
      <c r="F31" s="19"/>
      <c r="K31" s="10"/>
      <c r="L31" s="2"/>
      <c r="N31" s="10"/>
      <c r="O31" s="10"/>
      <c r="P31" s="10"/>
      <c r="Q31" s="10"/>
      <c r="R31" s="2"/>
      <c r="T31" s="10"/>
      <c r="U31" s="10"/>
      <c r="V31" s="10"/>
      <c r="W31" s="10"/>
      <c r="X31" s="2"/>
    </row>
    <row r="32" spans="1:24" x14ac:dyDescent="0.2">
      <c r="A32" s="387">
        <f t="shared" si="0"/>
        <v>26</v>
      </c>
      <c r="B32" s="11" t="str">
        <f t="shared" si="2"/>
        <v>25 (7A) (11)</v>
      </c>
      <c r="C32" s="8" t="s">
        <v>202</v>
      </c>
      <c r="D32" s="13">
        <v>3.1800000000000001E-3</v>
      </c>
      <c r="E32" s="13">
        <f>+'Exhibit No.__(BDJ-SV RD)'!G55</f>
        <v>3.1800000000000001E-3</v>
      </c>
      <c r="F32" s="13">
        <f>+E32-D32</f>
        <v>0</v>
      </c>
      <c r="G32" s="1" t="s">
        <v>329</v>
      </c>
      <c r="H32" s="9" t="s">
        <v>334</v>
      </c>
      <c r="K32" s="10"/>
      <c r="L32" s="2"/>
      <c r="N32" s="10"/>
      <c r="O32" s="10"/>
      <c r="P32" s="10"/>
      <c r="Q32" s="10"/>
      <c r="R32" s="2"/>
      <c r="T32" s="10"/>
      <c r="U32" s="10"/>
      <c r="V32" s="10"/>
      <c r="W32" s="10"/>
      <c r="X32" s="2"/>
    </row>
    <row r="33" spans="1:24" x14ac:dyDescent="0.2">
      <c r="A33" s="387">
        <f t="shared" si="0"/>
        <v>27</v>
      </c>
      <c r="K33" s="10"/>
      <c r="L33" s="2"/>
      <c r="N33" s="10"/>
      <c r="O33" s="10"/>
      <c r="P33" s="10"/>
      <c r="Q33" s="10"/>
      <c r="R33" s="2"/>
      <c r="T33" s="10"/>
      <c r="U33" s="10"/>
      <c r="V33" s="10"/>
      <c r="W33" s="10"/>
      <c r="X33" s="2"/>
    </row>
    <row r="34" spans="1:24" x14ac:dyDescent="0.2">
      <c r="A34" s="387">
        <f t="shared" si="0"/>
        <v>28</v>
      </c>
      <c r="B34" s="387" t="s">
        <v>203</v>
      </c>
      <c r="C34" s="9" t="s">
        <v>204</v>
      </c>
      <c r="K34" s="10"/>
      <c r="L34" s="2"/>
      <c r="N34" s="10"/>
      <c r="O34" s="10"/>
      <c r="P34" s="10"/>
      <c r="Q34" s="10"/>
      <c r="R34" s="2"/>
      <c r="T34" s="10"/>
      <c r="U34" s="10"/>
      <c r="V34" s="10"/>
      <c r="W34" s="10"/>
      <c r="X34" s="2"/>
    </row>
    <row r="35" spans="1:24" x14ac:dyDescent="0.2">
      <c r="A35" s="387">
        <f t="shared" si="0"/>
        <v>29</v>
      </c>
      <c r="B35" s="387" t="str">
        <f>+$B$34</f>
        <v>26 (12)</v>
      </c>
      <c r="C35" s="8" t="s">
        <v>195</v>
      </c>
      <c r="D35" s="19">
        <v>109.08</v>
      </c>
      <c r="E35" s="19">
        <f>+'Exhibit No.__(BDJ-SV RD)'!G86</f>
        <v>109.08</v>
      </c>
      <c r="F35" s="19">
        <f>+E35-D35</f>
        <v>0</v>
      </c>
      <c r="G35" s="1" t="s">
        <v>319</v>
      </c>
      <c r="H35" s="2">
        <v>26</v>
      </c>
      <c r="K35" s="10"/>
      <c r="L35" s="2"/>
      <c r="N35" s="10"/>
      <c r="O35" s="10"/>
      <c r="P35" s="10"/>
      <c r="Q35" s="10"/>
      <c r="R35" s="2"/>
      <c r="T35" s="10"/>
      <c r="U35" s="10"/>
      <c r="V35" s="10"/>
      <c r="W35" s="10"/>
      <c r="X35" s="2"/>
    </row>
    <row r="36" spans="1:24" x14ac:dyDescent="0.2">
      <c r="A36" s="387">
        <f t="shared" si="0"/>
        <v>30</v>
      </c>
      <c r="B36" s="387" t="str">
        <f t="shared" ref="B36:B56" si="3">+$B$34</f>
        <v>26 (12)</v>
      </c>
      <c r="C36" s="8"/>
      <c r="D36" s="19"/>
      <c r="E36" s="19"/>
      <c r="F36" s="19"/>
      <c r="K36" s="10"/>
      <c r="L36" s="2"/>
      <c r="N36" s="10"/>
      <c r="O36" s="10"/>
      <c r="P36" s="10"/>
      <c r="Q36" s="10"/>
      <c r="R36" s="2"/>
      <c r="T36" s="10"/>
      <c r="U36" s="10"/>
      <c r="V36" s="10"/>
      <c r="W36" s="10"/>
      <c r="X36" s="2"/>
    </row>
    <row r="37" spans="1:24" x14ac:dyDescent="0.2">
      <c r="A37" s="387">
        <f t="shared" si="0"/>
        <v>31</v>
      </c>
      <c r="B37" s="387" t="str">
        <f t="shared" si="3"/>
        <v>26 (12)</v>
      </c>
      <c r="C37" s="8" t="s">
        <v>205</v>
      </c>
      <c r="D37" s="10">
        <v>5.9096000000000003E-2</v>
      </c>
      <c r="E37" s="10">
        <f>+'Exhibit No.__(BDJ-SV RD)'!G88</f>
        <v>5.8595000000000001E-2</v>
      </c>
      <c r="F37" s="10">
        <f>+E37-D37</f>
        <v>-5.0100000000000144E-4</v>
      </c>
      <c r="G37" s="1" t="s">
        <v>319</v>
      </c>
      <c r="H37" s="2">
        <v>26</v>
      </c>
      <c r="J37" s="10">
        <f>ROUND(+'Exhibit No.__(BDJ-141C)'!L11,6)</f>
        <v>2.2989999999999998E-3</v>
      </c>
      <c r="K37" s="10" t="s">
        <v>404</v>
      </c>
      <c r="L37" s="9" t="str">
        <f>+$L$11</f>
        <v>Sheet No. 141C-B</v>
      </c>
      <c r="N37" s="10">
        <f>+'Exhibit No.__(BDJ-MYRP)'!L57</f>
        <v>9.1129999999999996E-3</v>
      </c>
      <c r="O37" s="10">
        <f>+'Exhibit No.__(BDJ-MYRP)'!R57</f>
        <v>6.9249999999999997E-3</v>
      </c>
      <c r="P37" s="10">
        <f>+'Exhibit No.__(BDJ-MYRP)'!X57</f>
        <v>3.0100000000000001E-3</v>
      </c>
      <c r="Q37" s="10" t="s">
        <v>404</v>
      </c>
      <c r="R37" s="9" t="s">
        <v>539</v>
      </c>
      <c r="T37" s="10">
        <f>+'Exhibit No.__(BDJ-MYRP)'!M57</f>
        <v>3.875E-3</v>
      </c>
      <c r="U37" s="10">
        <f>+'Exhibit No.__(BDJ-MYRP)'!S57</f>
        <v>8.2590000000000007E-3</v>
      </c>
      <c r="V37" s="10">
        <f>+'Exhibit No.__(BDJ-MYRP)'!Y57</f>
        <v>1.2513E-2</v>
      </c>
      <c r="W37" s="10" t="s">
        <v>404</v>
      </c>
      <c r="X37" s="9" t="s">
        <v>539</v>
      </c>
    </row>
    <row r="38" spans="1:24" x14ac:dyDescent="0.2">
      <c r="A38" s="387">
        <f t="shared" si="0"/>
        <v>32</v>
      </c>
      <c r="B38" s="387" t="str">
        <f t="shared" si="3"/>
        <v>26 (12)</v>
      </c>
      <c r="C38" s="12"/>
      <c r="K38" s="10"/>
      <c r="L38" s="2"/>
      <c r="N38" s="10"/>
      <c r="O38" s="10"/>
      <c r="P38" s="10"/>
      <c r="Q38" s="10"/>
      <c r="R38" s="2"/>
      <c r="T38" s="10"/>
      <c r="U38" s="10"/>
      <c r="V38" s="10"/>
      <c r="W38" s="10"/>
      <c r="X38" s="2"/>
    </row>
    <row r="39" spans="1:24" x14ac:dyDescent="0.2">
      <c r="A39" s="387">
        <f t="shared" si="0"/>
        <v>33</v>
      </c>
      <c r="B39" s="387" t="str">
        <f t="shared" si="3"/>
        <v>26 (12)</v>
      </c>
      <c r="C39" s="8" t="s">
        <v>206</v>
      </c>
      <c r="D39" s="19">
        <v>12.23</v>
      </c>
      <c r="E39" s="19">
        <f>+'Exhibit No.__(BDJ-SV RD)'!G94</f>
        <v>12.23</v>
      </c>
      <c r="F39" s="19">
        <f t="shared" ref="F39:F44" si="4">+E39-D39</f>
        <v>0</v>
      </c>
      <c r="G39" s="1" t="s">
        <v>319</v>
      </c>
      <c r="H39" s="2">
        <v>26</v>
      </c>
      <c r="K39" s="10"/>
      <c r="L39" s="2"/>
      <c r="N39" s="10"/>
      <c r="O39" s="10"/>
      <c r="P39" s="10"/>
      <c r="Q39" s="10"/>
      <c r="R39" s="2"/>
      <c r="T39" s="10"/>
      <c r="U39" s="10"/>
      <c r="V39" s="10"/>
      <c r="W39" s="10"/>
      <c r="X39" s="2"/>
    </row>
    <row r="40" spans="1:24" x14ac:dyDescent="0.2">
      <c r="A40" s="387">
        <f t="shared" si="0"/>
        <v>34</v>
      </c>
      <c r="B40" s="387" t="str">
        <f t="shared" si="3"/>
        <v>26 (12)</v>
      </c>
      <c r="C40" s="14" t="s">
        <v>309</v>
      </c>
      <c r="D40" s="19">
        <v>5.12</v>
      </c>
      <c r="E40" s="19">
        <f>'Exhibit No.__(BDJ-CONJ  DEM)'!D16</f>
        <v>5.76</v>
      </c>
      <c r="F40" s="19">
        <f t="shared" si="4"/>
        <v>0.63999999999999968</v>
      </c>
      <c r="G40" s="1" t="s">
        <v>319</v>
      </c>
      <c r="H40" s="2" t="s">
        <v>320</v>
      </c>
      <c r="K40" s="10"/>
      <c r="L40" s="2"/>
      <c r="N40" s="10"/>
      <c r="O40" s="10"/>
      <c r="P40" s="10"/>
      <c r="Q40" s="10"/>
      <c r="R40" s="2"/>
      <c r="T40" s="10"/>
      <c r="U40" s="10"/>
      <c r="V40" s="10"/>
      <c r="W40" s="10"/>
      <c r="X40" s="2"/>
    </row>
    <row r="41" spans="1:24" x14ac:dyDescent="0.2">
      <c r="A41" s="387">
        <f t="shared" si="0"/>
        <v>35</v>
      </c>
      <c r="B41" s="387" t="str">
        <f t="shared" si="3"/>
        <v>26 (12)</v>
      </c>
      <c r="C41" s="14" t="s">
        <v>310</v>
      </c>
      <c r="D41" s="19">
        <v>7.11</v>
      </c>
      <c r="E41" s="19">
        <f>'Exhibit No.__(BDJ-CONJ  DEM)'!D17</f>
        <v>6.47</v>
      </c>
      <c r="F41" s="19">
        <f t="shared" si="4"/>
        <v>-0.64000000000000057</v>
      </c>
      <c r="G41" s="1" t="s">
        <v>319</v>
      </c>
      <c r="H41" s="2" t="s">
        <v>320</v>
      </c>
      <c r="K41" s="10"/>
      <c r="L41" s="2"/>
      <c r="N41" s="10"/>
      <c r="O41" s="10"/>
      <c r="P41" s="10"/>
      <c r="Q41" s="10"/>
      <c r="R41" s="2"/>
      <c r="T41" s="10"/>
      <c r="U41" s="10"/>
      <c r="V41" s="10"/>
      <c r="W41" s="10"/>
      <c r="X41" s="2"/>
    </row>
    <row r="42" spans="1:24" x14ac:dyDescent="0.2">
      <c r="A42" s="387">
        <f t="shared" si="0"/>
        <v>36</v>
      </c>
      <c r="B42" s="387" t="str">
        <f t="shared" si="3"/>
        <v>26 (12)</v>
      </c>
      <c r="C42" s="8" t="s">
        <v>207</v>
      </c>
      <c r="D42" s="19">
        <v>8.15</v>
      </c>
      <c r="E42" s="19">
        <f>+'Exhibit No.__(BDJ-SV RD)'!G95</f>
        <v>8.15</v>
      </c>
      <c r="F42" s="19">
        <f t="shared" si="4"/>
        <v>0</v>
      </c>
      <c r="G42" s="1" t="s">
        <v>319</v>
      </c>
      <c r="H42" s="2">
        <v>26</v>
      </c>
      <c r="K42" s="10"/>
      <c r="L42" s="2"/>
      <c r="N42" s="10"/>
      <c r="O42" s="10"/>
      <c r="P42" s="10"/>
      <c r="Q42" s="10"/>
      <c r="R42" s="2"/>
      <c r="T42" s="10"/>
      <c r="U42" s="10"/>
      <c r="V42" s="10"/>
      <c r="W42" s="10"/>
      <c r="X42" s="2"/>
    </row>
    <row r="43" spans="1:24" x14ac:dyDescent="0.2">
      <c r="A43" s="387">
        <f t="shared" si="0"/>
        <v>37</v>
      </c>
      <c r="B43" s="387" t="str">
        <f t="shared" si="3"/>
        <v>26 (12)</v>
      </c>
      <c r="C43" s="14" t="s">
        <v>309</v>
      </c>
      <c r="D43" s="19">
        <v>3.41</v>
      </c>
      <c r="E43" s="19">
        <f>'Exhibit No.__(BDJ-CONJ  DEM)'!E16</f>
        <v>3.84</v>
      </c>
      <c r="F43" s="19">
        <f t="shared" si="4"/>
        <v>0.42999999999999972</v>
      </c>
      <c r="G43" s="1" t="s">
        <v>319</v>
      </c>
      <c r="H43" s="2" t="s">
        <v>320</v>
      </c>
      <c r="K43" s="10"/>
      <c r="L43" s="2"/>
      <c r="N43" s="10"/>
      <c r="O43" s="10"/>
      <c r="P43" s="10"/>
      <c r="Q43" s="10"/>
      <c r="R43" s="2"/>
      <c r="T43" s="10"/>
      <c r="U43" s="10"/>
      <c r="V43" s="10"/>
      <c r="W43" s="10"/>
      <c r="X43" s="2"/>
    </row>
    <row r="44" spans="1:24" x14ac:dyDescent="0.2">
      <c r="A44" s="387">
        <f t="shared" si="0"/>
        <v>38</v>
      </c>
      <c r="B44" s="387" t="str">
        <f t="shared" si="3"/>
        <v>26 (12)</v>
      </c>
      <c r="C44" s="14" t="s">
        <v>310</v>
      </c>
      <c r="D44" s="19">
        <v>4.74</v>
      </c>
      <c r="E44" s="19">
        <f>'Exhibit No.__(BDJ-CONJ  DEM)'!E17</f>
        <v>4.3099999999999996</v>
      </c>
      <c r="F44" s="19">
        <f t="shared" si="4"/>
        <v>-0.4300000000000006</v>
      </c>
      <c r="G44" s="1" t="s">
        <v>319</v>
      </c>
      <c r="H44" s="2" t="s">
        <v>320</v>
      </c>
      <c r="K44" s="10"/>
      <c r="L44" s="2"/>
      <c r="N44" s="10"/>
      <c r="O44" s="10"/>
      <c r="P44" s="10"/>
      <c r="Q44" s="10"/>
      <c r="R44" s="2"/>
      <c r="T44" s="10"/>
      <c r="U44" s="10"/>
      <c r="V44" s="10"/>
      <c r="W44" s="10"/>
      <c r="X44" s="2"/>
    </row>
    <row r="45" spans="1:24" x14ac:dyDescent="0.2">
      <c r="A45" s="387">
        <f t="shared" si="0"/>
        <v>39</v>
      </c>
      <c r="B45" s="387" t="str">
        <f t="shared" si="3"/>
        <v>26 (12)</v>
      </c>
      <c r="C45" s="8"/>
      <c r="D45" s="19"/>
      <c r="E45" s="19"/>
      <c r="F45" s="19"/>
      <c r="K45" s="10"/>
      <c r="L45" s="2"/>
      <c r="N45" s="10"/>
      <c r="O45" s="10"/>
      <c r="P45" s="10"/>
      <c r="Q45" s="10"/>
      <c r="R45" s="2"/>
      <c r="T45" s="10"/>
      <c r="U45" s="10"/>
      <c r="V45" s="10"/>
      <c r="W45" s="10"/>
      <c r="X45" s="2"/>
    </row>
    <row r="46" spans="1:24" x14ac:dyDescent="0.2">
      <c r="A46" s="387">
        <f t="shared" si="0"/>
        <v>40</v>
      </c>
      <c r="B46" s="387" t="str">
        <f t="shared" si="3"/>
        <v>26 (12)</v>
      </c>
      <c r="C46" s="8" t="s">
        <v>202</v>
      </c>
      <c r="D46" s="13">
        <v>1.2999999999999999E-3</v>
      </c>
      <c r="E46" s="13">
        <f>+'Exhibit No.__(BDJ-SV RD)'!G98</f>
        <v>1.2999999999999999E-3</v>
      </c>
      <c r="F46" s="13">
        <f>+E46-D46</f>
        <v>0</v>
      </c>
      <c r="G46" s="1" t="s">
        <v>319</v>
      </c>
      <c r="H46" s="2">
        <v>26</v>
      </c>
      <c r="K46" s="10"/>
      <c r="L46" s="2"/>
      <c r="N46" s="10"/>
      <c r="O46" s="10"/>
      <c r="P46" s="10"/>
      <c r="Q46" s="10"/>
      <c r="R46" s="2"/>
      <c r="T46" s="10"/>
      <c r="U46" s="10"/>
      <c r="V46" s="10"/>
      <c r="W46" s="10"/>
      <c r="X46" s="2"/>
    </row>
    <row r="47" spans="1:24" x14ac:dyDescent="0.2">
      <c r="A47" s="387">
        <f t="shared" si="0"/>
        <v>41</v>
      </c>
      <c r="B47" s="387" t="str">
        <f t="shared" si="3"/>
        <v>26 (12)</v>
      </c>
      <c r="C47" s="8"/>
      <c r="D47" s="13"/>
      <c r="E47" s="13"/>
      <c r="F47" s="13"/>
      <c r="K47" s="10"/>
      <c r="L47" s="2"/>
      <c r="N47" s="10"/>
      <c r="O47" s="10"/>
      <c r="P47" s="10"/>
      <c r="Q47" s="10"/>
      <c r="R47" s="2"/>
      <c r="T47" s="10"/>
      <c r="U47" s="10"/>
      <c r="V47" s="10"/>
      <c r="W47" s="10"/>
      <c r="X47" s="2"/>
    </row>
    <row r="48" spans="1:24" x14ac:dyDescent="0.2">
      <c r="A48" s="387">
        <f t="shared" si="0"/>
        <v>42</v>
      </c>
      <c r="B48" s="387" t="str">
        <f t="shared" si="3"/>
        <v>26 (12)</v>
      </c>
      <c r="C48" s="8" t="s">
        <v>208</v>
      </c>
      <c r="D48" s="13"/>
      <c r="E48" s="13"/>
      <c r="F48" s="13"/>
      <c r="K48" s="10"/>
      <c r="L48" s="2"/>
      <c r="N48" s="10"/>
      <c r="O48" s="10"/>
      <c r="P48" s="10"/>
      <c r="Q48" s="10"/>
      <c r="R48" s="2"/>
      <c r="T48" s="10"/>
      <c r="U48" s="10"/>
      <c r="V48" s="10"/>
      <c r="W48" s="10"/>
      <c r="X48" s="2"/>
    </row>
    <row r="49" spans="1:24" x14ac:dyDescent="0.2">
      <c r="A49" s="387">
        <f t="shared" si="0"/>
        <v>43</v>
      </c>
      <c r="B49" s="387" t="str">
        <f t="shared" si="3"/>
        <v>26 (12)</v>
      </c>
      <c r="C49" s="8" t="s">
        <v>209</v>
      </c>
      <c r="D49" s="19">
        <v>249.03000000000003</v>
      </c>
      <c r="E49" s="19">
        <f>+'Exhibit No.__(BDJ-SV RD)'!G113</f>
        <v>249.03000000000003</v>
      </c>
      <c r="F49" s="19">
        <f t="shared" ref="F49:F56" si="5">+E49-D49</f>
        <v>0</v>
      </c>
      <c r="G49" s="1" t="s">
        <v>319</v>
      </c>
      <c r="H49" s="2">
        <v>26</v>
      </c>
      <c r="K49" s="10"/>
      <c r="L49" s="2"/>
      <c r="N49" s="10"/>
      <c r="O49" s="10"/>
      <c r="P49" s="10"/>
      <c r="Q49" s="10"/>
      <c r="R49" s="2"/>
      <c r="T49" s="10"/>
      <c r="U49" s="10"/>
      <c r="V49" s="10"/>
      <c r="W49" s="10"/>
      <c r="X49" s="2"/>
    </row>
    <row r="50" spans="1:24" x14ac:dyDescent="0.2">
      <c r="A50" s="387">
        <f t="shared" si="0"/>
        <v>44</v>
      </c>
      <c r="B50" s="387" t="str">
        <f t="shared" si="3"/>
        <v>26 (12)</v>
      </c>
      <c r="C50" s="8" t="s">
        <v>210</v>
      </c>
      <c r="D50" s="19">
        <v>-0.25</v>
      </c>
      <c r="E50" s="19">
        <f>+'Exhibit No.__(BDJ-SV RD)'!G125</f>
        <v>-0.25</v>
      </c>
      <c r="F50" s="19">
        <f t="shared" si="5"/>
        <v>0</v>
      </c>
      <c r="G50" s="1" t="s">
        <v>319</v>
      </c>
      <c r="H50" s="2">
        <v>26</v>
      </c>
      <c r="K50" s="10"/>
      <c r="L50" s="2"/>
      <c r="N50" s="10"/>
      <c r="O50" s="10"/>
      <c r="P50" s="10"/>
      <c r="Q50" s="10"/>
      <c r="R50" s="2"/>
      <c r="T50" s="10"/>
      <c r="U50" s="10"/>
      <c r="V50" s="10"/>
      <c r="W50" s="10"/>
      <c r="X50" s="2"/>
    </row>
    <row r="51" spans="1:24" x14ac:dyDescent="0.2">
      <c r="A51" s="387">
        <f t="shared" si="0"/>
        <v>45</v>
      </c>
      <c r="B51" s="387" t="str">
        <f t="shared" si="3"/>
        <v>26 (12)</v>
      </c>
      <c r="C51" s="8" t="s">
        <v>211</v>
      </c>
      <c r="D51" s="15">
        <v>2.4400000000000002E-2</v>
      </c>
      <c r="E51" s="15">
        <f>+'Exhibit No.__(BDJ-SV RD)'!F136</f>
        <v>2.4400000000000002E-2</v>
      </c>
      <c r="F51" s="15">
        <f t="shared" si="5"/>
        <v>0</v>
      </c>
      <c r="G51" s="1" t="s">
        <v>319</v>
      </c>
      <c r="H51" s="2">
        <v>26</v>
      </c>
      <c r="K51" s="10"/>
      <c r="L51" s="2"/>
      <c r="N51" s="10"/>
      <c r="O51" s="10"/>
      <c r="P51" s="10"/>
      <c r="Q51" s="10"/>
      <c r="R51" s="2"/>
      <c r="T51" s="10"/>
      <c r="U51" s="10"/>
      <c r="V51" s="10"/>
      <c r="W51" s="10"/>
      <c r="X51" s="2"/>
    </row>
    <row r="52" spans="1:24" x14ac:dyDescent="0.2">
      <c r="A52" s="387">
        <f t="shared" si="0"/>
        <v>46</v>
      </c>
      <c r="B52" s="387" t="str">
        <f t="shared" si="3"/>
        <v>26 (12)</v>
      </c>
      <c r="C52" s="16" t="s">
        <v>212</v>
      </c>
      <c r="D52" s="19">
        <v>358.11</v>
      </c>
      <c r="E52" s="19">
        <f>+E49+E35</f>
        <v>358.11</v>
      </c>
      <c r="F52" s="19">
        <f t="shared" si="5"/>
        <v>0</v>
      </c>
      <c r="G52" s="9" t="s">
        <v>321</v>
      </c>
      <c r="H52" s="9" t="s">
        <v>321</v>
      </c>
      <c r="K52" s="10"/>
      <c r="L52" s="2"/>
      <c r="N52" s="10"/>
      <c r="O52" s="10"/>
      <c r="P52" s="10"/>
      <c r="Q52" s="10"/>
      <c r="R52" s="2"/>
      <c r="T52" s="10"/>
      <c r="U52" s="10"/>
      <c r="V52" s="10"/>
      <c r="W52" s="10"/>
      <c r="X52" s="2"/>
    </row>
    <row r="53" spans="1:24" x14ac:dyDescent="0.2">
      <c r="A53" s="387">
        <f t="shared" si="0"/>
        <v>47</v>
      </c>
      <c r="B53" s="387" t="str">
        <f t="shared" si="3"/>
        <v>26 (12)</v>
      </c>
      <c r="C53" s="8" t="s">
        <v>213</v>
      </c>
      <c r="D53" s="19">
        <v>11.98</v>
      </c>
      <c r="E53" s="19">
        <f>+E50+E39</f>
        <v>11.98</v>
      </c>
      <c r="F53" s="19">
        <f t="shared" si="5"/>
        <v>0</v>
      </c>
      <c r="G53" s="9" t="s">
        <v>321</v>
      </c>
      <c r="H53" s="9" t="s">
        <v>321</v>
      </c>
      <c r="K53" s="10"/>
      <c r="L53" s="2"/>
      <c r="N53" s="10"/>
      <c r="O53" s="10"/>
      <c r="P53" s="10"/>
      <c r="Q53" s="10"/>
      <c r="R53" s="2"/>
      <c r="T53" s="10"/>
      <c r="U53" s="10"/>
      <c r="V53" s="10"/>
      <c r="W53" s="10"/>
      <c r="X53" s="2"/>
    </row>
    <row r="54" spans="1:24" x14ac:dyDescent="0.2">
      <c r="A54" s="387">
        <f t="shared" si="0"/>
        <v>48</v>
      </c>
      <c r="B54" s="387" t="str">
        <f t="shared" si="3"/>
        <v>26 (12)</v>
      </c>
      <c r="C54" s="8" t="s">
        <v>214</v>
      </c>
      <c r="D54" s="19">
        <v>7.9</v>
      </c>
      <c r="E54" s="19">
        <f>+E50+E42</f>
        <v>7.9</v>
      </c>
      <c r="F54" s="19">
        <f t="shared" si="5"/>
        <v>0</v>
      </c>
      <c r="G54" s="9" t="s">
        <v>321</v>
      </c>
      <c r="H54" s="9" t="s">
        <v>321</v>
      </c>
      <c r="K54" s="10"/>
      <c r="L54" s="2"/>
      <c r="N54" s="10"/>
      <c r="O54" s="10"/>
      <c r="P54" s="10"/>
      <c r="Q54" s="10"/>
      <c r="R54" s="2"/>
      <c r="T54" s="10"/>
      <c r="U54" s="10"/>
      <c r="V54" s="10"/>
      <c r="W54" s="10"/>
      <c r="X54" s="2"/>
    </row>
    <row r="55" spans="1:24" x14ac:dyDescent="0.2">
      <c r="A55" s="387">
        <f t="shared" si="0"/>
        <v>49</v>
      </c>
      <c r="B55" s="387" t="str">
        <f t="shared" si="3"/>
        <v>26 (12)</v>
      </c>
      <c r="C55" s="16" t="s">
        <v>215</v>
      </c>
      <c r="D55" s="10">
        <v>5.7654000000000004E-2</v>
      </c>
      <c r="E55" s="10">
        <f>+E37-ROUND(E51*E37,6)</f>
        <v>5.7165000000000001E-2</v>
      </c>
      <c r="F55" s="10">
        <f t="shared" si="5"/>
        <v>-4.8900000000000332E-4</v>
      </c>
      <c r="G55" s="9" t="s">
        <v>321</v>
      </c>
      <c r="H55" s="9" t="s">
        <v>321</v>
      </c>
      <c r="J55" s="10">
        <f>+J37</f>
        <v>2.2989999999999998E-3</v>
      </c>
      <c r="K55" s="10" t="s">
        <v>404</v>
      </c>
      <c r="L55" s="9" t="str">
        <f>+$L$11</f>
        <v>Sheet No. 141C-B</v>
      </c>
      <c r="N55" s="10">
        <f>+N37</f>
        <v>9.1129999999999996E-3</v>
      </c>
      <c r="O55" s="10">
        <f t="shared" ref="O55:P55" si="6">+O37</f>
        <v>6.9249999999999997E-3</v>
      </c>
      <c r="P55" s="10">
        <f t="shared" si="6"/>
        <v>3.0100000000000001E-3</v>
      </c>
      <c r="Q55" s="10" t="s">
        <v>404</v>
      </c>
      <c r="R55" s="9" t="s">
        <v>539</v>
      </c>
      <c r="T55" s="10">
        <f>+T37</f>
        <v>3.875E-3</v>
      </c>
      <c r="U55" s="10">
        <f t="shared" ref="U55:V55" si="7">+U37</f>
        <v>8.2590000000000007E-3</v>
      </c>
      <c r="V55" s="10">
        <f t="shared" si="7"/>
        <v>1.2513E-2</v>
      </c>
      <c r="W55" s="10" t="s">
        <v>404</v>
      </c>
      <c r="X55" s="9" t="s">
        <v>539</v>
      </c>
    </row>
    <row r="56" spans="1:24" x14ac:dyDescent="0.2">
      <c r="A56" s="387">
        <f t="shared" si="0"/>
        <v>50</v>
      </c>
      <c r="B56" s="387" t="str">
        <f t="shared" si="3"/>
        <v>26 (12)</v>
      </c>
      <c r="C56" s="8" t="s">
        <v>216</v>
      </c>
      <c r="D56" s="13">
        <v>1.2699999999999999E-3</v>
      </c>
      <c r="E56" s="13">
        <f>+E46-ROUND(E51*E46,5)</f>
        <v>1.2699999999999999E-3</v>
      </c>
      <c r="F56" s="13">
        <f t="shared" si="5"/>
        <v>0</v>
      </c>
      <c r="G56" s="9" t="s">
        <v>321</v>
      </c>
      <c r="H56" s="9" t="s">
        <v>321</v>
      </c>
      <c r="L56" s="2"/>
      <c r="R56" s="2"/>
      <c r="X56" s="2"/>
    </row>
    <row r="57" spans="1:24" x14ac:dyDescent="0.2">
      <c r="A57" s="387">
        <f t="shared" si="0"/>
        <v>51</v>
      </c>
      <c r="L57" s="2"/>
      <c r="R57" s="2"/>
      <c r="X57" s="2"/>
    </row>
    <row r="58" spans="1:24" x14ac:dyDescent="0.2">
      <c r="A58" s="387">
        <f t="shared" si="0"/>
        <v>52</v>
      </c>
      <c r="B58" s="387">
        <v>29</v>
      </c>
      <c r="C58" s="9" t="s">
        <v>194</v>
      </c>
      <c r="L58" s="2"/>
      <c r="R58" s="2"/>
      <c r="X58" s="2"/>
    </row>
    <row r="59" spans="1:24" x14ac:dyDescent="0.2">
      <c r="A59" s="387">
        <f t="shared" si="0"/>
        <v>53</v>
      </c>
      <c r="B59" s="387">
        <f>+$B$58</f>
        <v>29</v>
      </c>
      <c r="C59" s="8" t="s">
        <v>187</v>
      </c>
      <c r="D59" s="19">
        <v>9.99</v>
      </c>
      <c r="E59" s="19">
        <f>+'Exhibit No.__(BDJ-SV RD)'!G146</f>
        <v>9.99</v>
      </c>
      <c r="F59" s="19">
        <f>+E59-D59</f>
        <v>0</v>
      </c>
      <c r="G59" s="1" t="s">
        <v>326</v>
      </c>
      <c r="H59" s="2">
        <v>29</v>
      </c>
      <c r="L59" s="2"/>
      <c r="R59" s="2"/>
      <c r="X59" s="2"/>
    </row>
    <row r="60" spans="1:24" x14ac:dyDescent="0.2">
      <c r="A60" s="387">
        <f t="shared" si="0"/>
        <v>54</v>
      </c>
      <c r="B60" s="387">
        <f t="shared" ref="B60:B71" si="8">+$B$58</f>
        <v>29</v>
      </c>
      <c r="C60" s="8" t="s">
        <v>188</v>
      </c>
      <c r="D60" s="19">
        <v>25.36</v>
      </c>
      <c r="E60" s="19">
        <f>+'Exhibit No.__(BDJ-SV RD)'!G147</f>
        <v>25.36</v>
      </c>
      <c r="F60" s="19">
        <f>+E60-D60</f>
        <v>0</v>
      </c>
      <c r="G60" s="1" t="s">
        <v>326</v>
      </c>
      <c r="H60" s="2">
        <v>29</v>
      </c>
      <c r="L60" s="2"/>
      <c r="R60" s="2"/>
      <c r="X60" s="2"/>
    </row>
    <row r="61" spans="1:24" x14ac:dyDescent="0.2">
      <c r="A61" s="387">
        <f t="shared" si="0"/>
        <v>55</v>
      </c>
      <c r="B61" s="387">
        <f t="shared" si="8"/>
        <v>29</v>
      </c>
      <c r="C61" s="8"/>
      <c r="D61" s="19"/>
      <c r="E61" s="19"/>
      <c r="F61" s="19"/>
      <c r="L61" s="2"/>
      <c r="R61" s="2"/>
      <c r="X61" s="2"/>
    </row>
    <row r="62" spans="1:24" x14ac:dyDescent="0.2">
      <c r="A62" s="387">
        <f t="shared" si="0"/>
        <v>56</v>
      </c>
      <c r="B62" s="387">
        <f t="shared" si="8"/>
        <v>29</v>
      </c>
      <c r="C62" s="8" t="s">
        <v>196</v>
      </c>
      <c r="D62" s="10">
        <v>9.3538999999999997E-2</v>
      </c>
      <c r="E62" s="10">
        <f>+'Exhibit No.__(BDJ-SV RD)'!G150</f>
        <v>9.2884999999999995E-2</v>
      </c>
      <c r="F62" s="10">
        <f>+E62-D62</f>
        <v>-6.540000000000018E-4</v>
      </c>
      <c r="G62" s="1" t="s">
        <v>326</v>
      </c>
      <c r="H62" s="2">
        <v>29</v>
      </c>
      <c r="J62" s="10">
        <f>ROUND(+'Exhibit No.__(BDJ-141C)'!L12,6)</f>
        <v>2.666E-3</v>
      </c>
      <c r="K62" s="10" t="s">
        <v>404</v>
      </c>
      <c r="L62" s="9" t="s">
        <v>539</v>
      </c>
      <c r="N62" s="10">
        <f>+'Exhibit No.__(BDJ-MYRP)'!L77</f>
        <v>1.0456E-2</v>
      </c>
      <c r="O62" s="10">
        <f>+'Exhibit No.__(BDJ-MYRP)'!R77</f>
        <v>7.9439999999999997E-3</v>
      </c>
      <c r="P62" s="10">
        <f>+'Exhibit No.__(BDJ-MYRP)'!X77</f>
        <v>3.4640000000000001E-3</v>
      </c>
      <c r="Q62" s="10" t="s">
        <v>404</v>
      </c>
      <c r="R62" s="9" t="s">
        <v>539</v>
      </c>
      <c r="T62" s="10">
        <f>+'Exhibit No.__(BDJ-MYRP)'!M77</f>
        <v>4.4460000000000003E-3</v>
      </c>
      <c r="U62" s="10">
        <f>+'Exhibit No.__(BDJ-MYRP)'!S77</f>
        <v>9.4739999999999998E-3</v>
      </c>
      <c r="V62" s="10">
        <f>+'Exhibit No.__(BDJ-MYRP)'!Y77</f>
        <v>1.4399E-2</v>
      </c>
      <c r="W62" s="10" t="s">
        <v>404</v>
      </c>
      <c r="X62" s="9" t="s">
        <v>539</v>
      </c>
    </row>
    <row r="63" spans="1:24" x14ac:dyDescent="0.2">
      <c r="A63" s="387">
        <f t="shared" si="0"/>
        <v>57</v>
      </c>
      <c r="B63" s="387">
        <f t="shared" si="8"/>
        <v>29</v>
      </c>
      <c r="C63" s="8" t="s">
        <v>217</v>
      </c>
      <c r="D63" s="10">
        <v>7.1040000000000006E-2</v>
      </c>
      <c r="E63" s="10">
        <f>+'Exhibit No.__(BDJ-SV RD)'!G151</f>
        <v>7.0542999999999995E-2</v>
      </c>
      <c r="F63" s="10">
        <f>+E63-D63</f>
        <v>-4.9700000000001132E-4</v>
      </c>
      <c r="G63" s="1" t="s">
        <v>326</v>
      </c>
      <c r="H63" s="2">
        <v>29</v>
      </c>
      <c r="K63" s="10"/>
      <c r="L63" s="2"/>
      <c r="N63" s="10"/>
      <c r="O63" s="10"/>
      <c r="P63" s="10"/>
      <c r="Q63" s="10"/>
      <c r="R63" s="2"/>
      <c r="T63" s="10"/>
      <c r="U63" s="10"/>
      <c r="V63" s="10"/>
      <c r="W63" s="10"/>
      <c r="X63" s="2"/>
    </row>
    <row r="64" spans="1:24" x14ac:dyDescent="0.2">
      <c r="A64" s="387">
        <f t="shared" si="0"/>
        <v>58</v>
      </c>
      <c r="B64" s="387">
        <f t="shared" si="8"/>
        <v>29</v>
      </c>
      <c r="C64" s="8" t="s">
        <v>197</v>
      </c>
      <c r="D64" s="10">
        <v>6.4817E-2</v>
      </c>
      <c r="E64" s="10">
        <f>+'Exhibit No.__(BDJ-SV RD)'!G152</f>
        <v>6.4364000000000005E-2</v>
      </c>
      <c r="F64" s="10">
        <f>+E64-D64</f>
        <v>-4.5299999999999507E-4</v>
      </c>
      <c r="G64" s="1" t="s">
        <v>326</v>
      </c>
      <c r="H64" s="2">
        <v>29</v>
      </c>
      <c r="K64" s="10"/>
      <c r="L64" s="2"/>
      <c r="N64" s="10"/>
      <c r="O64" s="10"/>
      <c r="P64" s="10"/>
      <c r="Q64" s="10"/>
      <c r="R64" s="2"/>
      <c r="T64" s="10"/>
      <c r="U64" s="10"/>
      <c r="V64" s="10"/>
      <c r="W64" s="10"/>
      <c r="X64" s="2"/>
    </row>
    <row r="65" spans="1:24" x14ac:dyDescent="0.2">
      <c r="A65" s="387">
        <f t="shared" si="0"/>
        <v>59</v>
      </c>
      <c r="B65" s="387">
        <f t="shared" si="8"/>
        <v>29</v>
      </c>
      <c r="C65" s="8" t="s">
        <v>218</v>
      </c>
      <c r="D65" s="10">
        <v>5.5537000000000003E-2</v>
      </c>
      <c r="E65" s="10">
        <f>+'Exhibit No.__(BDJ-SV RD)'!G153</f>
        <v>5.5148999999999997E-2</v>
      </c>
      <c r="F65" s="10">
        <f>+E65-D65</f>
        <v>-3.880000000000064E-4</v>
      </c>
      <c r="G65" s="1" t="s">
        <v>326</v>
      </c>
      <c r="H65" s="2">
        <v>29</v>
      </c>
      <c r="K65" s="10"/>
      <c r="L65" s="2"/>
      <c r="N65" s="10"/>
      <c r="O65" s="10"/>
      <c r="P65" s="10"/>
      <c r="Q65" s="10"/>
      <c r="R65" s="2"/>
      <c r="T65" s="10"/>
      <c r="U65" s="10"/>
      <c r="V65" s="10"/>
      <c r="W65" s="10"/>
      <c r="X65" s="2"/>
    </row>
    <row r="66" spans="1:24" x14ac:dyDescent="0.2">
      <c r="A66" s="387">
        <f t="shared" si="0"/>
        <v>60</v>
      </c>
      <c r="B66" s="387">
        <f t="shared" si="8"/>
        <v>29</v>
      </c>
      <c r="C66" s="12"/>
      <c r="K66" s="10"/>
      <c r="L66" s="2"/>
      <c r="N66" s="10"/>
      <c r="O66" s="10"/>
      <c r="P66" s="10"/>
      <c r="Q66" s="10"/>
      <c r="R66" s="2"/>
      <c r="T66" s="10"/>
      <c r="U66" s="10"/>
      <c r="V66" s="10"/>
      <c r="W66" s="10"/>
      <c r="X66" s="2"/>
    </row>
    <row r="67" spans="1:24" x14ac:dyDescent="0.2">
      <c r="A67" s="387">
        <f t="shared" si="0"/>
        <v>61</v>
      </c>
      <c r="B67" s="387">
        <f t="shared" si="8"/>
        <v>29</v>
      </c>
      <c r="C67" s="8" t="s">
        <v>219</v>
      </c>
      <c r="D67" s="19">
        <v>0</v>
      </c>
      <c r="E67" s="19">
        <v>0</v>
      </c>
      <c r="F67" s="19">
        <f>+E67-D67</f>
        <v>0</v>
      </c>
      <c r="G67" s="9" t="s">
        <v>321</v>
      </c>
      <c r="H67" s="9" t="s">
        <v>321</v>
      </c>
      <c r="K67" s="10"/>
      <c r="L67" s="2"/>
      <c r="N67" s="10"/>
      <c r="O67" s="10"/>
      <c r="P67" s="10"/>
      <c r="Q67" s="10"/>
      <c r="R67" s="2"/>
      <c r="T67" s="10"/>
      <c r="U67" s="10"/>
      <c r="V67" s="10"/>
      <c r="W67" s="10"/>
      <c r="X67" s="2"/>
    </row>
    <row r="68" spans="1:24" x14ac:dyDescent="0.2">
      <c r="A68" s="387">
        <f t="shared" si="0"/>
        <v>62</v>
      </c>
      <c r="B68" s="387">
        <f t="shared" si="8"/>
        <v>29</v>
      </c>
      <c r="C68" s="8" t="s">
        <v>200</v>
      </c>
      <c r="D68" s="19">
        <v>9.2200000000000006</v>
      </c>
      <c r="E68" s="19">
        <f>+'Exhibit No.__(BDJ-SV RD)'!G160</f>
        <v>9.2200000000000006</v>
      </c>
      <c r="F68" s="19">
        <f>+E68-D68</f>
        <v>0</v>
      </c>
      <c r="G68" s="1" t="s">
        <v>326</v>
      </c>
      <c r="H68" s="2">
        <v>29</v>
      </c>
      <c r="K68" s="10"/>
      <c r="L68" s="2"/>
      <c r="N68" s="10"/>
      <c r="O68" s="10"/>
      <c r="P68" s="10"/>
      <c r="Q68" s="10"/>
      <c r="R68" s="2"/>
      <c r="T68" s="10"/>
      <c r="U68" s="10"/>
      <c r="V68" s="10"/>
      <c r="W68" s="10"/>
      <c r="X68" s="2"/>
    </row>
    <row r="69" spans="1:24" x14ac:dyDescent="0.2">
      <c r="A69" s="387">
        <f t="shared" si="0"/>
        <v>63</v>
      </c>
      <c r="B69" s="387">
        <f t="shared" si="8"/>
        <v>29</v>
      </c>
      <c r="C69" s="8" t="s">
        <v>201</v>
      </c>
      <c r="D69" s="19">
        <v>4.54</v>
      </c>
      <c r="E69" s="19">
        <f>+'Exhibit No.__(BDJ-SV RD)'!G161</f>
        <v>4.54</v>
      </c>
      <c r="F69" s="19">
        <f>+E69-D69</f>
        <v>0</v>
      </c>
      <c r="G69" s="1" t="s">
        <v>326</v>
      </c>
      <c r="H69" s="2">
        <v>29</v>
      </c>
      <c r="K69" s="10"/>
      <c r="L69" s="2"/>
      <c r="N69" s="10"/>
      <c r="O69" s="10"/>
      <c r="P69" s="10"/>
      <c r="Q69" s="10"/>
      <c r="R69" s="2"/>
      <c r="T69" s="10"/>
      <c r="U69" s="10"/>
      <c r="V69" s="10"/>
      <c r="W69" s="10"/>
      <c r="X69" s="2"/>
    </row>
    <row r="70" spans="1:24" x14ac:dyDescent="0.2">
      <c r="A70" s="387">
        <f t="shared" si="0"/>
        <v>64</v>
      </c>
      <c r="B70" s="387">
        <f t="shared" si="8"/>
        <v>29</v>
      </c>
      <c r="C70" s="8"/>
      <c r="D70" s="19"/>
      <c r="E70" s="19"/>
      <c r="F70" s="19"/>
      <c r="K70" s="10"/>
      <c r="L70" s="2"/>
      <c r="N70" s="10"/>
      <c r="O70" s="10"/>
      <c r="P70" s="10"/>
      <c r="Q70" s="10"/>
      <c r="R70" s="2"/>
      <c r="T70" s="10"/>
      <c r="U70" s="10"/>
      <c r="V70" s="10"/>
      <c r="W70" s="10"/>
      <c r="X70" s="2"/>
    </row>
    <row r="71" spans="1:24" x14ac:dyDescent="0.2">
      <c r="A71" s="387">
        <f t="shared" si="0"/>
        <v>65</v>
      </c>
      <c r="B71" s="387">
        <f t="shared" si="8"/>
        <v>29</v>
      </c>
      <c r="C71" s="8" t="s">
        <v>202</v>
      </c>
      <c r="D71" s="13">
        <v>2.9299999999999999E-3</v>
      </c>
      <c r="E71" s="13">
        <f>+'Exhibit No.__(BDJ-SV RD)'!G164</f>
        <v>2.9299999999999999E-3</v>
      </c>
      <c r="F71" s="13">
        <f>+E71-D71</f>
        <v>0</v>
      </c>
      <c r="G71" s="1" t="s">
        <v>326</v>
      </c>
      <c r="H71" s="2">
        <v>29</v>
      </c>
      <c r="K71" s="10"/>
      <c r="L71" s="2"/>
      <c r="N71" s="10"/>
      <c r="O71" s="10"/>
      <c r="P71" s="10"/>
      <c r="Q71" s="10"/>
      <c r="R71" s="2"/>
      <c r="T71" s="10"/>
      <c r="U71" s="10"/>
      <c r="V71" s="10"/>
      <c r="W71" s="10"/>
      <c r="X71" s="2"/>
    </row>
    <row r="72" spans="1:24" x14ac:dyDescent="0.2">
      <c r="A72" s="387">
        <f t="shared" si="0"/>
        <v>66</v>
      </c>
      <c r="K72" s="10"/>
      <c r="L72" s="2"/>
      <c r="N72" s="10"/>
      <c r="O72" s="10"/>
      <c r="P72" s="10"/>
      <c r="Q72" s="10"/>
      <c r="R72" s="2"/>
      <c r="T72" s="10"/>
      <c r="U72" s="10"/>
      <c r="V72" s="10"/>
      <c r="W72" s="10"/>
      <c r="X72" s="2"/>
    </row>
    <row r="73" spans="1:24" x14ac:dyDescent="0.2">
      <c r="A73" s="387">
        <f t="shared" ref="A73:A139" si="9">+A72+1</f>
        <v>67</v>
      </c>
      <c r="B73" s="387" t="s">
        <v>220</v>
      </c>
      <c r="C73" s="9" t="s">
        <v>221</v>
      </c>
      <c r="K73" s="10"/>
      <c r="L73" s="2"/>
      <c r="N73" s="10"/>
      <c r="O73" s="10"/>
      <c r="P73" s="10"/>
      <c r="Q73" s="10"/>
      <c r="R73" s="2"/>
      <c r="T73" s="10"/>
      <c r="U73" s="10"/>
      <c r="V73" s="10"/>
      <c r="W73" s="10"/>
      <c r="X73" s="2"/>
    </row>
    <row r="74" spans="1:24" x14ac:dyDescent="0.2">
      <c r="A74" s="387">
        <f t="shared" si="9"/>
        <v>68</v>
      </c>
      <c r="B74" s="387" t="str">
        <f>+$B$73</f>
        <v>31 (10)</v>
      </c>
      <c r="C74" s="8" t="s">
        <v>195</v>
      </c>
      <c r="D74" s="19">
        <v>358.11</v>
      </c>
      <c r="E74" s="19">
        <f>+'Exhibit No.__(BDJ-PV RD)'!G15</f>
        <v>358.11</v>
      </c>
      <c r="F74" s="19">
        <f>+E74-D74</f>
        <v>0</v>
      </c>
      <c r="G74" s="1" t="s">
        <v>322</v>
      </c>
      <c r="H74" s="2">
        <v>31</v>
      </c>
      <c r="K74" s="10"/>
      <c r="L74" s="2"/>
      <c r="N74" s="10"/>
      <c r="O74" s="10"/>
      <c r="P74" s="10"/>
      <c r="Q74" s="10"/>
      <c r="R74" s="2"/>
      <c r="T74" s="10"/>
      <c r="U74" s="10"/>
      <c r="V74" s="10"/>
      <c r="W74" s="10"/>
      <c r="X74" s="2"/>
    </row>
    <row r="75" spans="1:24" x14ac:dyDescent="0.2">
      <c r="A75" s="387">
        <f t="shared" si="9"/>
        <v>69</v>
      </c>
      <c r="B75" s="387" t="str">
        <f t="shared" ref="B75:B85" si="10">+$B$73</f>
        <v>31 (10)</v>
      </c>
      <c r="C75" s="8"/>
      <c r="D75" s="19"/>
      <c r="E75" s="19"/>
      <c r="F75" s="19"/>
      <c r="L75" s="2"/>
      <c r="R75" s="2"/>
      <c r="X75" s="2"/>
    </row>
    <row r="76" spans="1:24" x14ac:dyDescent="0.2">
      <c r="A76" s="387">
        <f t="shared" si="9"/>
        <v>70</v>
      </c>
      <c r="B76" s="387" t="str">
        <f t="shared" si="10"/>
        <v>31 (10)</v>
      </c>
      <c r="C76" s="8" t="s">
        <v>222</v>
      </c>
      <c r="D76" s="10">
        <v>5.7328999999999998E-2</v>
      </c>
      <c r="E76" s="10">
        <f>+'Exhibit No.__(BDJ-PV RD)'!G17</f>
        <v>5.6835999999999998E-2</v>
      </c>
      <c r="F76" s="10">
        <f>+E76-D76</f>
        <v>-4.9300000000000038E-4</v>
      </c>
      <c r="G76" s="1" t="s">
        <v>322</v>
      </c>
      <c r="H76" s="2">
        <v>31</v>
      </c>
      <c r="J76" s="10">
        <f>ROUND(+'Exhibit No.__(BDJ-141C)'!L14,6)</f>
        <v>2.2070000000000002E-3</v>
      </c>
      <c r="K76" s="10" t="s">
        <v>404</v>
      </c>
      <c r="L76" s="9" t="s">
        <v>539</v>
      </c>
      <c r="N76" s="10">
        <f>+'Exhibit No.__(BDJ-MYRP)'!L91</f>
        <v>9.0240000000000008E-3</v>
      </c>
      <c r="O76" s="10">
        <f>+'Exhibit No.__(BDJ-MYRP)'!R91</f>
        <v>6.9239999999999996E-3</v>
      </c>
      <c r="P76" s="10">
        <f>+'Exhibit No.__(BDJ-MYRP)'!X91</f>
        <v>3.042E-3</v>
      </c>
      <c r="Q76" s="10" t="s">
        <v>404</v>
      </c>
      <c r="R76" s="9" t="s">
        <v>539</v>
      </c>
      <c r="T76" s="10">
        <f>+'Exhibit No.__(BDJ-MYRP)'!M91</f>
        <v>3.8370000000000001E-3</v>
      </c>
      <c r="U76" s="10">
        <f>+'Exhibit No.__(BDJ-MYRP)'!S91</f>
        <v>8.2579999999999997E-3</v>
      </c>
      <c r="V76" s="10">
        <f>+'Exhibit No.__(BDJ-MYRP)'!Y91</f>
        <v>1.2645E-2</v>
      </c>
      <c r="W76" s="10" t="s">
        <v>404</v>
      </c>
      <c r="X76" s="9" t="s">
        <v>539</v>
      </c>
    </row>
    <row r="77" spans="1:24" x14ac:dyDescent="0.2">
      <c r="A77" s="387">
        <f t="shared" si="9"/>
        <v>71</v>
      </c>
      <c r="B77" s="387" t="str">
        <f t="shared" si="10"/>
        <v>31 (10)</v>
      </c>
      <c r="C77" s="12"/>
      <c r="K77" s="10"/>
      <c r="L77" s="2"/>
      <c r="N77" s="10"/>
      <c r="O77" s="10"/>
      <c r="P77" s="10"/>
      <c r="Q77" s="10"/>
      <c r="R77" s="2"/>
      <c r="T77" s="10"/>
      <c r="U77" s="10"/>
      <c r="V77" s="10"/>
      <c r="W77" s="10"/>
      <c r="X77" s="2"/>
    </row>
    <row r="78" spans="1:24" x14ac:dyDescent="0.2">
      <c r="A78" s="387">
        <f t="shared" si="9"/>
        <v>72</v>
      </c>
      <c r="B78" s="387" t="str">
        <f t="shared" si="10"/>
        <v>31 (10)</v>
      </c>
      <c r="C78" s="8" t="s">
        <v>206</v>
      </c>
      <c r="D78" s="19">
        <v>11.94</v>
      </c>
      <c r="E78" s="19">
        <f>+'Exhibit No.__(BDJ-PV RD)'!G23</f>
        <v>11.94</v>
      </c>
      <c r="F78" s="19">
        <f t="shared" ref="F78:F83" si="11">+E78-D78</f>
        <v>0</v>
      </c>
      <c r="G78" s="1" t="s">
        <v>322</v>
      </c>
      <c r="H78" s="2">
        <v>31</v>
      </c>
      <c r="K78" s="10"/>
      <c r="L78" s="2"/>
      <c r="N78" s="10"/>
      <c r="O78" s="10"/>
      <c r="P78" s="10"/>
      <c r="Q78" s="10"/>
      <c r="R78" s="2"/>
      <c r="T78" s="10"/>
      <c r="U78" s="10"/>
      <c r="V78" s="10"/>
      <c r="W78" s="10"/>
      <c r="X78" s="2"/>
    </row>
    <row r="79" spans="1:24" x14ac:dyDescent="0.2">
      <c r="A79" s="387">
        <f t="shared" si="9"/>
        <v>73</v>
      </c>
      <c r="B79" s="387" t="str">
        <f t="shared" si="10"/>
        <v>31 (10)</v>
      </c>
      <c r="C79" s="14" t="s">
        <v>309</v>
      </c>
      <c r="D79" s="19">
        <v>5.31</v>
      </c>
      <c r="E79" s="19">
        <f>'Exhibit No.__(BDJ-CONJ  DEM)'!D26</f>
        <v>5.82</v>
      </c>
      <c r="F79" s="19">
        <f t="shared" si="11"/>
        <v>0.51000000000000068</v>
      </c>
      <c r="G79" s="1" t="s">
        <v>322</v>
      </c>
      <c r="H79" s="2" t="s">
        <v>323</v>
      </c>
      <c r="K79" s="10"/>
      <c r="L79" s="2"/>
      <c r="N79" s="10"/>
      <c r="O79" s="10"/>
      <c r="P79" s="10"/>
      <c r="Q79" s="10"/>
      <c r="R79" s="2"/>
      <c r="T79" s="10"/>
      <c r="U79" s="10"/>
      <c r="V79" s="10"/>
      <c r="W79" s="10"/>
      <c r="X79" s="2"/>
    </row>
    <row r="80" spans="1:24" x14ac:dyDescent="0.2">
      <c r="A80" s="387">
        <f t="shared" si="9"/>
        <v>74</v>
      </c>
      <c r="B80" s="387" t="str">
        <f t="shared" si="10"/>
        <v>31 (10)</v>
      </c>
      <c r="C80" s="14" t="s">
        <v>310</v>
      </c>
      <c r="D80" s="19">
        <v>6.63</v>
      </c>
      <c r="E80" s="19">
        <f>'Exhibit No.__(BDJ-CONJ  DEM)'!D27</f>
        <v>6.12</v>
      </c>
      <c r="F80" s="19">
        <f t="shared" si="11"/>
        <v>-0.50999999999999979</v>
      </c>
      <c r="G80" s="1" t="s">
        <v>322</v>
      </c>
      <c r="H80" s="2" t="s">
        <v>323</v>
      </c>
      <c r="K80" s="10"/>
      <c r="L80" s="2"/>
      <c r="N80" s="10"/>
      <c r="O80" s="10"/>
      <c r="P80" s="10"/>
      <c r="Q80" s="10"/>
      <c r="R80" s="2"/>
      <c r="T80" s="10"/>
      <c r="U80" s="10"/>
      <c r="V80" s="10"/>
      <c r="W80" s="10"/>
      <c r="X80" s="2"/>
    </row>
    <row r="81" spans="1:24" x14ac:dyDescent="0.2">
      <c r="A81" s="387">
        <f t="shared" si="9"/>
        <v>75</v>
      </c>
      <c r="B81" s="387" t="str">
        <f t="shared" si="10"/>
        <v>31 (10)</v>
      </c>
      <c r="C81" s="8" t="s">
        <v>207</v>
      </c>
      <c r="D81" s="19">
        <v>7.96</v>
      </c>
      <c r="E81" s="19">
        <f>+'Exhibit No.__(BDJ-PV RD)'!G24</f>
        <v>7.96</v>
      </c>
      <c r="F81" s="19">
        <f t="shared" si="11"/>
        <v>0</v>
      </c>
      <c r="G81" s="1" t="s">
        <v>322</v>
      </c>
      <c r="H81" s="2">
        <v>31</v>
      </c>
      <c r="K81" s="10"/>
      <c r="L81" s="2"/>
      <c r="N81" s="10"/>
      <c r="O81" s="10"/>
      <c r="P81" s="10"/>
      <c r="Q81" s="10"/>
      <c r="R81" s="2"/>
      <c r="T81" s="10"/>
      <c r="U81" s="10"/>
      <c r="V81" s="10"/>
      <c r="W81" s="10"/>
      <c r="X81" s="2"/>
    </row>
    <row r="82" spans="1:24" x14ac:dyDescent="0.2">
      <c r="A82" s="387">
        <f t="shared" si="9"/>
        <v>76</v>
      </c>
      <c r="B82" s="387" t="str">
        <f t="shared" si="10"/>
        <v>31 (10)</v>
      </c>
      <c r="C82" s="14" t="s">
        <v>309</v>
      </c>
      <c r="D82" s="19">
        <v>3.54</v>
      </c>
      <c r="E82" s="19">
        <f>'Exhibit No.__(BDJ-CONJ  DEM)'!E26</f>
        <v>3.88</v>
      </c>
      <c r="F82" s="19">
        <f t="shared" si="11"/>
        <v>0.33999999999999986</v>
      </c>
      <c r="G82" s="1" t="s">
        <v>322</v>
      </c>
      <c r="H82" s="2" t="s">
        <v>323</v>
      </c>
      <c r="K82" s="10"/>
      <c r="L82" s="2"/>
      <c r="N82" s="10"/>
      <c r="O82" s="10"/>
      <c r="P82" s="10"/>
      <c r="Q82" s="10"/>
      <c r="R82" s="2"/>
      <c r="T82" s="10"/>
      <c r="U82" s="10"/>
      <c r="V82" s="10"/>
      <c r="W82" s="10"/>
      <c r="X82" s="2"/>
    </row>
    <row r="83" spans="1:24" x14ac:dyDescent="0.2">
      <c r="A83" s="387">
        <f t="shared" si="9"/>
        <v>77</v>
      </c>
      <c r="B83" s="387" t="str">
        <f t="shared" si="10"/>
        <v>31 (10)</v>
      </c>
      <c r="C83" s="14" t="s">
        <v>310</v>
      </c>
      <c r="D83" s="19">
        <v>4.42</v>
      </c>
      <c r="E83" s="19">
        <f>'Exhibit No.__(BDJ-CONJ  DEM)'!E27</f>
        <v>4.08</v>
      </c>
      <c r="F83" s="19">
        <f t="shared" si="11"/>
        <v>-0.33999999999999986</v>
      </c>
      <c r="G83" s="1" t="s">
        <v>322</v>
      </c>
      <c r="H83" s="2" t="s">
        <v>323</v>
      </c>
      <c r="K83" s="10"/>
      <c r="L83" s="2"/>
      <c r="N83" s="10"/>
      <c r="O83" s="10"/>
      <c r="P83" s="10"/>
      <c r="Q83" s="10"/>
      <c r="R83" s="2"/>
      <c r="T83" s="10"/>
      <c r="U83" s="10"/>
      <c r="V83" s="10"/>
      <c r="W83" s="10"/>
      <c r="X83" s="2"/>
    </row>
    <row r="84" spans="1:24" x14ac:dyDescent="0.2">
      <c r="A84" s="387">
        <f t="shared" si="9"/>
        <v>78</v>
      </c>
      <c r="B84" s="387" t="str">
        <f t="shared" si="10"/>
        <v>31 (10)</v>
      </c>
      <c r="C84" s="8"/>
      <c r="D84" s="19"/>
      <c r="E84" s="19"/>
      <c r="F84" s="19"/>
      <c r="K84" s="10"/>
      <c r="L84" s="2"/>
      <c r="N84" s="10"/>
      <c r="O84" s="10"/>
      <c r="P84" s="10"/>
      <c r="Q84" s="10"/>
      <c r="R84" s="2"/>
      <c r="T84" s="10"/>
      <c r="U84" s="10"/>
      <c r="V84" s="10"/>
      <c r="W84" s="10"/>
      <c r="X84" s="2"/>
    </row>
    <row r="85" spans="1:24" x14ac:dyDescent="0.2">
      <c r="A85" s="387">
        <f t="shared" si="9"/>
        <v>79</v>
      </c>
      <c r="B85" s="387" t="str">
        <f t="shared" si="10"/>
        <v>31 (10)</v>
      </c>
      <c r="C85" s="8" t="s">
        <v>202</v>
      </c>
      <c r="D85" s="13">
        <v>1.1199999999999999E-3</v>
      </c>
      <c r="E85" s="13">
        <f>+'Exhibit No.__(BDJ-PV RD)'!G27</f>
        <v>1.1199999999999999E-3</v>
      </c>
      <c r="F85" s="13">
        <f>+E85-D85</f>
        <v>0</v>
      </c>
      <c r="G85" s="1" t="s">
        <v>322</v>
      </c>
      <c r="H85" s="2">
        <v>31</v>
      </c>
      <c r="K85" s="10"/>
      <c r="L85" s="2"/>
      <c r="N85" s="10"/>
      <c r="O85" s="10"/>
      <c r="P85" s="10"/>
      <c r="Q85" s="10"/>
      <c r="R85" s="2"/>
      <c r="T85" s="10"/>
      <c r="U85" s="10"/>
      <c r="V85" s="10"/>
      <c r="W85" s="10"/>
      <c r="X85" s="2"/>
    </row>
    <row r="86" spans="1:24" x14ac:dyDescent="0.2">
      <c r="A86" s="387">
        <f t="shared" si="9"/>
        <v>80</v>
      </c>
      <c r="K86" s="10"/>
      <c r="L86" s="2"/>
      <c r="N86" s="10"/>
      <c r="O86" s="10"/>
      <c r="P86" s="10"/>
      <c r="Q86" s="10"/>
      <c r="R86" s="2"/>
      <c r="T86" s="10"/>
      <c r="U86" s="10"/>
      <c r="V86" s="10"/>
      <c r="W86" s="10"/>
      <c r="X86" s="2"/>
    </row>
    <row r="87" spans="1:24" x14ac:dyDescent="0.2">
      <c r="A87" s="387">
        <f t="shared" si="9"/>
        <v>81</v>
      </c>
      <c r="B87" s="387">
        <v>35</v>
      </c>
      <c r="C87" s="9" t="s">
        <v>223</v>
      </c>
      <c r="K87" s="10"/>
      <c r="L87" s="2"/>
      <c r="N87" s="10"/>
      <c r="O87" s="10"/>
      <c r="P87" s="10"/>
      <c r="Q87" s="10"/>
      <c r="R87" s="2"/>
      <c r="T87" s="10"/>
      <c r="U87" s="10"/>
      <c r="V87" s="10"/>
      <c r="W87" s="10"/>
      <c r="X87" s="2"/>
    </row>
    <row r="88" spans="1:24" x14ac:dyDescent="0.2">
      <c r="A88" s="387">
        <f t="shared" si="9"/>
        <v>82</v>
      </c>
      <c r="B88" s="387">
        <f>+$B$87</f>
        <v>35</v>
      </c>
      <c r="C88" s="8" t="s">
        <v>195</v>
      </c>
      <c r="D88" s="19">
        <v>358.11</v>
      </c>
      <c r="E88" s="19">
        <f>+'Exhibit No.__(BDJ-PV RD)'!G44</f>
        <v>358.11</v>
      </c>
      <c r="F88" s="19">
        <f>+E88-D88</f>
        <v>0</v>
      </c>
      <c r="G88" s="1" t="s">
        <v>324</v>
      </c>
      <c r="H88" s="2">
        <v>35</v>
      </c>
      <c r="L88" s="2"/>
      <c r="R88" s="2"/>
      <c r="X88" s="2"/>
    </row>
    <row r="89" spans="1:24" x14ac:dyDescent="0.2">
      <c r="A89" s="387">
        <f t="shared" si="9"/>
        <v>83</v>
      </c>
      <c r="B89" s="387">
        <f t="shared" ref="B89:B95" si="12">+$B$87</f>
        <v>35</v>
      </c>
      <c r="C89" s="8"/>
      <c r="D89" s="19"/>
      <c r="E89" s="19"/>
      <c r="F89" s="19"/>
      <c r="L89" s="2"/>
      <c r="R89" s="2"/>
      <c r="X89" s="2"/>
    </row>
    <row r="90" spans="1:24" x14ac:dyDescent="0.2">
      <c r="A90" s="387">
        <f t="shared" si="9"/>
        <v>84</v>
      </c>
      <c r="B90" s="387">
        <f t="shared" si="12"/>
        <v>35</v>
      </c>
      <c r="C90" s="8" t="s">
        <v>222</v>
      </c>
      <c r="D90" s="10">
        <v>5.3178000000000003E-2</v>
      </c>
      <c r="E90" s="10">
        <f>+'Exhibit No.__(BDJ-PV RD)'!G46</f>
        <v>5.3178000000000003E-2</v>
      </c>
      <c r="F90" s="10">
        <f>+E90-D90</f>
        <v>0</v>
      </c>
      <c r="G90" s="1" t="s">
        <v>324</v>
      </c>
      <c r="H90" s="2">
        <v>35</v>
      </c>
      <c r="J90" s="10">
        <f>ROUND(+'Exhibit No.__(BDJ-141C)'!L15,6)</f>
        <v>1.518E-3</v>
      </c>
      <c r="K90" s="10" t="s">
        <v>404</v>
      </c>
      <c r="L90" s="9" t="s">
        <v>539</v>
      </c>
      <c r="N90" s="10">
        <f>+'Exhibit No.__(BDJ-MYRP)'!L104</f>
        <v>1.2605999999999999E-2</v>
      </c>
      <c r="O90" s="10">
        <f>+'Exhibit No.__(BDJ-MYRP)'!R104</f>
        <v>9.6299999999999997E-3</v>
      </c>
      <c r="P90" s="10">
        <f>+'Exhibit No.__(BDJ-MYRP)'!X104</f>
        <v>4.1980000000000003E-3</v>
      </c>
      <c r="Q90" s="10" t="s">
        <v>404</v>
      </c>
      <c r="R90" s="9" t="s">
        <v>539</v>
      </c>
      <c r="T90" s="10">
        <f>+'Exhibit No.__(BDJ-MYRP)'!M104</f>
        <v>5.3600000000000002E-3</v>
      </c>
      <c r="U90" s="10">
        <f>+'Exhibit No.__(BDJ-MYRP)'!S104</f>
        <v>1.1486E-2</v>
      </c>
      <c r="V90" s="10">
        <f>+'Exhibit No.__(BDJ-MYRP)'!Y104</f>
        <v>1.745E-2</v>
      </c>
      <c r="W90" s="10" t="s">
        <v>404</v>
      </c>
      <c r="X90" s="9" t="s">
        <v>539</v>
      </c>
    </row>
    <row r="91" spans="1:24" x14ac:dyDescent="0.2">
      <c r="A91" s="387">
        <f t="shared" si="9"/>
        <v>85</v>
      </c>
      <c r="B91" s="387">
        <f t="shared" si="12"/>
        <v>35</v>
      </c>
      <c r="C91" s="12"/>
      <c r="K91" s="10"/>
      <c r="L91" s="2"/>
      <c r="N91" s="10"/>
      <c r="O91" s="10"/>
      <c r="P91" s="10"/>
      <c r="Q91" s="10"/>
      <c r="R91" s="2"/>
      <c r="T91" s="10"/>
      <c r="U91" s="10"/>
      <c r="V91" s="10"/>
      <c r="W91" s="10"/>
      <c r="X91" s="2"/>
    </row>
    <row r="92" spans="1:24" x14ac:dyDescent="0.2">
      <c r="A92" s="387">
        <f t="shared" si="9"/>
        <v>86</v>
      </c>
      <c r="B92" s="387">
        <f t="shared" si="12"/>
        <v>35</v>
      </c>
      <c r="C92" s="8" t="s">
        <v>224</v>
      </c>
      <c r="D92" s="19">
        <v>4.92</v>
      </c>
      <c r="E92" s="19">
        <f>+'Exhibit No.__(BDJ-PV RD)'!G52</f>
        <v>4.92</v>
      </c>
      <c r="F92" s="19">
        <f>+E92-D92</f>
        <v>0</v>
      </c>
      <c r="G92" s="1" t="s">
        <v>324</v>
      </c>
      <c r="H92" s="2">
        <v>35</v>
      </c>
      <c r="K92" s="10"/>
      <c r="L92" s="2"/>
      <c r="N92" s="10"/>
      <c r="O92" s="10"/>
      <c r="P92" s="10"/>
      <c r="Q92" s="10"/>
      <c r="R92" s="2"/>
      <c r="T92" s="10"/>
      <c r="U92" s="10"/>
      <c r="V92" s="10"/>
      <c r="W92" s="10"/>
      <c r="X92" s="2"/>
    </row>
    <row r="93" spans="1:24" x14ac:dyDescent="0.2">
      <c r="A93" s="387">
        <f t="shared" si="9"/>
        <v>87</v>
      </c>
      <c r="B93" s="387">
        <f t="shared" si="12"/>
        <v>35</v>
      </c>
      <c r="C93" s="8" t="s">
        <v>225</v>
      </c>
      <c r="D93" s="19">
        <v>3.28</v>
      </c>
      <c r="E93" s="19">
        <f>+'Exhibit No.__(BDJ-PV RD)'!G53</f>
        <v>3.28</v>
      </c>
      <c r="F93" s="19">
        <f>+E93-D93</f>
        <v>0</v>
      </c>
      <c r="G93" s="1" t="s">
        <v>324</v>
      </c>
      <c r="H93" s="2">
        <v>35</v>
      </c>
      <c r="K93" s="10"/>
      <c r="L93" s="2"/>
      <c r="N93" s="10"/>
      <c r="O93" s="10"/>
      <c r="P93" s="10"/>
      <c r="Q93" s="10"/>
      <c r="R93" s="2"/>
      <c r="T93" s="10"/>
      <c r="U93" s="10"/>
      <c r="V93" s="10"/>
      <c r="W93" s="10"/>
      <c r="X93" s="2"/>
    </row>
    <row r="94" spans="1:24" x14ac:dyDescent="0.2">
      <c r="A94" s="387">
        <f t="shared" si="9"/>
        <v>88</v>
      </c>
      <c r="B94" s="387">
        <f t="shared" si="12"/>
        <v>35</v>
      </c>
      <c r="C94" s="8"/>
      <c r="D94" s="19"/>
      <c r="E94" s="19"/>
      <c r="F94" s="19"/>
      <c r="K94" s="10"/>
      <c r="L94" s="2"/>
      <c r="N94" s="10"/>
      <c r="O94" s="10"/>
      <c r="P94" s="10"/>
      <c r="Q94" s="10"/>
      <c r="R94" s="2"/>
      <c r="T94" s="10"/>
      <c r="U94" s="10"/>
      <c r="V94" s="10"/>
      <c r="W94" s="10"/>
      <c r="X94" s="2"/>
    </row>
    <row r="95" spans="1:24" x14ac:dyDescent="0.2">
      <c r="A95" s="387">
        <f t="shared" si="9"/>
        <v>89</v>
      </c>
      <c r="B95" s="387">
        <f t="shared" si="12"/>
        <v>35</v>
      </c>
      <c r="C95" s="8" t="s">
        <v>202</v>
      </c>
      <c r="D95" s="13">
        <v>1.1800000000000001E-3</v>
      </c>
      <c r="E95" s="13">
        <f>+'Exhibit No.__(BDJ-PV RD)'!G56</f>
        <v>1.1800000000000001E-3</v>
      </c>
      <c r="F95" s="13">
        <f>+E95-D95</f>
        <v>0</v>
      </c>
      <c r="G95" s="1" t="s">
        <v>324</v>
      </c>
      <c r="H95" s="2">
        <v>35</v>
      </c>
      <c r="K95" s="10"/>
      <c r="L95" s="2"/>
      <c r="N95" s="10"/>
      <c r="O95" s="10"/>
      <c r="P95" s="10"/>
      <c r="Q95" s="10"/>
      <c r="R95" s="2"/>
      <c r="T95" s="10"/>
      <c r="U95" s="10"/>
      <c r="V95" s="10"/>
      <c r="W95" s="10"/>
      <c r="X95" s="2"/>
    </row>
    <row r="96" spans="1:24" x14ac:dyDescent="0.2">
      <c r="A96" s="387">
        <f t="shared" si="9"/>
        <v>90</v>
      </c>
      <c r="K96" s="10"/>
      <c r="L96" s="2"/>
      <c r="N96" s="10"/>
      <c r="O96" s="10"/>
      <c r="P96" s="10"/>
      <c r="Q96" s="10"/>
      <c r="R96" s="2"/>
      <c r="T96" s="10"/>
      <c r="U96" s="10"/>
      <c r="V96" s="10"/>
      <c r="W96" s="10"/>
      <c r="X96" s="2"/>
    </row>
    <row r="97" spans="1:24" x14ac:dyDescent="0.2">
      <c r="A97" s="387">
        <f t="shared" si="9"/>
        <v>91</v>
      </c>
      <c r="B97" s="387">
        <v>43</v>
      </c>
      <c r="C97" s="9" t="s">
        <v>226</v>
      </c>
      <c r="K97" s="10"/>
      <c r="L97" s="2"/>
      <c r="N97" s="10"/>
      <c r="O97" s="10"/>
      <c r="P97" s="10"/>
      <c r="Q97" s="10"/>
      <c r="R97" s="2"/>
      <c r="T97" s="10"/>
      <c r="U97" s="10"/>
      <c r="V97" s="10"/>
      <c r="W97" s="10"/>
      <c r="X97" s="2"/>
    </row>
    <row r="98" spans="1:24" x14ac:dyDescent="0.2">
      <c r="A98" s="387">
        <f t="shared" si="9"/>
        <v>92</v>
      </c>
      <c r="B98" s="387">
        <f>+$B$97</f>
        <v>43</v>
      </c>
      <c r="C98" s="8" t="s">
        <v>195</v>
      </c>
      <c r="D98" s="19">
        <v>358.11</v>
      </c>
      <c r="E98" s="19">
        <f>+'Exhibit No.__(BDJ-PV RD)'!G72</f>
        <v>358.11</v>
      </c>
      <c r="F98" s="19">
        <f>+E98-D98</f>
        <v>0</v>
      </c>
      <c r="G98" s="1" t="s">
        <v>331</v>
      </c>
      <c r="H98" s="2" t="s">
        <v>332</v>
      </c>
      <c r="K98" s="10"/>
      <c r="L98" s="2"/>
      <c r="N98" s="10"/>
      <c r="O98" s="10"/>
      <c r="P98" s="10"/>
      <c r="Q98" s="10"/>
      <c r="R98" s="2"/>
      <c r="T98" s="10"/>
      <c r="U98" s="10"/>
      <c r="V98" s="10"/>
      <c r="W98" s="10"/>
      <c r="X98" s="2"/>
    </row>
    <row r="99" spans="1:24" x14ac:dyDescent="0.2">
      <c r="A99" s="387">
        <f t="shared" si="9"/>
        <v>93</v>
      </c>
      <c r="B99" s="387">
        <f t="shared" ref="B99:B106" si="13">+$B$97</f>
        <v>43</v>
      </c>
      <c r="C99" s="8"/>
      <c r="D99" s="19"/>
      <c r="E99" s="19"/>
      <c r="F99" s="19"/>
      <c r="K99" s="10"/>
      <c r="L99" s="2"/>
      <c r="N99" s="10"/>
      <c r="O99" s="10"/>
      <c r="P99" s="10"/>
      <c r="Q99" s="10"/>
      <c r="R99" s="2"/>
      <c r="T99" s="10"/>
      <c r="U99" s="10"/>
      <c r="V99" s="10"/>
      <c r="W99" s="10"/>
      <c r="X99" s="2"/>
    </row>
    <row r="100" spans="1:24" x14ac:dyDescent="0.2">
      <c r="A100" s="387">
        <f t="shared" si="9"/>
        <v>94</v>
      </c>
      <c r="B100" s="387">
        <f t="shared" si="13"/>
        <v>43</v>
      </c>
      <c r="C100" s="8" t="s">
        <v>222</v>
      </c>
      <c r="D100" s="10">
        <v>5.9549999999999999E-2</v>
      </c>
      <c r="E100" s="10">
        <f>+'Exhibit No.__(BDJ-PV RD)'!G74</f>
        <v>5.8889999999999998E-2</v>
      </c>
      <c r="F100" s="10">
        <f>+E100-D100</f>
        <v>-6.6000000000000086E-4</v>
      </c>
      <c r="G100" s="1" t="s">
        <v>331</v>
      </c>
      <c r="H100" s="2" t="s">
        <v>332</v>
      </c>
      <c r="J100" s="10">
        <f>ROUND(+'Exhibit No.__(BDJ-141C)'!L16,6)</f>
        <v>4.7199999999999998E-4</v>
      </c>
      <c r="K100" s="10" t="s">
        <v>404</v>
      </c>
      <c r="L100" s="9" t="s">
        <v>539</v>
      </c>
      <c r="N100" s="10">
        <f>+'Exhibit No.__(BDJ-MYRP)'!L117</f>
        <v>8.6440000000000006E-3</v>
      </c>
      <c r="O100" s="10">
        <f>+'Exhibit No.__(BDJ-MYRP)'!R117</f>
        <v>6.5599999999999999E-3</v>
      </c>
      <c r="P100" s="10">
        <f>+'Exhibit No.__(BDJ-MYRP)'!X117</f>
        <v>2.8700000000000002E-3</v>
      </c>
      <c r="Q100" s="10" t="s">
        <v>404</v>
      </c>
      <c r="R100" s="9" t="s">
        <v>539</v>
      </c>
      <c r="T100" s="10">
        <f>+'Exhibit No.__(BDJ-MYRP)'!M117</f>
        <v>3.6749999999999999E-3</v>
      </c>
      <c r="U100" s="10">
        <f>+'Exhibit No.__(BDJ-MYRP)'!S117</f>
        <v>7.8239999999999994E-3</v>
      </c>
      <c r="V100" s="10">
        <f>+'Exhibit No.__(BDJ-MYRP)'!Y117</f>
        <v>1.1927E-2</v>
      </c>
      <c r="W100" s="10" t="s">
        <v>404</v>
      </c>
      <c r="X100" s="9" t="s">
        <v>539</v>
      </c>
    </row>
    <row r="101" spans="1:24" x14ac:dyDescent="0.2">
      <c r="A101" s="387">
        <f t="shared" si="9"/>
        <v>95</v>
      </c>
      <c r="B101" s="387">
        <f t="shared" si="13"/>
        <v>43</v>
      </c>
      <c r="C101" s="12"/>
      <c r="J101" s="10"/>
      <c r="K101" s="10"/>
      <c r="L101" s="2"/>
      <c r="N101" s="10"/>
      <c r="O101" s="10"/>
      <c r="P101" s="10"/>
      <c r="Q101" s="10"/>
      <c r="R101" s="2"/>
      <c r="T101" s="10"/>
      <c r="U101" s="10"/>
      <c r="V101" s="10"/>
      <c r="W101" s="10"/>
      <c r="X101" s="2"/>
    </row>
    <row r="102" spans="1:24" x14ac:dyDescent="0.2">
      <c r="A102" s="387">
        <f t="shared" si="9"/>
        <v>96</v>
      </c>
      <c r="B102" s="387">
        <f t="shared" si="13"/>
        <v>43</v>
      </c>
      <c r="C102" s="8" t="s">
        <v>227</v>
      </c>
      <c r="D102" s="19">
        <v>5.01</v>
      </c>
      <c r="E102" s="19">
        <f>+'Exhibit No.__(BDJ-PV RD)'!G80</f>
        <v>5.01</v>
      </c>
      <c r="F102" s="19">
        <f>+E102-D102</f>
        <v>0</v>
      </c>
      <c r="G102" s="1" t="s">
        <v>331</v>
      </c>
      <c r="H102" s="2" t="s">
        <v>332</v>
      </c>
      <c r="K102" s="10"/>
      <c r="L102" s="2"/>
      <c r="N102" s="10"/>
      <c r="O102" s="10"/>
      <c r="P102" s="10"/>
      <c r="Q102" s="10"/>
      <c r="R102" s="2"/>
      <c r="T102" s="10"/>
      <c r="U102" s="10"/>
      <c r="V102" s="10"/>
      <c r="W102" s="10"/>
      <c r="X102" s="2"/>
    </row>
    <row r="103" spans="1:24" x14ac:dyDescent="0.2">
      <c r="A103" s="387">
        <f t="shared" si="9"/>
        <v>97</v>
      </c>
      <c r="B103" s="387">
        <f t="shared" si="13"/>
        <v>43</v>
      </c>
      <c r="C103" s="8"/>
      <c r="D103" s="19"/>
      <c r="E103" s="19"/>
      <c r="F103" s="19"/>
      <c r="K103" s="10"/>
      <c r="L103" s="2"/>
      <c r="N103" s="10"/>
      <c r="O103" s="10"/>
      <c r="P103" s="10"/>
      <c r="Q103" s="10"/>
      <c r="R103" s="2"/>
      <c r="T103" s="10"/>
      <c r="U103" s="10"/>
      <c r="V103" s="10"/>
      <c r="W103" s="10"/>
      <c r="X103" s="2"/>
    </row>
    <row r="104" spans="1:24" x14ac:dyDescent="0.2">
      <c r="A104" s="387">
        <f t="shared" si="9"/>
        <v>98</v>
      </c>
      <c r="B104" s="387">
        <f t="shared" si="13"/>
        <v>43</v>
      </c>
      <c r="C104" s="8" t="s">
        <v>228</v>
      </c>
      <c r="D104" s="19">
        <v>6.93</v>
      </c>
      <c r="E104" s="19">
        <f>+'Exhibit No.__(BDJ-PV RD)'!G83</f>
        <v>6.93</v>
      </c>
      <c r="F104" s="19">
        <f>+E104-D104</f>
        <v>0</v>
      </c>
      <c r="G104" s="1" t="s">
        <v>331</v>
      </c>
      <c r="H104" s="2" t="s">
        <v>332</v>
      </c>
      <c r="K104" s="10"/>
      <c r="L104" s="2"/>
      <c r="N104" s="10"/>
      <c r="O104" s="10"/>
      <c r="P104" s="10"/>
      <c r="Q104" s="10"/>
      <c r="R104" s="2"/>
      <c r="T104" s="10"/>
      <c r="U104" s="10"/>
      <c r="V104" s="10"/>
      <c r="W104" s="10"/>
      <c r="X104" s="2"/>
    </row>
    <row r="105" spans="1:24" x14ac:dyDescent="0.2">
      <c r="A105" s="387">
        <f t="shared" si="9"/>
        <v>99</v>
      </c>
      <c r="B105" s="387">
        <f t="shared" si="13"/>
        <v>43</v>
      </c>
      <c r="D105" s="19"/>
      <c r="E105" s="19"/>
      <c r="F105" s="19"/>
      <c r="K105" s="10"/>
      <c r="L105" s="2"/>
      <c r="N105" s="10"/>
      <c r="O105" s="10"/>
      <c r="P105" s="10"/>
      <c r="Q105" s="10"/>
      <c r="R105" s="2"/>
      <c r="T105" s="10"/>
      <c r="U105" s="10"/>
      <c r="V105" s="10"/>
      <c r="W105" s="10"/>
      <c r="X105" s="2"/>
    </row>
    <row r="106" spans="1:24" x14ac:dyDescent="0.2">
      <c r="A106" s="387">
        <f t="shared" si="9"/>
        <v>100</v>
      </c>
      <c r="B106" s="387">
        <f t="shared" si="13"/>
        <v>43</v>
      </c>
      <c r="C106" s="8" t="s">
        <v>202</v>
      </c>
      <c r="D106" s="13">
        <v>3.1700000000000001E-3</v>
      </c>
      <c r="E106" s="13">
        <f>+'Exhibit No.__(BDJ-PV RD)'!G85</f>
        <v>3.1700000000000001E-3</v>
      </c>
      <c r="F106" s="13">
        <f>+E106-D106</f>
        <v>0</v>
      </c>
      <c r="G106" s="1" t="s">
        <v>331</v>
      </c>
      <c r="H106" s="2" t="s">
        <v>332</v>
      </c>
      <c r="K106" s="10"/>
      <c r="L106" s="2"/>
      <c r="N106" s="10"/>
      <c r="O106" s="10"/>
      <c r="P106" s="10"/>
      <c r="Q106" s="10"/>
      <c r="R106" s="2"/>
      <c r="T106" s="10"/>
      <c r="U106" s="10"/>
      <c r="V106" s="10"/>
      <c r="W106" s="10"/>
      <c r="X106" s="2"/>
    </row>
    <row r="107" spans="1:24" x14ac:dyDescent="0.2">
      <c r="A107" s="387">
        <f t="shared" si="9"/>
        <v>101</v>
      </c>
      <c r="K107" s="10"/>
      <c r="L107" s="2"/>
      <c r="N107" s="10"/>
      <c r="O107" s="10"/>
      <c r="P107" s="10"/>
      <c r="Q107" s="10"/>
      <c r="R107" s="2"/>
      <c r="T107" s="10"/>
      <c r="U107" s="10"/>
      <c r="V107" s="10"/>
      <c r="W107" s="10"/>
      <c r="X107" s="2"/>
    </row>
    <row r="108" spans="1:24" x14ac:dyDescent="0.2">
      <c r="A108" s="387">
        <f t="shared" si="9"/>
        <v>102</v>
      </c>
      <c r="B108" s="139"/>
      <c r="C108" s="139"/>
      <c r="D108" s="139"/>
      <c r="E108" s="139"/>
      <c r="F108" s="139"/>
      <c r="K108" s="10"/>
      <c r="L108" s="2"/>
      <c r="N108" s="10"/>
      <c r="O108" s="10"/>
      <c r="P108" s="10"/>
      <c r="Q108" s="10"/>
      <c r="R108" s="2"/>
      <c r="T108" s="10"/>
      <c r="U108" s="10"/>
      <c r="V108" s="10"/>
      <c r="W108" s="10"/>
      <c r="X108" s="2"/>
    </row>
    <row r="109" spans="1:24" x14ac:dyDescent="0.2">
      <c r="A109" s="387">
        <f t="shared" si="9"/>
        <v>103</v>
      </c>
      <c r="B109" s="373" t="s">
        <v>307</v>
      </c>
      <c r="C109" s="17" t="s">
        <v>33</v>
      </c>
      <c r="D109" s="18">
        <v>236</v>
      </c>
      <c r="E109" s="19">
        <f>+'Exhibit No.__(BDJ-TRANSP RD)'!G30</f>
        <v>396</v>
      </c>
      <c r="F109" s="19">
        <f>+E109-D109</f>
        <v>160</v>
      </c>
      <c r="G109" s="9" t="s">
        <v>321</v>
      </c>
      <c r="H109" s="9" t="s">
        <v>321</v>
      </c>
      <c r="L109" s="2"/>
      <c r="R109" s="2"/>
      <c r="S109" s="19"/>
      <c r="X109" s="2"/>
    </row>
    <row r="110" spans="1:24" x14ac:dyDescent="0.2">
      <c r="A110" s="387">
        <f t="shared" si="9"/>
        <v>104</v>
      </c>
      <c r="B110" s="373" t="str">
        <f>+B109</f>
        <v>Special Contract</v>
      </c>
      <c r="C110" s="17" t="s">
        <v>75</v>
      </c>
      <c r="E110" s="20"/>
      <c r="F110" s="20"/>
      <c r="J110" s="10">
        <f>ROUND(+'Exhibit No.__(BDJ-141C)'!L26,6)</f>
        <v>2.3E-5</v>
      </c>
      <c r="K110" s="10" t="s">
        <v>404</v>
      </c>
      <c r="L110" s="9" t="s">
        <v>539</v>
      </c>
      <c r="N110" s="10">
        <f>+'Exhibit No.__(BDJ-MYRP)'!L156</f>
        <v>2.3930000000000002E-3</v>
      </c>
      <c r="O110" s="10">
        <f>+'Exhibit No.__(BDJ-MYRP)'!R156</f>
        <v>1.841E-3</v>
      </c>
      <c r="P110" s="10">
        <f>+'Exhibit No.__(BDJ-MYRP)'!X156</f>
        <v>8.0199999999999998E-4</v>
      </c>
      <c r="Q110" s="10" t="s">
        <v>404</v>
      </c>
      <c r="R110" s="9" t="s">
        <v>539</v>
      </c>
      <c r="T110" s="10">
        <f>+'Exhibit No.__(BDJ-MYRP)'!M156</f>
        <v>1.018E-3</v>
      </c>
      <c r="U110" s="10">
        <f>+'Exhibit No.__(BDJ-MYRP)'!S156</f>
        <v>2.196E-3</v>
      </c>
      <c r="V110" s="10">
        <f>+'Exhibit No.__(BDJ-MYRP)'!Y156</f>
        <v>3.3349999999999999E-3</v>
      </c>
      <c r="W110" s="10" t="s">
        <v>404</v>
      </c>
      <c r="X110" s="9" t="s">
        <v>539</v>
      </c>
    </row>
    <row r="111" spans="1:24" x14ac:dyDescent="0.2">
      <c r="A111" s="387">
        <f t="shared" si="9"/>
        <v>105</v>
      </c>
      <c r="B111" s="373" t="str">
        <f t="shared" ref="B111:B122" si="14">+B110</f>
        <v>Special Contract</v>
      </c>
      <c r="C111" s="17" t="s">
        <v>229</v>
      </c>
      <c r="D111" s="180">
        <v>6.9099999999999995E-2</v>
      </c>
      <c r="E111" s="180">
        <v>7.3700000000000002E-2</v>
      </c>
      <c r="F111" s="180">
        <f>+E111-D111</f>
        <v>4.6000000000000069E-3</v>
      </c>
      <c r="G111" s="9" t="s">
        <v>321</v>
      </c>
      <c r="H111" s="9" t="s">
        <v>321</v>
      </c>
      <c r="L111" s="2"/>
      <c r="R111" s="2"/>
      <c r="X111" s="2"/>
    </row>
    <row r="112" spans="1:24" x14ac:dyDescent="0.2">
      <c r="A112" s="387">
        <f t="shared" si="9"/>
        <v>106</v>
      </c>
      <c r="B112" s="373" t="str">
        <f t="shared" si="14"/>
        <v>Special Contract</v>
      </c>
      <c r="C112" s="21" t="s">
        <v>230</v>
      </c>
      <c r="D112" s="22">
        <v>0.46</v>
      </c>
      <c r="E112" s="22">
        <v>0.55000000000000004</v>
      </c>
      <c r="F112" s="22">
        <f>+E112-D112</f>
        <v>9.0000000000000024E-2</v>
      </c>
      <c r="G112" s="9" t="s">
        <v>321</v>
      </c>
      <c r="H112" s="9" t="s">
        <v>321</v>
      </c>
      <c r="L112" s="2"/>
      <c r="R112" s="2"/>
      <c r="X112" s="2"/>
    </row>
    <row r="113" spans="1:24" x14ac:dyDescent="0.2">
      <c r="A113" s="387">
        <f t="shared" si="9"/>
        <v>107</v>
      </c>
      <c r="B113" s="373" t="str">
        <f t="shared" si="14"/>
        <v>Special Contract</v>
      </c>
      <c r="C113" s="17" t="s">
        <v>231</v>
      </c>
      <c r="D113" s="20">
        <v>3.1786000000000002E-2</v>
      </c>
      <c r="E113" s="20">
        <f>ROUND(E111*E112,6)</f>
        <v>4.0535000000000002E-2</v>
      </c>
      <c r="F113" s="20">
        <f>+E113-D113</f>
        <v>8.7489999999999998E-3</v>
      </c>
      <c r="G113" s="9" t="s">
        <v>321</v>
      </c>
      <c r="H113" s="9" t="s">
        <v>321</v>
      </c>
      <c r="L113" s="2"/>
      <c r="R113" s="2"/>
      <c r="X113" s="2"/>
    </row>
    <row r="114" spans="1:24" x14ac:dyDescent="0.2">
      <c r="A114" s="387">
        <f t="shared" si="9"/>
        <v>108</v>
      </c>
      <c r="B114" s="373" t="str">
        <f t="shared" si="14"/>
        <v>Special Contract</v>
      </c>
      <c r="C114" s="21" t="s">
        <v>232</v>
      </c>
      <c r="D114" s="180">
        <v>0.18290000000000001</v>
      </c>
      <c r="E114" s="180">
        <v>8.09E-2</v>
      </c>
      <c r="F114" s="180">
        <f>+E114-D114</f>
        <v>-0.10200000000000001</v>
      </c>
      <c r="G114" s="9" t="s">
        <v>321</v>
      </c>
      <c r="H114" s="9" t="s">
        <v>321</v>
      </c>
      <c r="L114" s="2"/>
      <c r="R114" s="2"/>
      <c r="X114" s="2"/>
    </row>
    <row r="115" spans="1:24" x14ac:dyDescent="0.2">
      <c r="A115" s="387">
        <f t="shared" si="9"/>
        <v>109</v>
      </c>
      <c r="B115" s="373" t="str">
        <f t="shared" si="14"/>
        <v>Special Contract</v>
      </c>
      <c r="C115" s="21" t="s">
        <v>233</v>
      </c>
      <c r="D115" s="180">
        <v>4.2200000000000001E-2</v>
      </c>
      <c r="E115" s="180">
        <v>1.6799999999999999E-2</v>
      </c>
      <c r="F115" s="180">
        <f>+E115-D115</f>
        <v>-2.5400000000000002E-2</v>
      </c>
      <c r="G115" s="9" t="s">
        <v>321</v>
      </c>
      <c r="H115" s="9" t="s">
        <v>321</v>
      </c>
      <c r="L115" s="2"/>
      <c r="R115" s="2"/>
      <c r="X115" s="2"/>
    </row>
    <row r="116" spans="1:24" x14ac:dyDescent="0.2">
      <c r="A116" s="387">
        <f t="shared" si="9"/>
        <v>110</v>
      </c>
      <c r="B116" s="373" t="str">
        <f t="shared" si="14"/>
        <v>Special Contract</v>
      </c>
      <c r="C116" s="17"/>
      <c r="D116" s="180"/>
      <c r="E116" s="20"/>
      <c r="F116" s="20"/>
      <c r="L116" s="2"/>
      <c r="R116" s="2"/>
      <c r="X116" s="2"/>
    </row>
    <row r="117" spans="1:24" x14ac:dyDescent="0.2">
      <c r="A117" s="387">
        <f t="shared" si="9"/>
        <v>111</v>
      </c>
      <c r="B117" s="373" t="str">
        <f t="shared" si="14"/>
        <v>Special Contract</v>
      </c>
      <c r="C117" s="21" t="s">
        <v>234</v>
      </c>
      <c r="D117" s="20">
        <v>8.9180203175745251E-2</v>
      </c>
      <c r="E117" s="20">
        <v>9.0058088955017282E-2</v>
      </c>
      <c r="F117" s="20">
        <f>+E117-D117</f>
        <v>8.7788577927203071E-4</v>
      </c>
      <c r="G117" s="9" t="s">
        <v>321</v>
      </c>
      <c r="H117" s="9" t="s">
        <v>321</v>
      </c>
      <c r="L117" s="2"/>
      <c r="R117" s="2"/>
      <c r="X117" s="2"/>
    </row>
    <row r="118" spans="1:24" x14ac:dyDescent="0.2">
      <c r="A118" s="387">
        <f t="shared" si="9"/>
        <v>112</v>
      </c>
      <c r="B118" s="373" t="str">
        <f t="shared" si="14"/>
        <v>Special Contract</v>
      </c>
      <c r="C118" s="17"/>
      <c r="D118" s="180"/>
      <c r="E118" s="20"/>
      <c r="F118" s="20"/>
      <c r="L118" s="2"/>
      <c r="R118" s="2"/>
      <c r="X118" s="2"/>
    </row>
    <row r="119" spans="1:24" x14ac:dyDescent="0.2">
      <c r="A119" s="387">
        <f t="shared" si="9"/>
        <v>113</v>
      </c>
      <c r="B119" s="373" t="str">
        <f t="shared" si="14"/>
        <v>Special Contract</v>
      </c>
      <c r="C119" s="17" t="s">
        <v>311</v>
      </c>
      <c r="D119" s="180"/>
      <c r="E119" s="20"/>
      <c r="F119" s="20"/>
      <c r="L119" s="2"/>
      <c r="R119" s="2"/>
      <c r="X119" s="2"/>
    </row>
    <row r="120" spans="1:24" x14ac:dyDescent="0.2">
      <c r="A120" s="387">
        <f t="shared" si="9"/>
        <v>114</v>
      </c>
      <c r="B120" s="373" t="str">
        <f t="shared" si="14"/>
        <v>Special Contract</v>
      </c>
      <c r="C120" s="23" t="s">
        <v>312</v>
      </c>
      <c r="D120" s="10">
        <v>1.3393E-2</v>
      </c>
      <c r="E120" s="10">
        <v>2.1478133989977447E-2</v>
      </c>
      <c r="F120" s="10">
        <f>+E120-D120</f>
        <v>8.0851339899774468E-3</v>
      </c>
      <c r="G120" s="9" t="s">
        <v>321</v>
      </c>
      <c r="H120" s="9" t="s">
        <v>321</v>
      </c>
      <c r="L120" s="2"/>
      <c r="R120" s="2"/>
      <c r="X120" s="2"/>
    </row>
    <row r="121" spans="1:24" x14ac:dyDescent="0.2">
      <c r="A121" s="387">
        <f t="shared" si="9"/>
        <v>115</v>
      </c>
      <c r="B121" s="373" t="str">
        <f t="shared" si="14"/>
        <v>Special Contract</v>
      </c>
      <c r="C121" s="23" t="s">
        <v>313</v>
      </c>
      <c r="D121" s="10">
        <v>9.9410000000000002E-3</v>
      </c>
      <c r="E121" s="10">
        <v>1.8852352939897565E-2</v>
      </c>
      <c r="F121" s="10">
        <f>+E121-D121</f>
        <v>8.9113529398975651E-3</v>
      </c>
      <c r="G121" s="9" t="s">
        <v>321</v>
      </c>
      <c r="H121" s="9" t="s">
        <v>321</v>
      </c>
      <c r="L121" s="2"/>
      <c r="R121" s="2"/>
      <c r="X121" s="2"/>
    </row>
    <row r="122" spans="1:24" x14ac:dyDescent="0.2">
      <c r="A122" s="387">
        <f t="shared" si="9"/>
        <v>116</v>
      </c>
      <c r="B122" s="373" t="str">
        <f t="shared" si="14"/>
        <v>Special Contract</v>
      </c>
      <c r="C122" s="23" t="s">
        <v>314</v>
      </c>
      <c r="D122" s="10">
        <v>1.4907E-2</v>
      </c>
      <c r="E122" s="10">
        <v>2.2626824000110658E-2</v>
      </c>
      <c r="F122" s="10">
        <f>+E122-D122</f>
        <v>7.7198240001106581E-3</v>
      </c>
      <c r="G122" s="9" t="s">
        <v>321</v>
      </c>
      <c r="H122" s="9" t="s">
        <v>321</v>
      </c>
      <c r="L122" s="2"/>
      <c r="R122" s="2"/>
      <c r="X122" s="2"/>
    </row>
    <row r="123" spans="1:24" x14ac:dyDescent="0.2">
      <c r="A123" s="387">
        <f t="shared" si="9"/>
        <v>117</v>
      </c>
      <c r="L123" s="2"/>
      <c r="R123" s="2"/>
      <c r="X123" s="2"/>
    </row>
    <row r="124" spans="1:24" x14ac:dyDescent="0.2">
      <c r="A124" s="387">
        <f t="shared" si="9"/>
        <v>118</v>
      </c>
      <c r="B124" s="387">
        <v>46</v>
      </c>
      <c r="C124" s="9" t="s">
        <v>235</v>
      </c>
      <c r="L124" s="2"/>
      <c r="R124" s="2"/>
      <c r="X124" s="2"/>
    </row>
    <row r="125" spans="1:24" x14ac:dyDescent="0.2">
      <c r="A125" s="387">
        <f t="shared" si="9"/>
        <v>119</v>
      </c>
      <c r="B125" s="387">
        <f t="shared" ref="B125:B130" si="15">+$B$124</f>
        <v>46</v>
      </c>
      <c r="C125" s="8" t="s">
        <v>222</v>
      </c>
      <c r="D125" s="10">
        <v>5.2347999999999999E-2</v>
      </c>
      <c r="E125" s="10">
        <f>+'Exhibit No.__(BDJ-HV RD)'!G16</f>
        <v>5.1758999999999999E-2</v>
      </c>
      <c r="F125" s="10">
        <f>+E125-D125</f>
        <v>-5.8899999999999925E-4</v>
      </c>
      <c r="G125" s="1" t="s">
        <v>327</v>
      </c>
      <c r="H125" s="2">
        <v>46</v>
      </c>
      <c r="J125" s="10">
        <f>ROUND(+'Exhibit No.__(BDJ-141C)'!L18,6)</f>
        <v>6.2799999999999998E-4</v>
      </c>
      <c r="K125" s="10" t="s">
        <v>404</v>
      </c>
      <c r="L125" s="9" t="s">
        <v>539</v>
      </c>
      <c r="N125" s="10">
        <f>+'Exhibit No.__(BDJ-MYRP)'!L128</f>
        <v>4.9059999999999998E-3</v>
      </c>
      <c r="O125" s="10">
        <f>+'Exhibit No.__(BDJ-MYRP)'!R128</f>
        <v>3.81E-3</v>
      </c>
      <c r="P125" s="10">
        <f>+'Exhibit No.__(BDJ-MYRP)'!X128</f>
        <v>1.6949999999999999E-3</v>
      </c>
      <c r="Q125" s="10" t="s">
        <v>404</v>
      </c>
      <c r="R125" s="9" t="s">
        <v>539</v>
      </c>
      <c r="S125" s="10"/>
      <c r="T125" s="10">
        <f>+'Exhibit No.__(BDJ-MYRP)'!M128</f>
        <v>2.0860000000000002E-3</v>
      </c>
      <c r="U125" s="10">
        <f>+'Exhibit No.__(BDJ-MYRP)'!S128</f>
        <v>4.5450000000000004E-3</v>
      </c>
      <c r="V125" s="10">
        <f>+'Exhibit No.__(BDJ-MYRP)'!Y128</f>
        <v>7.0470000000000003E-3</v>
      </c>
      <c r="W125" s="10" t="s">
        <v>404</v>
      </c>
      <c r="X125" s="9" t="s">
        <v>539</v>
      </c>
    </row>
    <row r="126" spans="1:24" x14ac:dyDescent="0.2">
      <c r="A126" s="387">
        <f t="shared" si="9"/>
        <v>120</v>
      </c>
      <c r="B126" s="387">
        <f t="shared" si="15"/>
        <v>46</v>
      </c>
      <c r="C126" s="12"/>
      <c r="K126" s="10"/>
      <c r="L126" s="2"/>
      <c r="N126" s="10"/>
      <c r="O126" s="10"/>
      <c r="P126" s="10"/>
      <c r="Q126" s="10"/>
      <c r="R126" s="2"/>
      <c r="T126" s="10"/>
      <c r="U126" s="10"/>
      <c r="V126" s="10"/>
      <c r="W126" s="10"/>
      <c r="X126" s="2"/>
    </row>
    <row r="127" spans="1:24" x14ac:dyDescent="0.2">
      <c r="A127" s="387">
        <f t="shared" si="9"/>
        <v>121</v>
      </c>
      <c r="B127" s="387">
        <f t="shared" si="15"/>
        <v>46</v>
      </c>
      <c r="C127" s="8" t="s">
        <v>236</v>
      </c>
      <c r="D127" s="19">
        <v>3.04</v>
      </c>
      <c r="E127" s="19">
        <f>+'Exhibit No.__(BDJ-HV RD)'!G20</f>
        <v>3.04</v>
      </c>
      <c r="F127" s="19">
        <f>+E127-D127</f>
        <v>0</v>
      </c>
      <c r="G127" s="1" t="s">
        <v>327</v>
      </c>
      <c r="H127" s="2">
        <v>46</v>
      </c>
      <c r="K127" s="10"/>
      <c r="L127" s="2"/>
      <c r="N127" s="10"/>
      <c r="O127" s="10"/>
      <c r="P127" s="10"/>
      <c r="Q127" s="10"/>
      <c r="R127" s="2"/>
      <c r="T127" s="10"/>
      <c r="U127" s="10"/>
      <c r="V127" s="10"/>
      <c r="W127" s="10"/>
      <c r="X127" s="2"/>
    </row>
    <row r="128" spans="1:24" x14ac:dyDescent="0.2">
      <c r="A128" s="387">
        <f t="shared" si="9"/>
        <v>122</v>
      </c>
      <c r="B128" s="387">
        <f t="shared" si="15"/>
        <v>46</v>
      </c>
      <c r="C128" s="8"/>
      <c r="D128" s="19"/>
      <c r="E128" s="19"/>
      <c r="F128" s="19"/>
      <c r="K128" s="10"/>
      <c r="L128" s="2"/>
      <c r="N128" s="10"/>
      <c r="O128" s="10"/>
      <c r="P128" s="10"/>
      <c r="Q128" s="10"/>
      <c r="R128" s="2"/>
      <c r="T128" s="10"/>
      <c r="U128" s="10"/>
      <c r="V128" s="10"/>
      <c r="W128" s="10"/>
      <c r="X128" s="2"/>
    </row>
    <row r="129" spans="1:24" x14ac:dyDescent="0.2">
      <c r="A129" s="387">
        <f t="shared" si="9"/>
        <v>123</v>
      </c>
      <c r="B129" s="387">
        <f t="shared" si="15"/>
        <v>46</v>
      </c>
      <c r="C129" s="16" t="s">
        <v>237</v>
      </c>
      <c r="D129" s="19">
        <v>36.479999999999997</v>
      </c>
      <c r="E129" s="19">
        <f>+'Exhibit No.__(BDJ-HV RD)'!G25</f>
        <v>36.479999999999997</v>
      </c>
      <c r="F129" s="19">
        <f>+E129-D129</f>
        <v>0</v>
      </c>
      <c r="G129" s="1" t="s">
        <v>327</v>
      </c>
      <c r="H129" s="2" t="s">
        <v>328</v>
      </c>
      <c r="K129" s="10"/>
      <c r="L129" s="2"/>
      <c r="N129" s="10"/>
      <c r="O129" s="10"/>
      <c r="P129" s="10"/>
      <c r="Q129" s="10"/>
      <c r="R129" s="2"/>
      <c r="T129" s="10"/>
      <c r="U129" s="10"/>
      <c r="V129" s="10"/>
      <c r="W129" s="10"/>
      <c r="X129" s="2"/>
    </row>
    <row r="130" spans="1:24" x14ac:dyDescent="0.2">
      <c r="A130" s="387">
        <f t="shared" si="9"/>
        <v>124</v>
      </c>
      <c r="B130" s="387">
        <f t="shared" si="15"/>
        <v>46</v>
      </c>
      <c r="C130" s="8" t="s">
        <v>238</v>
      </c>
      <c r="D130" s="10">
        <v>4.7113000000000002E-2</v>
      </c>
      <c r="E130" s="10">
        <f>+'Exhibit No.__(BDJ-HV RD)'!G24</f>
        <v>4.6582999999999999E-2</v>
      </c>
      <c r="F130" s="10">
        <f>+E130-D130</f>
        <v>-5.3000000000000269E-4</v>
      </c>
      <c r="G130" s="1" t="s">
        <v>327</v>
      </c>
      <c r="H130" s="2" t="s">
        <v>328</v>
      </c>
      <c r="K130" s="10"/>
      <c r="L130" s="2"/>
      <c r="N130" s="10"/>
      <c r="O130" s="10"/>
      <c r="P130" s="10"/>
      <c r="Q130" s="10"/>
      <c r="R130" s="2"/>
      <c r="T130" s="10"/>
      <c r="U130" s="10"/>
      <c r="V130" s="10"/>
      <c r="W130" s="10"/>
      <c r="X130" s="2"/>
    </row>
    <row r="131" spans="1:24" x14ac:dyDescent="0.2">
      <c r="A131" s="387">
        <f t="shared" si="9"/>
        <v>125</v>
      </c>
      <c r="K131" s="10"/>
      <c r="L131" s="2"/>
      <c r="N131" s="10"/>
      <c r="O131" s="10"/>
      <c r="P131" s="10"/>
      <c r="Q131" s="10"/>
      <c r="R131" s="2"/>
      <c r="T131" s="10"/>
      <c r="U131" s="10"/>
      <c r="V131" s="10"/>
      <c r="W131" s="10"/>
      <c r="X131" s="2"/>
    </row>
    <row r="132" spans="1:24" x14ac:dyDescent="0.2">
      <c r="A132" s="387">
        <f t="shared" si="9"/>
        <v>126</v>
      </c>
      <c r="B132" s="387">
        <v>49</v>
      </c>
      <c r="C132" s="2" t="s">
        <v>239</v>
      </c>
      <c r="L132" s="2"/>
      <c r="R132" s="2"/>
      <c r="X132" s="2"/>
    </row>
    <row r="133" spans="1:24" x14ac:dyDescent="0.2">
      <c r="A133" s="387">
        <f t="shared" si="9"/>
        <v>127</v>
      </c>
      <c r="B133" s="387">
        <f>+$B$132</f>
        <v>49</v>
      </c>
      <c r="C133" s="8" t="s">
        <v>222</v>
      </c>
      <c r="D133" s="10">
        <v>5.2347999999999999E-2</v>
      </c>
      <c r="E133" s="10">
        <f>+'Exhibit No.__(BDJ-HV RD)'!G31</f>
        <v>5.1758999999999999E-2</v>
      </c>
      <c r="F133" s="10">
        <f>+E133-D133</f>
        <v>-5.8899999999999925E-4</v>
      </c>
      <c r="G133" s="1" t="s">
        <v>325</v>
      </c>
      <c r="H133" s="2">
        <v>49</v>
      </c>
      <c r="J133" s="10">
        <f>ROUND(+'Exhibit No.__(BDJ-141C)'!L19,6)</f>
        <v>2.0600000000000002E-3</v>
      </c>
      <c r="K133" s="10" t="s">
        <v>404</v>
      </c>
      <c r="L133" s="9" t="s">
        <v>539</v>
      </c>
      <c r="N133" s="10">
        <f>+'Exhibit No.__(BDJ-MYRP)'!L136</f>
        <v>4.9059999999999998E-3</v>
      </c>
      <c r="O133" s="10">
        <f>+'Exhibit No.__(BDJ-MYRP)'!R136</f>
        <v>3.81E-3</v>
      </c>
      <c r="P133" s="10">
        <f>+'Exhibit No.__(BDJ-MYRP)'!X136</f>
        <v>1.6949999999999999E-3</v>
      </c>
      <c r="Q133" s="10" t="s">
        <v>404</v>
      </c>
      <c r="R133" s="9" t="s">
        <v>539</v>
      </c>
      <c r="S133" s="10"/>
      <c r="T133" s="10">
        <f>+'Exhibit No.__(BDJ-MYRP)'!M136</f>
        <v>2.0860000000000002E-3</v>
      </c>
      <c r="U133" s="10">
        <f>+'Exhibit No.__(BDJ-MYRP)'!S136</f>
        <v>4.5450000000000004E-3</v>
      </c>
      <c r="V133" s="10">
        <f>+'Exhibit No.__(BDJ-MYRP)'!Y136</f>
        <v>7.0470000000000003E-3</v>
      </c>
      <c r="W133" s="10" t="s">
        <v>404</v>
      </c>
      <c r="X133" s="9" t="s">
        <v>539</v>
      </c>
    </row>
    <row r="134" spans="1:24" x14ac:dyDescent="0.2">
      <c r="A134" s="387">
        <f t="shared" si="9"/>
        <v>128</v>
      </c>
      <c r="B134" s="387">
        <f>+$B$132</f>
        <v>49</v>
      </c>
      <c r="C134" s="12"/>
      <c r="N134" s="10"/>
      <c r="O134" s="10"/>
      <c r="P134" s="10"/>
      <c r="Q134" s="10"/>
      <c r="T134" s="10"/>
      <c r="U134" s="10"/>
      <c r="V134" s="10"/>
      <c r="W134" s="10"/>
    </row>
    <row r="135" spans="1:24" x14ac:dyDescent="0.2">
      <c r="A135" s="387">
        <f t="shared" si="9"/>
        <v>129</v>
      </c>
      <c r="B135" s="387">
        <f>+$B$132</f>
        <v>49</v>
      </c>
      <c r="C135" s="8" t="s">
        <v>240</v>
      </c>
      <c r="D135" s="19">
        <v>5.65</v>
      </c>
      <c r="E135" s="19">
        <f>+'Exhibit No.__(BDJ-HV RD)'!G35</f>
        <v>5.65</v>
      </c>
      <c r="F135" s="19">
        <f>+E135-D135</f>
        <v>0</v>
      </c>
      <c r="G135" s="1" t="s">
        <v>325</v>
      </c>
      <c r="H135" s="2">
        <v>49</v>
      </c>
      <c r="N135" s="10"/>
      <c r="O135" s="10"/>
      <c r="P135" s="10"/>
      <c r="Q135" s="10"/>
      <c r="T135" s="10"/>
      <c r="U135" s="10"/>
      <c r="V135" s="10"/>
      <c r="W135" s="10"/>
    </row>
    <row r="136" spans="1:24" x14ac:dyDescent="0.2">
      <c r="A136" s="387">
        <f t="shared" si="9"/>
        <v>130</v>
      </c>
      <c r="N136" s="10"/>
      <c r="O136" s="10"/>
      <c r="P136" s="10"/>
      <c r="Q136" s="10"/>
      <c r="T136" s="10"/>
      <c r="U136" s="10"/>
      <c r="V136" s="10"/>
      <c r="W136" s="10"/>
    </row>
    <row r="137" spans="1:24" x14ac:dyDescent="0.2">
      <c r="A137" s="387">
        <f t="shared" si="9"/>
        <v>131</v>
      </c>
      <c r="B137" s="387" t="s">
        <v>241</v>
      </c>
      <c r="C137" s="9" t="s">
        <v>242</v>
      </c>
      <c r="N137" s="10"/>
      <c r="O137" s="10"/>
      <c r="P137" s="10"/>
      <c r="Q137" s="10"/>
      <c r="T137" s="10"/>
      <c r="U137" s="10"/>
      <c r="V137" s="10"/>
      <c r="W137" s="10"/>
    </row>
    <row r="138" spans="1:24" x14ac:dyDescent="0.2">
      <c r="A138" s="387">
        <f t="shared" si="9"/>
        <v>132</v>
      </c>
      <c r="B138" s="387" t="str">
        <f>+$B$137</f>
        <v>448 / 458</v>
      </c>
      <c r="C138" s="16" t="s">
        <v>243</v>
      </c>
      <c r="D138" s="19">
        <v>2277</v>
      </c>
      <c r="E138" s="19">
        <f>+'Exhibit No.__(BDJ-TRANSP RD)'!G14</f>
        <v>2108</v>
      </c>
      <c r="F138" s="19">
        <f>+E138-D138</f>
        <v>-169</v>
      </c>
      <c r="G138" s="9" t="s">
        <v>583</v>
      </c>
      <c r="H138" s="9" t="s">
        <v>585</v>
      </c>
      <c r="J138" s="1" t="s">
        <v>491</v>
      </c>
      <c r="N138" s="19">
        <f>+'Exhibit No.__(BDJ-MYRP)'!L148</f>
        <v>691</v>
      </c>
      <c r="O138" s="19">
        <f>+'Exhibit No.__(BDJ-MYRP)'!R148</f>
        <v>532</v>
      </c>
      <c r="P138" s="19">
        <f>+'Exhibit No.__(BDJ-MYRP)'!X148</f>
        <v>232</v>
      </c>
      <c r="Q138" s="24" t="s">
        <v>403</v>
      </c>
      <c r="R138" s="9" t="s">
        <v>539</v>
      </c>
      <c r="S138" s="19"/>
      <c r="T138" s="19">
        <f>+'Exhibit No.__(BDJ-MYRP)'!M148</f>
        <v>294</v>
      </c>
      <c r="U138" s="19">
        <f>+'Exhibit No.__(BDJ-MYRP)'!S148</f>
        <v>634</v>
      </c>
      <c r="V138" s="19">
        <f>+'Exhibit No.__(BDJ-MYRP)'!Y148</f>
        <v>963</v>
      </c>
      <c r="W138" s="10" t="s">
        <v>403</v>
      </c>
      <c r="X138" s="9" t="s">
        <v>539</v>
      </c>
    </row>
    <row r="139" spans="1:24" x14ac:dyDescent="0.2">
      <c r="A139" s="387">
        <f t="shared" si="9"/>
        <v>133</v>
      </c>
      <c r="D139" s="19"/>
      <c r="E139" s="19"/>
      <c r="F139" s="19"/>
      <c r="N139" s="19"/>
      <c r="O139" s="19"/>
      <c r="P139" s="19"/>
      <c r="Q139" s="10"/>
      <c r="T139" s="19"/>
      <c r="U139" s="19"/>
      <c r="V139" s="19"/>
      <c r="W139" s="10"/>
    </row>
    <row r="140" spans="1:24" x14ac:dyDescent="0.2">
      <c r="A140" s="387">
        <f t="shared" ref="A140:A141" si="16">+A139+1</f>
        <v>134</v>
      </c>
      <c r="B140" s="11" t="s">
        <v>176</v>
      </c>
      <c r="C140" s="9" t="s">
        <v>244</v>
      </c>
      <c r="N140" s="19"/>
      <c r="O140" s="19"/>
      <c r="P140" s="19"/>
      <c r="Q140" s="10"/>
      <c r="T140" s="19"/>
      <c r="U140" s="19"/>
      <c r="V140" s="19"/>
      <c r="W140" s="10"/>
    </row>
    <row r="141" spans="1:24" x14ac:dyDescent="0.2">
      <c r="A141" s="387">
        <f t="shared" si="16"/>
        <v>135</v>
      </c>
      <c r="B141" s="387" t="str">
        <f>+$B$140</f>
        <v>449 / 459</v>
      </c>
      <c r="C141" s="16" t="s">
        <v>243</v>
      </c>
      <c r="D141" s="19">
        <v>2277</v>
      </c>
      <c r="E141" s="19">
        <f>+E138</f>
        <v>2108</v>
      </c>
      <c r="F141" s="19">
        <f>+E141-D141</f>
        <v>-169</v>
      </c>
      <c r="G141" s="9" t="s">
        <v>584</v>
      </c>
      <c r="H141" s="9" t="s">
        <v>586</v>
      </c>
      <c r="J141" s="1" t="s">
        <v>491</v>
      </c>
      <c r="N141" s="19">
        <f>+N138</f>
        <v>691</v>
      </c>
      <c r="O141" s="19">
        <f t="shared" ref="O141:P141" si="17">+O138</f>
        <v>532</v>
      </c>
      <c r="P141" s="19">
        <f t="shared" si="17"/>
        <v>232</v>
      </c>
      <c r="Q141" s="10" t="s">
        <v>403</v>
      </c>
      <c r="R141" s="9" t="s">
        <v>539</v>
      </c>
      <c r="T141" s="19">
        <f>+T138</f>
        <v>294</v>
      </c>
      <c r="U141" s="19">
        <f t="shared" ref="U141:V141" si="18">+U138</f>
        <v>634</v>
      </c>
      <c r="V141" s="19">
        <f t="shared" si="18"/>
        <v>963</v>
      </c>
      <c r="W141" s="10" t="s">
        <v>403</v>
      </c>
      <c r="X141" s="9" t="s">
        <v>539</v>
      </c>
    </row>
    <row r="142" spans="1:24" x14ac:dyDescent="0.2">
      <c r="N142" s="10"/>
      <c r="O142" s="10"/>
      <c r="P142" s="10"/>
      <c r="Q142" s="10"/>
      <c r="T142" s="10"/>
      <c r="U142" s="10"/>
      <c r="V142" s="10"/>
      <c r="W142" s="10"/>
    </row>
    <row r="144" spans="1:24" x14ac:dyDescent="0.2">
      <c r="N144" s="10"/>
      <c r="O144" s="10"/>
      <c r="P144" s="10"/>
      <c r="Q144" s="10"/>
      <c r="T144" s="10"/>
      <c r="U144" s="10"/>
      <c r="V144" s="10"/>
      <c r="W144" s="10"/>
    </row>
    <row r="145" spans="14:23" x14ac:dyDescent="0.2">
      <c r="N145" s="10"/>
      <c r="O145" s="10"/>
      <c r="P145" s="10"/>
      <c r="Q145" s="10"/>
      <c r="T145" s="10"/>
      <c r="U145" s="10"/>
      <c r="V145" s="10"/>
      <c r="W145" s="10"/>
    </row>
    <row r="146" spans="14:23" x14ac:dyDescent="0.2">
      <c r="N146" s="10"/>
      <c r="O146" s="10"/>
      <c r="P146" s="10"/>
      <c r="Q146" s="10"/>
      <c r="T146" s="10"/>
      <c r="U146" s="10"/>
      <c r="V146" s="10"/>
      <c r="W146" s="10"/>
    </row>
    <row r="147" spans="14:23" x14ac:dyDescent="0.2">
      <c r="N147" s="10"/>
      <c r="O147" s="10"/>
      <c r="P147" s="10"/>
      <c r="Q147" s="10"/>
      <c r="T147" s="10"/>
      <c r="U147" s="10"/>
      <c r="V147" s="10"/>
      <c r="W147" s="10"/>
    </row>
    <row r="148" spans="14:23" x14ac:dyDescent="0.2">
      <c r="N148" s="10"/>
      <c r="O148" s="10"/>
      <c r="P148" s="10"/>
      <c r="Q148" s="10"/>
      <c r="T148" s="10"/>
      <c r="U148" s="10"/>
      <c r="V148" s="10"/>
      <c r="W148" s="10"/>
    </row>
    <row r="149" spans="14:23" x14ac:dyDescent="0.2">
      <c r="N149" s="10"/>
      <c r="O149" s="10"/>
      <c r="P149" s="10"/>
      <c r="Q149" s="10"/>
      <c r="T149" s="10"/>
      <c r="U149" s="10"/>
      <c r="V149" s="10"/>
      <c r="W149" s="10"/>
    </row>
    <row r="151" spans="14:23" x14ac:dyDescent="0.2">
      <c r="N151" s="10"/>
      <c r="O151" s="10"/>
      <c r="P151" s="10"/>
      <c r="Q151" s="10"/>
      <c r="T151" s="10"/>
      <c r="U151" s="10"/>
      <c r="V151" s="10"/>
      <c r="W151" s="10"/>
    </row>
    <row r="152" spans="14:23" x14ac:dyDescent="0.2">
      <c r="N152" s="10"/>
      <c r="O152" s="10"/>
      <c r="P152" s="10"/>
      <c r="Q152" s="10"/>
      <c r="T152" s="10"/>
      <c r="U152" s="10"/>
      <c r="V152" s="10"/>
      <c r="W152" s="10"/>
    </row>
    <row r="153" spans="14:23" x14ac:dyDescent="0.2">
      <c r="N153" s="10"/>
      <c r="O153" s="10"/>
      <c r="P153" s="10"/>
      <c r="Q153" s="10"/>
      <c r="T153" s="10"/>
      <c r="U153" s="10"/>
      <c r="V153" s="10"/>
      <c r="W153" s="10"/>
    </row>
    <row r="154" spans="14:23" x14ac:dyDescent="0.2">
      <c r="N154" s="10"/>
      <c r="O154" s="10"/>
      <c r="P154" s="10"/>
      <c r="Q154" s="10"/>
      <c r="T154" s="10"/>
      <c r="U154" s="10"/>
      <c r="V154" s="10"/>
      <c r="W154" s="10"/>
    </row>
    <row r="155" spans="14:23" x14ac:dyDescent="0.2">
      <c r="N155" s="10"/>
      <c r="O155" s="10"/>
      <c r="P155" s="10"/>
      <c r="Q155" s="10"/>
      <c r="T155" s="10"/>
      <c r="U155" s="10"/>
      <c r="V155" s="10"/>
      <c r="W155" s="10"/>
    </row>
    <row r="156" spans="14:23" x14ac:dyDescent="0.2">
      <c r="N156" s="10"/>
      <c r="O156" s="10"/>
      <c r="P156" s="10"/>
      <c r="Q156" s="10"/>
      <c r="T156" s="10"/>
      <c r="U156" s="10"/>
      <c r="V156" s="10"/>
      <c r="W156" s="10"/>
    </row>
    <row r="157" spans="14:23" x14ac:dyDescent="0.2">
      <c r="N157" s="10"/>
      <c r="O157" s="10"/>
      <c r="P157" s="10"/>
      <c r="Q157" s="10"/>
      <c r="T157" s="10"/>
      <c r="U157" s="10"/>
      <c r="V157" s="10"/>
      <c r="W157" s="10"/>
    </row>
    <row r="158" spans="14:23" x14ac:dyDescent="0.2">
      <c r="N158" s="10"/>
      <c r="O158" s="10"/>
      <c r="P158" s="10"/>
      <c r="Q158" s="10"/>
      <c r="T158" s="10"/>
      <c r="U158" s="10"/>
      <c r="V158" s="10"/>
      <c r="W158" s="10"/>
    </row>
  </sheetData>
  <sortState ref="D139:D150">
    <sortCondition ref="D139"/>
  </sortState>
  <mergeCells count="5">
    <mergeCell ref="A1:E1"/>
    <mergeCell ref="A2:E2"/>
    <mergeCell ref="N4:R4"/>
    <mergeCell ref="T4:X4"/>
    <mergeCell ref="J4:L4"/>
  </mergeCells>
  <printOptions horizontalCentered="1"/>
  <pageMargins left="0.7" right="0.7" top="0.75" bottom="0.75" header="0.3" footer="0.3"/>
  <pageSetup scale="52" fitToHeight="0" orientation="landscape" r:id="rId1"/>
  <headerFooter alignWithMargins="0">
    <oddFooter xml:space="preserve">&amp;L&amp;A&amp;R
</oddFooter>
  </headerFooter>
  <rowBreaks count="2" manualBreakCount="2">
    <brk id="57" max="23" man="1"/>
    <brk id="107" max="23" man="1"/>
  </rowBreaks>
  <colBreaks count="1" manualBreakCount="1">
    <brk id="9" max="1048575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/>
  <dimension ref="A1:Y92"/>
  <sheetViews>
    <sheetView zoomScale="90" zoomScaleNormal="90" zoomScaleSheetLayoutView="80" workbookViewId="0">
      <pane xSplit="6" ySplit="10" topLeftCell="G74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10.25" defaultRowHeight="15.75" x14ac:dyDescent="0.25"/>
  <cols>
    <col min="1" max="1" width="31.5" style="68" bestFit="1" customWidth="1"/>
    <col min="2" max="2" width="1.375" style="68" bestFit="1" customWidth="1"/>
    <col min="3" max="3" width="13.125" style="68" bestFit="1" customWidth="1"/>
    <col min="4" max="4" width="10.625" style="68" bestFit="1" customWidth="1"/>
    <col min="5" max="5" width="2" style="68" bestFit="1" customWidth="1"/>
    <col min="6" max="6" width="15" style="68" customWidth="1"/>
    <col min="7" max="7" width="10.625" style="68" bestFit="1" customWidth="1"/>
    <col min="8" max="8" width="3.375" style="68" customWidth="1"/>
    <col min="9" max="9" width="13.75" style="68" customWidth="1"/>
    <col min="10" max="10" width="1.625" style="68" customWidth="1"/>
    <col min="11" max="11" width="39.375" style="68" bestFit="1" customWidth="1"/>
    <col min="12" max="12" width="13.25" style="68" bestFit="1" customWidth="1"/>
    <col min="13" max="13" width="15.75" style="68" bestFit="1" customWidth="1"/>
    <col min="14" max="14" width="12.125" style="68" bestFit="1" customWidth="1"/>
    <col min="15" max="15" width="5.5" style="68" bestFit="1" customWidth="1"/>
    <col min="16" max="16" width="1.375" style="68" bestFit="1" customWidth="1"/>
    <col min="17" max="17" width="10.25" style="68" customWidth="1"/>
    <col min="18" max="18" width="12.125" style="68" customWidth="1"/>
    <col min="19" max="16384" width="10.25" style="68"/>
  </cols>
  <sheetData>
    <row r="1" spans="1:25" ht="18.75" x14ac:dyDescent="0.3">
      <c r="A1" s="461" t="s">
        <v>43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5" ht="18.75" x14ac:dyDescent="0.3">
      <c r="A2" s="461" t="s">
        <v>20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spans="1:25" ht="18.75" x14ac:dyDescent="0.3">
      <c r="A3" s="461" t="str">
        <f>'Exhibit No.__(BDJ-Prof-Prop)'!$A$6</f>
        <v>12 MONTHS ENDED JUNE 2021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</row>
    <row r="4" spans="1:25" ht="18.75" x14ac:dyDescent="0.3">
      <c r="A4" s="461" t="s">
        <v>21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</row>
    <row r="5" spans="1:25" ht="18.75" x14ac:dyDescent="0.3">
      <c r="A5" s="461" t="s">
        <v>110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</row>
    <row r="6" spans="1:25" x14ac:dyDescent="0.25">
      <c r="A6" s="182"/>
      <c r="B6" s="183"/>
      <c r="C6" s="183"/>
      <c r="D6" s="184"/>
      <c r="E6" s="184"/>
      <c r="F6" s="183"/>
      <c r="G6" s="184"/>
      <c r="H6" s="183"/>
      <c r="I6" s="183"/>
      <c r="J6" s="183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</row>
    <row r="7" spans="1:25" x14ac:dyDescent="0.25">
      <c r="A7" s="183"/>
      <c r="B7" s="183"/>
      <c r="C7" s="183"/>
      <c r="D7" s="184"/>
      <c r="E7" s="184"/>
      <c r="F7" s="183"/>
      <c r="G7" s="184"/>
      <c r="H7" s="183"/>
      <c r="I7" s="183"/>
      <c r="J7" s="183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</row>
    <row r="8" spans="1:25" x14ac:dyDescent="0.25">
      <c r="A8" s="185"/>
      <c r="B8" s="185"/>
      <c r="C8" s="186"/>
      <c r="D8" s="185"/>
      <c r="E8" s="185"/>
      <c r="G8" s="185"/>
      <c r="H8" s="187"/>
      <c r="I8" s="187"/>
      <c r="J8" s="187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</row>
    <row r="9" spans="1:25" x14ac:dyDescent="0.25">
      <c r="A9" s="185"/>
      <c r="B9" s="185"/>
      <c r="C9" s="186" t="s">
        <v>22</v>
      </c>
      <c r="D9" s="473" t="s">
        <v>3</v>
      </c>
      <c r="E9" s="474"/>
      <c r="F9" s="475"/>
      <c r="G9" s="476" t="str">
        <f>'Exhibit No.__(BDJ-Res RD)'!$G$8</f>
        <v>Proposed Effective 
January 2023</v>
      </c>
      <c r="H9" s="474"/>
      <c r="I9" s="475"/>
      <c r="J9" s="187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</row>
    <row r="10" spans="1:25" x14ac:dyDescent="0.25">
      <c r="A10" s="185"/>
      <c r="B10" s="185"/>
      <c r="C10" s="188" t="s">
        <v>23</v>
      </c>
      <c r="D10" s="189" t="s">
        <v>24</v>
      </c>
      <c r="E10" s="401"/>
      <c r="F10" s="187" t="s">
        <v>25</v>
      </c>
      <c r="G10" s="189" t="s">
        <v>24</v>
      </c>
      <c r="H10" s="189"/>
      <c r="I10" s="189" t="s">
        <v>25</v>
      </c>
      <c r="J10" s="189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</row>
    <row r="11" spans="1:25" x14ac:dyDescent="0.25">
      <c r="C11" s="103"/>
      <c r="D11" s="191" t="s">
        <v>0</v>
      </c>
      <c r="E11" s="103"/>
      <c r="F11" s="203"/>
      <c r="G11" s="191" t="s">
        <v>0</v>
      </c>
      <c r="H11" s="103"/>
      <c r="I11" s="203" t="s">
        <v>0</v>
      </c>
      <c r="J11" s="203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Y11" s="210"/>
    </row>
    <row r="12" spans="1:25" x14ac:dyDescent="0.25">
      <c r="A12" s="332" t="s">
        <v>109</v>
      </c>
      <c r="B12" s="191"/>
      <c r="C12" s="103"/>
      <c r="D12" s="203"/>
      <c r="E12" s="191"/>
      <c r="F12" s="191"/>
      <c r="G12" s="203"/>
      <c r="H12" s="191"/>
      <c r="I12" s="203" t="s">
        <v>0</v>
      </c>
      <c r="J12" s="203"/>
      <c r="L12" s="86"/>
      <c r="M12" s="86"/>
      <c r="N12" s="86"/>
      <c r="O12" s="86"/>
      <c r="P12" s="86"/>
      <c r="Q12" s="86"/>
      <c r="R12" s="86"/>
    </row>
    <row r="13" spans="1:25" x14ac:dyDescent="0.25">
      <c r="A13" s="190" t="s">
        <v>111</v>
      </c>
      <c r="B13" s="191"/>
      <c r="C13" s="191" t="s">
        <v>0</v>
      </c>
      <c r="D13" s="203"/>
      <c r="E13" s="191"/>
      <c r="F13" s="191"/>
      <c r="G13" s="203"/>
      <c r="H13" s="191"/>
      <c r="I13" s="191"/>
      <c r="J13" s="191"/>
      <c r="L13" s="86"/>
      <c r="M13" s="86"/>
      <c r="N13" s="86"/>
      <c r="O13" s="86"/>
      <c r="P13" s="86"/>
      <c r="Q13" s="86"/>
      <c r="R13" s="86"/>
    </row>
    <row r="14" spans="1:25" x14ac:dyDescent="0.25">
      <c r="A14" s="191"/>
      <c r="B14" s="191"/>
      <c r="C14" s="191"/>
      <c r="D14" s="203"/>
      <c r="E14" s="191"/>
      <c r="F14" s="191"/>
      <c r="G14" s="203"/>
      <c r="H14" s="191"/>
      <c r="I14" s="191"/>
      <c r="J14" s="191"/>
      <c r="K14" s="86"/>
      <c r="L14" s="86"/>
      <c r="M14" s="86"/>
      <c r="N14" s="86"/>
      <c r="O14" s="86"/>
      <c r="P14" s="86"/>
      <c r="Q14" s="86"/>
      <c r="R14" s="86"/>
    </row>
    <row r="15" spans="1:25" x14ac:dyDescent="0.25">
      <c r="A15" s="191" t="s">
        <v>33</v>
      </c>
      <c r="B15" s="191"/>
      <c r="C15" s="103">
        <v>5887</v>
      </c>
      <c r="D15" s="135">
        <f>'Exhibit No.__(BDJ-Tariff)'!D74</f>
        <v>358.11</v>
      </c>
      <c r="E15" s="191"/>
      <c r="F15" s="203">
        <f>ROUND(D15*$C15,0)</f>
        <v>2108194</v>
      </c>
      <c r="G15" s="135">
        <f>D15</f>
        <v>358.11</v>
      </c>
      <c r="H15" s="191"/>
      <c r="I15" s="203">
        <f>ROUND(G15*$C15,0)</f>
        <v>2108194</v>
      </c>
      <c r="J15" s="203"/>
      <c r="K15" s="196" t="s">
        <v>552</v>
      </c>
      <c r="L15" s="86"/>
      <c r="M15" s="196"/>
      <c r="N15" s="348"/>
      <c r="O15" s="86"/>
      <c r="P15" s="86"/>
      <c r="Q15" s="86"/>
      <c r="R15" s="86"/>
    </row>
    <row r="16" spans="1:25" x14ac:dyDescent="0.25">
      <c r="A16" s="191" t="s">
        <v>36</v>
      </c>
      <c r="B16" s="191"/>
      <c r="C16" s="103"/>
      <c r="D16" s="250"/>
      <c r="E16" s="203"/>
      <c r="F16" s="203"/>
      <c r="G16" s="250"/>
      <c r="H16" s="203"/>
      <c r="I16" s="203"/>
      <c r="J16" s="203"/>
      <c r="K16" s="86"/>
      <c r="L16" s="86"/>
      <c r="N16" s="348"/>
      <c r="O16" s="86"/>
      <c r="P16" s="86"/>
      <c r="Q16" s="86"/>
      <c r="R16" s="86"/>
    </row>
    <row r="17" spans="1:18" x14ac:dyDescent="0.25">
      <c r="A17" s="200" t="s">
        <v>41</v>
      </c>
      <c r="B17" s="191"/>
      <c r="C17" s="103">
        <v>1277015421</v>
      </c>
      <c r="D17" s="251">
        <f>'Exhibit No.__(BDJ-Tariff)'!D76</f>
        <v>5.7328999999999998E-2</v>
      </c>
      <c r="E17" s="203"/>
      <c r="F17" s="203">
        <f t="shared" ref="F17" si="0">ROUND($C17*D17,0)</f>
        <v>73210017</v>
      </c>
      <c r="G17" s="251">
        <f>ROUND(D17*(1+$I$36),6)+I39</f>
        <v>5.6835999999999998E-2</v>
      </c>
      <c r="H17" s="203"/>
      <c r="I17" s="203">
        <f t="shared" ref="I17" si="1">ROUND($C17*G17,0)</f>
        <v>72580448</v>
      </c>
      <c r="J17" s="203"/>
      <c r="K17" s="196" t="s">
        <v>557</v>
      </c>
      <c r="L17" s="103"/>
      <c r="M17" s="86"/>
      <c r="N17" s="86"/>
      <c r="O17" s="86"/>
      <c r="P17" s="86"/>
      <c r="Q17" s="86"/>
      <c r="R17" s="86"/>
    </row>
    <row r="18" spans="1:18" x14ac:dyDescent="0.25">
      <c r="A18" s="197" t="s">
        <v>26</v>
      </c>
      <c r="B18" s="191"/>
      <c r="C18" s="107">
        <f>SUM(C17:C17)</f>
        <v>1277015421</v>
      </c>
      <c r="D18" s="233"/>
      <c r="E18" s="191"/>
      <c r="F18" s="252">
        <f>SUM(F17:F17)</f>
        <v>73210017</v>
      </c>
      <c r="G18" s="233"/>
      <c r="H18" s="191"/>
      <c r="I18" s="252">
        <f>SUM(I17:I17)</f>
        <v>72580448</v>
      </c>
      <c r="J18" s="203"/>
      <c r="K18" s="86"/>
      <c r="L18" s="103"/>
      <c r="M18" s="86"/>
      <c r="N18" s="86"/>
      <c r="O18" s="86"/>
      <c r="P18" s="86"/>
      <c r="Q18" s="86"/>
      <c r="R18" s="86"/>
    </row>
    <row r="19" spans="1:18" x14ac:dyDescent="0.25">
      <c r="A19" s="200" t="s">
        <v>69</v>
      </c>
      <c r="B19" s="191"/>
      <c r="C19" s="103">
        <v>-2157309.8245658646</v>
      </c>
      <c r="D19" s="251">
        <f>D17</f>
        <v>5.7328999999999998E-2</v>
      </c>
      <c r="E19" s="191"/>
      <c r="F19" s="203">
        <f t="shared" ref="F19" si="2">ROUND($C19*D19,0)</f>
        <v>-123676</v>
      </c>
      <c r="G19" s="251">
        <f>G17</f>
        <v>5.6835999999999998E-2</v>
      </c>
      <c r="H19" s="191"/>
      <c r="I19" s="203">
        <f t="shared" ref="I19" si="3">ROUND($C19*G19,0)</f>
        <v>-122613</v>
      </c>
      <c r="J19" s="203"/>
      <c r="K19" s="278"/>
      <c r="L19" s="103"/>
      <c r="M19" s="86"/>
      <c r="N19" s="86"/>
      <c r="O19" s="86"/>
      <c r="P19" s="86"/>
      <c r="Q19" s="86"/>
      <c r="R19" s="86"/>
    </row>
    <row r="20" spans="1:18" x14ac:dyDescent="0.25">
      <c r="A20" s="134" t="s">
        <v>71</v>
      </c>
      <c r="B20" s="191"/>
      <c r="C20" s="103">
        <v>32911948</v>
      </c>
      <c r="D20" s="251">
        <f>ROUND(F20/C20,6)</f>
        <v>8.6577000000000001E-2</v>
      </c>
      <c r="E20" s="191"/>
      <c r="F20" s="103">
        <v>2849425</v>
      </c>
      <c r="G20" s="251">
        <f>ROUND(D20*(1+$I$36),6)+I42</f>
        <v>8.5833000000000007E-2</v>
      </c>
      <c r="H20" s="191"/>
      <c r="I20" s="203">
        <f>ROUND($C20*G20,0)+472</f>
        <v>2825403</v>
      </c>
      <c r="J20" s="208"/>
      <c r="K20" s="395" t="s">
        <v>573</v>
      </c>
      <c r="L20" s="207"/>
    </row>
    <row r="21" spans="1:18" x14ac:dyDescent="0.25">
      <c r="A21" s="197" t="s">
        <v>26</v>
      </c>
      <c r="B21" s="191"/>
      <c r="C21" s="107">
        <f>SUM(C18:C20)</f>
        <v>1307770059.1754341</v>
      </c>
      <c r="D21" s="191"/>
      <c r="E21" s="191"/>
      <c r="F21" s="252">
        <f>SUM(F18:F20)</f>
        <v>75935766</v>
      </c>
      <c r="G21" s="191"/>
      <c r="H21" s="191"/>
      <c r="I21" s="252">
        <f>SUM(I18:I20)</f>
        <v>75283238</v>
      </c>
      <c r="J21" s="208"/>
      <c r="K21" s="278"/>
      <c r="L21" s="207"/>
    </row>
    <row r="22" spans="1:18" x14ac:dyDescent="0.25">
      <c r="A22" s="191" t="s">
        <v>35</v>
      </c>
      <c r="B22" s="191"/>
      <c r="C22" s="103"/>
      <c r="D22" s="137"/>
      <c r="E22" s="191"/>
      <c r="F22" s="203"/>
      <c r="G22" s="137"/>
      <c r="H22" s="191"/>
      <c r="I22" s="203"/>
      <c r="J22" s="203"/>
      <c r="K22" s="278"/>
    </row>
    <row r="23" spans="1:18" x14ac:dyDescent="0.25">
      <c r="A23" s="200" t="s">
        <v>90</v>
      </c>
      <c r="B23" s="191"/>
      <c r="C23" s="103">
        <v>1632894</v>
      </c>
      <c r="D23" s="135">
        <f>'Exhibit No.__(BDJ-Tariff)'!D78</f>
        <v>11.94</v>
      </c>
      <c r="E23" s="191"/>
      <c r="F23" s="203">
        <f>ROUND(D23*$C23,0)</f>
        <v>19496754</v>
      </c>
      <c r="G23" s="135">
        <f t="shared" ref="G23:G24" si="4">D23</f>
        <v>11.94</v>
      </c>
      <c r="H23" s="191"/>
      <c r="I23" s="203">
        <f>ROUND(G23*$C23,0)</f>
        <v>19496754</v>
      </c>
      <c r="J23" s="203"/>
      <c r="K23" s="196" t="s">
        <v>552</v>
      </c>
    </row>
    <row r="24" spans="1:18" x14ac:dyDescent="0.25">
      <c r="A24" s="200" t="s">
        <v>91</v>
      </c>
      <c r="B24" s="191"/>
      <c r="C24" s="103">
        <v>1574545</v>
      </c>
      <c r="D24" s="135">
        <f>'Exhibit No.__(BDJ-Tariff)'!D81</f>
        <v>7.96</v>
      </c>
      <c r="E24" s="191"/>
      <c r="F24" s="203">
        <f>ROUND(D24*$C24,0)</f>
        <v>12533378</v>
      </c>
      <c r="G24" s="135">
        <f t="shared" si="4"/>
        <v>7.96</v>
      </c>
      <c r="H24" s="191"/>
      <c r="I24" s="203">
        <f>ROUND(G24*$C24,0)</f>
        <v>12533378</v>
      </c>
      <c r="J24" s="203"/>
      <c r="K24" s="196" t="s">
        <v>552</v>
      </c>
    </row>
    <row r="25" spans="1:18" x14ac:dyDescent="0.25">
      <c r="A25" s="197" t="s">
        <v>26</v>
      </c>
      <c r="B25" s="191"/>
      <c r="C25" s="107">
        <f>SUM(C23:C24)</f>
        <v>3207439</v>
      </c>
      <c r="D25" s="137"/>
      <c r="E25" s="191"/>
      <c r="F25" s="252">
        <f>SUM(F23:F24)</f>
        <v>32030132</v>
      </c>
      <c r="G25" s="137"/>
      <c r="H25" s="191"/>
      <c r="I25" s="252">
        <f>SUM(I23:I24)</f>
        <v>32030132</v>
      </c>
      <c r="J25" s="203"/>
      <c r="K25" s="278"/>
      <c r="M25" s="395"/>
      <c r="N25" s="372"/>
    </row>
    <row r="26" spans="1:18" x14ac:dyDescent="0.25">
      <c r="A26" s="191"/>
      <c r="B26" s="191"/>
      <c r="C26" s="207"/>
      <c r="D26" s="207"/>
      <c r="E26" s="191"/>
      <c r="F26" s="208"/>
      <c r="G26" s="207"/>
      <c r="H26" s="191"/>
      <c r="I26" s="208"/>
      <c r="J26" s="208"/>
      <c r="K26" s="278"/>
    </row>
    <row r="27" spans="1:18" x14ac:dyDescent="0.25">
      <c r="A27" s="191" t="s">
        <v>86</v>
      </c>
      <c r="B27" s="191"/>
      <c r="C27" s="103">
        <v>641723833</v>
      </c>
      <c r="D27" s="257">
        <f>'Exhibit No.__(BDJ-Tariff)'!D85</f>
        <v>1.1199999999999999E-3</v>
      </c>
      <c r="E27" s="191"/>
      <c r="F27" s="203">
        <f>ROUND(D27*$C27,0)</f>
        <v>718731</v>
      </c>
      <c r="G27" s="257">
        <f>D27</f>
        <v>1.1199999999999999E-3</v>
      </c>
      <c r="H27" s="191"/>
      <c r="I27" s="203">
        <f>ROUND(G27*$C27,0)</f>
        <v>718731</v>
      </c>
      <c r="J27" s="208"/>
      <c r="K27" s="196" t="s">
        <v>552</v>
      </c>
    </row>
    <row r="28" spans="1:18" x14ac:dyDescent="0.25">
      <c r="A28" s="191"/>
      <c r="B28" s="191"/>
      <c r="C28" s="207"/>
      <c r="D28" s="207"/>
      <c r="E28" s="191"/>
      <c r="F28" s="208"/>
      <c r="G28" s="207"/>
      <c r="H28" s="191"/>
      <c r="I28" s="208"/>
      <c r="J28" s="208"/>
      <c r="K28" s="237"/>
    </row>
    <row r="29" spans="1:18" ht="16.5" thickBot="1" x14ac:dyDescent="0.3">
      <c r="A29" s="191" t="s">
        <v>30</v>
      </c>
      <c r="B29" s="191"/>
      <c r="C29" s="207"/>
      <c r="D29" s="207"/>
      <c r="E29" s="191"/>
      <c r="F29" s="236">
        <f>SUM(F15,F21,F25,F27)</f>
        <v>110792823</v>
      </c>
      <c r="G29" s="207"/>
      <c r="H29" s="191"/>
      <c r="I29" s="236">
        <f>SUM(I15,I21,I25,I27)</f>
        <v>110140295</v>
      </c>
      <c r="J29" s="208"/>
      <c r="K29" s="237"/>
    </row>
    <row r="30" spans="1:18" ht="16.5" thickTop="1" x14ac:dyDescent="0.25">
      <c r="A30" s="191"/>
      <c r="B30" s="259"/>
      <c r="C30" s="207"/>
      <c r="D30" s="207"/>
      <c r="E30" s="191"/>
      <c r="F30" s="203"/>
      <c r="G30" s="207"/>
      <c r="H30" s="191"/>
      <c r="I30" s="203"/>
      <c r="J30" s="203"/>
      <c r="K30" s="237"/>
    </row>
    <row r="31" spans="1:18" x14ac:dyDescent="0.25">
      <c r="A31" s="275" t="s">
        <v>284</v>
      </c>
      <c r="C31" s="277"/>
      <c r="D31" s="255">
        <f>ROUND(SUM(F25)/SUM($C$25),2)</f>
        <v>9.99</v>
      </c>
      <c r="G31" s="255">
        <f>ROUND(SUM(I25)/SUM($C$25),2)</f>
        <v>9.99</v>
      </c>
    </row>
    <row r="32" spans="1:18" x14ac:dyDescent="0.25">
      <c r="B32" s="191"/>
      <c r="C32" s="103"/>
      <c r="D32" s="203"/>
      <c r="E32" s="191"/>
      <c r="F32" s="191"/>
      <c r="G32" s="203"/>
      <c r="H32" s="191"/>
      <c r="I32" s="203" t="s">
        <v>0</v>
      </c>
      <c r="J32" s="203"/>
    </row>
    <row r="33" spans="1:11" x14ac:dyDescent="0.25">
      <c r="A33" s="260" t="s">
        <v>278</v>
      </c>
      <c r="B33" s="279"/>
      <c r="C33" s="279"/>
      <c r="D33" s="279"/>
      <c r="E33" s="279"/>
      <c r="F33" s="279"/>
      <c r="G33" s="279"/>
      <c r="H33" s="279"/>
      <c r="I33" s="265">
        <f>'Exhibit No.__(BDJ-Rate Spread)'!K17*1000</f>
        <v>110140294.64161891</v>
      </c>
    </row>
    <row r="34" spans="1:11" x14ac:dyDescent="0.25">
      <c r="A34" s="266" t="s">
        <v>29</v>
      </c>
      <c r="B34" s="86"/>
      <c r="C34" s="86"/>
      <c r="D34" s="86"/>
      <c r="E34" s="86"/>
      <c r="F34" s="86"/>
      <c r="G34" s="86"/>
      <c r="H34" s="86"/>
      <c r="I34" s="268">
        <f>I33-F29</f>
        <v>-652528.35838109255</v>
      </c>
      <c r="K34" s="239"/>
    </row>
    <row r="35" spans="1:11" x14ac:dyDescent="0.25">
      <c r="A35" s="266" t="s">
        <v>507</v>
      </c>
      <c r="B35" s="86"/>
      <c r="C35" s="86"/>
      <c r="D35" s="86"/>
      <c r="E35" s="86"/>
      <c r="F35" s="86"/>
      <c r="G35" s="86"/>
      <c r="H35" s="86"/>
      <c r="I35" s="364">
        <f>I33/SUM(F29)-1</f>
        <v>-5.8896266085853854E-3</v>
      </c>
      <c r="K35" s="239"/>
    </row>
    <row r="36" spans="1:11" x14ac:dyDescent="0.25">
      <c r="A36" s="266" t="s">
        <v>564</v>
      </c>
      <c r="B36" s="86"/>
      <c r="C36" s="86"/>
      <c r="D36" s="86"/>
      <c r="E36" s="86"/>
      <c r="F36" s="86"/>
      <c r="G36" s="86"/>
      <c r="H36" s="86"/>
      <c r="I36" s="364">
        <f>I34/F21</f>
        <v>-8.5931622574412763E-3</v>
      </c>
      <c r="K36" s="239"/>
    </row>
    <row r="37" spans="1:11" x14ac:dyDescent="0.25">
      <c r="A37" s="266"/>
      <c r="B37" s="86"/>
      <c r="C37" s="86"/>
      <c r="D37" s="86"/>
      <c r="E37" s="86"/>
      <c r="F37" s="86"/>
      <c r="G37" s="86"/>
      <c r="H37" s="86"/>
      <c r="I37" s="268">
        <f>I29-F29-I34</f>
        <v>0.35838109254837036</v>
      </c>
      <c r="K37" s="239"/>
    </row>
    <row r="38" spans="1:11" x14ac:dyDescent="0.25">
      <c r="A38" s="266" t="str">
        <f>A39</f>
        <v>Energy $ / kWh Adj</v>
      </c>
      <c r="B38" s="86"/>
      <c r="C38" s="86"/>
      <c r="D38" s="86"/>
      <c r="E38" s="86"/>
      <c r="F38" s="86"/>
      <c r="G38" s="86"/>
      <c r="H38" s="86"/>
      <c r="I38" s="408">
        <f>I37/C17</f>
        <v>2.8063959655845876E-10</v>
      </c>
      <c r="K38" s="239"/>
    </row>
    <row r="39" spans="1:11" x14ac:dyDescent="0.25">
      <c r="A39" s="301" t="s">
        <v>346</v>
      </c>
      <c r="B39" s="283"/>
      <c r="C39" s="283"/>
      <c r="D39" s="283"/>
      <c r="E39" s="283"/>
      <c r="F39" s="283"/>
      <c r="G39" s="283"/>
      <c r="H39" s="283"/>
      <c r="I39" s="286">
        <f>'Exhibit No.__(BDJ-SV RD)'!M5</f>
        <v>0</v>
      </c>
      <c r="K39" s="239"/>
    </row>
    <row r="40" spans="1:11" x14ac:dyDescent="0.25">
      <c r="K40" s="239"/>
    </row>
    <row r="41" spans="1:11" x14ac:dyDescent="0.25">
      <c r="A41" s="332" t="s">
        <v>112</v>
      </c>
      <c r="B41" s="191"/>
      <c r="C41" s="103"/>
      <c r="D41" s="203"/>
      <c r="E41" s="191"/>
      <c r="F41" s="191"/>
      <c r="G41" s="203"/>
      <c r="H41" s="191"/>
      <c r="I41" s="203" t="s">
        <v>0</v>
      </c>
      <c r="J41" s="203"/>
    </row>
    <row r="42" spans="1:11" x14ac:dyDescent="0.25">
      <c r="A42" s="190" t="s">
        <v>111</v>
      </c>
      <c r="B42" s="191"/>
      <c r="C42" s="191" t="s">
        <v>0</v>
      </c>
      <c r="D42" s="203"/>
      <c r="E42" s="191"/>
      <c r="F42" s="191"/>
      <c r="G42" s="203"/>
      <c r="H42" s="191"/>
      <c r="I42" s="191"/>
      <c r="J42" s="191"/>
    </row>
    <row r="43" spans="1:11" x14ac:dyDescent="0.25">
      <c r="A43" s="191"/>
      <c r="B43" s="191"/>
      <c r="C43" s="191"/>
      <c r="D43" s="203"/>
      <c r="E43" s="191"/>
      <c r="F43" s="191"/>
      <c r="G43" s="203"/>
      <c r="H43" s="191"/>
      <c r="I43" s="191"/>
      <c r="J43" s="191"/>
      <c r="K43" s="86"/>
    </row>
    <row r="44" spans="1:11" x14ac:dyDescent="0.25">
      <c r="A44" s="191" t="s">
        <v>33</v>
      </c>
      <c r="B44" s="191"/>
      <c r="C44" s="103">
        <v>24</v>
      </c>
      <c r="D44" s="135">
        <f>'Exhibit No.__(BDJ-Tariff)'!D88</f>
        <v>358.11</v>
      </c>
      <c r="E44" s="191"/>
      <c r="F44" s="203">
        <f>ROUND(D44*$C44,0)</f>
        <v>8595</v>
      </c>
      <c r="G44" s="135">
        <f>D44</f>
        <v>358.11</v>
      </c>
      <c r="H44" s="191"/>
      <c r="I44" s="203">
        <f>ROUND(G44*$C44,0)</f>
        <v>8595</v>
      </c>
      <c r="J44" s="203"/>
      <c r="K44" s="394" t="s">
        <v>552</v>
      </c>
    </row>
    <row r="45" spans="1:11" x14ac:dyDescent="0.25">
      <c r="A45" s="191" t="s">
        <v>36</v>
      </c>
      <c r="B45" s="191"/>
      <c r="C45" s="103"/>
      <c r="D45" s="250"/>
      <c r="E45" s="203"/>
      <c r="F45" s="203"/>
      <c r="G45" s="250"/>
      <c r="H45" s="203"/>
      <c r="I45" s="203"/>
      <c r="J45" s="203"/>
      <c r="K45" s="90"/>
    </row>
    <row r="46" spans="1:11" x14ac:dyDescent="0.25">
      <c r="A46" s="200" t="s">
        <v>41</v>
      </c>
      <c r="B46" s="191"/>
      <c r="C46" s="103">
        <v>4425960</v>
      </c>
      <c r="D46" s="251">
        <f>'Exhibit No.__(BDJ-Tariff)'!D90</f>
        <v>5.3178000000000003E-2</v>
      </c>
      <c r="E46" s="203"/>
      <c r="F46" s="203">
        <f t="shared" ref="F46" si="5">ROUND($C46*D46,0)</f>
        <v>235364</v>
      </c>
      <c r="G46" s="251">
        <f>D46</f>
        <v>5.3178000000000003E-2</v>
      </c>
      <c r="H46" s="203"/>
      <c r="I46" s="203">
        <f t="shared" ref="I46" si="6">ROUND($C46*G46,0)</f>
        <v>235364</v>
      </c>
      <c r="J46" s="203"/>
      <c r="K46" s="394" t="s">
        <v>552</v>
      </c>
    </row>
    <row r="47" spans="1:11" x14ac:dyDescent="0.25">
      <c r="A47" s="197" t="s">
        <v>26</v>
      </c>
      <c r="B47" s="191"/>
      <c r="C47" s="107">
        <f>SUM(C46:C46)</f>
        <v>4425960</v>
      </c>
      <c r="D47" s="233"/>
      <c r="E47" s="191"/>
      <c r="F47" s="252">
        <f>SUM(F46:F46)</f>
        <v>235364</v>
      </c>
      <c r="G47" s="233"/>
      <c r="H47" s="191"/>
      <c r="I47" s="252">
        <f>SUM(I46:I46)</f>
        <v>235364</v>
      </c>
      <c r="J47" s="203"/>
      <c r="K47" s="90"/>
    </row>
    <row r="48" spans="1:11" x14ac:dyDescent="0.25">
      <c r="A48" s="200" t="s">
        <v>69</v>
      </c>
      <c r="B48" s="191"/>
      <c r="C48" s="103">
        <v>0</v>
      </c>
      <c r="D48" s="251">
        <f>D46</f>
        <v>5.3178000000000003E-2</v>
      </c>
      <c r="E48" s="191"/>
      <c r="F48" s="203">
        <f t="shared" ref="F48" si="7">ROUND($C48*D48,0)</f>
        <v>0</v>
      </c>
      <c r="G48" s="251">
        <f>G46</f>
        <v>5.3178000000000003E-2</v>
      </c>
      <c r="H48" s="191"/>
      <c r="I48" s="203">
        <f t="shared" ref="I48:I49" si="8">ROUND($C48*G48,0)</f>
        <v>0</v>
      </c>
      <c r="J48" s="203"/>
      <c r="K48" s="278"/>
    </row>
    <row r="49" spans="1:11" x14ac:dyDescent="0.25">
      <c r="A49" s="134" t="s">
        <v>71</v>
      </c>
      <c r="B49" s="191"/>
      <c r="C49" s="207">
        <v>-38316</v>
      </c>
      <c r="D49" s="251">
        <f>ROUND(F49/C49,6)</f>
        <v>2.9387E-2</v>
      </c>
      <c r="E49" s="191"/>
      <c r="F49" s="203">
        <v>-1126</v>
      </c>
      <c r="G49" s="251">
        <f>D49</f>
        <v>2.9387E-2</v>
      </c>
      <c r="H49" s="191"/>
      <c r="I49" s="203">
        <f t="shared" si="8"/>
        <v>-1126</v>
      </c>
      <c r="J49" s="208"/>
      <c r="K49" s="394" t="s">
        <v>552</v>
      </c>
    </row>
    <row r="50" spans="1:11" x14ac:dyDescent="0.25">
      <c r="A50" s="197" t="s">
        <v>26</v>
      </c>
      <c r="B50" s="191"/>
      <c r="C50" s="107">
        <f>SUM(C47:C49)</f>
        <v>4387644</v>
      </c>
      <c r="D50" s="191"/>
      <c r="E50" s="191"/>
      <c r="F50" s="252">
        <f>SUM(F47:F49)</f>
        <v>234238</v>
      </c>
      <c r="G50" s="191"/>
      <c r="H50" s="191"/>
      <c r="I50" s="252">
        <f>SUM(I47:I49)</f>
        <v>234238</v>
      </c>
      <c r="J50" s="208"/>
      <c r="K50" s="278"/>
    </row>
    <row r="51" spans="1:11" x14ac:dyDescent="0.25">
      <c r="A51" s="191" t="s">
        <v>35</v>
      </c>
      <c r="B51" s="191"/>
      <c r="C51" s="103"/>
      <c r="D51" s="137"/>
      <c r="E51" s="191"/>
      <c r="F51" s="203"/>
      <c r="G51" s="137"/>
      <c r="H51" s="191"/>
      <c r="I51" s="203"/>
      <c r="J51" s="203"/>
      <c r="K51" s="278"/>
    </row>
    <row r="52" spans="1:11" x14ac:dyDescent="0.25">
      <c r="A52" s="200" t="s">
        <v>90</v>
      </c>
      <c r="B52" s="191"/>
      <c r="C52" s="103">
        <v>1005</v>
      </c>
      <c r="D52" s="135">
        <f>'Exhibit No.__(BDJ-Tariff)'!D92</f>
        <v>4.92</v>
      </c>
      <c r="E52" s="191"/>
      <c r="F52" s="203">
        <f>ROUND(D52*$C52,0)</f>
        <v>4945</v>
      </c>
      <c r="G52" s="135">
        <f>D52</f>
        <v>4.92</v>
      </c>
      <c r="H52" s="191"/>
      <c r="I52" s="203">
        <f>ROUND(G52*$C52,0)</f>
        <v>4945</v>
      </c>
      <c r="J52" s="203"/>
      <c r="K52" s="394" t="s">
        <v>552</v>
      </c>
    </row>
    <row r="53" spans="1:11" x14ac:dyDescent="0.25">
      <c r="A53" s="200" t="s">
        <v>91</v>
      </c>
      <c r="B53" s="191"/>
      <c r="C53" s="103">
        <v>7601</v>
      </c>
      <c r="D53" s="135">
        <f>'Exhibit No.__(BDJ-Tariff)'!D93</f>
        <v>3.28</v>
      </c>
      <c r="E53" s="191"/>
      <c r="F53" s="203">
        <f>ROUND(D53*$C53,0)</f>
        <v>24931</v>
      </c>
      <c r="G53" s="135">
        <f>D53</f>
        <v>3.28</v>
      </c>
      <c r="H53" s="191"/>
      <c r="I53" s="203">
        <f>ROUND(G53*$C53,0)</f>
        <v>24931</v>
      </c>
      <c r="J53" s="203"/>
      <c r="K53" s="394" t="s">
        <v>552</v>
      </c>
    </row>
    <row r="54" spans="1:11" x14ac:dyDescent="0.25">
      <c r="A54" s="197" t="s">
        <v>26</v>
      </c>
      <c r="B54" s="191"/>
      <c r="C54" s="107">
        <f>SUM(C52:C53)</f>
        <v>8606</v>
      </c>
      <c r="D54" s="137"/>
      <c r="E54" s="191"/>
      <c r="F54" s="252">
        <f>SUM(F52:F53)</f>
        <v>29876</v>
      </c>
      <c r="G54" s="137"/>
      <c r="H54" s="191"/>
      <c r="I54" s="252">
        <f>SUM(I52:I53)</f>
        <v>29876</v>
      </c>
      <c r="J54" s="203"/>
      <c r="K54" s="278"/>
    </row>
    <row r="55" spans="1:11" x14ac:dyDescent="0.25">
      <c r="A55" s="191"/>
      <c r="B55" s="191"/>
      <c r="C55" s="207"/>
      <c r="D55" s="207"/>
      <c r="E55" s="191"/>
      <c r="F55" s="208"/>
      <c r="G55" s="207"/>
      <c r="H55" s="191"/>
      <c r="I55" s="208"/>
      <c r="J55" s="208"/>
      <c r="K55" s="278"/>
    </row>
    <row r="56" spans="1:11" x14ac:dyDescent="0.25">
      <c r="A56" s="191" t="s">
        <v>86</v>
      </c>
      <c r="B56" s="191"/>
      <c r="C56" s="103">
        <v>2410214</v>
      </c>
      <c r="D56" s="257">
        <f>'Exhibit No.__(BDJ-Tariff)'!D95</f>
        <v>1.1800000000000001E-3</v>
      </c>
      <c r="E56" s="191"/>
      <c r="F56" s="203">
        <f>ROUND(D56*$C56,0)</f>
        <v>2844</v>
      </c>
      <c r="G56" s="257">
        <f>D56</f>
        <v>1.1800000000000001E-3</v>
      </c>
      <c r="H56" s="191"/>
      <c r="I56" s="203">
        <f>ROUND(G56*$C56,0)</f>
        <v>2844</v>
      </c>
      <c r="J56" s="208"/>
      <c r="K56" s="394" t="s">
        <v>552</v>
      </c>
    </row>
    <row r="57" spans="1:11" x14ac:dyDescent="0.25">
      <c r="A57" s="191"/>
      <c r="B57" s="191"/>
      <c r="C57" s="207"/>
      <c r="D57" s="207"/>
      <c r="E57" s="191"/>
      <c r="F57" s="208"/>
      <c r="G57" s="207"/>
      <c r="H57" s="191"/>
      <c r="I57" s="208"/>
      <c r="J57" s="208"/>
      <c r="K57" s="237"/>
    </row>
    <row r="58" spans="1:11" ht="16.5" thickBot="1" x14ac:dyDescent="0.3">
      <c r="A58" s="191" t="s">
        <v>30</v>
      </c>
      <c r="B58" s="191"/>
      <c r="C58" s="207"/>
      <c r="D58" s="207"/>
      <c r="E58" s="191"/>
      <c r="F58" s="236">
        <f>SUM(F44,F50,F54,F56)</f>
        <v>275553</v>
      </c>
      <c r="G58" s="207"/>
      <c r="H58" s="191"/>
      <c r="I58" s="236">
        <f>SUM(I44,I50,I54,I56)</f>
        <v>275553</v>
      </c>
      <c r="J58" s="208"/>
    </row>
    <row r="59" spans="1:11" ht="16.5" thickTop="1" x14ac:dyDescent="0.25">
      <c r="A59" s="191"/>
      <c r="B59" s="259"/>
      <c r="C59" s="207"/>
      <c r="D59" s="207"/>
      <c r="E59" s="191"/>
      <c r="F59" s="203"/>
      <c r="G59" s="207"/>
      <c r="H59" s="191"/>
      <c r="I59" s="203"/>
      <c r="J59" s="203"/>
    </row>
    <row r="60" spans="1:11" x14ac:dyDescent="0.25">
      <c r="A60" s="302" t="s">
        <v>276</v>
      </c>
      <c r="B60" s="303"/>
      <c r="C60" s="304"/>
      <c r="D60" s="304"/>
      <c r="E60" s="305"/>
      <c r="F60" s="306"/>
      <c r="G60" s="304"/>
      <c r="H60" s="305"/>
      <c r="I60" s="307">
        <f>'Exhibit No.__(BDJ-Rate Spread)'!M18</f>
        <v>0</v>
      </c>
      <c r="J60" s="203"/>
    </row>
    <row r="61" spans="1:11" x14ac:dyDescent="0.25">
      <c r="A61" s="469" t="s">
        <v>517</v>
      </c>
      <c r="B61" s="470"/>
      <c r="C61" s="470"/>
      <c r="D61" s="308"/>
      <c r="E61" s="308"/>
      <c r="F61" s="308"/>
      <c r="G61" s="308"/>
      <c r="H61" s="308"/>
      <c r="I61" s="309">
        <f>I60/F58</f>
        <v>0</v>
      </c>
      <c r="J61" s="203"/>
    </row>
    <row r="62" spans="1:11" x14ac:dyDescent="0.25">
      <c r="A62" s="310" t="s">
        <v>531</v>
      </c>
      <c r="B62" s="311"/>
      <c r="C62" s="312"/>
      <c r="D62" s="312"/>
      <c r="E62" s="313"/>
      <c r="F62" s="314"/>
      <c r="G62" s="312"/>
      <c r="H62" s="313"/>
      <c r="I62" s="315">
        <f>(I44-F44)</f>
        <v>0</v>
      </c>
      <c r="J62" s="203"/>
    </row>
    <row r="63" spans="1:11" x14ac:dyDescent="0.25">
      <c r="A63" s="310" t="s">
        <v>532</v>
      </c>
      <c r="B63" s="311"/>
      <c r="C63" s="312"/>
      <c r="D63" s="312"/>
      <c r="E63" s="313"/>
      <c r="F63" s="314"/>
      <c r="G63" s="312"/>
      <c r="H63" s="313"/>
      <c r="I63" s="315">
        <f>I60-I62</f>
        <v>0</v>
      </c>
      <c r="J63" s="203"/>
    </row>
    <row r="64" spans="1:11" x14ac:dyDescent="0.25">
      <c r="A64" s="403" t="s">
        <v>530</v>
      </c>
      <c r="B64" s="311"/>
      <c r="C64" s="312"/>
      <c r="D64" s="312"/>
      <c r="E64" s="313"/>
      <c r="F64" s="314"/>
      <c r="G64" s="312"/>
      <c r="H64" s="313"/>
      <c r="I64" s="309">
        <f>I63/(F58-F44)</f>
        <v>0</v>
      </c>
      <c r="J64" s="203"/>
    </row>
    <row r="65" spans="1:11" x14ac:dyDescent="0.25">
      <c r="A65" s="316" t="s">
        <v>29</v>
      </c>
      <c r="B65" s="311"/>
      <c r="C65" s="312"/>
      <c r="D65" s="312"/>
      <c r="E65" s="313"/>
      <c r="F65" s="314"/>
      <c r="G65" s="312"/>
      <c r="H65" s="313"/>
      <c r="I65" s="315">
        <f>I60-(I58-F58)</f>
        <v>0</v>
      </c>
      <c r="J65" s="203"/>
      <c r="K65" s="239"/>
    </row>
    <row r="66" spans="1:11" x14ac:dyDescent="0.25">
      <c r="A66" s="316" t="s">
        <v>281</v>
      </c>
      <c r="B66" s="311"/>
      <c r="C66" s="312"/>
      <c r="D66" s="312"/>
      <c r="E66" s="313"/>
      <c r="F66" s="314"/>
      <c r="G66" s="312"/>
      <c r="H66" s="313"/>
      <c r="I66" s="291">
        <f>'Exhibit No.__(BDJ-SV RD)'!M6</f>
        <v>0</v>
      </c>
      <c r="J66" s="203"/>
      <c r="K66" s="239"/>
    </row>
    <row r="67" spans="1:11" x14ac:dyDescent="0.25">
      <c r="A67" s="301" t="s">
        <v>346</v>
      </c>
      <c r="B67" s="317"/>
      <c r="C67" s="318"/>
      <c r="D67" s="318"/>
      <c r="E67" s="319"/>
      <c r="F67" s="320"/>
      <c r="G67" s="318"/>
      <c r="H67" s="319"/>
      <c r="I67" s="409">
        <f>I65/C50</f>
        <v>0</v>
      </c>
      <c r="J67" s="203"/>
      <c r="K67" s="239"/>
    </row>
    <row r="68" spans="1:11" x14ac:dyDescent="0.25">
      <c r="A68" s="191"/>
      <c r="B68" s="259"/>
      <c r="C68" s="207"/>
      <c r="D68" s="207"/>
      <c r="E68" s="191"/>
      <c r="F68" s="203"/>
      <c r="G68" s="207"/>
      <c r="H68" s="191"/>
      <c r="I68" s="203"/>
      <c r="J68" s="203"/>
      <c r="K68" s="239"/>
    </row>
    <row r="69" spans="1:11" x14ac:dyDescent="0.25">
      <c r="A69" s="332" t="s">
        <v>116</v>
      </c>
      <c r="B69" s="191"/>
      <c r="C69" s="103"/>
      <c r="D69" s="203"/>
      <c r="E69" s="191"/>
      <c r="F69" s="191"/>
      <c r="G69" s="203"/>
      <c r="H69" s="191"/>
      <c r="I69" s="203" t="s">
        <v>0</v>
      </c>
      <c r="J69" s="203"/>
    </row>
    <row r="70" spans="1:11" x14ac:dyDescent="0.25">
      <c r="A70" s="190" t="s">
        <v>117</v>
      </c>
      <c r="B70" s="191"/>
      <c r="C70" s="191" t="s">
        <v>0</v>
      </c>
      <c r="D70" s="203"/>
      <c r="E70" s="191"/>
      <c r="F70" s="191"/>
      <c r="G70" s="203"/>
      <c r="H70" s="191"/>
      <c r="I70" s="191"/>
      <c r="J70" s="191"/>
    </row>
    <row r="71" spans="1:11" x14ac:dyDescent="0.25">
      <c r="A71" s="191"/>
      <c r="B71" s="191"/>
      <c r="C71" s="191"/>
      <c r="D71" s="203"/>
      <c r="E71" s="191"/>
      <c r="F71" s="191"/>
      <c r="G71" s="203"/>
      <c r="H71" s="191"/>
      <c r="I71" s="191"/>
      <c r="J71" s="191"/>
      <c r="K71" s="86"/>
    </row>
    <row r="72" spans="1:11" x14ac:dyDescent="0.25">
      <c r="A72" s="191" t="s">
        <v>33</v>
      </c>
      <c r="B72" s="191"/>
      <c r="C72" s="103">
        <v>1760</v>
      </c>
      <c r="D72" s="135">
        <f>'Exhibit No.__(BDJ-Tariff)'!D98</f>
        <v>358.11</v>
      </c>
      <c r="E72" s="191"/>
      <c r="F72" s="203">
        <f>ROUND(D72*$C72,0)</f>
        <v>630274</v>
      </c>
      <c r="G72" s="135">
        <f>D72</f>
        <v>358.11</v>
      </c>
      <c r="H72" s="191"/>
      <c r="I72" s="203">
        <f>ROUND(G72*$C72,0)</f>
        <v>630274</v>
      </c>
      <c r="J72" s="203"/>
      <c r="K72" s="196" t="s">
        <v>552</v>
      </c>
    </row>
    <row r="73" spans="1:11" x14ac:dyDescent="0.25">
      <c r="A73" s="191" t="s">
        <v>36</v>
      </c>
      <c r="B73" s="191"/>
      <c r="C73" s="103"/>
      <c r="D73" s="250"/>
      <c r="E73" s="203"/>
      <c r="F73" s="203"/>
      <c r="G73" s="250"/>
      <c r="H73" s="203"/>
      <c r="I73" s="203"/>
      <c r="J73" s="203"/>
      <c r="K73" s="86"/>
    </row>
    <row r="74" spans="1:11" x14ac:dyDescent="0.25">
      <c r="A74" s="200" t="s">
        <v>41</v>
      </c>
      <c r="B74" s="191"/>
      <c r="C74" s="103">
        <v>109785076</v>
      </c>
      <c r="D74" s="251">
        <f>'Exhibit No.__(BDJ-Tariff)'!D100</f>
        <v>5.9549999999999999E-2</v>
      </c>
      <c r="E74" s="203"/>
      <c r="F74" s="203">
        <f t="shared" ref="F74" si="9">ROUND($C74*D74,0)</f>
        <v>6537701</v>
      </c>
      <c r="G74" s="251">
        <f>ROUND(D74*(1+$I$92),6)</f>
        <v>5.8889999999999998E-2</v>
      </c>
      <c r="H74" s="203"/>
      <c r="I74" s="203">
        <f t="shared" ref="I74" si="10">ROUND($C74*G74,0)</f>
        <v>6465243</v>
      </c>
      <c r="J74" s="203"/>
      <c r="K74" s="196" t="s">
        <v>556</v>
      </c>
    </row>
    <row r="75" spans="1:11" x14ac:dyDescent="0.25">
      <c r="A75" s="197" t="s">
        <v>26</v>
      </c>
      <c r="B75" s="191"/>
      <c r="C75" s="107">
        <f>SUM(C74:C74)</f>
        <v>109785076</v>
      </c>
      <c r="D75" s="233"/>
      <c r="E75" s="191"/>
      <c r="F75" s="252">
        <f>SUM(F74:F74)</f>
        <v>6537701</v>
      </c>
      <c r="G75" s="233"/>
      <c r="H75" s="191"/>
      <c r="I75" s="252">
        <f>SUM(I74:I74)</f>
        <v>6465243</v>
      </c>
      <c r="J75" s="203"/>
      <c r="K75" s="1"/>
    </row>
    <row r="76" spans="1:11" x14ac:dyDescent="0.25">
      <c r="A76" s="200" t="s">
        <v>69</v>
      </c>
      <c r="B76" s="191"/>
      <c r="C76" s="103">
        <v>1937121.2844268391</v>
      </c>
      <c r="D76" s="251">
        <f>D74</f>
        <v>5.9549999999999999E-2</v>
      </c>
      <c r="E76" s="191"/>
      <c r="F76" s="203">
        <f t="shared" ref="F76" si="11">ROUND($C76*D76,0)</f>
        <v>115356</v>
      </c>
      <c r="G76" s="251">
        <f>G74</f>
        <v>5.8889999999999998E-2</v>
      </c>
      <c r="H76" s="191"/>
      <c r="I76" s="203">
        <f t="shared" ref="I76" si="12">ROUND($C76*G76,0)</f>
        <v>114077</v>
      </c>
      <c r="J76" s="203"/>
      <c r="K76" s="321"/>
    </row>
    <row r="77" spans="1:11" x14ac:dyDescent="0.25">
      <c r="A77" s="134" t="s">
        <v>71</v>
      </c>
      <c r="B77" s="191"/>
      <c r="C77" s="207">
        <v>2376920</v>
      </c>
      <c r="D77" s="251">
        <f>ROUND(F77/C77,6)</f>
        <v>0.100608</v>
      </c>
      <c r="E77" s="191"/>
      <c r="F77" s="203">
        <v>239137</v>
      </c>
      <c r="G77" s="251">
        <f>ROUND(D77*(1+$I$92),6)</f>
        <v>9.9492999999999998E-2</v>
      </c>
      <c r="H77" s="191"/>
      <c r="I77" s="203">
        <f>ROUND($C77*G77,0)+25</f>
        <v>236512</v>
      </c>
      <c r="J77" s="208"/>
      <c r="K77" s="395" t="s">
        <v>577</v>
      </c>
    </row>
    <row r="78" spans="1:11" x14ac:dyDescent="0.25">
      <c r="A78" s="197" t="s">
        <v>26</v>
      </c>
      <c r="B78" s="191"/>
      <c r="C78" s="107">
        <f>SUM(C75:C77)</f>
        <v>114099117.28442684</v>
      </c>
      <c r="D78" s="191"/>
      <c r="E78" s="191"/>
      <c r="F78" s="252">
        <f>SUM(F75:F77)</f>
        <v>6892194</v>
      </c>
      <c r="G78" s="191"/>
      <c r="H78" s="191"/>
      <c r="I78" s="252">
        <f>SUM(I75:I77)</f>
        <v>6815832</v>
      </c>
      <c r="J78" s="208"/>
      <c r="K78" s="278"/>
    </row>
    <row r="79" spans="1:11" x14ac:dyDescent="0.25">
      <c r="A79" s="191" t="s">
        <v>35</v>
      </c>
      <c r="B79" s="191"/>
      <c r="C79" s="103"/>
      <c r="D79" s="137"/>
      <c r="E79" s="191"/>
      <c r="F79" s="203"/>
      <c r="G79" s="137"/>
      <c r="H79" s="191"/>
      <c r="I79" s="203"/>
      <c r="J79" s="203"/>
      <c r="K79" s="278"/>
    </row>
    <row r="80" spans="1:11" x14ac:dyDescent="0.25">
      <c r="A80" s="200" t="s">
        <v>118</v>
      </c>
      <c r="B80" s="191"/>
      <c r="C80" s="103">
        <v>541880</v>
      </c>
      <c r="D80" s="135">
        <f>'Exhibit No.__(BDJ-Tariff)'!D102</f>
        <v>5.01</v>
      </c>
      <c r="E80" s="191"/>
      <c r="F80" s="203">
        <f>ROUND(D80*$C80,0)</f>
        <v>2714819</v>
      </c>
      <c r="G80" s="135">
        <f>D80</f>
        <v>5.01</v>
      </c>
      <c r="H80" s="191"/>
      <c r="I80" s="203">
        <f>ROUND(G80*$C80,0)</f>
        <v>2714819</v>
      </c>
      <c r="J80" s="203"/>
      <c r="K80" s="196" t="s">
        <v>552</v>
      </c>
    </row>
    <row r="81" spans="1:11" x14ac:dyDescent="0.25">
      <c r="A81" s="197" t="s">
        <v>26</v>
      </c>
      <c r="B81" s="191"/>
      <c r="C81" s="107">
        <f>SUM(C80:C80)</f>
        <v>541880</v>
      </c>
      <c r="D81" s="137"/>
      <c r="E81" s="191"/>
      <c r="F81" s="252">
        <f>SUM(F80:F80)</f>
        <v>2714819</v>
      </c>
      <c r="G81" s="137"/>
      <c r="H81" s="191"/>
      <c r="I81" s="252">
        <f>SUM(I80:I80)</f>
        <v>2714819</v>
      </c>
      <c r="J81" s="203"/>
      <c r="K81" s="278"/>
    </row>
    <row r="82" spans="1:11" x14ac:dyDescent="0.25">
      <c r="A82" s="191"/>
      <c r="B82" s="191"/>
      <c r="C82" s="207"/>
      <c r="D82" s="207"/>
      <c r="E82" s="191"/>
      <c r="F82" s="208"/>
      <c r="G82" s="207"/>
      <c r="H82" s="191"/>
      <c r="I82" s="208"/>
      <c r="J82" s="208"/>
      <c r="K82" s="278"/>
    </row>
    <row r="83" spans="1:11" x14ac:dyDescent="0.25">
      <c r="A83" s="68" t="s">
        <v>247</v>
      </c>
      <c r="B83" s="191"/>
      <c r="C83" s="103"/>
      <c r="D83" s="322">
        <f>ROUND(D23-D80,2)</f>
        <v>6.93</v>
      </c>
      <c r="E83" s="191"/>
      <c r="F83" s="203">
        <f>ROUND(D83*$C83,0)</f>
        <v>0</v>
      </c>
      <c r="G83" s="322">
        <f>ROUND(G23-G80,2)</f>
        <v>6.93</v>
      </c>
      <c r="H83" s="191"/>
      <c r="I83" s="203">
        <f>ROUND(G83*$C83,0)</f>
        <v>0</v>
      </c>
      <c r="J83" s="208"/>
      <c r="K83" s="196" t="s">
        <v>248</v>
      </c>
    </row>
    <row r="84" spans="1:11" x14ac:dyDescent="0.25">
      <c r="A84" s="191"/>
      <c r="B84" s="191"/>
      <c r="C84" s="207"/>
      <c r="D84" s="207"/>
      <c r="E84" s="191"/>
      <c r="F84" s="208"/>
      <c r="G84" s="207"/>
      <c r="H84" s="191"/>
      <c r="I84" s="208"/>
      <c r="J84" s="208"/>
      <c r="K84" s="278"/>
    </row>
    <row r="85" spans="1:11" x14ac:dyDescent="0.25">
      <c r="A85" s="191" t="s">
        <v>86</v>
      </c>
      <c r="B85" s="191"/>
      <c r="C85" s="103">
        <v>42612511</v>
      </c>
      <c r="D85" s="257">
        <f>'Exhibit No.__(BDJ-Tariff)'!D106</f>
        <v>3.1700000000000001E-3</v>
      </c>
      <c r="E85" s="191"/>
      <c r="F85" s="203">
        <f>ROUND(D85*$C85,0)</f>
        <v>135082</v>
      </c>
      <c r="G85" s="257">
        <f>D85</f>
        <v>3.1700000000000001E-3</v>
      </c>
      <c r="H85" s="191"/>
      <c r="I85" s="203">
        <f>ROUND(G85*$C85,0)</f>
        <v>135082</v>
      </c>
      <c r="J85" s="208"/>
      <c r="K85" s="196" t="s">
        <v>552</v>
      </c>
    </row>
    <row r="86" spans="1:11" x14ac:dyDescent="0.25">
      <c r="A86" s="191"/>
      <c r="B86" s="191"/>
      <c r="C86" s="207"/>
      <c r="D86" s="207"/>
      <c r="E86" s="191"/>
      <c r="F86" s="208"/>
      <c r="G86" s="207"/>
      <c r="H86" s="191"/>
      <c r="I86" s="208"/>
      <c r="J86" s="208"/>
      <c r="K86" s="237"/>
    </row>
    <row r="87" spans="1:11" ht="16.5" thickBot="1" x14ac:dyDescent="0.3">
      <c r="A87" s="191" t="s">
        <v>30</v>
      </c>
      <c r="B87" s="191"/>
      <c r="C87" s="207"/>
      <c r="D87" s="207"/>
      <c r="E87" s="191"/>
      <c r="F87" s="236">
        <f>SUM(F72,F78,F81,F85)</f>
        <v>10372369</v>
      </c>
      <c r="G87" s="207"/>
      <c r="H87" s="191"/>
      <c r="I87" s="236">
        <f>SUM(I72,I78,I81,I85)</f>
        <v>10296007</v>
      </c>
      <c r="J87" s="208"/>
      <c r="K87" s="116">
        <f>I87-F87-I90</f>
        <v>-0.27442941628396511</v>
      </c>
    </row>
    <row r="88" spans="1:11" ht="16.5" thickTop="1" x14ac:dyDescent="0.25">
      <c r="A88" s="191"/>
      <c r="B88" s="259"/>
      <c r="C88" s="207"/>
      <c r="D88" s="207"/>
      <c r="E88" s="191"/>
      <c r="F88" s="203"/>
      <c r="G88" s="207"/>
      <c r="H88" s="191"/>
      <c r="I88" s="203"/>
      <c r="J88" s="203"/>
      <c r="K88" s="237"/>
    </row>
    <row r="89" spans="1:11" x14ac:dyDescent="0.25">
      <c r="A89" s="260" t="s">
        <v>119</v>
      </c>
      <c r="B89" s="279"/>
      <c r="C89" s="279"/>
      <c r="D89" s="279"/>
      <c r="E89" s="279"/>
      <c r="F89" s="279"/>
      <c r="G89" s="279"/>
      <c r="H89" s="279"/>
      <c r="I89" s="265">
        <f>'Exhibit No.__(BDJ-Rate Spread)'!K19*1000</f>
        <v>10296007.274429416</v>
      </c>
    </row>
    <row r="90" spans="1:11" x14ac:dyDescent="0.25">
      <c r="A90" s="266" t="s">
        <v>29</v>
      </c>
      <c r="B90" s="216"/>
      <c r="C90" s="207"/>
      <c r="D90" s="208"/>
      <c r="E90" s="216"/>
      <c r="F90" s="216"/>
      <c r="G90" s="208"/>
      <c r="H90" s="216"/>
      <c r="I90" s="268">
        <f>I89-F87</f>
        <v>-76361.725570583716</v>
      </c>
      <c r="J90" s="203"/>
    </row>
    <row r="91" spans="1:11" x14ac:dyDescent="0.25">
      <c r="A91" s="266" t="s">
        <v>517</v>
      </c>
      <c r="B91" s="216"/>
      <c r="C91" s="207"/>
      <c r="D91" s="208"/>
      <c r="E91" s="216"/>
      <c r="F91" s="216"/>
      <c r="G91" s="208"/>
      <c r="H91" s="216"/>
      <c r="I91" s="364">
        <f>I90/F87</f>
        <v>-7.3620332607318264E-3</v>
      </c>
      <c r="J91" s="203"/>
    </row>
    <row r="92" spans="1:11" x14ac:dyDescent="0.25">
      <c r="A92" s="471" t="s">
        <v>567</v>
      </c>
      <c r="B92" s="472"/>
      <c r="C92" s="472"/>
      <c r="D92" s="283"/>
      <c r="E92" s="283"/>
      <c r="F92" s="283"/>
      <c r="G92" s="283"/>
      <c r="H92" s="283"/>
      <c r="I92" s="274">
        <f>I90/F78</f>
        <v>-1.1079450980425641E-2</v>
      </c>
    </row>
  </sheetData>
  <mergeCells count="9">
    <mergeCell ref="A61:C61"/>
    <mergeCell ref="A92:C92"/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51" fitToHeight="5" orientation="landscape" r:id="rId1"/>
  <headerFooter alignWithMargins="0">
    <oddFooter>&amp;L&amp;A</oddFooter>
  </headerFooter>
  <rowBreaks count="1" manualBreakCount="1">
    <brk id="40" max="10" man="1"/>
  </row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zoomScaleNormal="100" workbookViewId="0">
      <pane xSplit="1" ySplit="8" topLeftCell="B9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RowHeight="15.75" x14ac:dyDescent="0.25"/>
  <cols>
    <col min="1" max="1" width="37" style="68" bestFit="1" customWidth="1"/>
    <col min="2" max="2" width="23.625" style="68" bestFit="1" customWidth="1"/>
    <col min="3" max="5" width="9.75" style="68" customWidth="1"/>
    <col min="6" max="16384" width="9" style="68"/>
  </cols>
  <sheetData>
    <row r="1" spans="1:5" ht="18.75" x14ac:dyDescent="0.3">
      <c r="A1" s="461" t="s">
        <v>43</v>
      </c>
      <c r="B1" s="461"/>
      <c r="C1" s="461"/>
      <c r="D1" s="461"/>
      <c r="E1" s="461"/>
    </row>
    <row r="2" spans="1:5" ht="18.75" x14ac:dyDescent="0.3">
      <c r="A2" s="461" t="s">
        <v>20</v>
      </c>
      <c r="B2" s="461"/>
      <c r="C2" s="461"/>
      <c r="D2" s="461"/>
      <c r="E2" s="461"/>
    </row>
    <row r="3" spans="1:5" x14ac:dyDescent="0.25">
      <c r="A3" s="466" t="str">
        <f>'Exhibit No.__(BDJ-HV RD)'!A3</f>
        <v>12 MONTHS ENDED JUNE 2021</v>
      </c>
      <c r="B3" s="466"/>
      <c r="C3" s="466"/>
      <c r="D3" s="466"/>
      <c r="E3" s="466"/>
    </row>
    <row r="4" spans="1:5" x14ac:dyDescent="0.25">
      <c r="A4" s="467" t="s">
        <v>439</v>
      </c>
      <c r="B4" s="467"/>
      <c r="C4" s="467"/>
      <c r="D4" s="467"/>
      <c r="E4" s="467"/>
    </row>
    <row r="5" spans="1:5" x14ac:dyDescent="0.25">
      <c r="A5" s="182" t="s">
        <v>440</v>
      </c>
      <c r="B5" s="183"/>
      <c r="C5" s="183"/>
      <c r="D5" s="184"/>
      <c r="E5" s="184"/>
    </row>
    <row r="7" spans="1:5" x14ac:dyDescent="0.25">
      <c r="C7" s="477" t="s">
        <v>441</v>
      </c>
      <c r="D7" s="477"/>
      <c r="E7" s="477"/>
    </row>
    <row r="8" spans="1:5" x14ac:dyDescent="0.25">
      <c r="B8" s="395" t="s">
        <v>442</v>
      </c>
      <c r="C8" s="392" t="s">
        <v>443</v>
      </c>
      <c r="D8" s="392" t="s">
        <v>444</v>
      </c>
      <c r="E8" s="392" t="s">
        <v>445</v>
      </c>
    </row>
    <row r="9" spans="1:5" x14ac:dyDescent="0.25">
      <c r="A9" s="332" t="s">
        <v>446</v>
      </c>
    </row>
    <row r="10" spans="1:5" x14ac:dyDescent="0.25">
      <c r="A10" s="333" t="s">
        <v>447</v>
      </c>
    </row>
    <row r="11" spans="1:5" x14ac:dyDescent="0.25">
      <c r="A11" s="334" t="s">
        <v>448</v>
      </c>
      <c r="B11" s="372">
        <v>24465361.86631044</v>
      </c>
      <c r="C11" s="337">
        <f>+B11/$B$14</f>
        <v>0.34891628983882905</v>
      </c>
    </row>
    <row r="12" spans="1:5" x14ac:dyDescent="0.25">
      <c r="A12" s="334" t="s">
        <v>449</v>
      </c>
      <c r="B12" s="372">
        <v>12606764.686880242</v>
      </c>
      <c r="C12" s="337">
        <f>+B12/$B$14</f>
        <v>0.17979319437226779</v>
      </c>
    </row>
    <row r="13" spans="1:5" x14ac:dyDescent="0.25">
      <c r="A13" s="334" t="s">
        <v>450</v>
      </c>
      <c r="B13" s="372">
        <v>33046015.186799299</v>
      </c>
      <c r="C13" s="337">
        <f>+B13/$B$14</f>
        <v>0.47129051578890319</v>
      </c>
    </row>
    <row r="14" spans="1:5" x14ac:dyDescent="0.25">
      <c r="A14" s="335" t="s">
        <v>451</v>
      </c>
      <c r="B14" s="372">
        <f>SUM(B11:B13)</f>
        <v>70118141.739989981</v>
      </c>
      <c r="C14" s="337">
        <f>SUM(C11:C13)</f>
        <v>1</v>
      </c>
      <c r="D14" s="348">
        <f>'Exhibit No.__(BDJ-SV RD)'!G94</f>
        <v>12.23</v>
      </c>
      <c r="E14" s="348">
        <f>'Exhibit No.__(BDJ-SV RD)'!G95</f>
        <v>8.15</v>
      </c>
    </row>
    <row r="15" spans="1:5" x14ac:dyDescent="0.25">
      <c r="A15" s="333"/>
    </row>
    <row r="16" spans="1:5" x14ac:dyDescent="0.25">
      <c r="A16" s="336" t="s">
        <v>452</v>
      </c>
      <c r="C16" s="337">
        <f>+C13</f>
        <v>0.47129051578890319</v>
      </c>
      <c r="D16" s="348">
        <f>ROUND($C16*$D$14,2)</f>
        <v>5.76</v>
      </c>
      <c r="E16" s="348">
        <f>ROUND($C16*$E$14,2)</f>
        <v>3.84</v>
      </c>
    </row>
    <row r="17" spans="1:5" x14ac:dyDescent="0.25">
      <c r="A17" s="336" t="s">
        <v>453</v>
      </c>
      <c r="C17" s="337">
        <f>SUM(C11:C12)</f>
        <v>0.52870948421109687</v>
      </c>
      <c r="D17" s="348">
        <f>ROUND($C17*$D$14,2)</f>
        <v>6.47</v>
      </c>
      <c r="E17" s="348">
        <f>ROUND($C17*$E$14,2)</f>
        <v>4.3099999999999996</v>
      </c>
    </row>
    <row r="19" spans="1:5" x14ac:dyDescent="0.25">
      <c r="A19" s="332" t="s">
        <v>454</v>
      </c>
    </row>
    <row r="20" spans="1:5" x14ac:dyDescent="0.25">
      <c r="A20" s="333" t="s">
        <v>447</v>
      </c>
    </row>
    <row r="21" spans="1:5" x14ac:dyDescent="0.25">
      <c r="A21" s="334" t="s">
        <v>448</v>
      </c>
      <c r="B21" s="372">
        <v>17027601.934714735</v>
      </c>
      <c r="C21" s="337">
        <f>+B21/$B$24</f>
        <v>0.33822433829645476</v>
      </c>
    </row>
    <row r="22" spans="1:5" x14ac:dyDescent="0.25">
      <c r="A22" s="334" t="s">
        <v>449</v>
      </c>
      <c r="B22" s="372">
        <v>8774183.4571372159</v>
      </c>
      <c r="C22" s="337">
        <f>+B22/$B$24</f>
        <v>0.17428422424133042</v>
      </c>
    </row>
    <row r="23" spans="1:5" x14ac:dyDescent="0.25">
      <c r="A23" s="334" t="s">
        <v>450</v>
      </c>
      <c r="B23" s="372">
        <v>24542320.595547412</v>
      </c>
      <c r="C23" s="337">
        <f>+B23/$B$24</f>
        <v>0.48749143746221485</v>
      </c>
    </row>
    <row r="24" spans="1:5" x14ac:dyDescent="0.25">
      <c r="A24" s="335" t="s">
        <v>451</v>
      </c>
      <c r="B24" s="372">
        <f>SUM(B21:B23)</f>
        <v>50344105.987399362</v>
      </c>
      <c r="C24" s="337">
        <f>SUM(C21:C23)</f>
        <v>1</v>
      </c>
      <c r="D24" s="348">
        <f>'Exhibit No.__(BDJ-PV RD)'!G23</f>
        <v>11.94</v>
      </c>
      <c r="E24" s="348">
        <f>'Exhibit No.__(BDJ-PV RD)'!G24</f>
        <v>7.96</v>
      </c>
    </row>
    <row r="25" spans="1:5" x14ac:dyDescent="0.25">
      <c r="A25" s="333"/>
    </row>
    <row r="26" spans="1:5" x14ac:dyDescent="0.25">
      <c r="A26" s="336" t="s">
        <v>452</v>
      </c>
      <c r="C26" s="337">
        <f>+C23</f>
        <v>0.48749143746221485</v>
      </c>
      <c r="D26" s="348">
        <f>ROUND($C26*$D$24,2)</f>
        <v>5.82</v>
      </c>
      <c r="E26" s="348">
        <f>ROUND($C26*$E$24,2)</f>
        <v>3.88</v>
      </c>
    </row>
    <row r="27" spans="1:5" x14ac:dyDescent="0.25">
      <c r="A27" s="336" t="s">
        <v>453</v>
      </c>
      <c r="C27" s="337">
        <f>SUM(C21:C22)</f>
        <v>0.51250856253778521</v>
      </c>
      <c r="D27" s="348">
        <f>ROUND($C27*$D$24,2)</f>
        <v>6.12</v>
      </c>
      <c r="E27" s="348">
        <f>ROUND($C27*$E$24,2)</f>
        <v>4.08</v>
      </c>
    </row>
  </sheetData>
  <mergeCells count="5">
    <mergeCell ref="A1:E1"/>
    <mergeCell ref="A2:E2"/>
    <mergeCell ref="A3:E3"/>
    <mergeCell ref="A4:E4"/>
    <mergeCell ref="C7:E7"/>
  </mergeCells>
  <pageMargins left="0.7" right="0.7" top="0.75" bottom="0.75" header="0.3" footer="0.3"/>
  <pageSetup orientation="landscape" r:id="rId1"/>
  <headerFooter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pageSetUpPr fitToPage="1"/>
  </sheetPr>
  <dimension ref="A1:AG44"/>
  <sheetViews>
    <sheetView zoomScale="90" zoomScaleNormal="90" zoomScaleSheetLayoutView="80" workbookViewId="0">
      <pane ySplit="10" topLeftCell="A29" activePane="bottomLeft" state="frozen"/>
      <selection activeCell="C31" sqref="C31"/>
      <selection pane="bottomLeft" activeCell="C31" sqref="C31"/>
    </sheetView>
  </sheetViews>
  <sheetFormatPr defaultColWidth="10.25" defaultRowHeight="15.75" x14ac:dyDescent="0.25"/>
  <cols>
    <col min="1" max="1" width="28.625" style="68" bestFit="1" customWidth="1"/>
    <col min="2" max="2" width="1.875" style="68" customWidth="1"/>
    <col min="3" max="3" width="11.625" style="68" bestFit="1" customWidth="1"/>
    <col min="4" max="4" width="10.75" style="68" bestFit="1" customWidth="1"/>
    <col min="5" max="5" width="1.875" style="68" customWidth="1"/>
    <col min="6" max="6" width="11.625" style="68" bestFit="1" customWidth="1"/>
    <col min="7" max="7" width="13.125" style="68" customWidth="1"/>
    <col min="8" max="8" width="1.875" style="68" customWidth="1"/>
    <col min="9" max="9" width="13.125" style="68" customWidth="1"/>
    <col min="10" max="10" width="1.875" style="68" customWidth="1"/>
    <col min="11" max="11" width="21.875" style="68" bestFit="1" customWidth="1"/>
    <col min="12" max="12" width="1.375" style="68" bestFit="1" customWidth="1"/>
    <col min="13" max="13" width="13.25" style="68" bestFit="1" customWidth="1"/>
    <col min="14" max="14" width="13.875" style="68" bestFit="1" customWidth="1"/>
    <col min="15" max="15" width="12.25" style="68" bestFit="1" customWidth="1"/>
    <col min="16" max="16" width="5.5" style="68" bestFit="1" customWidth="1"/>
    <col min="17" max="17" width="1.375" style="68" bestFit="1" customWidth="1"/>
    <col min="18" max="18" width="10.25" style="68" customWidth="1"/>
    <col min="19" max="19" width="12.125" style="68" customWidth="1"/>
    <col min="20" max="16384" width="10.25" style="68"/>
  </cols>
  <sheetData>
    <row r="1" spans="1:33" ht="18.75" x14ac:dyDescent="0.3">
      <c r="A1" s="461" t="s">
        <v>43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33" ht="18.75" x14ac:dyDescent="0.3">
      <c r="A2" s="461" t="s">
        <v>20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33" ht="18.75" x14ac:dyDescent="0.3">
      <c r="A3" s="461" t="str">
        <f>'Exhibit No.__(BDJ-Prof-Prop)'!$A$6</f>
        <v>12 MONTHS ENDED JUNE 2021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33" ht="18.75" x14ac:dyDescent="0.3">
      <c r="A4" s="461" t="s">
        <v>21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33" ht="18.75" x14ac:dyDescent="0.3">
      <c r="A5" s="461" t="s">
        <v>123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33" x14ac:dyDescent="0.25">
      <c r="A6" s="182"/>
      <c r="B6" s="183"/>
      <c r="C6" s="183"/>
      <c r="D6" s="184"/>
      <c r="E6" s="184"/>
      <c r="F6" s="183"/>
      <c r="G6" s="184"/>
      <c r="H6" s="183"/>
      <c r="I6" s="183"/>
      <c r="J6" s="183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spans="1:33" x14ac:dyDescent="0.25">
      <c r="A7" s="183"/>
      <c r="B7" s="183"/>
      <c r="C7" s="183"/>
      <c r="D7" s="184"/>
      <c r="E7" s="184"/>
      <c r="F7" s="183"/>
      <c r="G7" s="184"/>
      <c r="H7" s="183"/>
      <c r="I7" s="183"/>
      <c r="J7" s="183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</row>
    <row r="8" spans="1:33" x14ac:dyDescent="0.25">
      <c r="A8" s="185"/>
      <c r="B8" s="185"/>
      <c r="C8" s="186"/>
      <c r="D8" s="185"/>
      <c r="E8" s="185"/>
      <c r="G8" s="185"/>
      <c r="H8" s="187"/>
      <c r="I8" s="187"/>
      <c r="J8" s="187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</row>
    <row r="9" spans="1:33" x14ac:dyDescent="0.25">
      <c r="A9" s="185"/>
      <c r="B9" s="185"/>
      <c r="C9" s="186" t="s">
        <v>22</v>
      </c>
      <c r="D9" s="473" t="s">
        <v>3</v>
      </c>
      <c r="E9" s="474"/>
      <c r="F9" s="475"/>
      <c r="G9" s="476" t="str">
        <f>'Exhibit No.__(BDJ-Res RD)'!$G$8</f>
        <v>Proposed Effective 
January 2023</v>
      </c>
      <c r="H9" s="474"/>
      <c r="I9" s="475"/>
      <c r="J9" s="187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</row>
    <row r="10" spans="1:33" x14ac:dyDescent="0.25">
      <c r="A10" s="185"/>
      <c r="B10" s="185"/>
      <c r="C10" s="188" t="s">
        <v>23</v>
      </c>
      <c r="D10" s="189" t="s">
        <v>24</v>
      </c>
      <c r="E10" s="401"/>
      <c r="F10" s="187" t="s">
        <v>25</v>
      </c>
      <c r="G10" s="189" t="s">
        <v>24</v>
      </c>
      <c r="H10" s="189"/>
      <c r="I10" s="189" t="s">
        <v>25</v>
      </c>
      <c r="J10" s="189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33" x14ac:dyDescent="0.25">
      <c r="C11" s="103"/>
      <c r="D11" s="191" t="s">
        <v>0</v>
      </c>
      <c r="E11" s="103"/>
      <c r="F11" s="203"/>
      <c r="G11" s="191" t="s">
        <v>0</v>
      </c>
      <c r="H11" s="103"/>
      <c r="I11" s="203" t="s">
        <v>0</v>
      </c>
      <c r="J11" s="203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Z11" s="210"/>
    </row>
    <row r="12" spans="1:33" x14ac:dyDescent="0.25">
      <c r="A12" s="332" t="s">
        <v>124</v>
      </c>
      <c r="B12" s="191"/>
      <c r="C12" s="191" t="s">
        <v>0</v>
      </c>
      <c r="D12" s="203"/>
      <c r="E12" s="191"/>
      <c r="F12" s="191"/>
      <c r="G12" s="203"/>
      <c r="H12" s="191"/>
      <c r="I12" s="191"/>
      <c r="J12" s="191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Z12" s="210"/>
    </row>
    <row r="13" spans="1:33" x14ac:dyDescent="0.25">
      <c r="A13" s="190" t="s">
        <v>51</v>
      </c>
      <c r="B13" s="191"/>
      <c r="C13" s="191"/>
      <c r="D13" s="203"/>
      <c r="E13" s="191"/>
      <c r="F13" s="191"/>
      <c r="G13" s="203"/>
      <c r="H13" s="191"/>
      <c r="I13" s="191"/>
      <c r="J13" s="191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Z13" s="210"/>
    </row>
    <row r="14" spans="1:33" x14ac:dyDescent="0.25">
      <c r="A14" s="190" t="s">
        <v>125</v>
      </c>
      <c r="B14" s="191"/>
      <c r="C14" s="103">
        <v>72</v>
      </c>
      <c r="D14" s="251"/>
      <c r="E14" s="191"/>
      <c r="F14" s="203"/>
      <c r="G14" s="251"/>
      <c r="H14" s="191"/>
      <c r="I14" s="203"/>
      <c r="J14" s="191"/>
      <c r="L14" s="337"/>
      <c r="M14" s="210"/>
      <c r="N14" s="210"/>
      <c r="O14" s="337"/>
      <c r="P14" s="362"/>
      <c r="Q14" s="210"/>
      <c r="R14" s="210"/>
      <c r="Z14" s="86"/>
      <c r="AA14" s="86"/>
      <c r="AB14" s="86"/>
      <c r="AC14" s="86"/>
      <c r="AD14" s="86"/>
      <c r="AE14" s="86"/>
      <c r="AG14" s="210"/>
    </row>
    <row r="15" spans="1:33" x14ac:dyDescent="0.25">
      <c r="A15" s="191" t="s">
        <v>75</v>
      </c>
      <c r="B15" s="191"/>
      <c r="C15" s="103"/>
      <c r="D15" s="251"/>
      <c r="E15" s="191"/>
      <c r="F15" s="203"/>
      <c r="G15" s="251"/>
      <c r="H15" s="191"/>
      <c r="I15" s="203"/>
      <c r="J15" s="191"/>
      <c r="L15" s="337"/>
      <c r="M15" s="210"/>
      <c r="N15" s="210"/>
      <c r="O15" s="337"/>
      <c r="P15" s="362"/>
      <c r="Q15" s="210"/>
      <c r="R15" s="210"/>
      <c r="Z15" s="86"/>
      <c r="AA15" s="86"/>
      <c r="AB15" s="86"/>
      <c r="AC15" s="86"/>
      <c r="AD15" s="86"/>
      <c r="AE15" s="86"/>
      <c r="AG15" s="210"/>
    </row>
    <row r="16" spans="1:33" x14ac:dyDescent="0.25">
      <c r="A16" s="200" t="s">
        <v>41</v>
      </c>
      <c r="B16" s="191"/>
      <c r="C16" s="103">
        <v>99645732</v>
      </c>
      <c r="D16" s="251">
        <f>'Exhibit No.__(BDJ-Tariff)'!D125</f>
        <v>5.2347999999999999E-2</v>
      </c>
      <c r="E16" s="191"/>
      <c r="F16" s="203">
        <f t="shared" ref="F16" si="0">ROUND(D16*$C16,0)</f>
        <v>5216255</v>
      </c>
      <c r="G16" s="251">
        <f>G31</f>
        <v>5.1758999999999999E-2</v>
      </c>
      <c r="H16" s="191"/>
      <c r="I16" s="203">
        <f t="shared" ref="I16" si="1">ROUND(G16*$C16,0)</f>
        <v>5157563</v>
      </c>
      <c r="J16" s="208"/>
      <c r="K16" s="196" t="s">
        <v>130</v>
      </c>
      <c r="Q16" s="86"/>
      <c r="R16" s="86"/>
      <c r="S16" s="86"/>
      <c r="T16" s="86"/>
      <c r="U16" s="86"/>
      <c r="V16" s="86"/>
      <c r="W16" s="86"/>
      <c r="X16" s="86"/>
      <c r="Z16" s="210"/>
    </row>
    <row r="17" spans="1:26" x14ac:dyDescent="0.25">
      <c r="A17" s="134" t="s">
        <v>71</v>
      </c>
      <c r="B17" s="209"/>
      <c r="C17" s="234">
        <v>1164319</v>
      </c>
      <c r="D17" s="251">
        <f>ROUND(F17/C17,6)</f>
        <v>0.158384</v>
      </c>
      <c r="E17" s="191"/>
      <c r="F17" s="273">
        <v>184410</v>
      </c>
      <c r="G17" s="251">
        <f>ROUND(D17*(1+$I$41),6)</f>
        <v>0.15660099999999999</v>
      </c>
      <c r="H17" s="191"/>
      <c r="I17" s="273">
        <f t="shared" ref="I17" si="2">ROUND(G17*$C17,0)</f>
        <v>182334</v>
      </c>
      <c r="J17" s="208"/>
      <c r="K17" s="395" t="s">
        <v>568</v>
      </c>
      <c r="Q17" s="86"/>
      <c r="R17" s="86"/>
      <c r="S17" s="86"/>
      <c r="T17" s="86"/>
      <c r="U17" s="86"/>
      <c r="V17" s="86"/>
      <c r="W17" s="86"/>
      <c r="X17" s="86"/>
      <c r="Z17" s="210"/>
    </row>
    <row r="18" spans="1:26" x14ac:dyDescent="0.25">
      <c r="A18" s="197" t="s">
        <v>26</v>
      </c>
      <c r="B18" s="209"/>
      <c r="C18" s="207">
        <f>SUM(C16:C17)</f>
        <v>100810051</v>
      </c>
      <c r="D18" s="251"/>
      <c r="E18" s="191"/>
      <c r="F18" s="203">
        <f>SUM(F16:F17)</f>
        <v>5400665</v>
      </c>
      <c r="G18" s="251"/>
      <c r="H18" s="191"/>
      <c r="I18" s="203">
        <f>SUM(I16:I17)</f>
        <v>5339897</v>
      </c>
      <c r="J18" s="208"/>
      <c r="Q18" s="86"/>
      <c r="R18" s="86"/>
      <c r="S18" s="86"/>
      <c r="T18" s="86"/>
      <c r="U18" s="86"/>
      <c r="V18" s="86"/>
      <c r="W18" s="86"/>
      <c r="X18" s="86"/>
      <c r="Z18" s="210"/>
    </row>
    <row r="19" spans="1:26" x14ac:dyDescent="0.25">
      <c r="A19" s="197"/>
      <c r="B19" s="209"/>
      <c r="C19" s="207"/>
      <c r="D19" s="251"/>
      <c r="E19" s="191"/>
      <c r="F19" s="203"/>
      <c r="G19" s="251"/>
      <c r="H19" s="191"/>
      <c r="I19" s="203"/>
      <c r="J19" s="208"/>
      <c r="Q19" s="86"/>
      <c r="R19" s="86"/>
      <c r="S19" s="86"/>
      <c r="T19" s="86"/>
      <c r="U19" s="86"/>
      <c r="V19" s="86"/>
      <c r="W19" s="86"/>
      <c r="X19" s="86"/>
      <c r="Z19" s="210"/>
    </row>
    <row r="20" spans="1:26" x14ac:dyDescent="0.25">
      <c r="A20" s="190" t="s">
        <v>126</v>
      </c>
      <c r="B20" s="191"/>
      <c r="C20" s="103">
        <v>410250</v>
      </c>
      <c r="D20" s="135">
        <f>'Exhibit No.__(BDJ-Tariff)'!D127</f>
        <v>3.04</v>
      </c>
      <c r="E20" s="191"/>
      <c r="F20" s="203">
        <f t="shared" ref="F20" si="3">ROUND(D20*$C20,0)</f>
        <v>1247160</v>
      </c>
      <c r="G20" s="135">
        <f>D20</f>
        <v>3.04</v>
      </c>
      <c r="H20" s="191"/>
      <c r="I20" s="203">
        <f t="shared" ref="I20" si="4">ROUND(G20*$C20,0)</f>
        <v>1247160</v>
      </c>
      <c r="J20" s="208"/>
      <c r="K20" s="196" t="s">
        <v>552</v>
      </c>
      <c r="Q20" s="86"/>
      <c r="R20" s="86"/>
      <c r="S20" s="86"/>
      <c r="T20" s="86"/>
      <c r="U20" s="86"/>
      <c r="V20" s="86"/>
      <c r="W20" s="86"/>
      <c r="X20" s="86"/>
      <c r="Z20" s="210"/>
    </row>
    <row r="21" spans="1:26" x14ac:dyDescent="0.25">
      <c r="A21" s="134"/>
      <c r="B21" s="209"/>
      <c r="C21" s="207"/>
      <c r="D21" s="251"/>
      <c r="E21" s="191"/>
      <c r="F21" s="203"/>
      <c r="G21" s="251"/>
      <c r="H21" s="191"/>
      <c r="I21" s="203"/>
      <c r="J21" s="208"/>
      <c r="Q21" s="86"/>
      <c r="R21" s="86"/>
      <c r="S21" s="86"/>
      <c r="T21" s="86"/>
      <c r="U21" s="86"/>
      <c r="V21" s="86"/>
      <c r="W21" s="86"/>
      <c r="X21" s="86"/>
      <c r="Z21" s="210"/>
    </row>
    <row r="22" spans="1:26" ht="16.5" thickBot="1" x14ac:dyDescent="0.3">
      <c r="A22" s="191" t="s">
        <v>30</v>
      </c>
      <c r="B22" s="191"/>
      <c r="C22" s="207"/>
      <c r="D22" s="235"/>
      <c r="E22" s="216"/>
      <c r="F22" s="323">
        <f>SUM(F20,F18)</f>
        <v>6647825</v>
      </c>
      <c r="G22" s="235"/>
      <c r="H22" s="216"/>
      <c r="I22" s="323">
        <f>SUM(I20,I18)</f>
        <v>6587057</v>
      </c>
      <c r="J22" s="236"/>
      <c r="K22" s="196"/>
      <c r="Q22" s="86"/>
      <c r="R22" s="86"/>
      <c r="S22" s="86"/>
      <c r="T22" s="86"/>
      <c r="U22" s="86"/>
      <c r="V22" s="86"/>
      <c r="W22" s="86"/>
      <c r="X22" s="86"/>
      <c r="Z22" s="210"/>
    </row>
    <row r="23" spans="1:26" ht="16.5" thickTop="1" x14ac:dyDescent="0.25">
      <c r="A23" s="191"/>
      <c r="B23" s="191"/>
      <c r="C23" s="207"/>
      <c r="D23" s="235"/>
      <c r="E23" s="216"/>
      <c r="F23" s="208"/>
      <c r="G23" s="235"/>
      <c r="H23" s="216"/>
      <c r="I23" s="208"/>
      <c r="J23" s="208"/>
      <c r="Q23" s="86"/>
      <c r="R23" s="86"/>
      <c r="S23" s="86"/>
      <c r="T23" s="86"/>
      <c r="U23" s="86"/>
      <c r="V23" s="86"/>
      <c r="W23" s="86"/>
      <c r="X23" s="86"/>
      <c r="Z23" s="210"/>
    </row>
    <row r="24" spans="1:26" x14ac:dyDescent="0.25">
      <c r="A24" s="190" t="s">
        <v>127</v>
      </c>
      <c r="C24" s="324">
        <v>0.9</v>
      </c>
      <c r="D24" s="251">
        <f>+D16*C24</f>
        <v>4.7113200000000001E-2</v>
      </c>
      <c r="E24" s="10">
        <f>+E12*C24</f>
        <v>0</v>
      </c>
      <c r="F24" s="208"/>
      <c r="G24" s="251">
        <f>ROUND(+G16*C24,6)</f>
        <v>4.6582999999999999E-2</v>
      </c>
      <c r="H24" s="216"/>
      <c r="I24" s="208"/>
      <c r="J24" s="208"/>
      <c r="K24" s="208"/>
      <c r="Q24" s="86"/>
      <c r="R24" s="86"/>
      <c r="S24" s="86"/>
      <c r="T24" s="86"/>
      <c r="U24" s="86"/>
      <c r="V24" s="86"/>
      <c r="W24" s="86"/>
      <c r="X24" s="86"/>
      <c r="Z24" s="210"/>
    </row>
    <row r="25" spans="1:26" x14ac:dyDescent="0.25">
      <c r="A25" s="190" t="s">
        <v>128</v>
      </c>
      <c r="C25" s="1">
        <v>12</v>
      </c>
      <c r="D25" s="135">
        <f>+C25*D20</f>
        <v>36.480000000000004</v>
      </c>
      <c r="E25" s="19">
        <f>+C25*E14</f>
        <v>0</v>
      </c>
      <c r="F25" s="203"/>
      <c r="G25" s="135">
        <f>ROUND(+C25*G20,2)</f>
        <v>36.479999999999997</v>
      </c>
      <c r="H25" s="191"/>
      <c r="Q25" s="86"/>
      <c r="R25" s="86"/>
      <c r="S25" s="86"/>
      <c r="T25" s="86"/>
      <c r="U25" s="86"/>
      <c r="V25" s="86"/>
      <c r="W25" s="86"/>
      <c r="X25" s="86"/>
      <c r="Z25" s="210"/>
    </row>
    <row r="26" spans="1:26" x14ac:dyDescent="0.25">
      <c r="A26" s="191"/>
      <c r="B26" s="191"/>
      <c r="C26" s="103"/>
      <c r="D26" s="250" t="s">
        <v>0</v>
      </c>
      <c r="E26" s="191"/>
      <c r="F26" s="203"/>
      <c r="G26" s="250" t="s">
        <v>0</v>
      </c>
      <c r="H26" s="191"/>
      <c r="I26" s="203" t="s">
        <v>0</v>
      </c>
      <c r="J26" s="203" t="s">
        <v>0</v>
      </c>
      <c r="K26" s="203" t="s">
        <v>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</row>
    <row r="27" spans="1:26" x14ac:dyDescent="0.25">
      <c r="A27" s="332" t="s">
        <v>129</v>
      </c>
      <c r="B27" s="191"/>
      <c r="C27" s="191" t="s">
        <v>0</v>
      </c>
      <c r="D27" s="203"/>
      <c r="E27" s="191"/>
      <c r="F27" s="191"/>
      <c r="G27" s="203"/>
      <c r="H27" s="191"/>
      <c r="I27" s="191"/>
      <c r="J27" s="191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spans="1:26" x14ac:dyDescent="0.25">
      <c r="A28" s="190" t="s">
        <v>52</v>
      </c>
      <c r="B28" s="191"/>
      <c r="C28" s="191"/>
      <c r="D28" s="203"/>
      <c r="E28" s="191"/>
      <c r="F28" s="191"/>
      <c r="G28" s="203"/>
      <c r="H28" s="191"/>
      <c r="I28" s="191"/>
      <c r="J28" s="191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spans="1:26" x14ac:dyDescent="0.25">
      <c r="A29" s="190" t="s">
        <v>125</v>
      </c>
      <c r="B29" s="191"/>
      <c r="C29" s="103">
        <v>214</v>
      </c>
      <c r="D29" s="251"/>
      <c r="E29" s="191"/>
      <c r="F29" s="203"/>
      <c r="G29" s="251"/>
      <c r="H29" s="191"/>
      <c r="I29" s="203"/>
      <c r="J29" s="191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</row>
    <row r="30" spans="1:26" x14ac:dyDescent="0.25">
      <c r="A30" s="191" t="s">
        <v>75</v>
      </c>
      <c r="B30" s="191"/>
      <c r="C30" s="103"/>
      <c r="D30" s="251"/>
      <c r="E30" s="191"/>
      <c r="F30" s="203"/>
      <c r="G30" s="251"/>
      <c r="H30" s="191"/>
      <c r="I30" s="203"/>
      <c r="J30" s="191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</row>
    <row r="31" spans="1:26" x14ac:dyDescent="0.25">
      <c r="A31" s="200" t="s">
        <v>41</v>
      </c>
      <c r="B31" s="191"/>
      <c r="C31" s="103">
        <v>525875760</v>
      </c>
      <c r="D31" s="251">
        <f>'Exhibit No.__(BDJ-Tariff)'!D133</f>
        <v>5.2347999999999999E-2</v>
      </c>
      <c r="E31" s="191"/>
      <c r="F31" s="203">
        <f t="shared" ref="F31" si="5">ROUND(D31*$C31,0)</f>
        <v>27528544</v>
      </c>
      <c r="G31" s="251">
        <f>ROUND(D31*(1+$I$41),6)</f>
        <v>5.1758999999999999E-2</v>
      </c>
      <c r="H31" s="191"/>
      <c r="I31" s="203">
        <f t="shared" ref="I31" si="6">ROUND(G31*$C31,0)</f>
        <v>27218803</v>
      </c>
      <c r="J31" s="208"/>
      <c r="K31" s="395" t="s">
        <v>568</v>
      </c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spans="1:26" x14ac:dyDescent="0.25">
      <c r="A32" s="134" t="s">
        <v>71</v>
      </c>
      <c r="B32" s="209"/>
      <c r="C32" s="234">
        <v>-12582023</v>
      </c>
      <c r="D32" s="251">
        <f>ROUND(F32/C32,6)</f>
        <v>6.3047000000000006E-2</v>
      </c>
      <c r="E32" s="191"/>
      <c r="F32" s="273">
        <v>-793258</v>
      </c>
      <c r="G32" s="251">
        <f>ROUND(D32*(1+$I$41),6)</f>
        <v>6.2336999999999997E-2</v>
      </c>
      <c r="H32" s="191"/>
      <c r="I32" s="273">
        <f>ROUND(G32*$C32,0)</f>
        <v>-784326</v>
      </c>
      <c r="J32" s="208"/>
      <c r="K32" s="395" t="s">
        <v>568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</row>
    <row r="33" spans="1:24" x14ac:dyDescent="0.25">
      <c r="A33" s="197" t="s">
        <v>26</v>
      </c>
      <c r="B33" s="209"/>
      <c r="C33" s="207">
        <f>SUM(C31:C32)</f>
        <v>513293737</v>
      </c>
      <c r="D33" s="251"/>
      <c r="E33" s="191"/>
      <c r="F33" s="203">
        <f>SUM(F31:F32)</f>
        <v>26735286</v>
      </c>
      <c r="G33" s="251"/>
      <c r="H33" s="191"/>
      <c r="I33" s="203">
        <f>SUM(I31:I32)</f>
        <v>26434477</v>
      </c>
      <c r="J33" s="208"/>
      <c r="K33" s="19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spans="1:24" x14ac:dyDescent="0.25">
      <c r="A34" s="197"/>
      <c r="B34" s="209"/>
      <c r="C34" s="207"/>
      <c r="D34" s="251"/>
      <c r="E34" s="191"/>
      <c r="F34" s="203"/>
      <c r="G34" s="251"/>
      <c r="H34" s="191"/>
      <c r="I34" s="203"/>
      <c r="J34" s="208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</row>
    <row r="35" spans="1:24" x14ac:dyDescent="0.25">
      <c r="A35" s="190" t="s">
        <v>126</v>
      </c>
      <c r="B35" s="191"/>
      <c r="C35" s="103">
        <v>1338178</v>
      </c>
      <c r="D35" s="135">
        <f>'Exhibit No.__(BDJ-Tariff)'!D135</f>
        <v>5.65</v>
      </c>
      <c r="E35" s="191"/>
      <c r="F35" s="203">
        <f t="shared" ref="F35" si="7">ROUND(D35*$C35,0)</f>
        <v>7560706</v>
      </c>
      <c r="G35" s="135">
        <f>D35</f>
        <v>5.65</v>
      </c>
      <c r="H35" s="191"/>
      <c r="I35" s="203">
        <f>ROUND(G35*$C35,0)</f>
        <v>7560706</v>
      </c>
      <c r="J35" s="208"/>
      <c r="K35" s="196" t="s">
        <v>552</v>
      </c>
      <c r="L35" s="86"/>
      <c r="M35" s="86"/>
      <c r="N35" s="277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spans="1:24" x14ac:dyDescent="0.25">
      <c r="A36" s="134"/>
      <c r="B36" s="209"/>
      <c r="C36" s="207"/>
      <c r="D36" s="251"/>
      <c r="E36" s="191"/>
      <c r="F36" s="203"/>
      <c r="G36" s="251"/>
      <c r="H36" s="191"/>
      <c r="I36" s="203"/>
      <c r="J36" s="208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spans="1:24" ht="16.5" thickBot="1" x14ac:dyDescent="0.3">
      <c r="A37" s="191" t="s">
        <v>30</v>
      </c>
      <c r="B37" s="191"/>
      <c r="C37" s="207"/>
      <c r="D37" s="235"/>
      <c r="E37" s="216"/>
      <c r="F37" s="323">
        <f>SUM(F35,F33)</f>
        <v>34295992</v>
      </c>
      <c r="G37" s="235"/>
      <c r="H37" s="216"/>
      <c r="I37" s="323">
        <f>SUM(I35,I33)</f>
        <v>33995183</v>
      </c>
      <c r="J37" s="23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spans="1:24" ht="16.5" thickTop="1" x14ac:dyDescent="0.25">
      <c r="A38" s="191"/>
      <c r="B38" s="191"/>
      <c r="C38" s="103"/>
      <c r="D38" s="137"/>
      <c r="E38" s="191"/>
      <c r="F38" s="203"/>
      <c r="G38" s="137"/>
      <c r="H38" s="191"/>
      <c r="J38" s="203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1:24" x14ac:dyDescent="0.25">
      <c r="A39" s="325" t="s">
        <v>349</v>
      </c>
      <c r="B39" s="263"/>
      <c r="C39" s="262"/>
      <c r="D39" s="326"/>
      <c r="E39" s="263"/>
      <c r="F39" s="264"/>
      <c r="G39" s="326"/>
      <c r="H39" s="263"/>
      <c r="I39" s="265">
        <f>'Exhibit No.__(BDJ-Rate Spread)'!K22*1000</f>
        <v>40582101.308909617</v>
      </c>
      <c r="J39" s="203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</row>
    <row r="40" spans="1:24" x14ac:dyDescent="0.25">
      <c r="A40" s="327" t="s">
        <v>517</v>
      </c>
      <c r="B40" s="328"/>
      <c r="C40" s="328"/>
      <c r="D40" s="329"/>
      <c r="E40" s="216"/>
      <c r="F40" s="208"/>
      <c r="G40" s="329"/>
      <c r="H40" s="216"/>
      <c r="I40" s="364">
        <f>I39/SUM(F22,F37)-1</f>
        <v>-8.8344399128782447E-3</v>
      </c>
      <c r="J40" s="203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</row>
    <row r="41" spans="1:24" x14ac:dyDescent="0.25">
      <c r="A41" s="281" t="s">
        <v>569</v>
      </c>
      <c r="B41" s="216"/>
      <c r="C41" s="207"/>
      <c r="D41" s="329"/>
      <c r="E41" s="216"/>
      <c r="F41" s="208"/>
      <c r="G41" s="329"/>
      <c r="H41" s="216"/>
      <c r="I41" s="364">
        <f>(I39-F37-F22)/(F33+F18)</f>
        <v>-1.1255795451343035E-2</v>
      </c>
      <c r="J41" s="208"/>
      <c r="K41" s="237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</row>
    <row r="42" spans="1:24" x14ac:dyDescent="0.25">
      <c r="A42" s="330" t="s">
        <v>29</v>
      </c>
      <c r="B42" s="216"/>
      <c r="C42" s="207"/>
      <c r="D42" s="329"/>
      <c r="E42" s="216"/>
      <c r="F42" s="208"/>
      <c r="G42" s="329"/>
      <c r="H42" s="216"/>
      <c r="I42" s="268">
        <f>I37-I39--I22</f>
        <v>138.69109038263559</v>
      </c>
      <c r="J42" s="208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</row>
    <row r="43" spans="1:24" x14ac:dyDescent="0.25">
      <c r="A43" s="330" t="s">
        <v>281</v>
      </c>
      <c r="B43" s="216"/>
      <c r="C43" s="207"/>
      <c r="D43" s="329"/>
      <c r="E43" s="216"/>
      <c r="F43" s="208"/>
      <c r="G43" s="329"/>
      <c r="H43" s="216"/>
      <c r="I43" s="286">
        <f>'Exhibit No.__(BDJ-SV RD)'!M7</f>
        <v>0</v>
      </c>
      <c r="J43" s="208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</row>
    <row r="44" spans="1:24" x14ac:dyDescent="0.25">
      <c r="A44" s="301" t="s">
        <v>346</v>
      </c>
      <c r="B44" s="271"/>
      <c r="C44" s="234"/>
      <c r="D44" s="331"/>
      <c r="E44" s="272"/>
      <c r="F44" s="273"/>
      <c r="G44" s="331"/>
      <c r="H44" s="272"/>
      <c r="I44" s="286">
        <f>I42/(C31+C16)</f>
        <v>2.2172074366173112E-7</v>
      </c>
      <c r="J44" s="203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</sheetData>
  <mergeCells count="7"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59" orientation="landscape" r:id="rId1"/>
  <headerFooter alignWithMargins="0">
    <oddFooter>&amp;L&amp;A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AE59"/>
  <sheetViews>
    <sheetView zoomScale="90" zoomScaleNormal="90" zoomScaleSheetLayoutView="80" workbookViewId="0">
      <pane ySplit="10" topLeftCell="A11" activePane="bottomLeft" state="frozen"/>
      <selection activeCell="C31" sqref="C31"/>
      <selection pane="bottomLeft" activeCell="C31" sqref="C31"/>
    </sheetView>
  </sheetViews>
  <sheetFormatPr defaultColWidth="10.25" defaultRowHeight="15.75" x14ac:dyDescent="0.25"/>
  <cols>
    <col min="1" max="1" width="27.875" style="68" bestFit="1" customWidth="1"/>
    <col min="2" max="2" width="1.375" style="68" bestFit="1" customWidth="1"/>
    <col min="3" max="3" width="13.125" style="68" bestFit="1" customWidth="1"/>
    <col min="4" max="4" width="10.625" style="68" bestFit="1" customWidth="1"/>
    <col min="5" max="5" width="2" style="68" bestFit="1" customWidth="1"/>
    <col min="6" max="6" width="11.125" style="68" bestFit="1" customWidth="1"/>
    <col min="7" max="7" width="12.875" style="68" customWidth="1"/>
    <col min="8" max="8" width="2" style="68" bestFit="1" customWidth="1"/>
    <col min="9" max="9" width="11.5" style="68" bestFit="1" customWidth="1"/>
    <col min="10" max="10" width="1.625" style="68" customWidth="1"/>
    <col min="11" max="11" width="20.75" style="68" bestFit="1" customWidth="1"/>
    <col min="12" max="12" width="13" style="68" bestFit="1" customWidth="1"/>
    <col min="13" max="13" width="12.25" style="68" bestFit="1" customWidth="1"/>
    <col min="14" max="14" width="5.5" style="68" bestFit="1" customWidth="1"/>
    <col min="15" max="15" width="1.375" style="68" bestFit="1" customWidth="1"/>
    <col min="16" max="16" width="10.25" style="68" customWidth="1"/>
    <col min="17" max="17" width="12.125" style="68" customWidth="1"/>
    <col min="18" max="16384" width="10.25" style="68"/>
  </cols>
  <sheetData>
    <row r="1" spans="1:31" ht="18.75" x14ac:dyDescent="0.3">
      <c r="A1" s="461" t="s">
        <v>43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31" ht="18.75" x14ac:dyDescent="0.3">
      <c r="A2" s="461" t="s">
        <v>20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31" ht="18.75" x14ac:dyDescent="0.3">
      <c r="A3" s="461" t="str">
        <f>'Exhibit No.__(BDJ-Prof-Prop)'!$A$6</f>
        <v>12 MONTHS ENDED JUNE 2021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31" ht="18.75" x14ac:dyDescent="0.3">
      <c r="A4" s="461" t="s">
        <v>21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31" ht="18.75" x14ac:dyDescent="0.3">
      <c r="A5" s="461" t="s">
        <v>289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</row>
    <row r="6" spans="1:31" x14ac:dyDescent="0.25">
      <c r="A6" s="182"/>
      <c r="B6" s="183"/>
      <c r="C6" s="183"/>
      <c r="D6" s="184"/>
      <c r="E6" s="184"/>
      <c r="F6" s="183"/>
      <c r="G6" s="184"/>
      <c r="H6" s="183"/>
      <c r="I6" s="183"/>
      <c r="J6" s="183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</row>
    <row r="7" spans="1:31" x14ac:dyDescent="0.25">
      <c r="A7" s="183"/>
      <c r="B7" s="183"/>
      <c r="C7" s="183"/>
      <c r="D7" s="184"/>
      <c r="E7" s="184"/>
      <c r="F7" s="183"/>
      <c r="G7" s="184"/>
      <c r="H7" s="183"/>
      <c r="I7" s="183"/>
      <c r="J7" s="183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</row>
    <row r="8" spans="1:31" x14ac:dyDescent="0.25">
      <c r="A8" s="185"/>
      <c r="B8" s="185"/>
      <c r="C8" s="186"/>
      <c r="D8" s="185"/>
      <c r="E8" s="185"/>
      <c r="G8" s="185"/>
      <c r="H8" s="187"/>
      <c r="I8" s="187"/>
      <c r="J8" s="187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</row>
    <row r="9" spans="1:31" x14ac:dyDescent="0.25">
      <c r="A9" s="185"/>
      <c r="B9" s="185"/>
      <c r="C9" s="186" t="s">
        <v>22</v>
      </c>
      <c r="D9" s="473" t="s">
        <v>3</v>
      </c>
      <c r="E9" s="474"/>
      <c r="F9" s="475"/>
      <c r="G9" s="476" t="str">
        <f>'Exhibit No.__(BDJ-Res RD)'!$G$8</f>
        <v>Proposed Effective 
January 2023</v>
      </c>
      <c r="H9" s="474"/>
      <c r="I9" s="475"/>
      <c r="J9" s="187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</row>
    <row r="10" spans="1:31" x14ac:dyDescent="0.25">
      <c r="A10" s="185"/>
      <c r="B10" s="185"/>
      <c r="C10" s="188" t="s">
        <v>23</v>
      </c>
      <c r="D10" s="189" t="s">
        <v>24</v>
      </c>
      <c r="E10" s="401"/>
      <c r="F10" s="187" t="s">
        <v>25</v>
      </c>
      <c r="G10" s="189" t="s">
        <v>24</v>
      </c>
      <c r="H10" s="189"/>
      <c r="I10" s="189" t="s">
        <v>25</v>
      </c>
      <c r="J10" s="189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</row>
    <row r="11" spans="1:31" x14ac:dyDescent="0.25">
      <c r="C11" s="103"/>
      <c r="D11" s="191" t="s">
        <v>0</v>
      </c>
      <c r="E11" s="103"/>
      <c r="F11" s="203"/>
      <c r="G11" s="191" t="s">
        <v>0</v>
      </c>
      <c r="H11" s="103"/>
      <c r="I11" s="203" t="s">
        <v>0</v>
      </c>
      <c r="J11" s="203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X11" s="210"/>
    </row>
    <row r="12" spans="1:31" x14ac:dyDescent="0.25">
      <c r="A12" s="332" t="s">
        <v>131</v>
      </c>
      <c r="B12" s="191"/>
      <c r="C12" s="191" t="s">
        <v>0</v>
      </c>
      <c r="D12" s="203"/>
      <c r="E12" s="191"/>
      <c r="F12" s="191"/>
      <c r="G12" s="203"/>
      <c r="H12" s="191"/>
      <c r="I12" s="191"/>
      <c r="J12" s="191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X12" s="210"/>
    </row>
    <row r="13" spans="1:31" x14ac:dyDescent="0.25">
      <c r="A13" s="190" t="s">
        <v>132</v>
      </c>
      <c r="B13" s="191"/>
      <c r="C13" s="191"/>
      <c r="D13" s="203"/>
      <c r="E13" s="191"/>
      <c r="F13" s="191"/>
      <c r="G13" s="203"/>
      <c r="H13" s="191"/>
      <c r="I13" s="191"/>
      <c r="J13" s="191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X13" s="210"/>
    </row>
    <row r="14" spans="1:31" x14ac:dyDescent="0.25">
      <c r="A14" s="190" t="s">
        <v>315</v>
      </c>
      <c r="B14" s="191"/>
      <c r="C14" s="103">
        <v>240</v>
      </c>
      <c r="D14" s="135">
        <f>'Exhibit No.__(BDJ-Tariff)'!$D$138</f>
        <v>2277</v>
      </c>
      <c r="E14" s="191"/>
      <c r="F14" s="203">
        <f t="shared" ref="F14" si="0">ROUND(D14*$C14,0)</f>
        <v>546480</v>
      </c>
      <c r="G14" s="338">
        <v>2108</v>
      </c>
      <c r="H14" s="191"/>
      <c r="I14" s="203">
        <f t="shared" ref="I14" si="1">ROUND(G14*$C14,0)</f>
        <v>505920</v>
      </c>
      <c r="J14" s="208"/>
      <c r="K14" s="395" t="s">
        <v>306</v>
      </c>
      <c r="L14" s="210"/>
      <c r="M14" s="337"/>
      <c r="N14" s="362"/>
      <c r="O14" s="210"/>
      <c r="P14" s="210"/>
      <c r="X14" s="86"/>
      <c r="Y14" s="86"/>
      <c r="Z14" s="86"/>
      <c r="AA14" s="86"/>
      <c r="AB14" s="86"/>
      <c r="AC14" s="86"/>
      <c r="AE14" s="210"/>
    </row>
    <row r="15" spans="1:31" x14ac:dyDescent="0.25">
      <c r="A15" s="191" t="s">
        <v>75</v>
      </c>
      <c r="B15" s="191"/>
      <c r="C15" s="103"/>
      <c r="D15" s="251"/>
      <c r="E15" s="191"/>
      <c r="F15" s="203"/>
      <c r="G15" s="251"/>
      <c r="H15" s="191"/>
      <c r="I15" s="203"/>
      <c r="J15" s="191"/>
      <c r="K15" s="395"/>
      <c r="L15" s="210"/>
      <c r="M15" s="337"/>
      <c r="N15" s="362"/>
      <c r="O15" s="210"/>
      <c r="P15" s="210"/>
      <c r="X15" s="86"/>
      <c r="Y15" s="86"/>
      <c r="Z15" s="86"/>
      <c r="AA15" s="86"/>
      <c r="AB15" s="86"/>
      <c r="AC15" s="86"/>
      <c r="AE15" s="210"/>
    </row>
    <row r="16" spans="1:31" x14ac:dyDescent="0.25">
      <c r="A16" s="200" t="s">
        <v>41</v>
      </c>
      <c r="B16" s="191"/>
      <c r="C16" s="103">
        <v>1909711953</v>
      </c>
      <c r="D16" s="251">
        <v>0</v>
      </c>
      <c r="E16" s="191"/>
      <c r="F16" s="203">
        <f t="shared" ref="F16:F17" si="2">ROUND(D16*$C16,0)</f>
        <v>0</v>
      </c>
      <c r="G16" s="251">
        <v>0</v>
      </c>
      <c r="H16" s="191"/>
      <c r="I16" s="203">
        <f t="shared" ref="I16:I17" si="3">ROUND(G16*$C16,0)</f>
        <v>0</v>
      </c>
      <c r="J16" s="208"/>
      <c r="K16" s="86"/>
      <c r="O16" s="86"/>
      <c r="P16" s="86"/>
      <c r="Q16" s="86"/>
      <c r="R16" s="86"/>
      <c r="S16" s="86"/>
      <c r="T16" s="86"/>
      <c r="U16" s="86"/>
      <c r="V16" s="86"/>
      <c r="X16" s="210"/>
    </row>
    <row r="17" spans="1:24" x14ac:dyDescent="0.25">
      <c r="A17" s="200" t="s">
        <v>69</v>
      </c>
      <c r="B17" s="110"/>
      <c r="C17" s="103">
        <v>0</v>
      </c>
      <c r="D17" s="251">
        <v>0</v>
      </c>
      <c r="E17" s="251"/>
      <c r="F17" s="203">
        <f t="shared" si="2"/>
        <v>0</v>
      </c>
      <c r="G17" s="251">
        <v>0</v>
      </c>
      <c r="H17" s="191"/>
      <c r="I17" s="203">
        <f t="shared" si="3"/>
        <v>0</v>
      </c>
      <c r="J17" s="208"/>
      <c r="K17" s="86"/>
      <c r="O17" s="86"/>
      <c r="P17" s="86"/>
      <c r="Q17" s="86"/>
      <c r="R17" s="86"/>
      <c r="S17" s="86"/>
      <c r="T17" s="86"/>
      <c r="U17" s="86"/>
      <c r="V17" s="86"/>
      <c r="X17" s="210"/>
    </row>
    <row r="18" spans="1:24" x14ac:dyDescent="0.25">
      <c r="A18" s="134" t="s">
        <v>71</v>
      </c>
      <c r="B18" s="209"/>
      <c r="C18" s="234">
        <v>35502214</v>
      </c>
      <c r="D18" s="251">
        <f>ROUND(F18/C18,6)</f>
        <v>5.2820000000000002E-3</v>
      </c>
      <c r="E18" s="191"/>
      <c r="F18" s="273">
        <v>187536</v>
      </c>
      <c r="G18" s="251">
        <f>D18</f>
        <v>5.2820000000000002E-3</v>
      </c>
      <c r="H18" s="191"/>
      <c r="I18" s="273">
        <f>ROUND(G18*$C18,0)</f>
        <v>187523</v>
      </c>
      <c r="J18" s="208"/>
      <c r="K18" s="196"/>
      <c r="O18" s="86"/>
      <c r="P18" s="86"/>
      <c r="Q18" s="86"/>
      <c r="R18" s="86"/>
      <c r="S18" s="86"/>
      <c r="T18" s="86"/>
      <c r="U18" s="86"/>
      <c r="V18" s="86"/>
      <c r="X18" s="210"/>
    </row>
    <row r="19" spans="1:24" x14ac:dyDescent="0.25">
      <c r="A19" s="197" t="s">
        <v>26</v>
      </c>
      <c r="B19" s="209"/>
      <c r="C19" s="207">
        <f>SUM(C16:C18)</f>
        <v>1945214167</v>
      </c>
      <c r="D19" s="251"/>
      <c r="E19" s="191"/>
      <c r="F19" s="203">
        <f>SUM(F16:F18)</f>
        <v>187536</v>
      </c>
      <c r="G19" s="251"/>
      <c r="H19" s="191"/>
      <c r="I19" s="203">
        <f>SUM(I16:I18)</f>
        <v>187523</v>
      </c>
      <c r="J19" s="208"/>
      <c r="O19" s="86"/>
      <c r="P19" s="86"/>
      <c r="Q19" s="86"/>
      <c r="R19" s="86"/>
      <c r="S19" s="86"/>
      <c r="T19" s="86"/>
      <c r="U19" s="86"/>
      <c r="V19" s="86"/>
      <c r="X19" s="210"/>
    </row>
    <row r="20" spans="1:24" x14ac:dyDescent="0.25">
      <c r="A20" s="197"/>
      <c r="B20" s="209"/>
      <c r="C20" s="207"/>
      <c r="D20" s="251"/>
      <c r="E20" s="191"/>
      <c r="F20" s="203"/>
      <c r="G20" s="251"/>
      <c r="H20" s="191"/>
      <c r="I20" s="203"/>
      <c r="J20" s="208"/>
      <c r="O20" s="86"/>
      <c r="P20" s="86"/>
      <c r="Q20" s="86"/>
      <c r="R20" s="86"/>
      <c r="S20" s="86"/>
      <c r="T20" s="86"/>
      <c r="U20" s="86"/>
      <c r="V20" s="86"/>
      <c r="X20" s="210"/>
    </row>
    <row r="21" spans="1:24" x14ac:dyDescent="0.25">
      <c r="A21" s="191" t="s">
        <v>290</v>
      </c>
      <c r="B21" s="191"/>
      <c r="C21" s="207">
        <v>4161766</v>
      </c>
      <c r="D21" s="235"/>
      <c r="E21" s="216"/>
      <c r="F21" s="203"/>
      <c r="G21" s="251"/>
      <c r="H21" s="191"/>
      <c r="I21" s="203"/>
      <c r="J21" s="208"/>
      <c r="O21" s="86"/>
      <c r="P21" s="86"/>
      <c r="Q21" s="86"/>
      <c r="R21" s="86"/>
      <c r="S21" s="86"/>
      <c r="T21" s="86"/>
      <c r="U21" s="86"/>
      <c r="V21" s="86"/>
      <c r="X21" s="210"/>
    </row>
    <row r="22" spans="1:24" x14ac:dyDescent="0.25">
      <c r="A22" s="191"/>
      <c r="B22" s="191"/>
      <c r="C22" s="207"/>
      <c r="D22" s="235"/>
      <c r="E22" s="216"/>
      <c r="F22" s="208"/>
      <c r="G22" s="235"/>
      <c r="H22" s="216"/>
      <c r="I22" s="208"/>
      <c r="J22" s="208"/>
      <c r="O22" s="86"/>
      <c r="P22" s="86"/>
      <c r="Q22" s="86"/>
      <c r="R22" s="86"/>
      <c r="S22" s="86"/>
      <c r="T22" s="86"/>
      <c r="U22" s="86"/>
      <c r="V22" s="86"/>
      <c r="X22" s="210"/>
    </row>
    <row r="23" spans="1:24" x14ac:dyDescent="0.25">
      <c r="A23" s="190" t="s">
        <v>134</v>
      </c>
      <c r="B23" s="191"/>
      <c r="C23" s="103"/>
      <c r="D23" s="339"/>
      <c r="E23" s="191"/>
      <c r="F23" s="203">
        <v>8794531</v>
      </c>
      <c r="G23" s="251"/>
      <c r="H23" s="191"/>
      <c r="I23" s="203">
        <f>F23</f>
        <v>8794531</v>
      </c>
      <c r="J23" s="208"/>
      <c r="K23" s="395"/>
      <c r="O23" s="86"/>
      <c r="P23" s="86"/>
      <c r="Q23" s="86"/>
      <c r="R23" s="86"/>
      <c r="S23" s="86"/>
      <c r="T23" s="86"/>
      <c r="U23" s="86"/>
      <c r="V23" s="86"/>
      <c r="X23" s="210"/>
    </row>
    <row r="24" spans="1:24" x14ac:dyDescent="0.25">
      <c r="A24" s="134"/>
      <c r="B24" s="209"/>
      <c r="C24" s="207"/>
      <c r="D24" s="251"/>
      <c r="E24" s="191"/>
      <c r="F24" s="203"/>
      <c r="G24" s="251"/>
      <c r="H24" s="191"/>
      <c r="I24" s="203"/>
      <c r="J24" s="208"/>
      <c r="K24" s="395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4" ht="16.5" thickBot="1" x14ac:dyDescent="0.3">
      <c r="A25" s="191" t="s">
        <v>30</v>
      </c>
      <c r="B25" s="191"/>
      <c r="C25" s="207"/>
      <c r="D25" s="235"/>
      <c r="E25" s="216"/>
      <c r="F25" s="323">
        <f>SUM(F21,F19,F14,F23)</f>
        <v>9528547</v>
      </c>
      <c r="G25" s="235"/>
      <c r="H25" s="216"/>
      <c r="I25" s="323">
        <f>SUM(I21,I19,I14,I23)</f>
        <v>9487974</v>
      </c>
      <c r="J25" s="236"/>
      <c r="K25" s="340">
        <f>I25-F25</f>
        <v>-40573</v>
      </c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</row>
    <row r="26" spans="1:24" ht="16.5" thickTop="1" x14ac:dyDescent="0.25">
      <c r="A26" s="191"/>
      <c r="B26" s="191"/>
      <c r="C26" s="103"/>
      <c r="D26" s="137"/>
      <c r="E26" s="191"/>
      <c r="F26" s="203"/>
      <c r="G26" s="137"/>
      <c r="H26" s="191"/>
      <c r="I26" s="203"/>
      <c r="J26" s="203"/>
      <c r="K26" s="395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</row>
    <row r="27" spans="1:24" x14ac:dyDescent="0.25">
      <c r="A27" s="200"/>
      <c r="B27" s="191"/>
      <c r="C27" s="103"/>
      <c r="D27" s="135"/>
      <c r="E27" s="191"/>
      <c r="F27" s="203"/>
      <c r="G27" s="135"/>
      <c r="H27" s="191"/>
      <c r="I27" s="203"/>
      <c r="J27" s="203"/>
      <c r="K27" s="395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</row>
    <row r="28" spans="1:24" x14ac:dyDescent="0.25">
      <c r="A28" s="200"/>
      <c r="B28" s="191"/>
      <c r="C28" s="103"/>
      <c r="D28" s="135"/>
      <c r="E28" s="191"/>
      <c r="F28" s="203"/>
      <c r="G28" s="135"/>
      <c r="H28" s="191"/>
      <c r="I28" s="203"/>
      <c r="J28" s="203"/>
      <c r="K28" s="395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</row>
    <row r="29" spans="1:24" x14ac:dyDescent="0.25">
      <c r="A29" s="332" t="s">
        <v>307</v>
      </c>
      <c r="B29" s="191"/>
      <c r="C29" s="103"/>
      <c r="D29" s="135"/>
      <c r="E29" s="191"/>
      <c r="F29" s="203"/>
      <c r="G29" s="135"/>
      <c r="H29" s="191"/>
      <c r="I29" s="203"/>
      <c r="J29" s="203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</row>
    <row r="30" spans="1:24" x14ac:dyDescent="0.25">
      <c r="A30" s="197" t="s">
        <v>315</v>
      </c>
      <c r="B30" s="191"/>
      <c r="C30" s="103">
        <v>1078</v>
      </c>
      <c r="D30" s="135">
        <f>'Exhibit No.__(BDJ-Tariff)'!$D$109</f>
        <v>236</v>
      </c>
      <c r="E30" s="191"/>
      <c r="F30" s="203">
        <f t="shared" ref="F30" si="4">ROUND(D30*$C30,0)</f>
        <v>254408</v>
      </c>
      <c r="G30" s="338">
        <v>396</v>
      </c>
      <c r="H30" s="191"/>
      <c r="I30" s="203">
        <f>ROUND(G30*$C30,0)</f>
        <v>426888</v>
      </c>
      <c r="J30" s="208"/>
      <c r="K30" s="395" t="s">
        <v>306</v>
      </c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</row>
    <row r="31" spans="1:24" x14ac:dyDescent="0.25">
      <c r="A31" s="197"/>
      <c r="B31" s="191"/>
      <c r="C31" s="103"/>
      <c r="D31" s="135"/>
      <c r="E31" s="191"/>
      <c r="F31" s="203"/>
      <c r="G31" s="135"/>
      <c r="H31" s="191"/>
      <c r="I31" s="203"/>
      <c r="J31" s="203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</row>
    <row r="32" spans="1:24" x14ac:dyDescent="0.25">
      <c r="A32" s="197" t="s">
        <v>293</v>
      </c>
      <c r="B32" s="191"/>
      <c r="C32" s="103"/>
      <c r="D32" s="135"/>
      <c r="E32" s="191"/>
      <c r="F32" s="203"/>
      <c r="G32" s="135"/>
      <c r="H32" s="191"/>
      <c r="I32" s="203"/>
      <c r="J32" s="203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</row>
    <row r="33" spans="1:22" x14ac:dyDescent="0.25">
      <c r="A33" s="197"/>
      <c r="B33" s="191"/>
      <c r="C33" s="207">
        <v>666175</v>
      </c>
      <c r="D33" s="135"/>
      <c r="E33" s="191"/>
      <c r="F33" s="199">
        <v>3586459.93</v>
      </c>
      <c r="G33" s="135"/>
      <c r="H33" s="191"/>
      <c r="I33" s="203">
        <v>2726116.23</v>
      </c>
      <c r="J33" s="203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</row>
    <row r="34" spans="1:22" x14ac:dyDescent="0.25">
      <c r="A34" s="197"/>
      <c r="B34" s="191"/>
      <c r="C34" s="103"/>
      <c r="D34" s="135"/>
      <c r="E34" s="191"/>
      <c r="F34" s="203"/>
      <c r="G34" s="135"/>
      <c r="H34" s="191"/>
      <c r="I34" s="203"/>
      <c r="J34" s="203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</row>
    <row r="35" spans="1:22" x14ac:dyDescent="0.25">
      <c r="A35" s="191" t="s">
        <v>75</v>
      </c>
      <c r="B35" s="191"/>
      <c r="C35" s="103"/>
      <c r="D35" s="251"/>
      <c r="E35" s="191"/>
      <c r="F35" s="203"/>
      <c r="G35" s="251"/>
      <c r="H35" s="191"/>
      <c r="I35" s="203"/>
      <c r="J35" s="203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</row>
    <row r="36" spans="1:22" x14ac:dyDescent="0.25">
      <c r="A36" s="200" t="s">
        <v>41</v>
      </c>
      <c r="B36" s="191"/>
      <c r="C36" s="207">
        <v>280559355.162</v>
      </c>
      <c r="D36" s="251">
        <v>0</v>
      </c>
      <c r="E36" s="191"/>
      <c r="F36" s="203">
        <f t="shared" ref="F36:F37" si="5">ROUND(D36*$C36,0)</f>
        <v>0</v>
      </c>
      <c r="G36" s="251">
        <v>0</v>
      </c>
      <c r="H36" s="191"/>
      <c r="I36" s="203">
        <f t="shared" ref="I36:I38" si="6">ROUND(G36*$C36,0)</f>
        <v>0</v>
      </c>
      <c r="J36" s="203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</row>
    <row r="37" spans="1:22" x14ac:dyDescent="0.25">
      <c r="A37" s="200" t="s">
        <v>69</v>
      </c>
      <c r="B37" s="110"/>
      <c r="C37" s="103">
        <v>0</v>
      </c>
      <c r="D37" s="251">
        <v>0</v>
      </c>
      <c r="E37" s="251"/>
      <c r="F37" s="203">
        <f t="shared" si="5"/>
        <v>0</v>
      </c>
      <c r="G37" s="251">
        <v>0</v>
      </c>
      <c r="H37" s="191"/>
      <c r="I37" s="203">
        <f t="shared" si="6"/>
        <v>0</v>
      </c>
      <c r="J37" s="203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</row>
    <row r="38" spans="1:22" x14ac:dyDescent="0.25">
      <c r="A38" s="134" t="s">
        <v>71</v>
      </c>
      <c r="B38" s="209"/>
      <c r="C38" s="207">
        <v>-2489044</v>
      </c>
      <c r="D38" s="251">
        <f>ROUND(F38/C38,6)</f>
        <v>2.1190000000000001E-2</v>
      </c>
      <c r="E38" s="191"/>
      <c r="F38" s="199">
        <v>-52742</v>
      </c>
      <c r="G38" s="251">
        <f>D38</f>
        <v>2.1190000000000001E-2</v>
      </c>
      <c r="H38" s="191"/>
      <c r="I38" s="273">
        <f t="shared" si="6"/>
        <v>-52743</v>
      </c>
      <c r="J38" s="203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</row>
    <row r="39" spans="1:22" x14ac:dyDescent="0.25">
      <c r="A39" s="197" t="s">
        <v>26</v>
      </c>
      <c r="B39" s="209"/>
      <c r="C39" s="207">
        <f>SUM(C36:C38)</f>
        <v>278070311.162</v>
      </c>
      <c r="D39" s="251"/>
      <c r="E39" s="191"/>
      <c r="F39" s="203">
        <f>SUM(F36:F38)</f>
        <v>-52742</v>
      </c>
      <c r="G39" s="251"/>
      <c r="H39" s="191"/>
      <c r="I39" s="203">
        <f>SUM(I36:I38)</f>
        <v>-52743</v>
      </c>
      <c r="J39" s="203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</row>
    <row r="40" spans="1:22" x14ac:dyDescent="0.25">
      <c r="A40" s="197"/>
      <c r="B40" s="191"/>
      <c r="C40" s="103"/>
      <c r="D40" s="135"/>
      <c r="E40" s="191"/>
      <c r="F40" s="203"/>
      <c r="G40" s="135"/>
      <c r="H40" s="191"/>
      <c r="I40" s="203"/>
      <c r="J40" s="203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</row>
    <row r="41" spans="1:22" ht="16.5" thickBot="1" x14ac:dyDescent="0.3">
      <c r="A41" s="191" t="s">
        <v>30</v>
      </c>
      <c r="B41" s="191"/>
      <c r="C41" s="207"/>
      <c r="D41" s="235"/>
      <c r="E41" s="216"/>
      <c r="F41" s="323">
        <f>SUM(F39,F33,F30)</f>
        <v>3788125.93</v>
      </c>
      <c r="G41" s="235"/>
      <c r="H41" s="216"/>
      <c r="I41" s="323">
        <f>SUM(I39,I33,I30)</f>
        <v>3100261.23</v>
      </c>
      <c r="J41" s="203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</row>
    <row r="42" spans="1:22" ht="16.5" thickTop="1" x14ac:dyDescent="0.25">
      <c r="A42" s="197"/>
      <c r="B42" s="191"/>
      <c r="C42" s="103"/>
      <c r="D42" s="135"/>
      <c r="E42" s="191"/>
      <c r="F42" s="203"/>
      <c r="G42" s="135"/>
      <c r="H42" s="191"/>
      <c r="I42" s="203"/>
      <c r="J42" s="203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</row>
    <row r="43" spans="1:22" x14ac:dyDescent="0.25">
      <c r="A43" s="190" t="s">
        <v>135</v>
      </c>
      <c r="B43" s="191"/>
      <c r="C43" s="191" t="s">
        <v>0</v>
      </c>
      <c r="D43" s="203"/>
      <c r="E43" s="191"/>
      <c r="F43" s="191"/>
      <c r="G43" s="203"/>
      <c r="H43" s="191"/>
      <c r="I43" s="191"/>
      <c r="J43" s="203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</row>
    <row r="44" spans="1:22" x14ac:dyDescent="0.25">
      <c r="A44" s="332" t="s">
        <v>67</v>
      </c>
      <c r="B44" s="191"/>
      <c r="C44" s="191"/>
      <c r="D44" s="203"/>
      <c r="E44" s="191"/>
      <c r="F44" s="191"/>
      <c r="G44" s="203"/>
      <c r="H44" s="191"/>
      <c r="I44" s="191"/>
      <c r="J44" s="191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</row>
    <row r="45" spans="1:22" x14ac:dyDescent="0.25">
      <c r="A45" s="190" t="s">
        <v>125</v>
      </c>
      <c r="B45" s="191"/>
      <c r="C45" s="103">
        <v>96</v>
      </c>
      <c r="D45" s="135"/>
      <c r="E45" s="191"/>
      <c r="F45" s="203"/>
      <c r="G45" s="135"/>
      <c r="H45" s="191"/>
      <c r="I45" s="203"/>
      <c r="J45" s="208"/>
      <c r="K45" s="19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</row>
    <row r="46" spans="1:22" x14ac:dyDescent="0.25">
      <c r="A46" s="191" t="s">
        <v>75</v>
      </c>
      <c r="B46" s="191"/>
      <c r="C46" s="103"/>
      <c r="D46" s="251"/>
      <c r="E46" s="191"/>
      <c r="F46" s="203"/>
      <c r="G46" s="251"/>
      <c r="H46" s="191"/>
      <c r="I46" s="203"/>
      <c r="J46" s="191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</row>
    <row r="47" spans="1:22" x14ac:dyDescent="0.25">
      <c r="A47" s="200" t="s">
        <v>41</v>
      </c>
      <c r="B47" s="191"/>
      <c r="C47" s="103">
        <v>7334220</v>
      </c>
      <c r="D47" s="251">
        <v>3.5139999999999998E-2</v>
      </c>
      <c r="E47" s="191"/>
      <c r="F47" s="203">
        <f t="shared" ref="F47:F48" si="7">ROUND(D47*$C47,0)</f>
        <v>257724</v>
      </c>
      <c r="G47" s="251">
        <f>D47</f>
        <v>3.5139999999999998E-2</v>
      </c>
      <c r="H47" s="191"/>
      <c r="I47" s="203">
        <f t="shared" ref="I47:I49" si="8">ROUND(G47*$C47,0)</f>
        <v>257724</v>
      </c>
      <c r="J47" s="208"/>
      <c r="K47" s="19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</row>
    <row r="48" spans="1:22" x14ac:dyDescent="0.25">
      <c r="A48" s="200" t="s">
        <v>69</v>
      </c>
      <c r="B48" s="110"/>
      <c r="C48" s="103">
        <v>73717.287902210883</v>
      </c>
      <c r="D48" s="251">
        <v>3.5139999999999998E-2</v>
      </c>
      <c r="E48" s="251"/>
      <c r="F48" s="203">
        <f t="shared" si="7"/>
        <v>2590</v>
      </c>
      <c r="G48" s="251">
        <f>D48</f>
        <v>3.5139999999999998E-2</v>
      </c>
      <c r="H48" s="191"/>
      <c r="I48" s="203">
        <f t="shared" si="8"/>
        <v>2590</v>
      </c>
      <c r="J48" s="208"/>
    </row>
    <row r="49" spans="1:11" x14ac:dyDescent="0.25">
      <c r="A49" s="134" t="s">
        <v>71</v>
      </c>
      <c r="B49" s="209"/>
      <c r="C49" s="234">
        <v>-35600</v>
      </c>
      <c r="D49" s="251">
        <f>F49/C49</f>
        <v>4.7321348314606722E-2</v>
      </c>
      <c r="E49" s="191"/>
      <c r="F49" s="273">
        <v>-1684.6399999999994</v>
      </c>
      <c r="G49" s="251">
        <f>D49</f>
        <v>4.7321348314606722E-2</v>
      </c>
      <c r="H49" s="191"/>
      <c r="I49" s="273">
        <f t="shared" si="8"/>
        <v>-1685</v>
      </c>
      <c r="J49" s="208"/>
      <c r="K49" s="196"/>
    </row>
    <row r="50" spans="1:11" x14ac:dyDescent="0.25">
      <c r="A50" s="197" t="s">
        <v>26</v>
      </c>
      <c r="B50" s="209"/>
      <c r="C50" s="207">
        <f>SUM(C47:C49)</f>
        <v>7372337.2879022108</v>
      </c>
      <c r="D50" s="251"/>
      <c r="E50" s="191"/>
      <c r="F50" s="203">
        <f>SUM(F47:F49)</f>
        <v>258629.36</v>
      </c>
      <c r="G50" s="251"/>
      <c r="H50" s="191"/>
      <c r="I50" s="203">
        <f>SUM(I47:I49)</f>
        <v>258629</v>
      </c>
      <c r="J50" s="208"/>
    </row>
    <row r="51" spans="1:11" x14ac:dyDescent="0.25">
      <c r="A51" s="197"/>
      <c r="B51" s="209"/>
      <c r="C51" s="207"/>
      <c r="D51" s="251"/>
      <c r="E51" s="191"/>
      <c r="F51" s="203"/>
      <c r="G51" s="251"/>
      <c r="H51" s="191"/>
      <c r="I51" s="203"/>
      <c r="J51" s="208"/>
    </row>
    <row r="52" spans="1:11" x14ac:dyDescent="0.25">
      <c r="A52" s="191" t="s">
        <v>136</v>
      </c>
      <c r="B52" s="191"/>
      <c r="C52" s="103">
        <v>14507</v>
      </c>
      <c r="D52" s="339">
        <v>5.25</v>
      </c>
      <c r="E52" s="191"/>
      <c r="F52" s="203">
        <f t="shared" ref="F52" si="9">ROUND(D52*$C52,0)</f>
        <v>76162</v>
      </c>
      <c r="G52" s="339">
        <f>D52</f>
        <v>5.25</v>
      </c>
      <c r="H52" s="191"/>
      <c r="I52" s="203">
        <f t="shared" ref="I52" si="10">ROUND(G52*$C52,0)</f>
        <v>76162</v>
      </c>
      <c r="J52" s="208"/>
    </row>
    <row r="53" spans="1:11" x14ac:dyDescent="0.25">
      <c r="A53" s="191"/>
      <c r="B53" s="191"/>
      <c r="C53" s="207"/>
      <c r="D53" s="235"/>
      <c r="E53" s="216"/>
      <c r="F53" s="208"/>
      <c r="G53" s="235"/>
      <c r="H53" s="216"/>
      <c r="I53" s="208"/>
      <c r="J53" s="208"/>
    </row>
    <row r="54" spans="1:11" x14ac:dyDescent="0.25">
      <c r="A54" s="190" t="s">
        <v>122</v>
      </c>
      <c r="B54" s="191"/>
      <c r="C54" s="103">
        <v>1862040</v>
      </c>
      <c r="D54" s="257">
        <v>2.5000000000000001E-4</v>
      </c>
      <c r="E54" s="191"/>
      <c r="F54" s="203">
        <f t="shared" ref="F54" si="11">ROUND(D54*$C54,0)</f>
        <v>466</v>
      </c>
      <c r="G54" s="257">
        <f>D54</f>
        <v>2.5000000000000001E-4</v>
      </c>
      <c r="H54" s="191"/>
      <c r="I54" s="203">
        <f t="shared" ref="I54" si="12">ROUND(G54*$C54,0)</f>
        <v>466</v>
      </c>
      <c r="J54" s="208"/>
      <c r="K54" s="395"/>
    </row>
    <row r="55" spans="1:11" x14ac:dyDescent="0.25">
      <c r="A55" s="190" t="s">
        <v>341</v>
      </c>
      <c r="B55" s="191"/>
      <c r="C55" s="103"/>
      <c r="D55" s="257"/>
      <c r="E55" s="191"/>
      <c r="F55" s="203">
        <v>10288.02</v>
      </c>
      <c r="G55" s="257"/>
      <c r="H55" s="191"/>
      <c r="I55" s="203">
        <f>F55</f>
        <v>10288.02</v>
      </c>
      <c r="J55" s="208"/>
      <c r="K55" s="395"/>
    </row>
    <row r="56" spans="1:11" x14ac:dyDescent="0.25">
      <c r="A56" s="190" t="s">
        <v>137</v>
      </c>
      <c r="B56" s="191"/>
      <c r="C56" s="103"/>
      <c r="D56" s="257"/>
      <c r="E56" s="191"/>
      <c r="F56" s="203"/>
      <c r="G56" s="257"/>
      <c r="H56" s="191"/>
      <c r="I56" s="203">
        <f>'Exhibit No.__(BDJ-Rate Spread)'!J30*1000</f>
        <v>231075.61999999997</v>
      </c>
      <c r="J56" s="208"/>
      <c r="K56" s="196" t="s">
        <v>138</v>
      </c>
    </row>
    <row r="57" spans="1:11" x14ac:dyDescent="0.25">
      <c r="A57" s="134"/>
      <c r="B57" s="209"/>
      <c r="C57" s="207"/>
      <c r="D57" s="251"/>
      <c r="E57" s="191"/>
      <c r="F57" s="203"/>
      <c r="G57" s="251"/>
      <c r="H57" s="191"/>
      <c r="I57" s="203"/>
      <c r="J57" s="208"/>
    </row>
    <row r="58" spans="1:11" ht="16.5" thickBot="1" x14ac:dyDescent="0.3">
      <c r="A58" s="191" t="s">
        <v>30</v>
      </c>
      <c r="B58" s="191"/>
      <c r="C58" s="207"/>
      <c r="D58" s="235"/>
      <c r="E58" s="216"/>
      <c r="F58" s="323">
        <f>SUM(F52,F50,F45,F54,F55)</f>
        <v>345545.38</v>
      </c>
      <c r="G58" s="235"/>
      <c r="H58" s="216"/>
      <c r="I58" s="323">
        <f>SUM(I52,I50,I45,I54,I56,I55)</f>
        <v>576620.64</v>
      </c>
    </row>
    <row r="59" spans="1:11" ht="16.5" thickTop="1" x14ac:dyDescent="0.25"/>
  </sheetData>
  <mergeCells count="7"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47" orientation="landscape" r:id="rId1"/>
  <headerFooter alignWithMargins="0">
    <oddFooter>&amp;L&amp;A</oddFooter>
  </headerFooter>
  <rowBreaks count="1" manualBreakCount="1">
    <brk id="11" max="12" man="1"/>
  </rowBreaks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80" zoomScaleNormal="80" workbookViewId="0">
      <pane xSplit="2" ySplit="10" topLeftCell="C11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8.75" defaultRowHeight="15.75" x14ac:dyDescent="0.25"/>
  <cols>
    <col min="1" max="1" width="39" style="68" bestFit="1" customWidth="1"/>
    <col min="2" max="2" width="2.5" style="68" customWidth="1"/>
    <col min="3" max="3" width="10.125" style="68" bestFit="1" customWidth="1"/>
    <col min="4" max="5" width="12" style="68" bestFit="1" customWidth="1"/>
    <col min="6" max="6" width="15.625" style="68" bestFit="1" customWidth="1"/>
    <col min="7" max="7" width="2.5" style="68" customWidth="1"/>
    <col min="8" max="9" width="12.625" style="68" bestFit="1" customWidth="1"/>
    <col min="10" max="10" width="10.5" style="68" bestFit="1" customWidth="1"/>
    <col min="11" max="11" width="2.5" style="68" customWidth="1"/>
    <col min="12" max="16384" width="8.75" style="68"/>
  </cols>
  <sheetData>
    <row r="1" spans="1:10" ht="18.75" x14ac:dyDescent="0.3">
      <c r="A1" s="461" t="s">
        <v>43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0" ht="18.75" x14ac:dyDescent="0.3">
      <c r="A2" s="461" t="s">
        <v>20</v>
      </c>
      <c r="B2" s="461"/>
      <c r="C2" s="461"/>
      <c r="D2" s="461"/>
      <c r="E2" s="461"/>
      <c r="F2" s="461"/>
      <c r="G2" s="461"/>
      <c r="H2" s="461"/>
      <c r="I2" s="461"/>
      <c r="J2" s="461"/>
    </row>
    <row r="3" spans="1:10" ht="18.75" x14ac:dyDescent="0.3">
      <c r="A3" s="461" t="str">
        <f>+'Exhibit No.__(BDJ-Prof-Prop)'!A6</f>
        <v>12 MONTHS ENDED JUNE 2021</v>
      </c>
      <c r="B3" s="461"/>
      <c r="C3" s="461"/>
      <c r="D3" s="461"/>
      <c r="E3" s="461"/>
      <c r="F3" s="461"/>
      <c r="G3" s="461"/>
      <c r="H3" s="461"/>
      <c r="I3" s="461"/>
      <c r="J3" s="461"/>
    </row>
    <row r="4" spans="1:10" ht="18.75" x14ac:dyDescent="0.3">
      <c r="A4" s="461" t="s">
        <v>21</v>
      </c>
      <c r="B4" s="461"/>
      <c r="C4" s="461"/>
      <c r="D4" s="461"/>
      <c r="E4" s="461"/>
      <c r="F4" s="461"/>
      <c r="G4" s="461"/>
      <c r="H4" s="461"/>
      <c r="I4" s="461"/>
      <c r="J4" s="461"/>
    </row>
    <row r="5" spans="1:10" ht="18.75" x14ac:dyDescent="0.3">
      <c r="A5" s="461" t="s">
        <v>139</v>
      </c>
      <c r="B5" s="461"/>
      <c r="C5" s="461"/>
      <c r="D5" s="461"/>
      <c r="E5" s="461"/>
      <c r="F5" s="461"/>
      <c r="G5" s="461"/>
      <c r="H5" s="461"/>
      <c r="I5" s="461"/>
      <c r="J5" s="461"/>
    </row>
    <row r="6" spans="1:10" x14ac:dyDescent="0.25">
      <c r="A6" s="182"/>
      <c r="B6" s="183"/>
      <c r="C6" s="183"/>
    </row>
    <row r="7" spans="1:10" x14ac:dyDescent="0.25">
      <c r="A7" s="183"/>
      <c r="B7" s="183"/>
      <c r="C7" s="183"/>
    </row>
    <row r="8" spans="1:10" x14ac:dyDescent="0.25">
      <c r="A8" s="185"/>
      <c r="B8" s="185"/>
      <c r="C8" s="186"/>
      <c r="D8" s="341"/>
      <c r="E8" s="341"/>
      <c r="F8" s="341"/>
    </row>
    <row r="9" spans="1:10" x14ac:dyDescent="0.25">
      <c r="A9" s="185"/>
      <c r="B9" s="185"/>
      <c r="C9" s="342" t="s">
        <v>22</v>
      </c>
      <c r="D9" s="478" t="s">
        <v>40</v>
      </c>
      <c r="E9" s="479"/>
      <c r="F9" s="480"/>
      <c r="H9" s="478" t="s">
        <v>282</v>
      </c>
      <c r="I9" s="479"/>
      <c r="J9" s="480"/>
    </row>
    <row r="10" spans="1:10" ht="30" x14ac:dyDescent="0.25">
      <c r="A10" s="185"/>
      <c r="B10" s="185"/>
      <c r="C10" s="343" t="s">
        <v>291</v>
      </c>
      <c r="D10" s="341" t="s">
        <v>147</v>
      </c>
      <c r="E10" s="341" t="s">
        <v>148</v>
      </c>
      <c r="F10" s="341" t="s">
        <v>149</v>
      </c>
      <c r="H10" s="341" t="s">
        <v>147</v>
      </c>
      <c r="I10" s="341" t="s">
        <v>148</v>
      </c>
      <c r="J10" s="341" t="s">
        <v>149</v>
      </c>
    </row>
    <row r="11" spans="1:10" x14ac:dyDescent="0.25">
      <c r="A11" s="191"/>
      <c r="B11" s="191"/>
      <c r="C11" s="103"/>
    </row>
    <row r="12" spans="1:10" x14ac:dyDescent="0.25">
      <c r="A12" s="481" t="s">
        <v>145</v>
      </c>
      <c r="B12" s="481"/>
      <c r="C12" s="481"/>
    </row>
    <row r="13" spans="1:10" x14ac:dyDescent="0.25">
      <c r="A13" s="191" t="s">
        <v>140</v>
      </c>
      <c r="B13" s="191"/>
      <c r="C13" s="344">
        <v>132</v>
      </c>
      <c r="D13" s="104">
        <f>SUM(E13:F13)</f>
        <v>60643</v>
      </c>
      <c r="E13" s="104">
        <v>60418</v>
      </c>
      <c r="F13" s="104">
        <v>225</v>
      </c>
      <c r="H13" s="203">
        <f>SUM(I13:J13)</f>
        <v>5814</v>
      </c>
      <c r="I13" s="203">
        <v>5757</v>
      </c>
      <c r="J13" s="203">
        <f>ROUND(F13/($F$22-$F$21)*$J$22,0)</f>
        <v>57</v>
      </c>
    </row>
    <row r="14" spans="1:10" x14ac:dyDescent="0.25">
      <c r="A14" s="191" t="s">
        <v>37</v>
      </c>
      <c r="B14" s="191"/>
      <c r="C14" s="344">
        <v>13216</v>
      </c>
      <c r="D14" s="104">
        <f t="shared" ref="D14:D21" si="0">SUM(E14:F14)</f>
        <v>2725617</v>
      </c>
      <c r="E14" s="104">
        <v>2714227</v>
      </c>
      <c r="F14" s="104">
        <v>11390</v>
      </c>
      <c r="H14" s="203">
        <f t="shared" ref="H14:H21" si="1">SUM(I14:J14)</f>
        <v>936796</v>
      </c>
      <c r="I14" s="203">
        <v>933898</v>
      </c>
      <c r="J14" s="203">
        <f t="shared" ref="J14:J21" si="2">ROUND(F14/($F$22-$F$21)*$J$22,0)</f>
        <v>2898</v>
      </c>
    </row>
    <row r="15" spans="1:10" x14ac:dyDescent="0.25">
      <c r="A15" s="191" t="s">
        <v>141</v>
      </c>
      <c r="B15" s="191"/>
      <c r="C15" s="344">
        <v>27731</v>
      </c>
      <c r="D15" s="104">
        <f t="shared" si="0"/>
        <v>12615929</v>
      </c>
      <c r="E15" s="104">
        <v>12614287</v>
      </c>
      <c r="F15" s="104">
        <v>1642</v>
      </c>
      <c r="H15" s="203">
        <f t="shared" si="1"/>
        <v>1835449</v>
      </c>
      <c r="I15" s="203">
        <v>1835031</v>
      </c>
      <c r="J15" s="203">
        <f t="shared" si="2"/>
        <v>418</v>
      </c>
    </row>
    <row r="16" spans="1:10" x14ac:dyDescent="0.25">
      <c r="A16" s="191" t="s">
        <v>38</v>
      </c>
      <c r="B16" s="191"/>
      <c r="C16" s="344">
        <v>37100</v>
      </c>
      <c r="D16" s="104">
        <f t="shared" si="0"/>
        <v>36752004</v>
      </c>
      <c r="E16" s="104">
        <v>36075891</v>
      </c>
      <c r="F16" s="104">
        <v>676113</v>
      </c>
      <c r="H16" s="203">
        <f t="shared" si="1"/>
        <v>11944435</v>
      </c>
      <c r="I16" s="203">
        <v>11772403</v>
      </c>
      <c r="J16" s="203">
        <f t="shared" si="2"/>
        <v>172032</v>
      </c>
    </row>
    <row r="17" spans="1:10" x14ac:dyDescent="0.25">
      <c r="A17" s="191" t="s">
        <v>39</v>
      </c>
      <c r="B17" s="191"/>
      <c r="C17" s="344">
        <v>575</v>
      </c>
      <c r="D17" s="104">
        <f t="shared" si="0"/>
        <v>6399672</v>
      </c>
      <c r="E17" s="104">
        <v>6228929</v>
      </c>
      <c r="F17" s="104">
        <v>170743</v>
      </c>
      <c r="H17" s="203">
        <f t="shared" si="1"/>
        <v>562280</v>
      </c>
      <c r="I17" s="203">
        <v>518836</v>
      </c>
      <c r="J17" s="203">
        <f t="shared" si="2"/>
        <v>43444</v>
      </c>
    </row>
    <row r="18" spans="1:10" x14ac:dyDescent="0.25">
      <c r="A18" s="191" t="s">
        <v>143</v>
      </c>
      <c r="B18" s="191"/>
      <c r="C18" s="344">
        <v>20135</v>
      </c>
      <c r="D18" s="104">
        <f t="shared" si="0"/>
        <v>3767495</v>
      </c>
      <c r="E18" s="104">
        <v>3767304</v>
      </c>
      <c r="F18" s="104">
        <v>191</v>
      </c>
      <c r="H18" s="203">
        <f t="shared" si="1"/>
        <v>1074221</v>
      </c>
      <c r="I18" s="203">
        <v>1074172</v>
      </c>
      <c r="J18" s="203">
        <f t="shared" si="2"/>
        <v>49</v>
      </c>
    </row>
    <row r="19" spans="1:10" x14ac:dyDescent="0.25">
      <c r="A19" s="191" t="s">
        <v>142</v>
      </c>
      <c r="B19" s="191"/>
      <c r="C19" s="344">
        <v>1253</v>
      </c>
      <c r="D19" s="104">
        <f t="shared" si="0"/>
        <v>5370526</v>
      </c>
      <c r="E19" s="104">
        <v>3656529</v>
      </c>
      <c r="F19" s="104">
        <v>1713997</v>
      </c>
      <c r="H19" s="203">
        <f t="shared" si="1"/>
        <v>906827</v>
      </c>
      <c r="I19" s="203">
        <v>470713</v>
      </c>
      <c r="J19" s="203">
        <f t="shared" si="2"/>
        <v>436114</v>
      </c>
    </row>
    <row r="20" spans="1:10" x14ac:dyDescent="0.25">
      <c r="A20" s="191" t="s">
        <v>144</v>
      </c>
      <c r="B20" s="191"/>
      <c r="C20" s="344">
        <v>4057</v>
      </c>
      <c r="D20" s="104">
        <f t="shared" si="0"/>
        <v>2201001</v>
      </c>
      <c r="E20" s="104">
        <v>2199040</v>
      </c>
      <c r="F20" s="104">
        <v>1961</v>
      </c>
      <c r="H20" s="203">
        <f t="shared" si="1"/>
        <v>405614</v>
      </c>
      <c r="I20" s="203">
        <v>405115</v>
      </c>
      <c r="J20" s="203">
        <f t="shared" si="2"/>
        <v>499</v>
      </c>
    </row>
    <row r="21" spans="1:10" x14ac:dyDescent="0.25">
      <c r="A21" s="191" t="s">
        <v>283</v>
      </c>
      <c r="B21" s="191"/>
      <c r="C21" s="201"/>
      <c r="D21" s="104">
        <f t="shared" si="0"/>
        <v>0</v>
      </c>
      <c r="E21" s="104">
        <v>0</v>
      </c>
      <c r="F21" s="104">
        <v>0</v>
      </c>
      <c r="H21" s="203">
        <f t="shared" si="1"/>
        <v>112327</v>
      </c>
      <c r="I21" s="203">
        <v>112327</v>
      </c>
      <c r="J21" s="203">
        <f t="shared" si="2"/>
        <v>0</v>
      </c>
    </row>
    <row r="22" spans="1:10" ht="16.5" thickBot="1" x14ac:dyDescent="0.3">
      <c r="A22" s="191" t="s">
        <v>146</v>
      </c>
      <c r="B22" s="191"/>
      <c r="C22" s="345">
        <f>SUM(C13:C21)</f>
        <v>104199</v>
      </c>
      <c r="D22" s="345">
        <f t="shared" ref="D22:F22" si="3">SUM(D13:D21)</f>
        <v>69892887</v>
      </c>
      <c r="E22" s="345">
        <f t="shared" si="3"/>
        <v>67316625</v>
      </c>
      <c r="F22" s="345">
        <f t="shared" si="3"/>
        <v>2576262</v>
      </c>
      <c r="H22" s="323">
        <f>SUM(H13:H21)</f>
        <v>17783763</v>
      </c>
      <c r="I22" s="323">
        <f t="shared" ref="I22" si="4">SUM(I13:I21)</f>
        <v>17128252</v>
      </c>
      <c r="J22" s="346">
        <v>655511</v>
      </c>
    </row>
    <row r="23" spans="1:10" ht="16.5" thickTop="1" x14ac:dyDescent="0.25">
      <c r="A23" s="191"/>
      <c r="B23" s="191"/>
      <c r="C23" s="133" t="s">
        <v>292</v>
      </c>
      <c r="D23" s="104"/>
      <c r="E23" s="104"/>
      <c r="F23" s="104"/>
      <c r="I23" s="210"/>
      <c r="J23" s="210"/>
    </row>
    <row r="24" spans="1:10" x14ac:dyDescent="0.25">
      <c r="A24" s="191"/>
      <c r="B24" s="191"/>
      <c r="C24" s="103"/>
      <c r="D24" s="104"/>
      <c r="E24" s="104"/>
      <c r="F24" s="104"/>
      <c r="H24" s="362">
        <f>+H25/H26</f>
        <v>-5.9245198181495581E-3</v>
      </c>
      <c r="I24" s="347">
        <f>+'Exhibit No.__(BDJ-Rate Spread)'!I26</f>
        <v>-5.889626608585493E-3</v>
      </c>
      <c r="J24" s="362">
        <f>I24</f>
        <v>-5.889626608585493E-3</v>
      </c>
    </row>
    <row r="25" spans="1:10" x14ac:dyDescent="0.25">
      <c r="A25" s="190" t="s">
        <v>541</v>
      </c>
      <c r="B25" s="191"/>
      <c r="C25" s="103"/>
      <c r="H25" s="210">
        <f>SUM(I25:J25)</f>
        <v>-104739.72376557816</v>
      </c>
      <c r="I25" s="203">
        <f>I24*I22</f>
        <v>-100879.00873775769</v>
      </c>
      <c r="J25" s="203">
        <f>J24*J22</f>
        <v>-3860.7150278204849</v>
      </c>
    </row>
    <row r="26" spans="1:10" x14ac:dyDescent="0.25">
      <c r="A26" s="190" t="s">
        <v>533</v>
      </c>
      <c r="B26" s="191"/>
      <c r="C26" s="103"/>
      <c r="H26" s="210">
        <f>SUM(I26:J26)</f>
        <v>17679023.276234422</v>
      </c>
      <c r="I26" s="210">
        <f>I25+I22</f>
        <v>17027372.991262242</v>
      </c>
      <c r="J26" s="210">
        <f>J25+J22</f>
        <v>651650.28497217956</v>
      </c>
    </row>
  </sheetData>
  <mergeCells count="8">
    <mergeCell ref="H9:J9"/>
    <mergeCell ref="A12:C12"/>
    <mergeCell ref="D9:F9"/>
    <mergeCell ref="A1:J1"/>
    <mergeCell ref="A2:J2"/>
    <mergeCell ref="A3:J3"/>
    <mergeCell ref="A4:J4"/>
    <mergeCell ref="A5:J5"/>
  </mergeCells>
  <pageMargins left="0.7" right="0.7" top="0.75" bottom="0.75" header="0.3" footer="0.3"/>
  <pageSetup scale="88" fitToHeight="0" orientation="landscape" r:id="rId1"/>
  <headerFooter>
    <oddFooter>&amp;L&amp;A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50"/>
  <sheetViews>
    <sheetView zoomScale="110" zoomScaleNormal="110" workbookViewId="0">
      <selection activeCell="C31" sqref="C31"/>
    </sheetView>
  </sheetViews>
  <sheetFormatPr defaultColWidth="8.125" defaultRowHeight="12" x14ac:dyDescent="0.2"/>
  <cols>
    <col min="1" max="1" width="3.75" style="25" bestFit="1" customWidth="1"/>
    <col min="2" max="2" width="30.75" style="25" bestFit="1" customWidth="1"/>
    <col min="3" max="3" width="10.75" style="25" bestFit="1" customWidth="1"/>
    <col min="4" max="5" width="8.75" style="25" bestFit="1" customWidth="1"/>
    <col min="6" max="6" width="10" style="25" bestFit="1" customWidth="1"/>
    <col min="7" max="8" width="7.625" style="25" bestFit="1" customWidth="1"/>
    <col min="9" max="10" width="7.25" style="25" bestFit="1" customWidth="1"/>
    <col min="11" max="11" width="8.75" style="25" bestFit="1" customWidth="1"/>
    <col min="12" max="12" width="1.375" style="25" customWidth="1"/>
    <col min="13" max="13" width="10" style="25" bestFit="1" customWidth="1"/>
    <col min="14" max="14" width="1.375" style="25" customWidth="1"/>
    <col min="15" max="15" width="4.625" style="25" bestFit="1" customWidth="1"/>
    <col min="16" max="16" width="1.375" style="25" customWidth="1"/>
    <col min="17" max="17" width="15.5" style="25" bestFit="1" customWidth="1"/>
    <col min="18" max="18" width="7.75" style="25" bestFit="1" customWidth="1"/>
    <col min="19" max="20" width="10.375" style="25" bestFit="1" customWidth="1"/>
    <col min="21" max="21" width="9.5" style="25" bestFit="1" customWidth="1"/>
    <col min="22" max="22" width="1.375" style="25" customWidth="1"/>
    <col min="23" max="23" width="10.375" style="25" bestFit="1" customWidth="1"/>
    <col min="24" max="24" width="12.25" style="25" bestFit="1" customWidth="1"/>
    <col min="25" max="25" width="10.375" style="25" bestFit="1" customWidth="1"/>
    <col min="26" max="16384" width="8.125" style="25"/>
  </cols>
  <sheetData>
    <row r="1" spans="1:28" x14ac:dyDescent="0.2">
      <c r="A1" s="433" t="s">
        <v>72</v>
      </c>
      <c r="B1" s="434" t="s">
        <v>150</v>
      </c>
      <c r="C1" s="434"/>
      <c r="D1" s="434"/>
      <c r="E1" s="434"/>
      <c r="F1" s="434"/>
      <c r="G1" s="434"/>
      <c r="H1" s="434"/>
      <c r="I1" s="434"/>
      <c r="J1" s="434"/>
      <c r="K1" s="434"/>
    </row>
    <row r="2" spans="1:28" x14ac:dyDescent="0.2">
      <c r="A2" s="433" t="s">
        <v>355</v>
      </c>
      <c r="B2" s="434" t="s">
        <v>150</v>
      </c>
      <c r="C2" s="434"/>
      <c r="D2" s="434"/>
      <c r="E2" s="434"/>
      <c r="F2" s="434"/>
      <c r="G2" s="434"/>
      <c r="H2" s="434"/>
      <c r="I2" s="434"/>
      <c r="J2" s="434"/>
      <c r="K2" s="434"/>
    </row>
    <row r="3" spans="1:28" x14ac:dyDescent="0.2">
      <c r="A3" s="434" t="s">
        <v>151</v>
      </c>
      <c r="B3" s="434" t="s">
        <v>151</v>
      </c>
      <c r="C3" s="434"/>
      <c r="D3" s="434"/>
      <c r="E3" s="434"/>
      <c r="F3" s="434"/>
      <c r="G3" s="434"/>
      <c r="H3" s="434"/>
      <c r="I3" s="434"/>
      <c r="J3" s="434"/>
      <c r="K3" s="434"/>
    </row>
    <row r="4" spans="1:28" x14ac:dyDescent="0.2">
      <c r="B4" s="26"/>
      <c r="C4" s="26"/>
      <c r="D4" s="26"/>
      <c r="E4" s="26"/>
      <c r="F4" s="26"/>
      <c r="G4" s="26"/>
      <c r="H4" s="26"/>
      <c r="I4" s="26"/>
      <c r="J4" s="26"/>
      <c r="K4" s="26"/>
      <c r="S4" s="430" t="s">
        <v>410</v>
      </c>
      <c r="T4" s="430"/>
      <c r="U4" s="430"/>
      <c r="W4" s="430" t="s">
        <v>409</v>
      </c>
      <c r="X4" s="430"/>
      <c r="Y4" s="430"/>
    </row>
    <row r="5" spans="1:28" ht="72" x14ac:dyDescent="0.2">
      <c r="A5" s="27" t="s">
        <v>152</v>
      </c>
      <c r="B5" s="27" t="s">
        <v>153</v>
      </c>
      <c r="C5" s="27" t="s">
        <v>154</v>
      </c>
      <c r="D5" s="28" t="s">
        <v>181</v>
      </c>
      <c r="E5" s="28" t="s">
        <v>183</v>
      </c>
      <c r="F5" s="28" t="s">
        <v>550</v>
      </c>
      <c r="G5" s="28" t="s">
        <v>338</v>
      </c>
      <c r="H5" s="28" t="s">
        <v>549</v>
      </c>
      <c r="I5" s="28" t="s">
        <v>543</v>
      </c>
      <c r="J5" s="28" t="s">
        <v>544</v>
      </c>
      <c r="K5" s="28" t="s">
        <v>182</v>
      </c>
      <c r="M5" s="28" t="s">
        <v>542</v>
      </c>
      <c r="O5" s="28" t="s">
        <v>316</v>
      </c>
      <c r="P5" s="29"/>
      <c r="Q5" s="28" t="s">
        <v>535</v>
      </c>
      <c r="R5" s="28" t="s">
        <v>534</v>
      </c>
      <c r="S5" s="28" t="s">
        <v>356</v>
      </c>
      <c r="T5" s="28" t="s">
        <v>357</v>
      </c>
      <c r="U5" s="28" t="s">
        <v>358</v>
      </c>
      <c r="W5" s="28" t="s">
        <v>356</v>
      </c>
      <c r="X5" s="28" t="s">
        <v>357</v>
      </c>
      <c r="Y5" s="28" t="s">
        <v>358</v>
      </c>
    </row>
    <row r="6" spans="1:28" x14ac:dyDescent="0.2">
      <c r="A6" s="30"/>
      <c r="B6" s="31"/>
      <c r="C6" s="32"/>
      <c r="D6" s="32" t="s">
        <v>155</v>
      </c>
      <c r="E6" s="32" t="s">
        <v>156</v>
      </c>
      <c r="F6" s="30" t="s">
        <v>157</v>
      </c>
      <c r="G6" s="32" t="s">
        <v>158</v>
      </c>
      <c r="H6" s="30" t="s">
        <v>159</v>
      </c>
      <c r="I6" s="30" t="s">
        <v>160</v>
      </c>
      <c r="J6" s="33" t="s">
        <v>161</v>
      </c>
      <c r="K6" s="33" t="s">
        <v>162</v>
      </c>
    </row>
    <row r="7" spans="1:28" x14ac:dyDescent="0.2">
      <c r="A7" s="30"/>
      <c r="B7" s="31"/>
      <c r="C7" s="32"/>
      <c r="D7" s="32"/>
      <c r="E7" s="32"/>
      <c r="F7" s="30"/>
      <c r="G7" s="32"/>
      <c r="H7" s="30"/>
      <c r="I7" s="30"/>
      <c r="J7" s="30"/>
      <c r="K7" s="30"/>
    </row>
    <row r="8" spans="1:28" x14ac:dyDescent="0.2">
      <c r="A8" s="34">
        <v>1</v>
      </c>
      <c r="B8" s="389" t="s">
        <v>163</v>
      </c>
      <c r="C8" s="391" t="s">
        <v>580</v>
      </c>
      <c r="D8" s="35">
        <f>+'Exhibit No.__(BDJ-Prof-Prop)'!I17</f>
        <v>11355354.571603522</v>
      </c>
      <c r="E8" s="54">
        <f>+'Exhibit No.__(BDJ-Prof-Prop)'!L17</f>
        <v>1231055.182</v>
      </c>
      <c r="G8" s="36">
        <f>E8/(E$32-E$30-$E$24)</f>
        <v>0.58575177186179395</v>
      </c>
      <c r="H8" s="37">
        <v>1</v>
      </c>
      <c r="I8" s="38">
        <f>+$I$38*H8</f>
        <v>-5.889626608585493E-3</v>
      </c>
      <c r="J8" s="54">
        <f>+E8*I8</f>
        <v>-7250.4553565442566</v>
      </c>
      <c r="K8" s="54">
        <f>+E8+J8</f>
        <v>1223804.7266434557</v>
      </c>
      <c r="M8" s="54">
        <f>+J8*1000</f>
        <v>-7250455.3565442562</v>
      </c>
      <c r="O8" s="48">
        <v>0.99</v>
      </c>
      <c r="P8" s="48"/>
      <c r="Q8" s="54">
        <v>3297054.7555931713</v>
      </c>
      <c r="R8" s="38">
        <f>+Q8/$Q$32</f>
        <v>0.60437336221149618</v>
      </c>
      <c r="S8" s="54">
        <f>+$R8*S$36/1000</f>
        <v>145077.8665413151</v>
      </c>
      <c r="T8" s="54">
        <f>+$R8*T$36/1000</f>
        <v>111592.14637868709</v>
      </c>
      <c r="U8" s="54">
        <f>+$R8*U$36/1000</f>
        <v>48637.24966184963</v>
      </c>
      <c r="W8" s="54">
        <f>+$R8*W$34/1000</f>
        <v>61689.624128799573</v>
      </c>
      <c r="X8" s="54">
        <f>+$R8*X$34/1000</f>
        <v>133094.40864406631</v>
      </c>
      <c r="Y8" s="54">
        <f>+$R8*Y$34/1000</f>
        <v>202164.98556059448</v>
      </c>
      <c r="AA8" s="374"/>
      <c r="AB8" s="374"/>
    </row>
    <row r="9" spans="1:28" x14ac:dyDescent="0.2">
      <c r="A9" s="34">
        <f>+A8+1</f>
        <v>2</v>
      </c>
      <c r="C9" s="391"/>
      <c r="D9" s="39"/>
      <c r="E9" s="40"/>
      <c r="G9" s="36"/>
      <c r="I9" s="41"/>
      <c r="J9" s="40"/>
      <c r="K9" s="40"/>
      <c r="M9" s="40"/>
      <c r="O9" s="48"/>
      <c r="P9" s="48"/>
      <c r="Q9" s="40"/>
      <c r="R9" s="48"/>
      <c r="S9" s="40"/>
      <c r="T9" s="40"/>
      <c r="U9" s="40"/>
      <c r="W9" s="40"/>
      <c r="X9" s="40"/>
      <c r="Y9" s="40"/>
    </row>
    <row r="10" spans="1:28" x14ac:dyDescent="0.2">
      <c r="A10" s="34">
        <f t="shared" ref="A10:A39" si="0">+A9+1</f>
        <v>3</v>
      </c>
      <c r="B10" s="25" t="s">
        <v>121</v>
      </c>
      <c r="C10" s="391"/>
      <c r="D10" s="39"/>
      <c r="E10" s="40"/>
      <c r="G10" s="36"/>
      <c r="I10" s="41"/>
      <c r="J10" s="40"/>
      <c r="K10" s="40"/>
      <c r="M10" s="40"/>
      <c r="O10" s="48"/>
      <c r="P10" s="48"/>
      <c r="Q10" s="40"/>
      <c r="R10" s="48"/>
      <c r="S10" s="40"/>
      <c r="T10" s="40"/>
      <c r="U10" s="40"/>
      <c r="W10" s="40"/>
      <c r="X10" s="40"/>
      <c r="Y10" s="40"/>
    </row>
    <row r="11" spans="1:28" x14ac:dyDescent="0.2">
      <c r="A11" s="34">
        <f t="shared" si="0"/>
        <v>4</v>
      </c>
      <c r="B11" s="42" t="s">
        <v>164</v>
      </c>
      <c r="C11" s="390" t="s">
        <v>165</v>
      </c>
      <c r="D11" s="43">
        <f>SUM('Exhibit No.__(BDJ-Prof-Prop)'!I21)</f>
        <v>2658833.1030243803</v>
      </c>
      <c r="E11" s="40">
        <f>SUM('Exhibit No.__(BDJ-Prof-Prop)'!L21)</f>
        <v>271509.06</v>
      </c>
      <c r="G11" s="36">
        <f>E11/(E$32-E$30-$E$24)</f>
        <v>0.12918747696846145</v>
      </c>
      <c r="H11" s="37">
        <v>1</v>
      </c>
      <c r="I11" s="38">
        <f t="shared" ref="I11:I13" si="1">+$I$38*H11</f>
        <v>-5.889626608585493E-3</v>
      </c>
      <c r="J11" s="40">
        <f>+E11*I11</f>
        <v>-1599.0869842480352</v>
      </c>
      <c r="K11" s="40">
        <f>+E11+J11</f>
        <v>269909.97301575198</v>
      </c>
      <c r="M11" s="40">
        <f t="shared" ref="M11:M32" si="2">+J11*1000</f>
        <v>-1599086.9842480351</v>
      </c>
      <c r="O11" s="48">
        <v>1.05</v>
      </c>
      <c r="P11" s="48"/>
      <c r="Q11" s="40">
        <v>635686.81540842168</v>
      </c>
      <c r="R11" s="38">
        <f t="shared" ref="R11:R13" si="3">+Q11/$Q$32</f>
        <v>0.11652587124619554</v>
      </c>
      <c r="S11" s="40">
        <f t="shared" ref="S11:U13" si="4">+$R11*S$36/1000</f>
        <v>27971.657677642856</v>
      </c>
      <c r="T11" s="40">
        <f t="shared" si="4"/>
        <v>21515.461954557588</v>
      </c>
      <c r="U11" s="40">
        <f t="shared" si="4"/>
        <v>9377.4779734293752</v>
      </c>
      <c r="W11" s="40">
        <f t="shared" ref="W11:Y13" si="5">+$R11*W$34/1000</f>
        <v>11894.033800819889</v>
      </c>
      <c r="X11" s="40">
        <f t="shared" si="5"/>
        <v>25661.193717236933</v>
      </c>
      <c r="Y11" s="40">
        <f t="shared" si="5"/>
        <v>38978.30803085435</v>
      </c>
      <c r="AA11" s="374"/>
      <c r="AB11" s="374"/>
    </row>
    <row r="12" spans="1:28" x14ac:dyDescent="0.2">
      <c r="A12" s="34">
        <f t="shared" si="0"/>
        <v>5</v>
      </c>
      <c r="B12" s="42" t="s">
        <v>166</v>
      </c>
      <c r="C12" s="390" t="s">
        <v>167</v>
      </c>
      <c r="D12" s="43">
        <f>SUM('Exhibit No.__(BDJ-Prof-Prop)'!I22,'Exhibit No.__(BDJ-Prof-Prop)'!I24)</f>
        <v>2871339.5605844581</v>
      </c>
      <c r="E12" s="40">
        <f>SUM('Exhibit No.__(BDJ-Prof-Prop)'!L22,'Exhibit No.__(BDJ-Prof-Prop)'!L24)</f>
        <v>267613.61300000001</v>
      </c>
      <c r="G12" s="36">
        <f>E12/(E$32-E$30-$E$24)</f>
        <v>0.12733397355463666</v>
      </c>
      <c r="H12" s="37">
        <v>1</v>
      </c>
      <c r="I12" s="38">
        <f t="shared" si="1"/>
        <v>-5.889626608585493E-3</v>
      </c>
      <c r="J12" s="40">
        <f>+E12*I12</f>
        <v>-1576.1442559445006</v>
      </c>
      <c r="K12" s="40">
        <f>+E12+J12</f>
        <v>266037.46874405548</v>
      </c>
      <c r="M12" s="40">
        <f t="shared" si="2"/>
        <v>-1576144.2559445007</v>
      </c>
      <c r="O12" s="48">
        <v>0.99</v>
      </c>
      <c r="P12" s="48"/>
      <c r="Q12" s="40">
        <v>695404.12879443192</v>
      </c>
      <c r="R12" s="38">
        <f t="shared" si="3"/>
        <v>0.12747247545776175</v>
      </c>
      <c r="S12" s="40">
        <f t="shared" si="4"/>
        <v>30599.354535550458</v>
      </c>
      <c r="T12" s="40">
        <f t="shared" si="4"/>
        <v>23536.654707091864</v>
      </c>
      <c r="U12" s="40">
        <f t="shared" si="4"/>
        <v>10258.411441508144</v>
      </c>
      <c r="W12" s="40">
        <f t="shared" si="5"/>
        <v>13011.376062277699</v>
      </c>
      <c r="X12" s="40">
        <f t="shared" si="5"/>
        <v>28071.842341570591</v>
      </c>
      <c r="Y12" s="40">
        <f t="shared" si="5"/>
        <v>42639.985101251768</v>
      </c>
      <c r="AA12" s="374"/>
      <c r="AB12" s="374"/>
    </row>
    <row r="13" spans="1:28" x14ac:dyDescent="0.2">
      <c r="A13" s="34">
        <f t="shared" si="0"/>
        <v>6</v>
      </c>
      <c r="B13" s="42" t="s">
        <v>168</v>
      </c>
      <c r="C13" s="390" t="s">
        <v>169</v>
      </c>
      <c r="D13" s="43">
        <f>SUM('Exhibit No.__(BDJ-Prof-Prop)'!I23)</f>
        <v>1761911.047761543</v>
      </c>
      <c r="E13" s="40">
        <f>SUM('Exhibit No.__(BDJ-Prof-Prop)'!L23)</f>
        <v>151320.842</v>
      </c>
      <c r="G13" s="36">
        <f>E13/(E$32-E$30-$E$24)</f>
        <v>7.2000388461155571E-2</v>
      </c>
      <c r="H13" s="37">
        <v>1</v>
      </c>
      <c r="I13" s="38">
        <f t="shared" si="1"/>
        <v>-5.889626608585493E-3</v>
      </c>
      <c r="J13" s="40">
        <f>+E13*I13</f>
        <v>-891.2232574767612</v>
      </c>
      <c r="K13" s="40">
        <f>+E13+J13</f>
        <v>150429.61874252325</v>
      </c>
      <c r="M13" s="40">
        <f t="shared" si="2"/>
        <v>-891223.25747676124</v>
      </c>
      <c r="O13" s="48">
        <v>0.98</v>
      </c>
      <c r="P13" s="48"/>
      <c r="Q13" s="40">
        <v>379283.26543588733</v>
      </c>
      <c r="R13" s="38">
        <f t="shared" si="3"/>
        <v>6.9525294347379502E-2</v>
      </c>
      <c r="S13" s="40">
        <f t="shared" si="4"/>
        <v>16689.321543997907</v>
      </c>
      <c r="T13" s="40">
        <f t="shared" si="4"/>
        <v>12837.224981995576</v>
      </c>
      <c r="U13" s="40">
        <f t="shared" si="4"/>
        <v>5595.0829576829383</v>
      </c>
      <c r="W13" s="40">
        <f t="shared" si="5"/>
        <v>7096.5888702306729</v>
      </c>
      <c r="X13" s="40">
        <f t="shared" si="5"/>
        <v>15310.780579589724</v>
      </c>
      <c r="Y13" s="40">
        <f t="shared" si="5"/>
        <v>23256.452065330115</v>
      </c>
      <c r="AA13" s="374"/>
      <c r="AB13" s="374"/>
    </row>
    <row r="14" spans="1:28" x14ac:dyDescent="0.2">
      <c r="A14" s="34">
        <f t="shared" si="0"/>
        <v>7</v>
      </c>
      <c r="B14" s="388" t="s">
        <v>170</v>
      </c>
      <c r="C14" s="391"/>
      <c r="D14" s="44">
        <f>SUM(D11:D13)</f>
        <v>7292083.7113703806</v>
      </c>
      <c r="E14" s="54">
        <f>SUM(E11:E13)</f>
        <v>690443.5149999999</v>
      </c>
      <c r="G14" s="36"/>
      <c r="I14" s="38"/>
      <c r="J14" s="54">
        <f>SUM(J11:J13)</f>
        <v>-4066.4544976692969</v>
      </c>
      <c r="K14" s="54">
        <f>SUM(K11:K13)</f>
        <v>686377.06050233077</v>
      </c>
      <c r="M14" s="54">
        <f t="shared" si="2"/>
        <v>-4066454.4976692968</v>
      </c>
      <c r="O14" s="48"/>
      <c r="P14" s="48"/>
      <c r="Q14" s="54">
        <f>SUM(Q11:Q13)</f>
        <v>1710374.2096387409</v>
      </c>
      <c r="R14" s="48"/>
      <c r="S14" s="54">
        <f t="shared" ref="S14:T14" si="6">SUM(S11:S13)</f>
        <v>75260.333757191227</v>
      </c>
      <c r="T14" s="54">
        <f t="shared" si="6"/>
        <v>57889.341643645028</v>
      </c>
      <c r="U14" s="54">
        <f t="shared" ref="U14" si="7">SUM(U11:U13)</f>
        <v>25230.972372620457</v>
      </c>
      <c r="W14" s="54">
        <f t="shared" ref="W14" si="8">SUM(W11:W13)</f>
        <v>32001.998733328259</v>
      </c>
      <c r="X14" s="54">
        <f t="shared" ref="X14" si="9">SUM(X11:X13)</f>
        <v>69043.816638397257</v>
      </c>
      <c r="Y14" s="54">
        <f t="shared" ref="Y14" si="10">SUM(Y11:Y13)</f>
        <v>104874.74519743623</v>
      </c>
      <c r="AA14" s="374"/>
    </row>
    <row r="15" spans="1:28" x14ac:dyDescent="0.2">
      <c r="A15" s="34">
        <f t="shared" si="0"/>
        <v>8</v>
      </c>
      <c r="C15" s="391"/>
      <c r="D15" s="43"/>
      <c r="E15" s="40"/>
      <c r="G15" s="36"/>
      <c r="I15" s="38"/>
      <c r="J15" s="40"/>
      <c r="K15" s="40"/>
      <c r="M15" s="40"/>
      <c r="O15" s="48"/>
      <c r="P15" s="48"/>
      <c r="Q15" s="40"/>
      <c r="R15" s="48"/>
      <c r="S15" s="40"/>
      <c r="T15" s="40"/>
      <c r="U15" s="40"/>
      <c r="W15" s="40"/>
      <c r="X15" s="40"/>
      <c r="Y15" s="40"/>
    </row>
    <row r="16" spans="1:28" x14ac:dyDescent="0.2">
      <c r="A16" s="34">
        <f t="shared" si="0"/>
        <v>9</v>
      </c>
      <c r="B16" s="25" t="s">
        <v>120</v>
      </c>
      <c r="C16" s="391"/>
      <c r="D16" s="43"/>
      <c r="E16" s="40"/>
      <c r="G16" s="36"/>
      <c r="I16" s="38"/>
      <c r="J16" s="40"/>
      <c r="K16" s="40"/>
      <c r="M16" s="40"/>
      <c r="O16" s="48"/>
      <c r="P16" s="48"/>
      <c r="Q16" s="40"/>
      <c r="R16" s="48"/>
      <c r="S16" s="40"/>
      <c r="T16" s="40"/>
      <c r="U16" s="40"/>
      <c r="W16" s="40"/>
      <c r="X16" s="40"/>
      <c r="Y16" s="40"/>
    </row>
    <row r="17" spans="1:28" x14ac:dyDescent="0.2">
      <c r="A17" s="34">
        <f t="shared" si="0"/>
        <v>10</v>
      </c>
      <c r="B17" s="42" t="s">
        <v>267</v>
      </c>
      <c r="C17" s="390" t="s">
        <v>269</v>
      </c>
      <c r="D17" s="43">
        <f>SUM('Exhibit No.__(BDJ-Prof-Prop)'!I28)</f>
        <v>1307770.0591754341</v>
      </c>
      <c r="E17" s="40">
        <f>SUM('Exhibit No.__(BDJ-Prof-Prop)'!L28)</f>
        <v>110792.823</v>
      </c>
      <c r="G17" s="36">
        <f t="shared" ref="G17:G19" si="11">E17/(E$32-E$30-$E$24)</f>
        <v>5.2716639619993989E-2</v>
      </c>
      <c r="H17" s="37">
        <v>1</v>
      </c>
      <c r="I17" s="38">
        <f t="shared" ref="I17:I19" si="12">+$I$38*H17</f>
        <v>-5.889626608585493E-3</v>
      </c>
      <c r="J17" s="40">
        <f>+E17*I17</f>
        <v>-652.52835838110286</v>
      </c>
      <c r="K17" s="40">
        <f>+E17+J17</f>
        <v>110140.29464161891</v>
      </c>
      <c r="M17" s="40">
        <f t="shared" si="2"/>
        <v>-652528.35838110291</v>
      </c>
      <c r="O17" s="48">
        <v>0.99</v>
      </c>
      <c r="P17" s="48"/>
      <c r="Q17" s="40">
        <v>273180.66307616176</v>
      </c>
      <c r="R17" s="38">
        <f t="shared" ref="R17:R19" si="13">+Q17/$Q$32</f>
        <v>5.0075939914077106E-2</v>
      </c>
      <c r="S17" s="40">
        <f t="shared" ref="S17:U19" si="14">+$R17*S$36/1000</f>
        <v>12020.567056764306</v>
      </c>
      <c r="T17" s="40">
        <f t="shared" si="14"/>
        <v>9246.075301026458</v>
      </c>
      <c r="U17" s="40">
        <f t="shared" si="14"/>
        <v>4029.8863979389675</v>
      </c>
      <c r="W17" s="40">
        <f t="shared" ref="W17:Y19" si="15">+$R17*W$34/1000</f>
        <v>5111.3535181167308</v>
      </c>
      <c r="X17" s="40">
        <f t="shared" si="15"/>
        <v>11027.666053600125</v>
      </c>
      <c r="Y17" s="40">
        <f t="shared" si="15"/>
        <v>16750.575559152308</v>
      </c>
      <c r="AA17" s="374"/>
      <c r="AB17" s="374"/>
    </row>
    <row r="18" spans="1:28" x14ac:dyDescent="0.2">
      <c r="A18" s="34">
        <f t="shared" si="0"/>
        <v>11</v>
      </c>
      <c r="B18" s="42" t="s">
        <v>268</v>
      </c>
      <c r="C18" s="390">
        <v>35</v>
      </c>
      <c r="D18" s="43">
        <f>SUM('Exhibit No.__(BDJ-Prof-Prop)'!I29)</f>
        <v>4387.6440000000002</v>
      </c>
      <c r="E18" s="40">
        <f>SUM('Exhibit No.__(BDJ-Prof-Prop)'!L29)</f>
        <v>275.553</v>
      </c>
      <c r="G18" s="36">
        <f t="shared" si="11"/>
        <v>1.3111163524742216E-4</v>
      </c>
      <c r="H18" s="37">
        <v>0</v>
      </c>
      <c r="I18" s="38">
        <f t="shared" ref="I18" si="16">+$I$38*H18</f>
        <v>0</v>
      </c>
      <c r="J18" s="40">
        <f>+E18*I18</f>
        <v>0</v>
      </c>
      <c r="K18" s="40">
        <f>+E18+J18</f>
        <v>275.553</v>
      </c>
      <c r="M18" s="40">
        <f t="shared" ref="M18" si="17">+J18*1000</f>
        <v>0</v>
      </c>
      <c r="O18" s="48">
        <v>0.6</v>
      </c>
      <c r="P18" s="48"/>
      <c r="Q18" s="40">
        <v>1335.8501204867589</v>
      </c>
      <c r="R18" s="38">
        <f t="shared" si="13"/>
        <v>2.4487073724196144E-4</v>
      </c>
      <c r="S18" s="40">
        <f t="shared" si="14"/>
        <v>58.78042673401427</v>
      </c>
      <c r="T18" s="40">
        <f t="shared" si="14"/>
        <v>45.213195787076344</v>
      </c>
      <c r="U18" s="40">
        <f t="shared" si="14"/>
        <v>19.706095481340384</v>
      </c>
      <c r="W18" s="40">
        <f t="shared" si="15"/>
        <v>24.994456548057478</v>
      </c>
      <c r="X18" s="40">
        <f t="shared" si="15"/>
        <v>53.925152902504067</v>
      </c>
      <c r="Y18" s="40">
        <f t="shared" si="15"/>
        <v>81.910110792423666</v>
      </c>
      <c r="AA18" s="374"/>
      <c r="AB18" s="374"/>
    </row>
    <row r="19" spans="1:28" x14ac:dyDescent="0.2">
      <c r="A19" s="34">
        <f t="shared" si="0"/>
        <v>12</v>
      </c>
      <c r="B19" s="45" t="s">
        <v>171</v>
      </c>
      <c r="C19" s="391">
        <v>43</v>
      </c>
      <c r="D19" s="43">
        <f>SUM('Exhibit No.__(BDJ-Prof-Prop)'!I30)</f>
        <v>114099.11728442684</v>
      </c>
      <c r="E19" s="40">
        <f>SUM('Exhibit No.__(BDJ-Prof-Prop)'!L30)</f>
        <v>10372.369000000001</v>
      </c>
      <c r="G19" s="36">
        <f t="shared" si="11"/>
        <v>4.935305589050633E-3</v>
      </c>
      <c r="H19" s="37">
        <v>1.25</v>
      </c>
      <c r="I19" s="38">
        <f t="shared" si="12"/>
        <v>-7.3620332607318663E-3</v>
      </c>
      <c r="J19" s="40">
        <f>+E19*I19</f>
        <v>-76.361725570584127</v>
      </c>
      <c r="K19" s="40">
        <f>+E19+J19</f>
        <v>10296.007274429416</v>
      </c>
      <c r="M19" s="40">
        <f t="shared" si="2"/>
        <v>-76361.725570584123</v>
      </c>
      <c r="O19" s="48">
        <v>1.07</v>
      </c>
      <c r="P19" s="48"/>
      <c r="Q19" s="40">
        <v>23216.841039561787</v>
      </c>
      <c r="R19" s="38">
        <f t="shared" si="13"/>
        <v>4.2558105094270358E-3</v>
      </c>
      <c r="S19" s="40">
        <f t="shared" si="14"/>
        <v>1021.5935177098667</v>
      </c>
      <c r="T19" s="40">
        <f t="shared" si="14"/>
        <v>785.79742096863549</v>
      </c>
      <c r="U19" s="40">
        <f t="shared" si="14"/>
        <v>342.48848675777873</v>
      </c>
      <c r="W19" s="40">
        <f t="shared" si="15"/>
        <v>434.39927552279363</v>
      </c>
      <c r="X19" s="40">
        <f t="shared" si="15"/>
        <v>937.20970921146875</v>
      </c>
      <c r="Y19" s="40">
        <f t="shared" si="15"/>
        <v>1423.5833740896414</v>
      </c>
      <c r="AA19" s="374"/>
      <c r="AB19" s="374"/>
    </row>
    <row r="20" spans="1:28" x14ac:dyDescent="0.2">
      <c r="A20" s="34">
        <f t="shared" si="0"/>
        <v>13</v>
      </c>
      <c r="B20" s="389" t="s">
        <v>172</v>
      </c>
      <c r="C20" s="391"/>
      <c r="D20" s="44">
        <f>SUM(D17:D19)</f>
        <v>1426256.8204598611</v>
      </c>
      <c r="E20" s="54">
        <f>SUM(E17:E19)</f>
        <v>121440.74500000001</v>
      </c>
      <c r="G20" s="36"/>
      <c r="I20" s="38"/>
      <c r="J20" s="54">
        <f>SUM(J17:J19)</f>
        <v>-728.89008395168696</v>
      </c>
      <c r="K20" s="54">
        <f>SUM(K17:K19)</f>
        <v>120711.85491604832</v>
      </c>
      <c r="M20" s="54">
        <f t="shared" si="2"/>
        <v>-728890.08395168697</v>
      </c>
      <c r="O20" s="48"/>
      <c r="P20" s="48"/>
      <c r="Q20" s="54">
        <f>SUM(Q17:Q19)</f>
        <v>297733.35423621029</v>
      </c>
      <c r="R20" s="48"/>
      <c r="S20" s="54">
        <f t="shared" ref="S20:T20" si="18">SUM(S17:S19)</f>
        <v>13100.941001208188</v>
      </c>
      <c r="T20" s="54">
        <f t="shared" si="18"/>
        <v>10077.085917782171</v>
      </c>
      <c r="U20" s="54">
        <f t="shared" ref="U20" si="19">SUM(U17:U19)</f>
        <v>4392.080980178087</v>
      </c>
      <c r="W20" s="54">
        <f t="shared" ref="W20" si="20">SUM(W17:W19)</f>
        <v>5570.7472501875818</v>
      </c>
      <c r="X20" s="54">
        <f t="shared" ref="X20" si="21">SUM(X17:X19)</f>
        <v>12018.800915714099</v>
      </c>
      <c r="Y20" s="54">
        <f t="shared" ref="Y20" si="22">SUM(Y17:Y19)</f>
        <v>18256.069044034375</v>
      </c>
    </row>
    <row r="21" spans="1:28" x14ac:dyDescent="0.2">
      <c r="A21" s="34">
        <f t="shared" si="0"/>
        <v>14</v>
      </c>
      <c r="C21" s="391"/>
      <c r="D21" s="46"/>
      <c r="E21" s="374"/>
      <c r="G21" s="47"/>
      <c r="I21" s="38"/>
      <c r="O21" s="48"/>
      <c r="P21" s="48"/>
      <c r="Q21" s="374"/>
      <c r="R21" s="48"/>
    </row>
    <row r="22" spans="1:28" x14ac:dyDescent="0.2">
      <c r="A22" s="34">
        <f t="shared" si="0"/>
        <v>15</v>
      </c>
      <c r="B22" s="388" t="s">
        <v>173</v>
      </c>
      <c r="C22" s="391" t="s">
        <v>174</v>
      </c>
      <c r="D22" s="44">
        <f>SUM('Exhibit No.__(BDJ-Prof-Prop)'!I36)</f>
        <v>614103.78800000006</v>
      </c>
      <c r="E22" s="54">
        <f>SUM('Exhibit No.__(BDJ-Prof-Prop)'!L36)</f>
        <v>40943.816999999995</v>
      </c>
      <c r="G22" s="36">
        <f t="shared" ref="G22" si="23">E22/(E$32-E$30-$E$24)</f>
        <v>1.9481590837846809E-2</v>
      </c>
      <c r="H22" s="37">
        <v>1.5</v>
      </c>
      <c r="I22" s="38">
        <f>+$I$38*H22</f>
        <v>-8.8344399128782395E-3</v>
      </c>
      <c r="J22" s="54">
        <f>+E22*I22</f>
        <v>-361.71569109038256</v>
      </c>
      <c r="K22" s="54">
        <f>+E22+J22</f>
        <v>40582.101308909616</v>
      </c>
      <c r="M22" s="54">
        <f t="shared" si="2"/>
        <v>-361715.69109038258</v>
      </c>
      <c r="O22" s="48">
        <v>1.1599999999999999</v>
      </c>
      <c r="P22" s="48"/>
      <c r="Q22" s="54">
        <v>64992.231358173303</v>
      </c>
      <c r="R22" s="38">
        <f>+Q22/$Q$32</f>
        <v>1.1913533834077885E-2</v>
      </c>
      <c r="S22" s="54">
        <f>+$R22*S$36/1000</f>
        <v>2859.8051795190731</v>
      </c>
      <c r="T22" s="54">
        <f>+$R22*T$36/1000</f>
        <v>2199.7276760100267</v>
      </c>
      <c r="U22" s="54">
        <f>+$R22*U$36/1000</f>
        <v>958.74761475699745</v>
      </c>
      <c r="W22" s="54">
        <f>+$R22*W$34/1000</f>
        <v>1216.0387439657104</v>
      </c>
      <c r="X22" s="54">
        <f>+$R22*X$34/1000</f>
        <v>2623.5847567894534</v>
      </c>
      <c r="Y22" s="54">
        <f>+$R22*Y$34/1000</f>
        <v>3985.118382333952</v>
      </c>
    </row>
    <row r="23" spans="1:28" x14ac:dyDescent="0.2">
      <c r="A23" s="34">
        <f t="shared" si="0"/>
        <v>16</v>
      </c>
      <c r="C23" s="391"/>
      <c r="D23" s="46"/>
      <c r="E23" s="374"/>
      <c r="G23" s="47"/>
      <c r="I23" s="38"/>
      <c r="J23" s="49"/>
      <c r="K23" s="49"/>
      <c r="M23" s="49"/>
      <c r="O23" s="48"/>
      <c r="P23" s="48"/>
      <c r="Q23" s="374"/>
      <c r="R23" s="48"/>
      <c r="S23" s="49"/>
      <c r="T23" s="49"/>
      <c r="U23" s="49"/>
      <c r="W23" s="49"/>
      <c r="X23" s="49"/>
      <c r="Y23" s="49"/>
    </row>
    <row r="24" spans="1:28" x14ac:dyDescent="0.2">
      <c r="A24" s="34">
        <f t="shared" si="0"/>
        <v>17</v>
      </c>
      <c r="B24" s="388" t="s">
        <v>288</v>
      </c>
      <c r="C24" s="390" t="s">
        <v>308</v>
      </c>
      <c r="D24" s="44">
        <f>SUM('Exhibit No.__(BDJ-Prof-Prop)'!I41)</f>
        <v>2223284.478162</v>
      </c>
      <c r="E24" s="54">
        <f>SUM('Exhibit No.__(BDJ-Prof-Prop)'!L41)</f>
        <v>13316.672930000001</v>
      </c>
      <c r="G24" s="36"/>
      <c r="H24" s="37"/>
      <c r="I24" s="38">
        <f>((J24)/E24)</f>
        <v>-5.4701178276967723E-2</v>
      </c>
      <c r="J24" s="54">
        <f>(+'Exhibit No.__(BDJ-TRANSP RD)'!I25-'Exhibit No.__(BDJ-TRANSP RD)'!F25)/1000+(+'Exhibit No.__(BDJ-TRANSP RD)'!I41-'Exhibit No.__(BDJ-TRANSP RD)'!F41)/1000</f>
        <v>-728.43770000000018</v>
      </c>
      <c r="K24" s="54">
        <f>+E24+J24</f>
        <v>12588.23523</v>
      </c>
      <c r="M24" s="54">
        <f t="shared" si="2"/>
        <v>-728437.70000000019</v>
      </c>
      <c r="O24" s="48"/>
      <c r="P24" s="48"/>
      <c r="Q24" s="54">
        <v>19511.736329469641</v>
      </c>
      <c r="R24" s="38">
        <f>+Q24/$Q$32</f>
        <v>3.5766387161211112E-3</v>
      </c>
      <c r="S24" s="54">
        <f>+$R24*S$36/1000</f>
        <v>858.56053024113407</v>
      </c>
      <c r="T24" s="54">
        <f>+$R24*T$36/1000</f>
        <v>660.39441197839494</v>
      </c>
      <c r="U24" s="54">
        <f>+$R24*U$36/1000</f>
        <v>287.83179581191484</v>
      </c>
      <c r="W24" s="54">
        <f>+$R24*W$34/1000</f>
        <v>365.07482268024199</v>
      </c>
      <c r="X24" s="54">
        <f>+$R24*X$34/1000</f>
        <v>787.64327586136778</v>
      </c>
      <c r="Y24" s="54">
        <f>+$R24*Y$34/1000</f>
        <v>1196.3980539351664</v>
      </c>
      <c r="AA24" s="374"/>
    </row>
    <row r="25" spans="1:28" x14ac:dyDescent="0.2">
      <c r="A25" s="34">
        <f t="shared" si="0"/>
        <v>18</v>
      </c>
      <c r="C25" s="391"/>
      <c r="D25" s="46"/>
      <c r="E25" s="374"/>
      <c r="G25" s="47"/>
      <c r="I25" s="38"/>
      <c r="O25" s="48"/>
      <c r="P25" s="48"/>
      <c r="Q25" s="374"/>
      <c r="R25" s="48"/>
      <c r="AA25" s="374"/>
    </row>
    <row r="26" spans="1:28" x14ac:dyDescent="0.2">
      <c r="A26" s="34">
        <f t="shared" si="0"/>
        <v>19</v>
      </c>
      <c r="B26" s="25" t="s">
        <v>177</v>
      </c>
      <c r="C26" s="391" t="s">
        <v>65</v>
      </c>
      <c r="D26" s="44">
        <f>+'Exhibit No.__(BDJ-LIGHT RD) '!D22/1000</f>
        <v>69892.887000000002</v>
      </c>
      <c r="E26" s="54">
        <f>+'Exhibit No.__(BDJ-LIGHT RD) '!H22/1000</f>
        <v>17783.762999999999</v>
      </c>
      <c r="G26" s="36">
        <f t="shared" ref="G26" si="24">E26/(E$32-E$30-$E$24)</f>
        <v>8.4617414718134148E-3</v>
      </c>
      <c r="H26" s="37">
        <v>1</v>
      </c>
      <c r="I26" s="38">
        <f>+$I$38*H26</f>
        <v>-5.889626608585493E-3</v>
      </c>
      <c r="J26" s="54">
        <f>+E26*I26</f>
        <v>-104.73972376557816</v>
      </c>
      <c r="K26" s="54">
        <f>+E26+J26</f>
        <v>17679.02327623442</v>
      </c>
      <c r="M26" s="54">
        <f t="shared" si="2"/>
        <v>-104739.72376557816</v>
      </c>
      <c r="N26" s="374"/>
      <c r="O26" s="48">
        <v>1</v>
      </c>
      <c r="P26" s="48"/>
      <c r="Q26" s="54">
        <v>64251.077061361939</v>
      </c>
      <c r="R26" s="38">
        <f>+Q26/$Q$32</f>
        <v>1.177767503054376E-2</v>
      </c>
      <c r="S26" s="54">
        <f>+$R26*S$36/1000</f>
        <v>2827.1927141128144</v>
      </c>
      <c r="T26" s="54">
        <f>+$R26*T$36/1000</f>
        <v>2174.6425606843977</v>
      </c>
      <c r="U26" s="54">
        <f>+$R26*U$36/1000</f>
        <v>947.81430935440574</v>
      </c>
      <c r="W26" s="54">
        <f>+$R26*W$34/1000</f>
        <v>1202.1713582590655</v>
      </c>
      <c r="X26" s="54">
        <f>+$R26*X$34/1000</f>
        <v>2593.6660868975509</v>
      </c>
      <c r="Y26" s="54">
        <f>+$R26*Y$34/1000</f>
        <v>3939.673141408286</v>
      </c>
      <c r="AA26" s="374"/>
    </row>
    <row r="27" spans="1:28" x14ac:dyDescent="0.2">
      <c r="A27" s="34">
        <f t="shared" si="0"/>
        <v>20</v>
      </c>
      <c r="C27" s="391"/>
      <c r="D27" s="50"/>
      <c r="E27" s="374"/>
      <c r="G27" s="374"/>
      <c r="I27" s="38"/>
      <c r="O27" s="51"/>
      <c r="P27" s="48"/>
      <c r="Q27" s="374"/>
      <c r="R27" s="48"/>
    </row>
    <row r="28" spans="1:28" ht="12.75" thickBot="1" x14ac:dyDescent="0.25">
      <c r="A28" s="34">
        <f t="shared" si="0"/>
        <v>21</v>
      </c>
      <c r="B28" s="388" t="s">
        <v>178</v>
      </c>
      <c r="C28" s="391"/>
      <c r="D28" s="52">
        <f>SUM(D26,D24,D22,D20,D14,D8)</f>
        <v>22980976.256595764</v>
      </c>
      <c r="E28" s="53">
        <f>SUM(E26,E24,E22,E20,E14,E8)</f>
        <v>2114983.6949300002</v>
      </c>
      <c r="I28" s="38">
        <f>((J28)/E28)</f>
        <v>-6.26042322915375E-3</v>
      </c>
      <c r="J28" s="53">
        <f>SUM(J26,J24,J22,J20,J14,J8)</f>
        <v>-13240.693053021201</v>
      </c>
      <c r="K28" s="53">
        <f>SUM(K26,K24,K22,K20,K14,K8)</f>
        <v>2101743.0018769787</v>
      </c>
      <c r="M28" s="53">
        <f t="shared" si="2"/>
        <v>-13240693.053021202</v>
      </c>
      <c r="O28" s="48"/>
      <c r="P28" s="48"/>
      <c r="Q28" s="53">
        <f>SUM(Q26,Q24,Q22,Q20,Q14,Q8)</f>
        <v>5453917.3642171267</v>
      </c>
      <c r="R28" s="48"/>
      <c r="S28" s="53">
        <f t="shared" ref="S28:T28" si="25">SUM(S26,S24,S22,S20,S14,S8)</f>
        <v>239984.69972358755</v>
      </c>
      <c r="T28" s="53">
        <f t="shared" si="25"/>
        <v>184593.33858878713</v>
      </c>
      <c r="U28" s="53">
        <f t="shared" ref="U28" si="26">SUM(U26,U24,U22,U20,U14,U8)</f>
        <v>80454.696734571495</v>
      </c>
      <c r="W28" s="53">
        <f t="shared" ref="W28:Y28" si="27">SUM(W26,W24,W22,W20,W14,W8)</f>
        <v>102045.65503722042</v>
      </c>
      <c r="X28" s="53">
        <f t="shared" si="27"/>
        <v>220161.92031772604</v>
      </c>
      <c r="Y28" s="53">
        <f t="shared" si="27"/>
        <v>334416.98937974247</v>
      </c>
    </row>
    <row r="29" spans="1:28" ht="12.75" thickTop="1" x14ac:dyDescent="0.2">
      <c r="A29" s="34">
        <f t="shared" si="0"/>
        <v>22</v>
      </c>
      <c r="C29" s="391"/>
      <c r="D29" s="46"/>
      <c r="E29" s="374"/>
      <c r="G29" s="47"/>
      <c r="I29" s="38"/>
      <c r="J29" s="49"/>
      <c r="K29" s="49"/>
      <c r="M29" s="49"/>
      <c r="O29" s="48"/>
      <c r="P29" s="48"/>
      <c r="Q29" s="374"/>
      <c r="R29" s="48"/>
      <c r="S29" s="49"/>
      <c r="T29" s="49"/>
      <c r="U29" s="49"/>
      <c r="W29" s="49"/>
      <c r="X29" s="49"/>
      <c r="Y29" s="49"/>
    </row>
    <row r="30" spans="1:28" x14ac:dyDescent="0.2">
      <c r="A30" s="34">
        <f t="shared" si="0"/>
        <v>23</v>
      </c>
      <c r="B30" s="388" t="s">
        <v>179</v>
      </c>
      <c r="C30" s="390"/>
      <c r="D30" s="44">
        <f>SUM('Exhibit No.__(BDJ-Prof-Prop)'!I47)</f>
        <v>7372.3372879022108</v>
      </c>
      <c r="E30" s="54">
        <f>SUM('Exhibit No.__(BDJ-Prof-Prop)'!L47)</f>
        <v>345.54538000000002</v>
      </c>
      <c r="G30" s="36"/>
      <c r="H30" s="47"/>
      <c r="I30" s="38">
        <f>((J30)/E30)</f>
        <v>0.66872727396905129</v>
      </c>
      <c r="J30" s="54">
        <v>231.07561999999996</v>
      </c>
      <c r="K30" s="54">
        <f>+E30+J30</f>
        <v>576.62099999999998</v>
      </c>
      <c r="M30" s="54">
        <f t="shared" si="2"/>
        <v>231075.61999999997</v>
      </c>
      <c r="O30" s="48"/>
      <c r="P30" s="48"/>
      <c r="Q30" s="54">
        <v>1410.3549410023816</v>
      </c>
      <c r="R30" s="38">
        <f>+Q30/$Q$32</f>
        <v>2.5852799567832911E-4</v>
      </c>
      <c r="S30" s="54">
        <f>+$R30*S$36/1000</f>
        <v>62.058807352083655</v>
      </c>
      <c r="T30" s="54">
        <f>+$R30*T$36/1000</f>
        <v>47.734886645498676</v>
      </c>
      <c r="U30" s="54">
        <f>+$R30*U$36/1000</f>
        <v>20.805170208650363</v>
      </c>
      <c r="W30" s="54">
        <f>+$R30*W$34/1000</f>
        <v>26.3884808255116</v>
      </c>
      <c r="X30" s="54">
        <f>+$R30*X$34/1000</f>
        <v>56.932738691256034</v>
      </c>
      <c r="Y30" s="54">
        <f>+$R30*Y$34/1000</f>
        <v>86.478511101270144</v>
      </c>
    </row>
    <row r="31" spans="1:28" x14ac:dyDescent="0.2">
      <c r="A31" s="34">
        <f t="shared" si="0"/>
        <v>24</v>
      </c>
      <c r="C31" s="391"/>
      <c r="D31" s="50"/>
      <c r="E31" s="374"/>
      <c r="G31" s="374"/>
      <c r="I31" s="38"/>
      <c r="O31" s="48"/>
      <c r="P31" s="48"/>
      <c r="Q31" s="374"/>
      <c r="R31" s="48"/>
    </row>
    <row r="32" spans="1:28" ht="12.75" thickBot="1" x14ac:dyDescent="0.25">
      <c r="A32" s="34">
        <f t="shared" si="0"/>
        <v>25</v>
      </c>
      <c r="B32" s="25" t="s">
        <v>180</v>
      </c>
      <c r="C32" s="391"/>
      <c r="D32" s="52">
        <f>SUM(D30,D28)</f>
        <v>22988348.593883667</v>
      </c>
      <c r="E32" s="53">
        <f>SUM(E30,E28)</f>
        <v>2115329.2403100003</v>
      </c>
      <c r="F32" s="53">
        <v>-13009617.433021203</v>
      </c>
      <c r="G32" s="56">
        <f>SUM(G8:G30)</f>
        <v>0.99999999999999989</v>
      </c>
      <c r="I32" s="55">
        <f>(+F32/1000)/E32</f>
        <v>-6.1501619630212516E-3</v>
      </c>
      <c r="J32" s="53">
        <f>SUM(J30,J28)</f>
        <v>-13009.617433021202</v>
      </c>
      <c r="K32" s="53">
        <f>SUM(K30,K28)</f>
        <v>2102319.6228769785</v>
      </c>
      <c r="M32" s="53">
        <f t="shared" si="2"/>
        <v>-13009617.433021201</v>
      </c>
      <c r="O32" s="48"/>
      <c r="P32" s="48"/>
      <c r="Q32" s="53">
        <f>SUM(Q30,Q28)</f>
        <v>5455327.7191581288</v>
      </c>
      <c r="R32" s="56">
        <f>SUM(R8:R31)</f>
        <v>1.0000000000000002</v>
      </c>
      <c r="S32" s="53">
        <f t="shared" ref="S32:T32" si="28">SUM(S30,S28)</f>
        <v>240046.75853093964</v>
      </c>
      <c r="T32" s="53">
        <f t="shared" si="28"/>
        <v>184641.07347543261</v>
      </c>
      <c r="U32" s="53">
        <f t="shared" ref="U32" si="29">SUM(U30,U28)</f>
        <v>80475.501904780147</v>
      </c>
      <c r="W32" s="53">
        <f t="shared" ref="W32:Y32" si="30">SUM(W30,W28)</f>
        <v>102072.04351804593</v>
      </c>
      <c r="X32" s="53">
        <f t="shared" si="30"/>
        <v>220218.85305641728</v>
      </c>
      <c r="Y32" s="53">
        <f t="shared" si="30"/>
        <v>334503.46789084375</v>
      </c>
    </row>
    <row r="33" spans="1:25" ht="12.75" thickTop="1" x14ac:dyDescent="0.2">
      <c r="A33" s="34">
        <f t="shared" si="0"/>
        <v>26</v>
      </c>
      <c r="C33" s="391"/>
      <c r="D33" s="39"/>
      <c r="E33" s="40"/>
      <c r="F33" s="40"/>
      <c r="G33" s="36"/>
      <c r="H33" s="40"/>
      <c r="I33" s="36"/>
      <c r="J33" s="57"/>
      <c r="K33" s="40"/>
      <c r="O33" s="48"/>
      <c r="P33" s="48"/>
      <c r="R33" s="48"/>
      <c r="T33" s="58"/>
    </row>
    <row r="34" spans="1:25" ht="12.75" thickBot="1" x14ac:dyDescent="0.25">
      <c r="A34" s="34">
        <f t="shared" si="0"/>
        <v>27</v>
      </c>
      <c r="C34" s="391"/>
      <c r="D34" s="391"/>
      <c r="J34" s="374"/>
      <c r="K34" s="374"/>
      <c r="Q34" s="388" t="s">
        <v>457</v>
      </c>
      <c r="S34" s="53">
        <v>240950975.17390224</v>
      </c>
      <c r="T34" s="53">
        <v>185470323.37789181</v>
      </c>
      <c r="U34" s="53">
        <v>81371448.926877916</v>
      </c>
      <c r="W34" s="53">
        <v>102072043.51804593</v>
      </c>
      <c r="X34" s="425">
        <v>220218853.05641726</v>
      </c>
      <c r="Y34" s="53">
        <v>334503467.89084369</v>
      </c>
    </row>
    <row r="35" spans="1:25" ht="12.75" thickTop="1" x14ac:dyDescent="0.2">
      <c r="A35" s="34">
        <f t="shared" si="0"/>
        <v>28</v>
      </c>
      <c r="B35" s="435" t="s">
        <v>545</v>
      </c>
      <c r="C35" s="436"/>
      <c r="D35" s="436"/>
      <c r="E35" s="436"/>
      <c r="F35" s="59"/>
      <c r="G35" s="60"/>
      <c r="H35" s="59"/>
      <c r="I35" s="61">
        <f>(F32)/(E32*1000)</f>
        <v>-6.1501619630212508E-3</v>
      </c>
      <c r="Q35" s="388" t="s">
        <v>456</v>
      </c>
      <c r="S35" s="374">
        <f>-'Exhibit No.__(BDJ-MYRP-SUM)'!M33*1000</f>
        <v>-904216.64296266134</v>
      </c>
      <c r="T35" s="374">
        <f>-'Exhibit No.__(BDJ-MYRP-SUM)'!S33*1000</f>
        <v>-829249.9024592198</v>
      </c>
      <c r="U35" s="374">
        <f>-'Exhibit No.__(BDJ-MYRP-SUM)'!Y33*1000</f>
        <v>-895947.02209777641</v>
      </c>
    </row>
    <row r="36" spans="1:25" x14ac:dyDescent="0.2">
      <c r="A36" s="34">
        <f t="shared" si="0"/>
        <v>29</v>
      </c>
      <c r="B36" s="437" t="s">
        <v>546</v>
      </c>
      <c r="C36" s="438"/>
      <c r="D36" s="438"/>
      <c r="E36" s="438"/>
      <c r="F36" s="49"/>
      <c r="G36" s="49"/>
      <c r="H36" s="49"/>
      <c r="I36" s="62">
        <f>((F32/1000)-(J24)-(J30))/(E32-E24-E30)</f>
        <v>-5.9534908346776166E-3</v>
      </c>
      <c r="K36" s="374"/>
      <c r="Q36" s="25" t="s">
        <v>419</v>
      </c>
      <c r="S36" s="374">
        <f>+S34+S35</f>
        <v>240046758.53093958</v>
      </c>
      <c r="T36" s="374">
        <f t="shared" ref="T36:U36" si="31">+T34+T35</f>
        <v>184641073.47543257</v>
      </c>
      <c r="U36" s="374">
        <f t="shared" si="31"/>
        <v>80475501.904780135</v>
      </c>
    </row>
    <row r="37" spans="1:25" x14ac:dyDescent="0.2">
      <c r="A37" s="34">
        <f t="shared" si="0"/>
        <v>30</v>
      </c>
      <c r="B37" s="439" t="s">
        <v>547</v>
      </c>
      <c r="C37" s="440"/>
      <c r="D37" s="440"/>
      <c r="E37" s="440"/>
      <c r="F37" s="49"/>
      <c r="G37" s="49"/>
      <c r="H37" s="49"/>
      <c r="I37" s="63">
        <f>1/SUMPRODUCT($H$8:$H$30,$G$8:$G$30)</f>
        <v>0.98927281021075397</v>
      </c>
      <c r="K37" s="374"/>
    </row>
    <row r="38" spans="1:25" ht="12.75" thickBot="1" x14ac:dyDescent="0.25">
      <c r="A38" s="34">
        <f t="shared" si="0"/>
        <v>31</v>
      </c>
      <c r="B38" s="431" t="s">
        <v>548</v>
      </c>
      <c r="C38" s="432"/>
      <c r="D38" s="432"/>
      <c r="E38" s="432"/>
      <c r="F38" s="64"/>
      <c r="G38" s="64"/>
      <c r="H38" s="64"/>
      <c r="I38" s="65">
        <f>I37*I36</f>
        <v>-5.889626608585493E-3</v>
      </c>
      <c r="K38" s="374"/>
      <c r="Q38" s="25" t="s">
        <v>431</v>
      </c>
      <c r="S38" s="374">
        <f>+'Exhibit No.__(BDJ-MYRP-SUM)'!O36*1000</f>
        <v>-5901.5960144461133</v>
      </c>
      <c r="T38" s="374">
        <f>+'Exhibit No.__(BDJ-MYRP-SUM)'!U36*1000</f>
        <v>281.65884962072596</v>
      </c>
      <c r="U38" s="374">
        <f>+'Exhibit No.__(BDJ-MYRP-SUM)'!AA36*1000</f>
        <v>2129.1016240720637</v>
      </c>
    </row>
    <row r="39" spans="1:25" x14ac:dyDescent="0.2">
      <c r="A39" s="34">
        <f t="shared" si="0"/>
        <v>32</v>
      </c>
      <c r="B39" s="66"/>
      <c r="C39" s="66"/>
      <c r="D39" s="66"/>
      <c r="E39" s="66"/>
      <c r="F39" s="66"/>
      <c r="G39" s="66"/>
      <c r="S39" s="374"/>
      <c r="T39" s="374"/>
    </row>
    <row r="40" spans="1:25" x14ac:dyDescent="0.2">
      <c r="A40" s="34"/>
      <c r="Q40" s="67"/>
      <c r="S40" s="374"/>
      <c r="T40" s="374"/>
    </row>
    <row r="41" spans="1:25" x14ac:dyDescent="0.2">
      <c r="A41" s="34"/>
      <c r="Q41" s="428" t="s">
        <v>551</v>
      </c>
      <c r="R41" s="429"/>
      <c r="S41" s="429"/>
      <c r="T41" s="429"/>
      <c r="U41" s="429"/>
      <c r="V41" s="429"/>
      <c r="W41" s="429"/>
      <c r="X41" s="429"/>
      <c r="Y41" s="429"/>
    </row>
    <row r="42" spans="1:25" x14ac:dyDescent="0.2">
      <c r="A42" s="34"/>
    </row>
    <row r="43" spans="1:25" x14ac:dyDescent="0.2">
      <c r="A43" s="34"/>
      <c r="S43" s="374"/>
      <c r="T43" s="374"/>
    </row>
    <row r="44" spans="1:25" x14ac:dyDescent="0.2">
      <c r="A44" s="34"/>
    </row>
    <row r="48" spans="1:25" x14ac:dyDescent="0.2">
      <c r="F48" s="374"/>
    </row>
    <row r="49" spans="6:6" x14ac:dyDescent="0.2">
      <c r="F49" s="374"/>
    </row>
    <row r="50" spans="6:6" x14ac:dyDescent="0.2">
      <c r="F50" s="374"/>
    </row>
  </sheetData>
  <mergeCells count="10">
    <mergeCell ref="Q41:Y41"/>
    <mergeCell ref="S4:U4"/>
    <mergeCell ref="W4:Y4"/>
    <mergeCell ref="B38:E38"/>
    <mergeCell ref="A1:K1"/>
    <mergeCell ref="A3:K3"/>
    <mergeCell ref="B35:E35"/>
    <mergeCell ref="B36:E36"/>
    <mergeCell ref="B37:E37"/>
    <mergeCell ref="A2:K2"/>
  </mergeCells>
  <printOptions horizontalCentered="1"/>
  <pageMargins left="0.7" right="0.7" top="0.75" bottom="0.87" header="0.3" footer="0.3"/>
  <pageSetup scale="80" fitToWidth="0" orientation="landscape" r:id="rId1"/>
  <headerFooter alignWithMargins="0">
    <oddFooter>&amp;L&amp;A</oddFooter>
  </headerFooter>
  <colBreaks count="1" manualBreakCount="1">
    <brk id="15" max="40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selection activeCell="C31" sqref="C31"/>
    </sheetView>
  </sheetViews>
  <sheetFormatPr defaultColWidth="38.75" defaultRowHeight="15.75" x14ac:dyDescent="0.25"/>
  <cols>
    <col min="1" max="1" width="6.25" style="68" bestFit="1" customWidth="1"/>
    <col min="2" max="2" width="25.25" style="68" customWidth="1"/>
    <col min="3" max="3" width="11.25" style="68" customWidth="1"/>
    <col min="4" max="4" width="13.125" style="68" bestFit="1" customWidth="1"/>
    <col min="5" max="5" width="31.25" style="68" bestFit="1" customWidth="1"/>
    <col min="6" max="6" width="17.25" style="68" bestFit="1" customWidth="1"/>
    <col min="7" max="7" width="28.25" style="68" bestFit="1" customWidth="1"/>
    <col min="8" max="8" width="10.5" style="68" bestFit="1" customWidth="1"/>
    <col min="9" max="16384" width="38.75" style="68"/>
  </cols>
  <sheetData>
    <row r="1" spans="1:8" x14ac:dyDescent="0.25">
      <c r="A1" s="441" t="s">
        <v>72</v>
      </c>
      <c r="B1" s="441"/>
      <c r="C1" s="441"/>
      <c r="D1" s="441"/>
      <c r="E1" s="441"/>
      <c r="F1" s="441"/>
      <c r="G1" s="441"/>
      <c r="H1" s="441"/>
    </row>
    <row r="2" spans="1:8" x14ac:dyDescent="0.25">
      <c r="A2" s="441" t="s">
        <v>250</v>
      </c>
      <c r="B2" s="441"/>
      <c r="C2" s="441"/>
      <c r="D2" s="441"/>
      <c r="E2" s="441"/>
      <c r="F2" s="441"/>
      <c r="G2" s="441"/>
      <c r="H2" s="441"/>
    </row>
    <row r="3" spans="1:8" x14ac:dyDescent="0.25">
      <c r="A3" s="442" t="s">
        <v>337</v>
      </c>
      <c r="B3" s="441"/>
      <c r="C3" s="441"/>
      <c r="D3" s="441"/>
      <c r="E3" s="441"/>
      <c r="F3" s="441"/>
      <c r="G3" s="441"/>
      <c r="H3" s="441"/>
    </row>
    <row r="4" spans="1:8" ht="16.5" thickBot="1" x14ac:dyDescent="0.3">
      <c r="A4" s="1"/>
      <c r="B4" s="1"/>
      <c r="C4" s="1"/>
      <c r="D4" s="1"/>
      <c r="E4" s="1"/>
      <c r="F4" s="1"/>
      <c r="G4" s="1"/>
      <c r="H4" s="1"/>
    </row>
    <row r="5" spans="1:8" ht="16.5" thickBot="1" x14ac:dyDescent="0.3">
      <c r="A5" s="69" t="s">
        <v>152</v>
      </c>
      <c r="B5" s="70" t="s">
        <v>251</v>
      </c>
      <c r="C5" s="70" t="s">
        <v>252</v>
      </c>
      <c r="D5" s="70" t="s">
        <v>33</v>
      </c>
      <c r="E5" s="70" t="s">
        <v>136</v>
      </c>
      <c r="F5" s="70" t="s">
        <v>122</v>
      </c>
      <c r="G5" s="70" t="s">
        <v>75</v>
      </c>
      <c r="H5" s="71" t="s">
        <v>253</v>
      </c>
    </row>
    <row r="6" spans="1:8" x14ac:dyDescent="0.25">
      <c r="A6" s="72">
        <v>1</v>
      </c>
      <c r="B6" s="73" t="s">
        <v>163</v>
      </c>
      <c r="C6" s="74" t="s">
        <v>580</v>
      </c>
      <c r="D6" s="75" t="s">
        <v>505</v>
      </c>
      <c r="E6" s="74" t="s">
        <v>254</v>
      </c>
      <c r="F6" s="74" t="s">
        <v>254</v>
      </c>
      <c r="G6" s="78" t="s">
        <v>572</v>
      </c>
      <c r="H6" s="76" t="s">
        <v>254</v>
      </c>
    </row>
    <row r="7" spans="1:8" x14ac:dyDescent="0.25">
      <c r="A7" s="77">
        <f>+A6+1</f>
        <v>2</v>
      </c>
      <c r="B7" s="78" t="s">
        <v>255</v>
      </c>
      <c r="C7" s="82" t="s">
        <v>473</v>
      </c>
      <c r="D7" s="79" t="s">
        <v>552</v>
      </c>
      <c r="E7" s="79" t="s">
        <v>254</v>
      </c>
      <c r="F7" s="79" t="s">
        <v>254</v>
      </c>
      <c r="G7" s="80" t="s">
        <v>571</v>
      </c>
      <c r="H7" s="81" t="s">
        <v>254</v>
      </c>
    </row>
    <row r="8" spans="1:8" x14ac:dyDescent="0.25">
      <c r="A8" s="77">
        <f t="shared" ref="A8:A18" si="0">+A7+1</f>
        <v>3</v>
      </c>
      <c r="B8" s="78" t="s">
        <v>256</v>
      </c>
      <c r="C8" s="82" t="s">
        <v>475</v>
      </c>
      <c r="D8" s="79" t="s">
        <v>552</v>
      </c>
      <c r="E8" s="79" t="s">
        <v>552</v>
      </c>
      <c r="F8" s="79" t="s">
        <v>552</v>
      </c>
      <c r="G8" s="78" t="s">
        <v>572</v>
      </c>
      <c r="H8" s="81" t="s">
        <v>254</v>
      </c>
    </row>
    <row r="9" spans="1:8" x14ac:dyDescent="0.25">
      <c r="A9" s="77">
        <f t="shared" si="0"/>
        <v>4</v>
      </c>
      <c r="B9" s="78" t="s">
        <v>257</v>
      </c>
      <c r="C9" s="82" t="s">
        <v>477</v>
      </c>
      <c r="D9" s="79" t="s">
        <v>552</v>
      </c>
      <c r="E9" s="79" t="s">
        <v>552</v>
      </c>
      <c r="F9" s="79" t="s">
        <v>552</v>
      </c>
      <c r="G9" s="80" t="s">
        <v>571</v>
      </c>
      <c r="H9" s="81" t="s">
        <v>254</v>
      </c>
    </row>
    <row r="10" spans="1:8" x14ac:dyDescent="0.25">
      <c r="A10" s="77">
        <f t="shared" si="0"/>
        <v>5</v>
      </c>
      <c r="B10" s="78" t="s">
        <v>258</v>
      </c>
      <c r="C10" s="79">
        <v>29</v>
      </c>
      <c r="D10" s="79" t="s">
        <v>552</v>
      </c>
      <c r="E10" s="79" t="s">
        <v>552</v>
      </c>
      <c r="F10" s="79" t="s">
        <v>552</v>
      </c>
      <c r="G10" s="78" t="s">
        <v>572</v>
      </c>
      <c r="H10" s="81" t="s">
        <v>254</v>
      </c>
    </row>
    <row r="11" spans="1:8" x14ac:dyDescent="0.25">
      <c r="A11" s="77">
        <f t="shared" si="0"/>
        <v>6</v>
      </c>
      <c r="B11" s="83" t="s">
        <v>259</v>
      </c>
      <c r="C11" s="82" t="s">
        <v>480</v>
      </c>
      <c r="D11" s="79" t="s">
        <v>552</v>
      </c>
      <c r="E11" s="79" t="s">
        <v>552</v>
      </c>
      <c r="F11" s="79" t="s">
        <v>552</v>
      </c>
      <c r="G11" s="80" t="s">
        <v>571</v>
      </c>
      <c r="H11" s="81" t="s">
        <v>254</v>
      </c>
    </row>
    <row r="12" spans="1:8" x14ac:dyDescent="0.25">
      <c r="A12" s="77">
        <f t="shared" si="0"/>
        <v>7</v>
      </c>
      <c r="B12" s="78" t="s">
        <v>260</v>
      </c>
      <c r="C12" s="79">
        <v>35</v>
      </c>
      <c r="D12" s="79" t="s">
        <v>552</v>
      </c>
      <c r="E12" s="79" t="s">
        <v>552</v>
      </c>
      <c r="F12" s="79" t="s">
        <v>552</v>
      </c>
      <c r="G12" s="80" t="s">
        <v>571</v>
      </c>
      <c r="H12" s="81" t="s">
        <v>254</v>
      </c>
    </row>
    <row r="13" spans="1:8" x14ac:dyDescent="0.25">
      <c r="A13" s="77">
        <f t="shared" si="0"/>
        <v>8</v>
      </c>
      <c r="B13" s="78" t="s">
        <v>261</v>
      </c>
      <c r="C13" s="79">
        <v>43</v>
      </c>
      <c r="D13" s="79" t="s">
        <v>552</v>
      </c>
      <c r="E13" s="79" t="s">
        <v>552</v>
      </c>
      <c r="F13" s="79" t="s">
        <v>552</v>
      </c>
      <c r="G13" s="80" t="s">
        <v>571</v>
      </c>
      <c r="H13" s="81" t="s">
        <v>254</v>
      </c>
    </row>
    <row r="14" spans="1:8" x14ac:dyDescent="0.25">
      <c r="A14" s="77">
        <f>+A13+1</f>
        <v>9</v>
      </c>
      <c r="B14" s="83" t="s">
        <v>262</v>
      </c>
      <c r="C14" s="79">
        <v>46</v>
      </c>
      <c r="D14" s="79" t="s">
        <v>254</v>
      </c>
      <c r="E14" s="79" t="s">
        <v>552</v>
      </c>
      <c r="F14" s="79" t="s">
        <v>254</v>
      </c>
      <c r="G14" s="83" t="s">
        <v>263</v>
      </c>
      <c r="H14" s="81" t="s">
        <v>254</v>
      </c>
    </row>
    <row r="15" spans="1:8" x14ac:dyDescent="0.25">
      <c r="A15" s="77">
        <f t="shared" si="0"/>
        <v>10</v>
      </c>
      <c r="B15" s="78" t="s">
        <v>264</v>
      </c>
      <c r="C15" s="79">
        <v>49</v>
      </c>
      <c r="D15" s="79" t="s">
        <v>254</v>
      </c>
      <c r="E15" s="79" t="s">
        <v>552</v>
      </c>
      <c r="F15" s="79" t="s">
        <v>254</v>
      </c>
      <c r="G15" s="80" t="s">
        <v>571</v>
      </c>
      <c r="H15" s="81" t="s">
        <v>254</v>
      </c>
    </row>
    <row r="16" spans="1:8" x14ac:dyDescent="0.25">
      <c r="A16" s="77">
        <f t="shared" si="0"/>
        <v>11</v>
      </c>
      <c r="B16" s="83" t="s">
        <v>177</v>
      </c>
      <c r="C16" s="79" t="s">
        <v>65</v>
      </c>
      <c r="D16" s="79" t="s">
        <v>254</v>
      </c>
      <c r="E16" s="79" t="s">
        <v>254</v>
      </c>
      <c r="F16" s="79" t="s">
        <v>254</v>
      </c>
      <c r="G16" s="79" t="s">
        <v>254</v>
      </c>
      <c r="H16" s="81" t="s">
        <v>266</v>
      </c>
    </row>
    <row r="17" spans="1:8" x14ac:dyDescent="0.25">
      <c r="A17" s="77">
        <f t="shared" si="0"/>
        <v>12</v>
      </c>
      <c r="B17" s="83" t="s">
        <v>175</v>
      </c>
      <c r="C17" s="79" t="s">
        <v>265</v>
      </c>
      <c r="D17" s="82" t="s">
        <v>133</v>
      </c>
      <c r="E17" s="79" t="s">
        <v>254</v>
      </c>
      <c r="F17" s="79" t="s">
        <v>254</v>
      </c>
      <c r="G17" s="79" t="s">
        <v>254</v>
      </c>
      <c r="H17" s="81" t="s">
        <v>254</v>
      </c>
    </row>
    <row r="18" spans="1:8" ht="25.5" x14ac:dyDescent="0.25">
      <c r="A18" s="77">
        <f t="shared" si="0"/>
        <v>13</v>
      </c>
      <c r="B18" s="83" t="s">
        <v>307</v>
      </c>
      <c r="C18" s="79" t="s">
        <v>300</v>
      </c>
      <c r="D18" s="82" t="s">
        <v>133</v>
      </c>
      <c r="E18" s="79" t="s">
        <v>294</v>
      </c>
      <c r="F18" s="79" t="s">
        <v>254</v>
      </c>
      <c r="G18" s="79" t="s">
        <v>254</v>
      </c>
      <c r="H18" s="81" t="s">
        <v>254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80" orientation="landscape" r:id="rId1"/>
  <headerFooter alignWithMargins="0">
    <oddFooter>&amp;L&amp;A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A1:X60"/>
  <sheetViews>
    <sheetView zoomScale="80" zoomScaleNormal="80" zoomScaleSheetLayoutView="70" workbookViewId="0">
      <pane xSplit="6" ySplit="14" topLeftCell="G15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6.5" defaultRowHeight="15.75" x14ac:dyDescent="0.25"/>
  <cols>
    <col min="1" max="1" width="4.75" style="68" bestFit="1" customWidth="1"/>
    <col min="2" max="2" width="2" style="68" customWidth="1"/>
    <col min="3" max="3" width="36.375" style="68" bestFit="1" customWidth="1"/>
    <col min="4" max="4" width="2" style="68" customWidth="1"/>
    <col min="5" max="5" width="11.75" style="68" bestFit="1" customWidth="1"/>
    <col min="6" max="6" width="2" style="68" customWidth="1"/>
    <col min="7" max="7" width="10.25" style="68" bestFit="1" customWidth="1"/>
    <col min="8" max="8" width="2.125" style="68" customWidth="1"/>
    <col min="9" max="9" width="11.375" style="68" bestFit="1" customWidth="1"/>
    <col min="10" max="10" width="11.875" style="68" bestFit="1" customWidth="1"/>
    <col min="11" max="11" width="2.125" style="68" customWidth="1"/>
    <col min="12" max="12" width="14.75" style="68" bestFit="1" customWidth="1"/>
    <col min="13" max="13" width="2" style="68" customWidth="1"/>
    <col min="14" max="14" width="14.75" style="68" bestFit="1" customWidth="1"/>
    <col min="15" max="15" width="2" style="68" customWidth="1"/>
    <col min="16" max="16" width="12.625" style="68" bestFit="1" customWidth="1"/>
    <col min="17" max="17" width="9.375" style="68" bestFit="1" customWidth="1"/>
    <col min="18" max="18" width="2" style="68" customWidth="1"/>
    <col min="19" max="19" width="11.5" style="68" bestFit="1" customWidth="1"/>
    <col min="20" max="20" width="2" style="68" customWidth="1"/>
    <col min="21" max="21" width="12.5" style="68" bestFit="1" customWidth="1"/>
    <col min="22" max="22" width="10.125" style="68" bestFit="1" customWidth="1"/>
    <col min="23" max="23" width="6.5" style="68"/>
    <col min="24" max="24" width="13.875" style="68" bestFit="1" customWidth="1"/>
    <col min="25" max="16384" width="6.5" style="68"/>
  </cols>
  <sheetData>
    <row r="1" spans="1:23" ht="18.75" x14ac:dyDescent="0.3">
      <c r="B1" s="84"/>
      <c r="C1" s="84"/>
      <c r="N1" s="68" t="s">
        <v>0</v>
      </c>
    </row>
    <row r="2" spans="1:23" x14ac:dyDescent="0.25">
      <c r="A2" s="451" t="s">
        <v>504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</row>
    <row r="3" spans="1:23" x14ac:dyDescent="0.25">
      <c r="A3" s="451" t="s">
        <v>43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</row>
    <row r="4" spans="1:23" x14ac:dyDescent="0.25">
      <c r="A4" s="451" t="s">
        <v>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</row>
    <row r="5" spans="1:23" x14ac:dyDescent="0.25">
      <c r="A5" s="451" t="s">
        <v>79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</row>
    <row r="6" spans="1:23" x14ac:dyDescent="0.25">
      <c r="A6" s="451" t="s">
        <v>339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</row>
    <row r="7" spans="1:23" hidden="1" x14ac:dyDescent="0.25">
      <c r="A7" s="451"/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85"/>
      <c r="T7" s="85"/>
    </row>
    <row r="8" spans="1:23" hidden="1" x14ac:dyDescent="0.25">
      <c r="A8" s="397"/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85"/>
      <c r="S8" s="85"/>
      <c r="T8" s="85"/>
    </row>
    <row r="9" spans="1:23" hidden="1" x14ac:dyDescent="0.25">
      <c r="K9" s="86"/>
      <c r="L9" s="87"/>
      <c r="M9" s="88"/>
      <c r="R9" s="88"/>
      <c r="S9" s="89"/>
      <c r="T9" s="88"/>
    </row>
    <row r="10" spans="1:23" x14ac:dyDescent="0.25">
      <c r="L10" s="392"/>
      <c r="M10" s="90"/>
      <c r="R10" s="90"/>
      <c r="S10" s="91"/>
      <c r="T10" s="90"/>
    </row>
    <row r="11" spans="1:23" ht="15.75" customHeight="1" x14ac:dyDescent="0.25">
      <c r="E11" s="393"/>
      <c r="F11" s="392"/>
      <c r="L11" s="91"/>
      <c r="M11" s="92"/>
      <c r="N11" s="445" t="s">
        <v>340</v>
      </c>
      <c r="O11" s="446"/>
      <c r="P11" s="446"/>
      <c r="Q11" s="446"/>
      <c r="R11" s="446"/>
      <c r="S11" s="447"/>
      <c r="T11" s="392"/>
      <c r="U11" s="93"/>
      <c r="V11" s="94"/>
    </row>
    <row r="12" spans="1:23" x14ac:dyDescent="0.25">
      <c r="A12" s="392"/>
      <c r="E12" s="392"/>
      <c r="F12" s="392"/>
      <c r="G12" s="393"/>
      <c r="I12" s="392"/>
      <c r="J12" s="392"/>
      <c r="L12" s="392"/>
      <c r="M12" s="392"/>
      <c r="N12" s="448"/>
      <c r="O12" s="449"/>
      <c r="P12" s="449"/>
      <c r="Q12" s="449"/>
      <c r="R12" s="449"/>
      <c r="S12" s="450"/>
      <c r="T12" s="91"/>
      <c r="U12" s="94"/>
      <c r="V12" s="94"/>
    </row>
    <row r="13" spans="1:23" ht="63" x14ac:dyDescent="0.25">
      <c r="A13" s="95" t="s">
        <v>501</v>
      </c>
      <c r="C13" s="96" t="s">
        <v>7</v>
      </c>
      <c r="E13" s="95" t="s">
        <v>495</v>
      </c>
      <c r="F13" s="91"/>
      <c r="G13" s="396" t="s">
        <v>295</v>
      </c>
      <c r="I13" s="396" t="s">
        <v>305</v>
      </c>
      <c r="J13" s="97" t="s">
        <v>496</v>
      </c>
      <c r="L13" s="98" t="s">
        <v>497</v>
      </c>
      <c r="M13" s="91"/>
      <c r="N13" s="99" t="s">
        <v>498</v>
      </c>
      <c r="O13" s="100"/>
      <c r="P13" s="97" t="s">
        <v>540</v>
      </c>
      <c r="Q13" s="97" t="s">
        <v>499</v>
      </c>
      <c r="R13" s="91"/>
      <c r="S13" s="98" t="s">
        <v>500</v>
      </c>
      <c r="T13" s="91"/>
      <c r="U13" s="98" t="s">
        <v>502</v>
      </c>
      <c r="V13" s="98" t="s">
        <v>503</v>
      </c>
    </row>
    <row r="14" spans="1:23" x14ac:dyDescent="0.25">
      <c r="A14" s="101"/>
      <c r="C14" s="393" t="s">
        <v>8</v>
      </c>
      <c r="E14" s="393" t="s">
        <v>9</v>
      </c>
      <c r="F14" s="392"/>
      <c r="G14" s="393" t="s">
        <v>10</v>
      </c>
      <c r="I14" s="393" t="s">
        <v>11</v>
      </c>
      <c r="J14" s="393" t="s">
        <v>11</v>
      </c>
      <c r="L14" s="393" t="s">
        <v>12</v>
      </c>
      <c r="M14" s="393"/>
      <c r="N14" s="393" t="s">
        <v>13</v>
      </c>
      <c r="O14" s="393"/>
      <c r="P14" s="393" t="s">
        <v>14</v>
      </c>
      <c r="Q14" s="393" t="s">
        <v>15</v>
      </c>
      <c r="R14" s="393"/>
      <c r="S14" s="393" t="s">
        <v>16</v>
      </c>
      <c r="T14" s="92"/>
      <c r="U14" s="393" t="s">
        <v>296</v>
      </c>
      <c r="V14" s="393" t="s">
        <v>297</v>
      </c>
    </row>
    <row r="15" spans="1:23" x14ac:dyDescent="0.25">
      <c r="M15" s="393"/>
      <c r="N15" s="393" t="s">
        <v>0</v>
      </c>
      <c r="P15" s="393" t="s">
        <v>63</v>
      </c>
      <c r="Q15" s="393" t="s">
        <v>17</v>
      </c>
      <c r="S15" s="393" t="s">
        <v>18</v>
      </c>
      <c r="T15" s="86"/>
      <c r="V15" s="393" t="s">
        <v>298</v>
      </c>
    </row>
    <row r="16" spans="1:23" x14ac:dyDescent="0.25">
      <c r="C16" s="102" t="s">
        <v>19</v>
      </c>
      <c r="T16" s="86"/>
    </row>
    <row r="17" spans="1:24" x14ac:dyDescent="0.25">
      <c r="A17" s="392">
        <v>1</v>
      </c>
      <c r="C17" s="68" t="s">
        <v>19</v>
      </c>
      <c r="E17" s="393" t="s">
        <v>580</v>
      </c>
      <c r="F17" s="393"/>
      <c r="G17" s="103">
        <f>ROUND('Exhibit No.__(BDJ-Res RD)'!C16/12,0)</f>
        <v>1063538</v>
      </c>
      <c r="H17" s="104"/>
      <c r="I17" s="103">
        <f>'Exhibit No.__(BDJ-Res RD)'!C23/1000</f>
        <v>11355354.571603522</v>
      </c>
      <c r="J17" s="103"/>
      <c r="L17" s="121">
        <f>'Exhibit No.__(BDJ-Res RD)'!F24/1000</f>
        <v>1231055.182</v>
      </c>
      <c r="M17" s="121"/>
      <c r="N17" s="121">
        <f>ROUND('Exhibit No.__(BDJ-Res RD)'!I24/1000,0)</f>
        <v>1223805</v>
      </c>
      <c r="O17" s="121"/>
      <c r="P17" s="121">
        <f>N17-L17</f>
        <v>-7250.1820000000298</v>
      </c>
      <c r="Q17" s="369">
        <f>P17/L17</f>
        <v>-5.8894045579835179E-3</v>
      </c>
      <c r="R17" s="121"/>
      <c r="S17" s="365">
        <f>N17/I17*100</f>
        <v>10.777338499498594</v>
      </c>
      <c r="T17" s="124"/>
      <c r="U17" s="121"/>
      <c r="V17" s="121"/>
    </row>
    <row r="18" spans="1:24" x14ac:dyDescent="0.25">
      <c r="A18" s="105">
        <f>MAX(A$14:A17)+1</f>
        <v>2</v>
      </c>
      <c r="C18" s="106" t="s">
        <v>60</v>
      </c>
      <c r="G18" s="107">
        <f>SUM(G17:G17)</f>
        <v>1063538</v>
      </c>
      <c r="H18" s="104"/>
      <c r="I18" s="107">
        <f>SUM(I17:I17)</f>
        <v>11355354.571603522</v>
      </c>
      <c r="J18" s="103"/>
      <c r="L18" s="122">
        <f>SUM(L17:L17)</f>
        <v>1231055.182</v>
      </c>
      <c r="M18" s="121"/>
      <c r="N18" s="122">
        <f>SUM(N17:N17)</f>
        <v>1223805</v>
      </c>
      <c r="O18" s="121"/>
      <c r="P18" s="122">
        <f>SUM(P17)</f>
        <v>-7250.1820000000298</v>
      </c>
      <c r="Q18" s="370">
        <f>P18/L18</f>
        <v>-5.8894045579835179E-3</v>
      </c>
      <c r="R18" s="121"/>
      <c r="S18" s="366">
        <f>N18/I18*100</f>
        <v>10.777338499498594</v>
      </c>
      <c r="T18" s="124"/>
      <c r="U18" s="122">
        <f>'Exhibit No.__(BDJ-Rate Spread)'!J8</f>
        <v>-7250.4553565442566</v>
      </c>
      <c r="V18" s="122">
        <f>U18-P18</f>
        <v>-0.2733565442267718</v>
      </c>
    </row>
    <row r="19" spans="1:24" x14ac:dyDescent="0.25">
      <c r="H19" s="104"/>
      <c r="I19" s="68" t="s">
        <v>0</v>
      </c>
      <c r="J19" s="68" t="s">
        <v>0</v>
      </c>
      <c r="L19" s="372"/>
      <c r="M19" s="372"/>
      <c r="N19" s="372"/>
      <c r="O19" s="372"/>
      <c r="P19" s="372"/>
      <c r="Q19" s="372"/>
      <c r="R19" s="372"/>
      <c r="S19" s="367"/>
      <c r="T19" s="277"/>
      <c r="U19" s="372"/>
      <c r="V19" s="372"/>
    </row>
    <row r="20" spans="1:24" x14ac:dyDescent="0.25">
      <c r="C20" s="109" t="s">
        <v>53</v>
      </c>
      <c r="G20" s="110"/>
      <c r="H20" s="104"/>
      <c r="L20" s="372"/>
      <c r="M20" s="372"/>
      <c r="N20" s="372"/>
      <c r="O20" s="372"/>
      <c r="P20" s="372"/>
      <c r="Q20" s="372"/>
      <c r="R20" s="372"/>
      <c r="S20" s="367"/>
      <c r="T20" s="277"/>
      <c r="U20" s="372"/>
      <c r="V20" s="372"/>
    </row>
    <row r="21" spans="1:24" x14ac:dyDescent="0.25">
      <c r="A21" s="105">
        <f>MAX(A$14:A20)+1</f>
        <v>3</v>
      </c>
      <c r="C21" s="395" t="s">
        <v>45</v>
      </c>
      <c r="E21" s="393" t="s">
        <v>56</v>
      </c>
      <c r="F21" s="392"/>
      <c r="G21" s="103">
        <f>'Exhibit No.__(BDJ-SV RD)'!C17/12</f>
        <v>133019.91666666666</v>
      </c>
      <c r="H21" s="104"/>
      <c r="I21" s="103">
        <f>'Exhibit No.__(BDJ-SV RD)'!C25/1000</f>
        <v>2658833.1030243803</v>
      </c>
      <c r="J21" s="103"/>
      <c r="L21" s="121">
        <f>'Exhibit No.__(BDJ-SV RD)'!F26/1000</f>
        <v>271509.06</v>
      </c>
      <c r="M21" s="121"/>
      <c r="N21" s="121">
        <f>ROUND('Exhibit No.__(BDJ-SV RD)'!I26/1000,0)</f>
        <v>269910</v>
      </c>
      <c r="O21" s="121"/>
      <c r="P21" s="121">
        <f t="shared" ref="P21:P24" si="0">N21-L21</f>
        <v>-1599.0599999999977</v>
      </c>
      <c r="Q21" s="369">
        <f>P21/L21</f>
        <v>-5.889527222406492E-3</v>
      </c>
      <c r="R21" s="121"/>
      <c r="S21" s="365">
        <f>N21/I21*100</f>
        <v>10.151445748624901</v>
      </c>
      <c r="T21" s="124"/>
      <c r="U21" s="121"/>
      <c r="V21" s="121"/>
      <c r="X21" s="372"/>
    </row>
    <row r="22" spans="1:24" x14ac:dyDescent="0.25">
      <c r="A22" s="105">
        <f>MAX(A$14:A21)+1</f>
        <v>4</v>
      </c>
      <c r="C22" s="395" t="s">
        <v>44</v>
      </c>
      <c r="D22" s="111"/>
      <c r="E22" s="393" t="s">
        <v>57</v>
      </c>
      <c r="F22" s="392"/>
      <c r="G22" s="103">
        <f>'Exhibit No.__(BDJ-SV RD)'!C41/12</f>
        <v>8107.833333333333</v>
      </c>
      <c r="H22" s="104"/>
      <c r="I22" s="103">
        <f>'Exhibit No.__(BDJ-SV RD)'!C49/1000</f>
        <v>2856045.8325844579</v>
      </c>
      <c r="J22" s="103">
        <f>'Exhibit No.__(BDJ-SV RD)'!C53/1000</f>
        <v>4173.7510000000002</v>
      </c>
      <c r="L22" s="121">
        <f>'Exhibit No.__(BDJ-SV RD)'!F57/1000</f>
        <v>266281.60100000002</v>
      </c>
      <c r="M22" s="121"/>
      <c r="N22" s="121">
        <f>ROUND('Exhibit No.__(BDJ-SV RD)'!I57/1000,0)</f>
        <v>264713</v>
      </c>
      <c r="O22" s="121"/>
      <c r="P22" s="121">
        <f t="shared" si="0"/>
        <v>-1568.6010000000242</v>
      </c>
      <c r="Q22" s="369">
        <f>P22/L22</f>
        <v>-5.8907599853285546E-3</v>
      </c>
      <c r="R22" s="121"/>
      <c r="S22" s="365">
        <f>N22/I22*100</f>
        <v>9.2685137255118608</v>
      </c>
      <c r="T22" s="124"/>
      <c r="U22" s="121"/>
      <c r="V22" s="121"/>
      <c r="X22" s="372"/>
    </row>
    <row r="23" spans="1:24" x14ac:dyDescent="0.25">
      <c r="A23" s="105">
        <f>MAX(A$14:A22)+1</f>
        <v>5</v>
      </c>
      <c r="C23" s="395" t="s">
        <v>46</v>
      </c>
      <c r="E23" s="393" t="s">
        <v>58</v>
      </c>
      <c r="F23" s="392"/>
      <c r="G23" s="103">
        <f>SUM('Exhibit No.__(BDJ-SV RD)'!C86,'Exhibit No.__(BDJ-SV RD)'!C112)</f>
        <v>10103</v>
      </c>
      <c r="H23" s="104"/>
      <c r="I23" s="103">
        <f>SUM('Exhibit No.__(BDJ-SV RD)'!C92,'Exhibit No.__(BDJ-SV RD)'!C121)/1000</f>
        <v>1761911.047761543</v>
      </c>
      <c r="J23" s="103">
        <f>'Exhibit No.__(BDJ-SV RD)'!C96/1000+'Exhibit No.__(BDJ-SV RD)'!C126/1000</f>
        <v>4340.1580000000004</v>
      </c>
      <c r="L23" s="121">
        <f>SUM('Exhibit No.__(BDJ-SV RD)'!F100,'Exhibit No.__(BDJ-SV RD)'!F132)/1000</f>
        <v>151320.842</v>
      </c>
      <c r="M23" s="121"/>
      <c r="N23" s="121">
        <f>SUM('Exhibit No.__(BDJ-SV RD)'!I100,'Exhibit No.__(BDJ-SV RD)'!I132)/1000</f>
        <v>150429.61900000001</v>
      </c>
      <c r="O23" s="121"/>
      <c r="P23" s="121">
        <f t="shared" si="0"/>
        <v>-891.22299999999814</v>
      </c>
      <c r="Q23" s="369">
        <f t="shared" ref="Q23:Q31" si="1">P23/L23</f>
        <v>-5.8896249070567435E-3</v>
      </c>
      <c r="R23" s="121"/>
      <c r="S23" s="365">
        <f>N23/I23*100</f>
        <v>8.5378668344872732</v>
      </c>
      <c r="T23" s="124"/>
      <c r="U23" s="121"/>
      <c r="V23" s="121"/>
      <c r="X23" s="372"/>
    </row>
    <row r="24" spans="1:24" x14ac:dyDescent="0.25">
      <c r="A24" s="105">
        <f>MAX(A$14:A23)+1</f>
        <v>6</v>
      </c>
      <c r="C24" s="395" t="s">
        <v>48</v>
      </c>
      <c r="E24" s="392">
        <v>29</v>
      </c>
      <c r="F24" s="392"/>
      <c r="G24" s="103">
        <f>'Exhibit No.__(BDJ-SV RD)'!C148/12</f>
        <v>657.91666666666663</v>
      </c>
      <c r="H24" s="104"/>
      <c r="I24" s="103">
        <f>'Exhibit No.__(BDJ-SV RD)'!C158/1000</f>
        <v>15293.727999999999</v>
      </c>
      <c r="J24" s="103">
        <f>'Exhibit No.__(BDJ-SV RD)'!C162/1000</f>
        <v>7.0830000000000002</v>
      </c>
      <c r="L24" s="121">
        <f>SUM('Exhibit No.__(BDJ-SV RD)'!F166/1000)</f>
        <v>1332.0119999999999</v>
      </c>
      <c r="M24" s="121"/>
      <c r="N24" s="121">
        <f>SUM('Exhibit No.__(BDJ-SV RD)'!I166/1000)</f>
        <v>1324.1669999999999</v>
      </c>
      <c r="O24" s="121"/>
      <c r="P24" s="121">
        <f t="shared" si="0"/>
        <v>-7.8450000000000273</v>
      </c>
      <c r="Q24" s="369">
        <f t="shared" si="1"/>
        <v>-5.8895865803010993E-3</v>
      </c>
      <c r="R24" s="121"/>
      <c r="S24" s="365">
        <f>N24/I24*100</f>
        <v>8.6582355852019859</v>
      </c>
      <c r="T24" s="124"/>
      <c r="U24" s="121"/>
      <c r="V24" s="121"/>
      <c r="X24" s="372"/>
    </row>
    <row r="25" spans="1:24" x14ac:dyDescent="0.25">
      <c r="A25" s="105">
        <f>MAX(A$14:A24)+1</f>
        <v>7</v>
      </c>
      <c r="C25" s="106" t="s">
        <v>61</v>
      </c>
      <c r="E25" s="392"/>
      <c r="F25" s="392"/>
      <c r="G25" s="107">
        <f>SUM(G21:G24)</f>
        <v>151888.66666666666</v>
      </c>
      <c r="H25" s="104"/>
      <c r="I25" s="107">
        <f>SUM(I21:I24)</f>
        <v>7292083.7113703806</v>
      </c>
      <c r="J25" s="103"/>
      <c r="L25" s="122">
        <f>SUM(L21:L24)</f>
        <v>690443.51500000001</v>
      </c>
      <c r="M25" s="121"/>
      <c r="N25" s="122">
        <f>SUM(N21:N24)</f>
        <v>686376.78599999996</v>
      </c>
      <c r="O25" s="121"/>
      <c r="P25" s="122">
        <f>SUM(P21:P24)</f>
        <v>-4066.7290000000203</v>
      </c>
      <c r="Q25" s="370">
        <f t="shared" ref="Q25" si="2">P25/L25</f>
        <v>-5.8900241824995925E-3</v>
      </c>
      <c r="R25" s="121"/>
      <c r="S25" s="366">
        <f>N25/I25*100</f>
        <v>9.4126289983444416</v>
      </c>
      <c r="T25" s="124"/>
      <c r="U25" s="122">
        <f>'Exhibit No.__(BDJ-Rate Spread)'!J14</f>
        <v>-4066.4544976692969</v>
      </c>
      <c r="V25" s="122">
        <f>U25-P25</f>
        <v>0.27450233072340779</v>
      </c>
    </row>
    <row r="26" spans="1:24" x14ac:dyDescent="0.25">
      <c r="A26" s="105"/>
      <c r="C26" s="395"/>
      <c r="E26" s="392"/>
      <c r="F26" s="392"/>
      <c r="G26" s="103"/>
      <c r="H26" s="104"/>
      <c r="I26" s="103"/>
      <c r="J26" s="103"/>
      <c r="L26" s="121"/>
      <c r="M26" s="121"/>
      <c r="N26" s="121"/>
      <c r="O26" s="121"/>
      <c r="P26" s="121"/>
      <c r="Q26" s="369"/>
      <c r="R26" s="121"/>
      <c r="S26" s="365"/>
      <c r="T26" s="124"/>
      <c r="U26" s="121"/>
      <c r="V26" s="121"/>
    </row>
    <row r="27" spans="1:24" x14ac:dyDescent="0.25">
      <c r="A27" s="105"/>
      <c r="C27" s="109" t="s">
        <v>54</v>
      </c>
      <c r="E27" s="392"/>
      <c r="F27" s="392"/>
      <c r="G27" s="103"/>
      <c r="H27" s="104"/>
      <c r="I27" s="103"/>
      <c r="J27" s="103"/>
      <c r="L27" s="121"/>
      <c r="M27" s="121"/>
      <c r="N27" s="121"/>
      <c r="O27" s="121"/>
      <c r="P27" s="121"/>
      <c r="Q27" s="369"/>
      <c r="R27" s="121"/>
      <c r="S27" s="365"/>
      <c r="T27" s="124"/>
      <c r="U27" s="121"/>
      <c r="V27" s="121"/>
    </row>
    <row r="28" spans="1:24" x14ac:dyDescent="0.25">
      <c r="A28" s="105">
        <f>MAX(A$14:A26)+1</f>
        <v>8</v>
      </c>
      <c r="C28" s="395" t="s">
        <v>47</v>
      </c>
      <c r="E28" s="393" t="s">
        <v>59</v>
      </c>
      <c r="F28" s="392"/>
      <c r="G28" s="103">
        <f>'Exhibit No.__(BDJ-PV RD)'!C15/12</f>
        <v>490.58333333333331</v>
      </c>
      <c r="H28" s="104"/>
      <c r="I28" s="103">
        <f>'Exhibit No.__(BDJ-PV RD)'!C21/1000</f>
        <v>1307770.0591754341</v>
      </c>
      <c r="J28" s="103">
        <f>'Exhibit No.__(BDJ-PV RD)'!C25/1000</f>
        <v>3207.4389999999999</v>
      </c>
      <c r="L28" s="121">
        <f>'Exhibit No.__(BDJ-PV RD)'!F29/1000</f>
        <v>110792.823</v>
      </c>
      <c r="M28" s="121"/>
      <c r="N28" s="121">
        <f>'Exhibit No.__(BDJ-PV RD)'!I29/1000</f>
        <v>110140.295</v>
      </c>
      <c r="O28" s="121"/>
      <c r="P28" s="121">
        <f t="shared" ref="P28:P30" si="3">N28-L28</f>
        <v>-652.5280000000057</v>
      </c>
      <c r="Q28" s="369">
        <f t="shared" si="1"/>
        <v>-5.8896233738895314E-3</v>
      </c>
      <c r="R28" s="121"/>
      <c r="S28" s="365">
        <f>N28/I28*100</f>
        <v>8.4219924005176328</v>
      </c>
      <c r="T28" s="124"/>
      <c r="U28" s="121"/>
      <c r="V28" s="121"/>
    </row>
    <row r="29" spans="1:24" x14ac:dyDescent="0.25">
      <c r="A29" s="105">
        <f>MAX(A$14:A28)+1</f>
        <v>9</v>
      </c>
      <c r="C29" s="395" t="s">
        <v>49</v>
      </c>
      <c r="E29" s="392">
        <v>35</v>
      </c>
      <c r="F29" s="392"/>
      <c r="G29" s="103">
        <f>'Exhibit No.__(BDJ-PV RD)'!C44/12</f>
        <v>2</v>
      </c>
      <c r="H29" s="104"/>
      <c r="I29" s="103">
        <f>'Exhibit No.__(BDJ-PV RD)'!C50/1000</f>
        <v>4387.6440000000002</v>
      </c>
      <c r="J29" s="103">
        <f>'Exhibit No.__(BDJ-PV RD)'!C54/1000</f>
        <v>8.6059999999999999</v>
      </c>
      <c r="L29" s="121">
        <f>'Exhibit No.__(BDJ-PV RD)'!F58/1000</f>
        <v>275.553</v>
      </c>
      <c r="M29" s="121"/>
      <c r="N29" s="121">
        <f>'Exhibit No.__(BDJ-PV RD)'!I58/1000</f>
        <v>275.553</v>
      </c>
      <c r="O29" s="121"/>
      <c r="P29" s="121">
        <f t="shared" si="3"/>
        <v>0</v>
      </c>
      <c r="Q29" s="369">
        <f t="shared" si="1"/>
        <v>0</v>
      </c>
      <c r="R29" s="121"/>
      <c r="S29" s="365">
        <f>N29/I29*100</f>
        <v>6.280204136889866</v>
      </c>
      <c r="T29" s="124"/>
      <c r="U29" s="121"/>
      <c r="V29" s="121"/>
    </row>
    <row r="30" spans="1:24" x14ac:dyDescent="0.25">
      <c r="A30" s="105">
        <f>MAX(A$14:A29)+1</f>
        <v>10</v>
      </c>
      <c r="C30" s="68" t="s">
        <v>50</v>
      </c>
      <c r="E30" s="393">
        <v>43</v>
      </c>
      <c r="F30" s="392"/>
      <c r="G30" s="103">
        <f>'Exhibit No.__(BDJ-PV RD)'!C72/12</f>
        <v>146.66666666666666</v>
      </c>
      <c r="H30" s="104"/>
      <c r="I30" s="103">
        <f>'Exhibit No.__(BDJ-PV RD)'!C78/1000</f>
        <v>114099.11728442684</v>
      </c>
      <c r="J30" s="103">
        <f>'Exhibit No.__(BDJ-PV RD)'!C81/1000</f>
        <v>541.88</v>
      </c>
      <c r="L30" s="121">
        <f>'Exhibit No.__(BDJ-PV RD)'!F87/1000</f>
        <v>10372.369000000001</v>
      </c>
      <c r="M30" s="121"/>
      <c r="N30" s="121">
        <f>'Exhibit No.__(BDJ-PV RD)'!I87/1000</f>
        <v>10296.007</v>
      </c>
      <c r="O30" s="121"/>
      <c r="P30" s="121">
        <f t="shared" si="3"/>
        <v>-76.36200000000099</v>
      </c>
      <c r="Q30" s="369">
        <f t="shared" si="1"/>
        <v>-7.3620597184694244E-3</v>
      </c>
      <c r="R30" s="121"/>
      <c r="S30" s="365">
        <f>N30/I30*100</f>
        <v>9.023739398731772</v>
      </c>
      <c r="T30" s="124"/>
      <c r="U30" s="121"/>
      <c r="V30" s="121"/>
    </row>
    <row r="31" spans="1:24" x14ac:dyDescent="0.25">
      <c r="A31" s="105">
        <f>MAX(A$14:A30)+1</f>
        <v>11</v>
      </c>
      <c r="C31" s="106" t="s">
        <v>62</v>
      </c>
      <c r="E31" s="392"/>
      <c r="F31" s="392"/>
      <c r="G31" s="107">
        <f>SUM(G28:G30)</f>
        <v>639.25</v>
      </c>
      <c r="H31" s="104"/>
      <c r="I31" s="107">
        <f>SUM(I28:I30)</f>
        <v>1426256.8204598611</v>
      </c>
      <c r="J31" s="103"/>
      <c r="L31" s="122">
        <f>SUM(L28:L30)</f>
        <v>121440.74500000001</v>
      </c>
      <c r="M31" s="121"/>
      <c r="N31" s="122">
        <f>SUM(N28:N30)</f>
        <v>120711.855</v>
      </c>
      <c r="O31" s="121"/>
      <c r="P31" s="122">
        <f>SUM(P28:P30)</f>
        <v>-728.89000000000669</v>
      </c>
      <c r="Q31" s="370">
        <f t="shared" si="1"/>
        <v>-6.0020218090724546E-3</v>
      </c>
      <c r="R31" s="121"/>
      <c r="S31" s="366">
        <f>N31/I31*100</f>
        <v>8.4635426992089293</v>
      </c>
      <c r="T31" s="124"/>
      <c r="U31" s="122">
        <f>'Exhibit No.__(BDJ-Rate Spread)'!J20</f>
        <v>-728.89008395168696</v>
      </c>
      <c r="V31" s="122">
        <f>U31-P31</f>
        <v>-8.3951680267091433E-5</v>
      </c>
    </row>
    <row r="32" spans="1:24" x14ac:dyDescent="0.25">
      <c r="A32" s="105"/>
      <c r="E32" s="393"/>
      <c r="F32" s="392"/>
      <c r="G32" s="103"/>
      <c r="I32" s="103"/>
      <c r="J32" s="103"/>
      <c r="L32" s="121"/>
      <c r="M32" s="121"/>
      <c r="N32" s="121"/>
      <c r="O32" s="121"/>
      <c r="P32" s="121"/>
      <c r="Q32" s="369"/>
      <c r="R32" s="121"/>
      <c r="S32" s="365"/>
      <c r="T32" s="124"/>
      <c r="U32" s="121"/>
      <c r="V32" s="121"/>
    </row>
    <row r="33" spans="1:22" x14ac:dyDescent="0.25">
      <c r="A33" s="105"/>
      <c r="C33" s="109" t="s">
        <v>55</v>
      </c>
      <c r="E33" s="393"/>
      <c r="F33" s="392"/>
      <c r="G33" s="103"/>
      <c r="I33" s="103"/>
      <c r="J33" s="103"/>
      <c r="L33" s="121"/>
      <c r="M33" s="121"/>
      <c r="N33" s="121"/>
      <c r="O33" s="121"/>
      <c r="P33" s="121"/>
      <c r="Q33" s="369"/>
      <c r="R33" s="121"/>
      <c r="S33" s="365"/>
      <c r="T33" s="124"/>
      <c r="U33" s="121"/>
      <c r="V33" s="121"/>
    </row>
    <row r="34" spans="1:22" x14ac:dyDescent="0.25">
      <c r="A34" s="105">
        <f>MAX(A$14:A32)+1</f>
        <v>12</v>
      </c>
      <c r="C34" s="395" t="s">
        <v>51</v>
      </c>
      <c r="E34" s="393">
        <v>46</v>
      </c>
      <c r="F34" s="392"/>
      <c r="G34" s="103">
        <f>'Exhibit No.__(BDJ-HV RD)'!C14/12</f>
        <v>6</v>
      </c>
      <c r="I34" s="103">
        <f>'Exhibit No.__(BDJ-HV RD)'!C18/1000</f>
        <v>100810.05100000001</v>
      </c>
      <c r="J34" s="103">
        <f>'Exhibit No.__(BDJ-HV RD)'!C20/1000</f>
        <v>410.25</v>
      </c>
      <c r="L34" s="121">
        <f>'Exhibit No.__(BDJ-HV RD)'!F22/1000</f>
        <v>6647.8249999999998</v>
      </c>
      <c r="M34" s="121"/>
      <c r="N34" s="121">
        <f>'Exhibit No.__(BDJ-HV RD)'!I22/1000</f>
        <v>6587.0569999999998</v>
      </c>
      <c r="O34" s="121"/>
      <c r="P34" s="121">
        <f t="shared" ref="P34:P35" si="4">N34-L34</f>
        <v>-60.768000000000029</v>
      </c>
      <c r="Q34" s="369">
        <f t="shared" ref="Q34:Q35" si="5">P34/L34</f>
        <v>-9.1410348497440938E-3</v>
      </c>
      <c r="R34" s="121"/>
      <c r="S34" s="365">
        <f t="shared" ref="S34:S35" si="6">N34/I34*100</f>
        <v>6.5341272369756069</v>
      </c>
      <c r="T34" s="124"/>
      <c r="U34" s="121"/>
      <c r="V34" s="121"/>
    </row>
    <row r="35" spans="1:22" x14ac:dyDescent="0.25">
      <c r="A35" s="105">
        <f>MAX(A$14:A34)+1</f>
        <v>13</v>
      </c>
      <c r="C35" s="68" t="s">
        <v>52</v>
      </c>
      <c r="E35" s="393">
        <v>49</v>
      </c>
      <c r="F35" s="392"/>
      <c r="G35" s="103">
        <f>'Exhibit No.__(BDJ-HV RD)'!C29/12</f>
        <v>17.833333333333332</v>
      </c>
      <c r="I35" s="103">
        <f>'Exhibit No.__(BDJ-HV RD)'!C33/1000</f>
        <v>513293.73700000002</v>
      </c>
      <c r="J35" s="103">
        <f>'Exhibit No.__(BDJ-HV RD)'!C35/1000</f>
        <v>1338.1780000000001</v>
      </c>
      <c r="L35" s="121">
        <f>'Exhibit No.__(BDJ-HV RD)'!F37/1000</f>
        <v>34295.991999999998</v>
      </c>
      <c r="M35" s="121"/>
      <c r="N35" s="121">
        <f>'Exhibit No.__(BDJ-HV RD)'!I37/1000</f>
        <v>33995.182999999997</v>
      </c>
      <c r="O35" s="121"/>
      <c r="P35" s="121">
        <f t="shared" si="4"/>
        <v>-300.80900000000111</v>
      </c>
      <c r="Q35" s="369">
        <f t="shared" si="5"/>
        <v>-8.7709665899152623E-3</v>
      </c>
      <c r="R35" s="121"/>
      <c r="S35" s="365">
        <f t="shared" si="6"/>
        <v>6.6229491126637283</v>
      </c>
      <c r="T35" s="124"/>
      <c r="U35" s="121"/>
      <c r="V35" s="121"/>
    </row>
    <row r="36" spans="1:22" x14ac:dyDescent="0.25">
      <c r="A36" s="105">
        <f>MAX(A$14:A35)+1</f>
        <v>14</v>
      </c>
      <c r="C36" s="106" t="s">
        <v>55</v>
      </c>
      <c r="E36" s="392"/>
      <c r="F36" s="392"/>
      <c r="G36" s="107">
        <f>SUM(G34:G35)</f>
        <v>23.833333333333332</v>
      </c>
      <c r="I36" s="107">
        <f>SUM(I34:I35)</f>
        <v>614103.78800000006</v>
      </c>
      <c r="J36" s="103"/>
      <c r="L36" s="122">
        <f>SUM(L34:L35)</f>
        <v>40943.816999999995</v>
      </c>
      <c r="M36" s="121"/>
      <c r="N36" s="122">
        <f>SUM(N34:N35)</f>
        <v>40582.239999999998</v>
      </c>
      <c r="O36" s="121"/>
      <c r="P36" s="122">
        <f>SUM(P34:P35)</f>
        <v>-361.57700000000114</v>
      </c>
      <c r="Q36" s="370">
        <f t="shared" ref="Q36" si="7">P36/L36</f>
        <v>-8.8310525616114681E-3</v>
      </c>
      <c r="R36" s="121"/>
      <c r="S36" s="366">
        <f>N36/I36*100</f>
        <v>6.608368290996439</v>
      </c>
      <c r="T36" s="124"/>
      <c r="U36" s="122">
        <f>'Exhibit No.__(BDJ-Rate Spread)'!J22</f>
        <v>-361.71569109038256</v>
      </c>
      <c r="V36" s="122">
        <f>U36-P36</f>
        <v>-0.13869109038142824</v>
      </c>
    </row>
    <row r="37" spans="1:22" x14ac:dyDescent="0.25">
      <c r="A37" s="105"/>
      <c r="E37" s="393"/>
      <c r="F37" s="392"/>
      <c r="G37" s="103"/>
      <c r="I37" s="103"/>
      <c r="J37" s="103"/>
      <c r="L37" s="121"/>
      <c r="M37" s="121"/>
      <c r="N37" s="121"/>
      <c r="O37" s="121"/>
      <c r="P37" s="121"/>
      <c r="Q37" s="369"/>
      <c r="R37" s="121"/>
      <c r="S37" s="365"/>
      <c r="T37" s="124"/>
      <c r="U37" s="121"/>
      <c r="V37" s="121"/>
    </row>
    <row r="38" spans="1:22" x14ac:dyDescent="0.25">
      <c r="A38" s="105"/>
      <c r="C38" s="112" t="s">
        <v>303</v>
      </c>
      <c r="E38" s="393"/>
      <c r="F38" s="392"/>
      <c r="G38" s="103"/>
      <c r="I38" s="103"/>
      <c r="J38" s="103"/>
      <c r="L38" s="121"/>
      <c r="M38" s="121"/>
      <c r="N38" s="121"/>
      <c r="O38" s="121"/>
      <c r="P38" s="121"/>
      <c r="Q38" s="369"/>
      <c r="R38" s="121"/>
      <c r="S38" s="365"/>
      <c r="T38" s="124"/>
      <c r="U38" s="121"/>
      <c r="V38" s="121"/>
    </row>
    <row r="39" spans="1:22" x14ac:dyDescent="0.25">
      <c r="A39" s="105">
        <f>MAX(A$14:A37)+1</f>
        <v>15</v>
      </c>
      <c r="C39" s="395" t="s">
        <v>302</v>
      </c>
      <c r="E39" s="393" t="s">
        <v>301</v>
      </c>
      <c r="F39" s="392"/>
      <c r="G39" s="103">
        <f>SUM('Exhibit No.__(BDJ-TRANSP RD)'!C14)/12</f>
        <v>20</v>
      </c>
      <c r="I39" s="103">
        <f>SUM('Exhibit No.__(BDJ-TRANSP RD)'!C19)/1000</f>
        <v>1945214.1669999999</v>
      </c>
      <c r="J39" s="103">
        <f>'Exhibit No.__(BDJ-TRANSP RD)'!C21/1000</f>
        <v>4161.7659999999996</v>
      </c>
      <c r="L39" s="121">
        <f>SUM('Exhibit No.__(BDJ-TRANSP RD)'!F25)/1000</f>
        <v>9528.5470000000005</v>
      </c>
      <c r="M39" s="121"/>
      <c r="N39" s="121">
        <f>SUM('Exhibit No.__(BDJ-TRANSP RD)'!I25)/1000</f>
        <v>9487.9740000000002</v>
      </c>
      <c r="O39" s="121"/>
      <c r="P39" s="121">
        <f>N39-L39</f>
        <v>-40.57300000000032</v>
      </c>
      <c r="Q39" s="369">
        <f t="shared" ref="Q39" si="8">P39/L39</f>
        <v>-4.2580468984411077E-3</v>
      </c>
      <c r="R39" s="121"/>
      <c r="S39" s="365">
        <f>N39/I39*100</f>
        <v>0.48775986526115001</v>
      </c>
      <c r="T39" s="124"/>
      <c r="U39" s="121"/>
      <c r="V39" s="121"/>
    </row>
    <row r="40" spans="1:22" x14ac:dyDescent="0.25">
      <c r="A40" s="105">
        <f>MAX(A$14:A39)+1</f>
        <v>16</v>
      </c>
      <c r="C40" s="395" t="s">
        <v>299</v>
      </c>
      <c r="E40" s="393" t="s">
        <v>300</v>
      </c>
      <c r="F40" s="392"/>
      <c r="G40" s="103">
        <f>SUM('Exhibit No.__(BDJ-TRANSP RD)'!C30)/12</f>
        <v>89.833333333333329</v>
      </c>
      <c r="I40" s="103">
        <f>SUM('Exhibit No.__(BDJ-TRANSP RD)'!C39)/1000</f>
        <v>278070.311162</v>
      </c>
      <c r="J40" s="103">
        <f>'Exhibit No.__(BDJ-TRANSP RD)'!C33/1000</f>
        <v>666.17499999999995</v>
      </c>
      <c r="L40" s="121">
        <f>SUM('Exhibit No.__(BDJ-TRANSP RD)'!F41)/1000</f>
        <v>3788.1259300000002</v>
      </c>
      <c r="M40" s="121"/>
      <c r="N40" s="121">
        <f>SUM('Exhibit No.__(BDJ-TRANSP RD)'!I41)/1000</f>
        <v>3100.2612300000001</v>
      </c>
      <c r="O40" s="121"/>
      <c r="P40" s="121">
        <f>N40-L40</f>
        <v>-687.86470000000008</v>
      </c>
      <c r="Q40" s="369">
        <f t="shared" ref="Q40:Q41" si="9">P40/L40</f>
        <v>-0.18158443322923007</v>
      </c>
      <c r="R40" s="121"/>
      <c r="S40" s="365">
        <f>N40/I40*100</f>
        <v>1.1149198981526043</v>
      </c>
      <c r="T40" s="124"/>
      <c r="U40" s="121"/>
      <c r="V40" s="121"/>
    </row>
    <row r="41" spans="1:22" x14ac:dyDescent="0.25">
      <c r="A41" s="105">
        <f>MAX(A$14:A40)+1</f>
        <v>17</v>
      </c>
      <c r="C41" s="106" t="s">
        <v>303</v>
      </c>
      <c r="E41" s="393"/>
      <c r="F41" s="392"/>
      <c r="G41" s="107">
        <f>SUM(G39:G40)</f>
        <v>109.83333333333333</v>
      </c>
      <c r="I41" s="107">
        <f>SUM(I39:I40)</f>
        <v>2223284.478162</v>
      </c>
      <c r="J41" s="103"/>
      <c r="L41" s="122">
        <f>SUM(L39:L40)</f>
        <v>13316.672930000001</v>
      </c>
      <c r="M41" s="121"/>
      <c r="N41" s="122">
        <f>SUM(N39:N40)</f>
        <v>12588.23523</v>
      </c>
      <c r="O41" s="121"/>
      <c r="P41" s="122">
        <f>SUM(P39:P40)</f>
        <v>-728.4377000000004</v>
      </c>
      <c r="Q41" s="370">
        <f t="shared" si="9"/>
        <v>-5.4701178276967743E-2</v>
      </c>
      <c r="R41" s="121"/>
      <c r="S41" s="366">
        <f>N41/I41*100</f>
        <v>0.56619993319103978</v>
      </c>
      <c r="T41" s="124"/>
      <c r="U41" s="122">
        <f>'Exhibit No.__(BDJ-Rate Spread)'!J24</f>
        <v>-728.43770000000018</v>
      </c>
      <c r="V41" s="122">
        <f>U41-P41</f>
        <v>0</v>
      </c>
    </row>
    <row r="42" spans="1:22" x14ac:dyDescent="0.25">
      <c r="A42" s="105"/>
      <c r="E42" s="393"/>
      <c r="F42" s="392"/>
      <c r="G42" s="103"/>
      <c r="I42" s="103"/>
      <c r="J42" s="103"/>
      <c r="L42" s="121"/>
      <c r="M42" s="121"/>
      <c r="N42" s="121"/>
      <c r="O42" s="121"/>
      <c r="P42" s="121"/>
      <c r="Q42" s="369"/>
      <c r="R42" s="121"/>
      <c r="S42" s="365"/>
      <c r="T42" s="124"/>
      <c r="U42" s="121"/>
      <c r="V42" s="121"/>
    </row>
    <row r="43" spans="1:22" x14ac:dyDescent="0.25">
      <c r="A43" s="105">
        <f>MAX(A$14:A41)+1</f>
        <v>18</v>
      </c>
      <c r="C43" s="68" t="s">
        <v>64</v>
      </c>
      <c r="E43" s="393" t="s">
        <v>65</v>
      </c>
      <c r="F43" s="392"/>
      <c r="G43" s="107">
        <f>'Exhibit No.__(BDJ-LIGHT RD) '!C22/12</f>
        <v>8683.25</v>
      </c>
      <c r="I43" s="107">
        <f>'Exhibit No.__(BDJ-LIGHT RD) '!D22/1000</f>
        <v>69892.887000000002</v>
      </c>
      <c r="J43" s="103"/>
      <c r="L43" s="122">
        <f>'Exhibit No.__(BDJ-LIGHT RD) '!H22/1000</f>
        <v>17783.762999999999</v>
      </c>
      <c r="M43" s="121"/>
      <c r="N43" s="122">
        <f>'Exhibit No.__(BDJ-Rate Spread)'!K26</f>
        <v>17679.02327623442</v>
      </c>
      <c r="O43" s="121"/>
      <c r="P43" s="122">
        <f>N43-L43</f>
        <v>-104.73972376557867</v>
      </c>
      <c r="Q43" s="370">
        <f t="shared" ref="Q43" si="10">P43/L43</f>
        <v>-5.8896266085855216E-3</v>
      </c>
      <c r="R43" s="121"/>
      <c r="S43" s="366">
        <f>N43/I43*100</f>
        <v>25.294452747722985</v>
      </c>
      <c r="T43" s="124"/>
      <c r="U43" s="122">
        <f>'Exhibit No.__(BDJ-Rate Spread)'!J26</f>
        <v>-104.73972376557816</v>
      </c>
      <c r="V43" s="122">
        <f>U43-P43</f>
        <v>5.1159076974727213E-13</v>
      </c>
    </row>
    <row r="44" spans="1:22" x14ac:dyDescent="0.25">
      <c r="A44" s="105"/>
      <c r="E44" s="393"/>
      <c r="F44" s="392"/>
      <c r="G44" s="103"/>
      <c r="I44" s="103"/>
      <c r="J44" s="103"/>
      <c r="L44" s="121"/>
      <c r="M44" s="121"/>
      <c r="N44" s="121"/>
      <c r="O44" s="121"/>
      <c r="P44" s="121"/>
      <c r="Q44" s="369"/>
      <c r="R44" s="121"/>
      <c r="S44" s="365"/>
      <c r="T44" s="124"/>
      <c r="U44" s="121"/>
      <c r="V44" s="121"/>
    </row>
    <row r="45" spans="1:22" x14ac:dyDescent="0.25">
      <c r="A45" s="105">
        <f>MAX(A$14:A44)+1</f>
        <v>19</v>
      </c>
      <c r="C45" s="106" t="s">
        <v>66</v>
      </c>
      <c r="G45" s="107">
        <f>SUM(G43,G41,G36,G31,G25,G18)</f>
        <v>1224882.8333333333</v>
      </c>
      <c r="I45" s="107">
        <f>SUM(I43,I41,I36,I31,I25,I18)</f>
        <v>22980976.256595764</v>
      </c>
      <c r="J45" s="103"/>
      <c r="L45" s="122">
        <f>SUM(L43,L41,L36,L31,L25,L18)</f>
        <v>2114983.6949300002</v>
      </c>
      <c r="M45" s="121"/>
      <c r="N45" s="122">
        <f>SUM(N43,N41,N36,N31,N25,N18)</f>
        <v>2101743.1395062343</v>
      </c>
      <c r="O45" s="121"/>
      <c r="P45" s="122">
        <f>SUM(P43,P41,P36,P31,P25,P18)</f>
        <v>-13240.555423765636</v>
      </c>
      <c r="Q45" s="370">
        <f>P45/L45</f>
        <v>-6.2603581557180085E-3</v>
      </c>
      <c r="R45" s="121"/>
      <c r="S45" s="366">
        <f>N45/I45*100</f>
        <v>9.1455781340142739</v>
      </c>
      <c r="T45" s="124"/>
      <c r="U45" s="122">
        <f>SUM(U43,U41,U36,U31,U25,U18)</f>
        <v>-13240.693053021201</v>
      </c>
      <c r="V45" s="122">
        <f>U45-P45</f>
        <v>-0.13762925556511618</v>
      </c>
    </row>
    <row r="46" spans="1:22" x14ac:dyDescent="0.25">
      <c r="A46" s="392"/>
      <c r="L46" s="372"/>
      <c r="M46" s="372"/>
      <c r="N46" s="372"/>
      <c r="O46" s="372"/>
      <c r="P46" s="372"/>
      <c r="Q46" s="361"/>
      <c r="R46" s="372"/>
      <c r="S46" s="367"/>
      <c r="T46" s="277"/>
      <c r="U46" s="372"/>
      <c r="V46" s="372"/>
    </row>
    <row r="47" spans="1:22" x14ac:dyDescent="0.25">
      <c r="A47" s="105">
        <f>MAX(A$14:A46)+1</f>
        <v>20</v>
      </c>
      <c r="C47" s="68" t="s">
        <v>67</v>
      </c>
      <c r="E47" s="393" t="s">
        <v>304</v>
      </c>
      <c r="F47" s="392"/>
      <c r="G47" s="107">
        <f>'Exhibit No.__(BDJ-TRANSP RD)'!C45/12</f>
        <v>8</v>
      </c>
      <c r="I47" s="107">
        <f>'Exhibit No.__(BDJ-TRANSP RD)'!C50/1000</f>
        <v>7372.3372879022108</v>
      </c>
      <c r="J47" s="110">
        <f>'Exhibit No.__(BDJ-TRANSP RD)'!C52/1000</f>
        <v>14.507</v>
      </c>
      <c r="L47" s="122">
        <f>'Exhibit No.__(BDJ-TRANSP RD)'!F58/1000</f>
        <v>345.54538000000002</v>
      </c>
      <c r="M47" s="372"/>
      <c r="N47" s="122">
        <f>'Exhibit No.__(BDJ-TRANSP RD)'!I58/1000</f>
        <v>576.62063999999998</v>
      </c>
      <c r="O47" s="121"/>
      <c r="P47" s="122">
        <f>N47-L47</f>
        <v>231.07525999999996</v>
      </c>
      <c r="Q47" s="370">
        <f t="shared" ref="Q47" si="11">P47/L47</f>
        <v>0.66872623213772941</v>
      </c>
      <c r="R47" s="121"/>
      <c r="S47" s="366">
        <f>N47/I47*100</f>
        <v>7.8214088352443882</v>
      </c>
      <c r="T47" s="277"/>
      <c r="U47" s="122">
        <f>'Exhibit No.__(BDJ-Rate Spread)'!J30</f>
        <v>231.07561999999996</v>
      </c>
      <c r="V47" s="122">
        <f>U47-P47</f>
        <v>3.6000000000058208E-4</v>
      </c>
    </row>
    <row r="48" spans="1:22" x14ac:dyDescent="0.25">
      <c r="A48" s="392"/>
      <c r="L48" s="372"/>
      <c r="M48" s="372"/>
      <c r="N48" s="372"/>
      <c r="O48" s="372"/>
      <c r="P48" s="372"/>
      <c r="Q48" s="361"/>
      <c r="R48" s="372"/>
      <c r="S48" s="367"/>
      <c r="T48" s="277"/>
      <c r="U48" s="372"/>
      <c r="V48" s="372"/>
    </row>
    <row r="49" spans="1:22" ht="16.5" thickBot="1" x14ac:dyDescent="0.3">
      <c r="A49" s="105">
        <f>MAX(A$14:A48)+1</f>
        <v>21</v>
      </c>
      <c r="C49" s="113" t="s">
        <v>68</v>
      </c>
      <c r="G49" s="114">
        <f>G47+G45</f>
        <v>1224890.8333333333</v>
      </c>
      <c r="I49" s="114">
        <f>I47+I45</f>
        <v>22988348.593883667</v>
      </c>
      <c r="L49" s="123">
        <f>L47+L45</f>
        <v>2115329.2403100003</v>
      </c>
      <c r="M49" s="124"/>
      <c r="N49" s="123">
        <f>N47+N45</f>
        <v>2102319.7601462342</v>
      </c>
      <c r="O49" s="277"/>
      <c r="P49" s="123">
        <f>P47+P45</f>
        <v>-13009.480163765636</v>
      </c>
      <c r="Q49" s="371">
        <f>P49/L49</f>
        <v>-6.1500970704017237E-3</v>
      </c>
      <c r="R49" s="124"/>
      <c r="S49" s="368">
        <f>N49/I49*100</f>
        <v>9.1451534744239193</v>
      </c>
      <c r="T49" s="124"/>
      <c r="U49" s="123">
        <f t="shared" ref="U49:V49" si="12">U47+U45</f>
        <v>-13009.617433021202</v>
      </c>
      <c r="V49" s="123">
        <f t="shared" si="12"/>
        <v>-0.1372692555651156</v>
      </c>
    </row>
    <row r="50" spans="1:22" ht="16.5" thickTop="1" x14ac:dyDescent="0.25">
      <c r="A50" s="443" t="s">
        <v>0</v>
      </c>
      <c r="B50" s="444"/>
      <c r="C50" s="444"/>
      <c r="G50" s="115"/>
      <c r="I50" s="115"/>
      <c r="L50" s="277"/>
      <c r="M50" s="124"/>
      <c r="N50" s="277"/>
      <c r="O50" s="277"/>
      <c r="P50" s="277"/>
      <c r="Q50" s="372"/>
      <c r="R50" s="124"/>
      <c r="S50" s="124"/>
      <c r="T50" s="124"/>
      <c r="U50" s="372"/>
      <c r="V50" s="372"/>
    </row>
    <row r="51" spans="1:22" ht="18.75" customHeight="1" thickBot="1" x14ac:dyDescent="0.3">
      <c r="C51" s="68" t="s">
        <v>249</v>
      </c>
      <c r="I51" s="114">
        <v>22988348.591320667</v>
      </c>
      <c r="L51" s="123">
        <v>2115329.2128885072</v>
      </c>
      <c r="M51" s="372"/>
      <c r="N51" s="372"/>
      <c r="O51" s="372"/>
      <c r="P51" s="277" t="s">
        <v>0</v>
      </c>
      <c r="Q51" s="124" t="s">
        <v>0</v>
      </c>
      <c r="R51" s="372"/>
      <c r="S51" s="372"/>
      <c r="T51" s="372"/>
      <c r="U51" s="372"/>
      <c r="V51" s="372"/>
    </row>
    <row r="52" spans="1:22" ht="17.25" thickTop="1" thickBot="1" x14ac:dyDescent="0.3">
      <c r="C52" s="68" t="s">
        <v>249</v>
      </c>
      <c r="I52" s="118">
        <f>I49-I51</f>
        <v>2.5629997253417969E-3</v>
      </c>
      <c r="L52" s="123">
        <f>L49-L51</f>
        <v>2.7421493083238602E-2</v>
      </c>
      <c r="M52" s="277"/>
      <c r="N52" s="126"/>
      <c r="O52" s="372"/>
      <c r="P52" s="126"/>
      <c r="Q52" s="372"/>
      <c r="R52" s="277"/>
      <c r="S52" s="277"/>
      <c r="T52" s="277"/>
      <c r="U52" s="372"/>
      <c r="V52" s="372"/>
    </row>
    <row r="53" spans="1:22" ht="16.5" thickTop="1" x14ac:dyDescent="0.25">
      <c r="I53" s="110"/>
      <c r="J53" s="110"/>
      <c r="L53" s="372"/>
      <c r="M53" s="86"/>
      <c r="N53" s="372"/>
      <c r="P53" s="372"/>
      <c r="R53" s="86"/>
      <c r="S53" s="116"/>
      <c r="T53" s="86"/>
    </row>
    <row r="54" spans="1:22" x14ac:dyDescent="0.25">
      <c r="L54" s="108"/>
      <c r="N54" s="108"/>
      <c r="P54" s="108"/>
      <c r="Q54" s="117"/>
    </row>
    <row r="55" spans="1:22" x14ac:dyDescent="0.25">
      <c r="N55" s="86"/>
      <c r="P55" s="119"/>
      <c r="Q55" s="254"/>
    </row>
    <row r="56" spans="1:22" x14ac:dyDescent="0.25">
      <c r="N56" s="101"/>
      <c r="P56" s="119"/>
      <c r="Q56" s="361"/>
    </row>
    <row r="57" spans="1:22" x14ac:dyDescent="0.25">
      <c r="N57" s="120"/>
      <c r="Q57" s="361"/>
    </row>
    <row r="58" spans="1:22" x14ac:dyDescent="0.25">
      <c r="Q58" s="361"/>
    </row>
    <row r="60" spans="1:22" x14ac:dyDescent="0.25">
      <c r="N60" s="101"/>
    </row>
  </sheetData>
  <mergeCells count="8">
    <mergeCell ref="A50:C50"/>
    <mergeCell ref="N11:S12"/>
    <mergeCell ref="A7:R7"/>
    <mergeCell ref="A2:W2"/>
    <mergeCell ref="A3:W3"/>
    <mergeCell ref="A4:W4"/>
    <mergeCell ref="A5:W5"/>
    <mergeCell ref="A6:W6"/>
  </mergeCells>
  <printOptions horizontalCentered="1"/>
  <pageMargins left="0.7" right="0.7" top="0.75" bottom="0.77" header="0.3" footer="0.3"/>
  <pageSetup scale="66" orientation="landscape" r:id="rId1"/>
  <headerFooter alignWithMargins="0">
    <oddFooter>&amp;L&amp;A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6"/>
  <sheetViews>
    <sheetView zoomScaleNormal="100" workbookViewId="0">
      <pane xSplit="3" ySplit="12" topLeftCell="D29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RowHeight="15.75" x14ac:dyDescent="0.25"/>
  <cols>
    <col min="1" max="1" width="4.25" style="68" bestFit="1" customWidth="1"/>
    <col min="2" max="2" width="11.125" style="68" bestFit="1" customWidth="1"/>
    <col min="3" max="3" width="43.25" style="68" bestFit="1" customWidth="1"/>
    <col min="4" max="6" width="12" style="68" bestFit="1" customWidth="1"/>
    <col min="7" max="7" width="1.875" style="68" customWidth="1"/>
    <col min="8" max="9" width="12" style="68" bestFit="1" customWidth="1"/>
    <col min="10" max="10" width="1.875" style="68" customWidth="1"/>
    <col min="11" max="13" width="12" style="68" bestFit="1" customWidth="1"/>
    <col min="14" max="15" width="10.5" style="68" bestFit="1" customWidth="1"/>
    <col min="16" max="16" width="1.875" style="68" customWidth="1"/>
    <col min="17" max="19" width="12" style="68" bestFit="1" customWidth="1"/>
    <col min="20" max="21" width="12.125" style="68" bestFit="1" customWidth="1"/>
    <col min="22" max="22" width="1.875" style="68" customWidth="1"/>
    <col min="23" max="25" width="12" style="68" bestFit="1" customWidth="1"/>
    <col min="26" max="26" width="11.125" style="68" bestFit="1" customWidth="1"/>
    <col min="27" max="27" width="10.5" style="68" bestFit="1" customWidth="1"/>
    <col min="28" max="16384" width="9" style="68"/>
  </cols>
  <sheetData>
    <row r="2" spans="1:27" x14ac:dyDescent="0.25">
      <c r="A2" s="451" t="s">
        <v>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</row>
    <row r="3" spans="1:27" x14ac:dyDescent="0.25">
      <c r="A3" s="454" t="s">
        <v>43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</row>
    <row r="4" spans="1:27" x14ac:dyDescent="0.25">
      <c r="A4" s="451" t="s">
        <v>367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</row>
    <row r="5" spans="1:27" x14ac:dyDescent="0.25">
      <c r="A5" s="451" t="s">
        <v>79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</row>
    <row r="6" spans="1:27" x14ac:dyDescent="0.25">
      <c r="A6" s="451" t="s">
        <v>407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</row>
    <row r="10" spans="1:27" x14ac:dyDescent="0.25">
      <c r="A10" s="392"/>
      <c r="D10" s="453" t="s">
        <v>416</v>
      </c>
      <c r="E10" s="453"/>
      <c r="F10" s="453"/>
      <c r="H10" s="453" t="s">
        <v>406</v>
      </c>
      <c r="I10" s="452"/>
      <c r="K10" s="452" t="s">
        <v>350</v>
      </c>
      <c r="L10" s="452"/>
      <c r="M10" s="452"/>
      <c r="N10" s="452"/>
      <c r="O10" s="452"/>
      <c r="Q10" s="452" t="s">
        <v>343</v>
      </c>
      <c r="R10" s="452"/>
      <c r="S10" s="452"/>
      <c r="T10" s="452"/>
      <c r="U10" s="452"/>
      <c r="W10" s="453" t="s">
        <v>344</v>
      </c>
      <c r="X10" s="452"/>
      <c r="Y10" s="452"/>
      <c r="Z10" s="452"/>
      <c r="AA10" s="452"/>
    </row>
    <row r="11" spans="1:27" ht="45" x14ac:dyDescent="0.25">
      <c r="A11" s="127" t="s">
        <v>152</v>
      </c>
      <c r="B11" s="127" t="s">
        <v>252</v>
      </c>
      <c r="C11" s="128" t="s">
        <v>7</v>
      </c>
      <c r="D11" s="129" t="s">
        <v>181</v>
      </c>
      <c r="E11" s="127" t="s">
        <v>433</v>
      </c>
      <c r="F11" s="127" t="s">
        <v>432</v>
      </c>
      <c r="H11" s="129" t="s">
        <v>181</v>
      </c>
      <c r="I11" s="127" t="s">
        <v>433</v>
      </c>
      <c r="K11" s="129" t="s">
        <v>181</v>
      </c>
      <c r="L11" s="127" t="s">
        <v>433</v>
      </c>
      <c r="M11" s="127" t="s">
        <v>432</v>
      </c>
      <c r="N11" s="127" t="s">
        <v>434</v>
      </c>
      <c r="O11" s="127" t="s">
        <v>435</v>
      </c>
      <c r="Q11" s="129" t="s">
        <v>181</v>
      </c>
      <c r="R11" s="127" t="s">
        <v>433</v>
      </c>
      <c r="S11" s="127" t="s">
        <v>432</v>
      </c>
      <c r="T11" s="127" t="s">
        <v>434</v>
      </c>
      <c r="U11" s="127" t="s">
        <v>435</v>
      </c>
      <c r="W11" s="129" t="s">
        <v>181</v>
      </c>
      <c r="X11" s="127" t="s">
        <v>433</v>
      </c>
      <c r="Y11" s="127" t="s">
        <v>432</v>
      </c>
      <c r="Z11" s="127" t="s">
        <v>434</v>
      </c>
      <c r="AA11" s="127" t="s">
        <v>435</v>
      </c>
    </row>
    <row r="12" spans="1:27" x14ac:dyDescent="0.25">
      <c r="A12" s="101"/>
      <c r="C12" s="393"/>
      <c r="D12" s="392" t="s">
        <v>359</v>
      </c>
      <c r="E12" s="392" t="s">
        <v>360</v>
      </c>
      <c r="F12" s="392" t="s">
        <v>371</v>
      </c>
      <c r="G12" s="392"/>
      <c r="H12" s="392" t="s">
        <v>372</v>
      </c>
      <c r="I12" s="392" t="s">
        <v>373</v>
      </c>
      <c r="J12" s="392"/>
      <c r="K12" s="392" t="s">
        <v>364</v>
      </c>
      <c r="L12" s="392" t="s">
        <v>365</v>
      </c>
      <c r="M12" s="392" t="s">
        <v>366</v>
      </c>
      <c r="N12" s="392" t="s">
        <v>374</v>
      </c>
      <c r="O12" s="392" t="s">
        <v>375</v>
      </c>
      <c r="P12" s="392"/>
      <c r="Q12" s="392" t="s">
        <v>420</v>
      </c>
      <c r="R12" s="392" t="s">
        <v>421</v>
      </c>
      <c r="S12" s="392" t="s">
        <v>422</v>
      </c>
      <c r="T12" s="392" t="s">
        <v>423</v>
      </c>
      <c r="U12" s="392" t="s">
        <v>424</v>
      </c>
      <c r="V12" s="392"/>
      <c r="W12" s="392" t="s">
        <v>425</v>
      </c>
      <c r="X12" s="392" t="s">
        <v>426</v>
      </c>
      <c r="Y12" s="392" t="s">
        <v>427</v>
      </c>
      <c r="Z12" s="392" t="s">
        <v>429</v>
      </c>
      <c r="AA12" s="392" t="s">
        <v>428</v>
      </c>
    </row>
    <row r="13" spans="1:27" x14ac:dyDescent="0.25">
      <c r="A13" s="392">
        <v>1</v>
      </c>
      <c r="B13" s="392"/>
      <c r="C13" s="102"/>
    </row>
    <row r="14" spans="1:27" x14ac:dyDescent="0.25">
      <c r="A14" s="392">
        <f>+A13+1</f>
        <v>2</v>
      </c>
      <c r="B14" s="392" t="s">
        <v>580</v>
      </c>
      <c r="C14" s="130" t="s">
        <v>19</v>
      </c>
      <c r="D14" s="104">
        <f>+'Exhibit No.__(BDJ-Prof-Prop)'!I17</f>
        <v>11355354.571603522</v>
      </c>
      <c r="E14" s="372">
        <f>+'Exhibit No.__(BDJ-Prof-Prop)'!L17</f>
        <v>1231055.182</v>
      </c>
      <c r="F14" s="372">
        <f>+'Exhibit No.__(BDJ-Prof-Prop)'!N17</f>
        <v>1223805</v>
      </c>
      <c r="H14" s="104">
        <f>+'Exhibit No.__(BDJ-MYRP)'!F21/1000</f>
        <v>10857353</v>
      </c>
      <c r="I14" s="372">
        <f>+'Exhibit No.__(BDJ-MYRP)'!G22/1000</f>
        <v>1181367.9643720768</v>
      </c>
      <c r="K14" s="104">
        <f>+'Exhibit No.__(BDJ-MYRP)'!I21/1000</f>
        <v>10846482</v>
      </c>
      <c r="L14" s="372">
        <f>+'Exhibit No.__(BDJ-MYRP)'!J22/1000</f>
        <v>1181455.5999694003</v>
      </c>
      <c r="M14" s="372">
        <f>+'Exhibit No.__(BDJ-MYRP)'!K22/1000</f>
        <v>1175312.8506165422</v>
      </c>
      <c r="N14" s="372">
        <f>+'Exhibit No.__(BDJ-MYRP)'!L22/1000</f>
        <v>145082.543232</v>
      </c>
      <c r="O14" s="372">
        <f>+'Exhibit No.__(BDJ-MYRP)'!M22/1000</f>
        <v>61694.789616000002</v>
      </c>
      <c r="Q14" s="104">
        <f>+'Exhibit No.__(BDJ-MYRP)'!O21/1000</f>
        <v>10953273</v>
      </c>
      <c r="R14" s="372">
        <f>+'Exhibit No.__(BDJ-MYRP)'!P22/1000</f>
        <v>1193395.4250208582</v>
      </c>
      <c r="S14" s="372">
        <f>+'Exhibit No.__(BDJ-MYRP)'!Q22/1000</f>
        <v>1187222.8588307844</v>
      </c>
      <c r="T14" s="372">
        <f>+'Exhibit No.__(BDJ-MYRP)'!R22/1000</f>
        <v>111591.94532399999</v>
      </c>
      <c r="U14" s="372">
        <f>+'Exhibit No.__(BDJ-MYRP)'!S22/1000</f>
        <v>133093.22022300001</v>
      </c>
      <c r="W14" s="104">
        <f>+'Exhibit No.__(BDJ-MYRP)'!U21/1000</f>
        <v>11003417</v>
      </c>
      <c r="X14" s="372">
        <f>+'Exhibit No.__(BDJ-MYRP)'!V22/1000</f>
        <v>1199531.745267906</v>
      </c>
      <c r="Y14" s="372">
        <f>+'Exhibit No.__(BDJ-MYRP)'!W22/1000</f>
        <v>1193413.897983127</v>
      </c>
      <c r="Z14" s="372">
        <f>+'Exhibit No.__(BDJ-MYRP)'!X22/1000</f>
        <v>48635.103139999999</v>
      </c>
      <c r="AA14" s="372">
        <f>+'Exhibit No.__(BDJ-MYRP)'!Y22/1000</f>
        <v>202165.78054100001</v>
      </c>
    </row>
    <row r="15" spans="1:27" x14ac:dyDescent="0.25">
      <c r="A15" s="392">
        <f t="shared" ref="A15:A22" si="0">+A14+1</f>
        <v>3</v>
      </c>
      <c r="B15" s="393" t="s">
        <v>56</v>
      </c>
      <c r="C15" s="204" t="s">
        <v>78</v>
      </c>
      <c r="D15" s="104">
        <f>+'Exhibit No.__(BDJ-Prof-Prop)'!I21</f>
        <v>2658833.1030243803</v>
      </c>
      <c r="E15" s="372">
        <f>+'Exhibit No.__(BDJ-Prof-Prop)'!L21</f>
        <v>271509.06</v>
      </c>
      <c r="F15" s="372">
        <f>+'Exhibit No.__(BDJ-Prof-Prop)'!N21</f>
        <v>269910</v>
      </c>
      <c r="H15" s="104">
        <f>+'Exhibit No.__(BDJ-MYRP)'!F34/1000</f>
        <v>2628117</v>
      </c>
      <c r="I15" s="372">
        <f>+'Exhibit No.__(BDJ-MYRP)'!G35/1000</f>
        <v>268575.67187399999</v>
      </c>
      <c r="K15" s="104">
        <f>+'Exhibit No.__(BDJ-MYRP)'!I34/1000</f>
        <v>2697633</v>
      </c>
      <c r="L15" s="372">
        <f>+'Exhibit No.__(BDJ-MYRP)'!J35/1000</f>
        <v>275357.06554000004</v>
      </c>
      <c r="M15" s="372">
        <f>+'Exhibit No.__(BDJ-MYRP)'!K35/1000</f>
        <v>273738.37275700003</v>
      </c>
      <c r="N15" s="372">
        <f>+'Exhibit No.__(BDJ-MYRP)'!L35/1000</f>
        <v>27971.756577</v>
      </c>
      <c r="O15" s="372">
        <f>+'Exhibit No.__(BDJ-MYRP)'!M35/1000</f>
        <v>11893.863896999999</v>
      </c>
      <c r="Q15" s="104">
        <f>+'Exhibit No.__(BDJ-MYRP)'!O34/1000</f>
        <v>2730372</v>
      </c>
      <c r="R15" s="372">
        <f>+'Exhibit No.__(BDJ-MYRP)'!P35/1000</f>
        <v>278722.85728200001</v>
      </c>
      <c r="S15" s="372">
        <f>+'Exhibit No.__(BDJ-MYRP)'!Q35/1000</f>
        <v>277084.39831200003</v>
      </c>
      <c r="T15" s="372">
        <f>+'Exhibit No.__(BDJ-MYRP)'!R35/1000</f>
        <v>21515.33136</v>
      </c>
      <c r="U15" s="372">
        <f>+'Exhibit No.__(BDJ-MYRP)'!S35/1000</f>
        <v>25660.036056000001</v>
      </c>
      <c r="W15" s="104">
        <f>+'Exhibit No.__(BDJ-MYRP)'!U34/1000</f>
        <v>2726800</v>
      </c>
      <c r="X15" s="372">
        <f>+'Exhibit No.__(BDJ-MYRP)'!V35/1000</f>
        <v>278663.78872399998</v>
      </c>
      <c r="Y15" s="372">
        <f>+'Exhibit No.__(BDJ-MYRP)'!W35/1000</f>
        <v>277027.55495800008</v>
      </c>
      <c r="Z15" s="372">
        <f>+'Exhibit No.__(BDJ-MYRP)'!X35/1000</f>
        <v>9377.4652000000006</v>
      </c>
      <c r="AA15" s="372">
        <f>+'Exhibit No.__(BDJ-MYRP)'!Y35/1000</f>
        <v>38979.606</v>
      </c>
    </row>
    <row r="16" spans="1:27" x14ac:dyDescent="0.25">
      <c r="A16" s="392">
        <f t="shared" si="0"/>
        <v>4</v>
      </c>
      <c r="B16" s="392" t="s">
        <v>57</v>
      </c>
      <c r="C16" s="204" t="s">
        <v>78</v>
      </c>
      <c r="D16" s="104">
        <f>+'Exhibit No.__(BDJ-Prof-Prop)'!I22</f>
        <v>2856045.8325844579</v>
      </c>
      <c r="E16" s="372">
        <f>+'Exhibit No.__(BDJ-Prof-Prop)'!L22</f>
        <v>266281.60100000002</v>
      </c>
      <c r="F16" s="372">
        <f>+'Exhibit No.__(BDJ-Prof-Prop)'!N22</f>
        <v>264713</v>
      </c>
      <c r="H16" s="104">
        <f>+'Exhibit No.__(BDJ-MYRP)'!F44/1000</f>
        <v>2836809</v>
      </c>
      <c r="I16" s="372">
        <f>+'Exhibit No.__(BDJ-MYRP)'!G51/1000</f>
        <v>265130.7589382588</v>
      </c>
      <c r="K16" s="104">
        <f>+'Exhibit No.__(BDJ-MYRP)'!I44/1000</f>
        <v>2911699.0000000005</v>
      </c>
      <c r="L16" s="372">
        <f>+'Exhibit No.__(BDJ-MYRP)'!J51/1000</f>
        <v>272361.63184349728</v>
      </c>
      <c r="M16" s="372">
        <f>+'Exhibit No.__(BDJ-MYRP)'!K51/1000</f>
        <v>270772.34445659711</v>
      </c>
      <c r="N16" s="372">
        <f>+'Exhibit No.__(BDJ-MYRP)'!L51/1000</f>
        <v>30444.724744000006</v>
      </c>
      <c r="O16" s="372">
        <f>+'Exhibit No.__(BDJ-MYRP)'!M51/1000</f>
        <v>12945.413754000003</v>
      </c>
      <c r="Q16" s="104">
        <f>+'Exhibit No.__(BDJ-MYRP)'!O44/1000</f>
        <v>2948172</v>
      </c>
      <c r="R16" s="372">
        <f>+'Exhibit No.__(BDJ-MYRP)'!P51/1000</f>
        <v>275813.6163645194</v>
      </c>
      <c r="S16" s="372">
        <f>+'Exhibit No.__(BDJ-MYRP)'!Q51/1000</f>
        <v>274204.21287653234</v>
      </c>
      <c r="T16" s="372">
        <f>+'Exhibit No.__(BDJ-MYRP)'!R51/1000</f>
        <v>23420.278367999999</v>
      </c>
      <c r="U16" s="372">
        <f>+'Exhibit No.__(BDJ-MYRP)'!S51/1000</f>
        <v>27930.981528</v>
      </c>
      <c r="W16" s="104">
        <f>+'Exhibit No.__(BDJ-MYRP)'!U44/1000</f>
        <v>2946456</v>
      </c>
      <c r="X16" s="372">
        <f>+'Exhibit No.__(BDJ-MYRP)'!V51/1000</f>
        <v>275878.21847665968</v>
      </c>
      <c r="Y16" s="372">
        <f>+'Exhibit No.__(BDJ-MYRP)'!W51/1000</f>
        <v>274269.89706357266</v>
      </c>
      <c r="Z16" s="372">
        <f>+'Exhibit No.__(BDJ-MYRP)'!X51/1000</f>
        <v>10206.523584</v>
      </c>
      <c r="AA16" s="372">
        <f>+'Exhibit No.__(BDJ-MYRP)'!Y51/1000</f>
        <v>42426.019944</v>
      </c>
    </row>
    <row r="17" spans="1:27" x14ac:dyDescent="0.25">
      <c r="A17" s="392">
        <f t="shared" si="0"/>
        <v>5</v>
      </c>
      <c r="B17" s="393" t="s">
        <v>58</v>
      </c>
      <c r="C17" s="204" t="s">
        <v>78</v>
      </c>
      <c r="D17" s="104">
        <f>+'Exhibit No.__(BDJ-Prof-Prop)'!I23</f>
        <v>1761911.047761543</v>
      </c>
      <c r="E17" s="372">
        <f>+'Exhibit No.__(BDJ-Prof-Prop)'!L23</f>
        <v>151320.842</v>
      </c>
      <c r="F17" s="372">
        <f>+'Exhibit No.__(BDJ-Prof-Prop)'!N23</f>
        <v>150429.61900000001</v>
      </c>
      <c r="H17" s="104">
        <f>+'Exhibit No.__(BDJ-MYRP)'!F57/1000</f>
        <v>1789712</v>
      </c>
      <c r="I17" s="372">
        <f>+'Exhibit No.__(BDJ-MYRP)'!G64/1000</f>
        <v>152571.68459459842</v>
      </c>
      <c r="K17" s="104">
        <f>+'Exhibit No.__(BDJ-MYRP)'!I57/1000</f>
        <v>1831289</v>
      </c>
      <c r="L17" s="372">
        <f>+'Exhibit No.__(BDJ-MYRP)'!J64/1000</f>
        <v>155302.94462513478</v>
      </c>
      <c r="M17" s="372">
        <f>+'Exhibit No.__(BDJ-MYRP)'!K64/1000</f>
        <v>154385.46883613479</v>
      </c>
      <c r="N17" s="372">
        <f>+'Exhibit No.__(BDJ-MYRP)'!L64/1000</f>
        <v>16688.536657000001</v>
      </c>
      <c r="O17" s="372">
        <f>+'Exhibit No.__(BDJ-MYRP)'!M64/1000</f>
        <v>7096.2448750000003</v>
      </c>
      <c r="Q17" s="104">
        <f>+'Exhibit No.__(BDJ-MYRP)'!O57/1000</f>
        <v>1853862</v>
      </c>
      <c r="R17" s="372">
        <f>+'Exhibit No.__(BDJ-MYRP)'!P64/1000</f>
        <v>156820.22304855089</v>
      </c>
      <c r="S17" s="372">
        <f>+'Exhibit No.__(BDJ-MYRP)'!Q64/1000</f>
        <v>155891.43818655092</v>
      </c>
      <c r="T17" s="372">
        <f>+'Exhibit No.__(BDJ-MYRP)'!R64/1000</f>
        <v>12837.994349999999</v>
      </c>
      <c r="U17" s="372">
        <f>+'Exhibit No.__(BDJ-MYRP)'!S64/1000</f>
        <v>15311.046258000002</v>
      </c>
      <c r="W17" s="104">
        <f>+'Exhibit No.__(BDJ-MYRP)'!U57/1000</f>
        <v>1858617</v>
      </c>
      <c r="X17" s="372">
        <f>+'Exhibit No.__(BDJ-MYRP)'!V64/1000</f>
        <v>157266.37616965879</v>
      </c>
      <c r="Y17" s="372">
        <f>+'Exhibit No.__(BDJ-MYRP)'!W64/1000</f>
        <v>156335.20905265876</v>
      </c>
      <c r="Z17" s="372">
        <f>+'Exhibit No.__(BDJ-MYRP)'!X64/1000</f>
        <v>5594.4371700000002</v>
      </c>
      <c r="AA17" s="372">
        <f>+'Exhibit No.__(BDJ-MYRP)'!Y64/1000</f>
        <v>23256.874520999998</v>
      </c>
    </row>
    <row r="18" spans="1:27" x14ac:dyDescent="0.25">
      <c r="A18" s="392">
        <f t="shared" si="0"/>
        <v>6</v>
      </c>
      <c r="B18" s="392">
        <v>29</v>
      </c>
      <c r="C18" s="204" t="s">
        <v>395</v>
      </c>
      <c r="D18" s="104">
        <f>+'Exhibit No.__(BDJ-Prof-Prop)'!I24</f>
        <v>15293.727999999999</v>
      </c>
      <c r="E18" s="372">
        <f>+'Exhibit No.__(BDJ-Prof-Prop)'!L24</f>
        <v>1332.0119999999999</v>
      </c>
      <c r="F18" s="372">
        <f>+'Exhibit No.__(BDJ-Prof-Prop)'!N24</f>
        <v>1324.1669999999999</v>
      </c>
      <c r="H18" s="104">
        <f>+'Exhibit No.__(BDJ-MYRP)'!F77/1000</f>
        <v>14336.000000000002</v>
      </c>
      <c r="I18" s="372">
        <f>+'Exhibit No.__(BDJ-MYRP)'!G84/1000</f>
        <v>1248.0012767969934</v>
      </c>
      <c r="K18" s="104">
        <f>+'Exhibit No.__(BDJ-MYRP)'!I77/1000</f>
        <v>14668</v>
      </c>
      <c r="L18" s="372">
        <f>+'Exhibit No.__(BDJ-MYRP)'!J84/1000</f>
        <v>1275.2765606066582</v>
      </c>
      <c r="M18" s="372">
        <f>+'Exhibit No.__(BDJ-MYRP)'!K84/1000</f>
        <v>1267.7388426175651</v>
      </c>
      <c r="N18" s="372">
        <f>+'Exhibit No.__(BDJ-MYRP)'!L84/1000</f>
        <v>153.36860799999999</v>
      </c>
      <c r="O18" s="372">
        <f>+'Exhibit No.__(BDJ-MYRP)'!M84/1000</f>
        <v>65.21392800000001</v>
      </c>
      <c r="Q18" s="104">
        <f>+'Exhibit No.__(BDJ-MYRP)'!O77/1000</f>
        <v>14778</v>
      </c>
      <c r="R18" s="372">
        <f>+'Exhibit No.__(BDJ-MYRP)'!P84/1000</f>
        <v>1285.5759901536819</v>
      </c>
      <c r="S18" s="372">
        <f>+'Exhibit No.__(BDJ-MYRP)'!Q84/1000</f>
        <v>1277.9802984580135</v>
      </c>
      <c r="T18" s="372">
        <f>+'Exhibit No.__(BDJ-MYRP)'!R84/1000</f>
        <v>117.396432</v>
      </c>
      <c r="U18" s="372">
        <f>+'Exhibit No.__(BDJ-MYRP)'!S84/1000</f>
        <v>140.00677199999998</v>
      </c>
      <c r="W18" s="104">
        <f>+'Exhibit No.__(BDJ-MYRP)'!U77/1000</f>
        <v>14768.999999999998</v>
      </c>
      <c r="X18" s="372">
        <f>+'Exhibit No.__(BDJ-MYRP)'!V84/1000</f>
        <v>1286.3750900971052</v>
      </c>
      <c r="Y18" s="372">
        <f>+'Exhibit No.__(BDJ-MYRP)'!W84/1000</f>
        <v>1278.7849550632397</v>
      </c>
      <c r="Z18" s="372">
        <f>+'Exhibit No.__(BDJ-MYRP)'!X84/1000</f>
        <v>51.159815999999992</v>
      </c>
      <c r="AA18" s="372">
        <f>+'Exhibit No.__(BDJ-MYRP)'!Y84/1000</f>
        <v>212.65883099999996</v>
      </c>
    </row>
    <row r="19" spans="1:27" x14ac:dyDescent="0.25">
      <c r="A19" s="392">
        <f t="shared" si="0"/>
        <v>7</v>
      </c>
      <c r="B19" s="392" t="s">
        <v>59</v>
      </c>
      <c r="C19" s="196" t="s">
        <v>111</v>
      </c>
      <c r="D19" s="104">
        <f>+'Exhibit No.__(BDJ-Prof-Prop)'!I28</f>
        <v>1307770.0591754341</v>
      </c>
      <c r="E19" s="372">
        <f>+'Exhibit No.__(BDJ-Prof-Prop)'!L28</f>
        <v>110792.823</v>
      </c>
      <c r="F19" s="372">
        <f>+'Exhibit No.__(BDJ-Prof-Prop)'!N28</f>
        <v>110140.295</v>
      </c>
      <c r="H19" s="104">
        <f>+'Exhibit No.__(BDJ-MYRP)'!F91/1000</f>
        <v>1318295</v>
      </c>
      <c r="I19" s="372">
        <f>+'Exhibit No.__(BDJ-MYRP)'!G98/1000</f>
        <v>111231.07828616758</v>
      </c>
      <c r="K19" s="104">
        <f>+'Exhibit No.__(BDJ-MYRP)'!I91/1000</f>
        <v>1332008</v>
      </c>
      <c r="L19" s="372">
        <f>+'Exhibit No.__(BDJ-MYRP)'!J98/1000</f>
        <v>111930.52055578442</v>
      </c>
      <c r="M19" s="372">
        <f>+'Exhibit No.__(BDJ-MYRP)'!K98/1000</f>
        <v>111273.84061178441</v>
      </c>
      <c r="N19" s="372">
        <f>+'Exhibit No.__(BDJ-MYRP)'!L98/1000</f>
        <v>12020.040192000002</v>
      </c>
      <c r="O19" s="372">
        <f>+'Exhibit No.__(BDJ-MYRP)'!M98/1000</f>
        <v>5110.9146960000007</v>
      </c>
      <c r="Q19" s="104">
        <f>+'Exhibit No.__(BDJ-MYRP)'!O91/1000</f>
        <v>1335448</v>
      </c>
      <c r="R19" s="372">
        <f>+'Exhibit No.__(BDJ-MYRP)'!P98/1000</f>
        <v>111955.00577360329</v>
      </c>
      <c r="S19" s="372">
        <f>+'Exhibit No.__(BDJ-MYRP)'!Q98/1000</f>
        <v>111296.62990960329</v>
      </c>
      <c r="T19" s="372">
        <f>+'Exhibit No.__(BDJ-MYRP)'!R98/1000</f>
        <v>9246.6419519999999</v>
      </c>
      <c r="U19" s="372">
        <f>+'Exhibit No.__(BDJ-MYRP)'!S98/1000</f>
        <v>11028.129583999998</v>
      </c>
      <c r="W19" s="104">
        <f>+'Exhibit No.__(BDJ-MYRP)'!U91/1000</f>
        <v>1324706</v>
      </c>
      <c r="X19" s="372">
        <f>+'Exhibit No.__(BDJ-MYRP)'!V98/1000</f>
        <v>111071.82260620991</v>
      </c>
      <c r="Y19" s="372">
        <f>+'Exhibit No.__(BDJ-MYRP)'!W98/1000</f>
        <v>110418.74254820991</v>
      </c>
      <c r="Z19" s="372">
        <f>+'Exhibit No.__(BDJ-MYRP)'!X98/1000</f>
        <v>4029.7556519999998</v>
      </c>
      <c r="AA19" s="372">
        <f>+'Exhibit No.__(BDJ-MYRP)'!Y98/1000</f>
        <v>16750.907370000001</v>
      </c>
    </row>
    <row r="20" spans="1:27" x14ac:dyDescent="0.25">
      <c r="A20" s="392">
        <f t="shared" si="0"/>
        <v>8</v>
      </c>
      <c r="B20" s="392">
        <v>35</v>
      </c>
      <c r="C20" s="204" t="s">
        <v>396</v>
      </c>
      <c r="D20" s="104">
        <f>+'Exhibit No.__(BDJ-Prof-Prop)'!I29</f>
        <v>4387.6440000000002</v>
      </c>
      <c r="E20" s="372">
        <f>+'Exhibit No.__(BDJ-Prof-Prop)'!L29</f>
        <v>275.553</v>
      </c>
      <c r="F20" s="372">
        <f>+'Exhibit No.__(BDJ-Prof-Prop)'!N29</f>
        <v>275.553</v>
      </c>
      <c r="H20" s="104">
        <f>+'Exhibit No.__(BDJ-MYRP)'!F104/1000</f>
        <v>4565</v>
      </c>
      <c r="I20" s="372">
        <f>+'Exhibit No.__(BDJ-MYRP)'!G111/1000</f>
        <v>284.71735035620856</v>
      </c>
      <c r="K20" s="104">
        <f>+'Exhibit No.__(BDJ-MYRP)'!I104/1000</f>
        <v>4663</v>
      </c>
      <c r="L20" s="372">
        <f>+'Exhibit No.__(BDJ-MYRP)'!J111/1000</f>
        <v>291.0139698738783</v>
      </c>
      <c r="M20" s="372">
        <f>+'Exhibit No.__(BDJ-MYRP)'!K111/1000</f>
        <v>291.0139698738783</v>
      </c>
      <c r="N20" s="372">
        <f>+'Exhibit No.__(BDJ-MYRP)'!L111/1000</f>
        <v>58.781777999999996</v>
      </c>
      <c r="O20" s="372">
        <f>+'Exhibit No.__(BDJ-MYRP)'!M111/1000</f>
        <v>24.993680000000001</v>
      </c>
      <c r="Q20" s="104">
        <f>+'Exhibit No.__(BDJ-MYRP)'!O104/1000</f>
        <v>4695</v>
      </c>
      <c r="R20" s="372">
        <f>+'Exhibit No.__(BDJ-MYRP)'!P111/1000</f>
        <v>293.08723693641753</v>
      </c>
      <c r="S20" s="372">
        <f>+'Exhibit No.__(BDJ-MYRP)'!Q111/1000</f>
        <v>293.08723693641753</v>
      </c>
      <c r="T20" s="372">
        <f>+'Exhibit No.__(BDJ-MYRP)'!R111/1000</f>
        <v>45.212849999999996</v>
      </c>
      <c r="U20" s="372">
        <f>+'Exhibit No.__(BDJ-MYRP)'!S111/1000</f>
        <v>53.926769999999998</v>
      </c>
      <c r="W20" s="104">
        <f>+'Exhibit No.__(BDJ-MYRP)'!U104/1000</f>
        <v>4694</v>
      </c>
      <c r="X20" s="372">
        <f>+'Exhibit No.__(BDJ-MYRP)'!V111/1000</f>
        <v>293.05473713085001</v>
      </c>
      <c r="Y20" s="372">
        <f>+'Exhibit No.__(BDJ-MYRP)'!W111/1000</f>
        <v>293.05473713085001</v>
      </c>
      <c r="Z20" s="372">
        <f>+'Exhibit No.__(BDJ-MYRP)'!X111/1000</f>
        <v>19.705411999999999</v>
      </c>
      <c r="AA20" s="372">
        <f>+'Exhibit No.__(BDJ-MYRP)'!Y111/1000</f>
        <v>81.910300000000007</v>
      </c>
    </row>
    <row r="21" spans="1:27" x14ac:dyDescent="0.25">
      <c r="A21" s="392">
        <f t="shared" si="0"/>
        <v>9</v>
      </c>
      <c r="B21" s="392">
        <v>43</v>
      </c>
      <c r="C21" s="204" t="s">
        <v>397</v>
      </c>
      <c r="D21" s="104">
        <f>+'Exhibit No.__(BDJ-Prof-Prop)'!I30</f>
        <v>114099.11728442684</v>
      </c>
      <c r="E21" s="372">
        <f>+'Exhibit No.__(BDJ-Prof-Prop)'!L30</f>
        <v>10372.369000000001</v>
      </c>
      <c r="F21" s="372">
        <f>+'Exhibit No.__(BDJ-Prof-Prop)'!N30</f>
        <v>10296.007</v>
      </c>
      <c r="H21" s="104">
        <f>+'Exhibit No.__(BDJ-MYRP)'!F117/1000</f>
        <v>114881</v>
      </c>
      <c r="I21" s="372">
        <f>+'Exhibit No.__(BDJ-MYRP)'!G122/1000</f>
        <v>10479.792856313396</v>
      </c>
      <c r="K21" s="104">
        <f>+'Exhibit No.__(BDJ-MYRP)'!I117/1000</f>
        <v>118190</v>
      </c>
      <c r="L21" s="372">
        <f>+'Exhibit No.__(BDJ-MYRP)'!J122/1000</f>
        <v>10804.279326430144</v>
      </c>
      <c r="M21" s="372">
        <f>+'Exhibit No.__(BDJ-MYRP)'!K122/1000</f>
        <v>10726.273926430142</v>
      </c>
      <c r="N21" s="372">
        <f>+'Exhibit No.__(BDJ-MYRP)'!L122/1000</f>
        <v>1021.6343600000001</v>
      </c>
      <c r="O21" s="372">
        <f>+'Exhibit No.__(BDJ-MYRP)'!M122/1000</f>
        <v>434.34825000000001</v>
      </c>
      <c r="Q21" s="104">
        <f>+'Exhibit No.__(BDJ-MYRP)'!O117/1000</f>
        <v>119782</v>
      </c>
      <c r="R21" s="372">
        <f>+'Exhibit No.__(BDJ-MYRP)'!P122/1000</f>
        <v>10945.443856303611</v>
      </c>
      <c r="S21" s="372">
        <f>+'Exhibit No.__(BDJ-MYRP)'!Q122/1000</f>
        <v>10866.38773630361</v>
      </c>
      <c r="T21" s="372">
        <f>+'Exhibit No.__(BDJ-MYRP)'!R122/1000</f>
        <v>785.76991999999996</v>
      </c>
      <c r="U21" s="372">
        <f>+'Exhibit No.__(BDJ-MYRP)'!S122/1000</f>
        <v>937.17436799999984</v>
      </c>
      <c r="W21" s="104">
        <f>+'Exhibit No.__(BDJ-MYRP)'!U117/1000</f>
        <v>119354</v>
      </c>
      <c r="X21" s="372">
        <f>+'Exhibit No.__(BDJ-MYRP)'!V122/1000</f>
        <v>10933.950997114642</v>
      </c>
      <c r="Y21" s="372">
        <f>+'Exhibit No.__(BDJ-MYRP)'!W122/1000</f>
        <v>10855.17735711464</v>
      </c>
      <c r="Z21" s="372">
        <f>+'Exhibit No.__(BDJ-MYRP)'!X122/1000</f>
        <v>342.54598000000004</v>
      </c>
      <c r="AA21" s="372">
        <f>+'Exhibit No.__(BDJ-MYRP)'!Y122/1000</f>
        <v>1423.5351580000001</v>
      </c>
    </row>
    <row r="22" spans="1:27" x14ac:dyDescent="0.25">
      <c r="A22" s="392">
        <f t="shared" si="0"/>
        <v>10</v>
      </c>
      <c r="B22" s="392">
        <v>46</v>
      </c>
      <c r="C22" s="196" t="s">
        <v>51</v>
      </c>
      <c r="D22" s="104">
        <f>+'Exhibit No.__(BDJ-Prof-Prop)'!I34</f>
        <v>100810.05100000001</v>
      </c>
      <c r="E22" s="372">
        <f>+'Exhibit No.__(BDJ-Prof-Prop)'!L34</f>
        <v>6647.8249999999998</v>
      </c>
      <c r="F22" s="372">
        <f>+'Exhibit No.__(BDJ-Prof-Prop)'!N34</f>
        <v>6587.0569999999998</v>
      </c>
      <c r="H22" s="104">
        <f>+'Exhibit No.__(BDJ-MYRP)'!F128/1000</f>
        <v>78958</v>
      </c>
      <c r="I22" s="372">
        <f>+'Exhibit No.__(BDJ-MYRP)'!G131/1000</f>
        <v>5173.2441687412293</v>
      </c>
      <c r="K22" s="104">
        <f>+'Exhibit No.__(BDJ-MYRP)'!I128/1000</f>
        <v>78251</v>
      </c>
      <c r="L22" s="372">
        <f>+'Exhibit No.__(BDJ-MYRP)'!J131/1000</f>
        <v>5123.03028267437</v>
      </c>
      <c r="M22" s="372">
        <f>+'Exhibit No.__(BDJ-MYRP)'!K131/1000</f>
        <v>5076.9404436743707</v>
      </c>
      <c r="N22" s="372">
        <f>+'Exhibit No.__(BDJ-MYRP)'!L131/1000</f>
        <v>383.89940599999994</v>
      </c>
      <c r="O22" s="372">
        <f>+'Exhibit No.__(BDJ-MYRP)'!M131/1000</f>
        <v>163.23158600000002</v>
      </c>
      <c r="Q22" s="104">
        <f>+'Exhibit No.__(BDJ-MYRP)'!O128/1000</f>
        <v>77611</v>
      </c>
      <c r="R22" s="372">
        <f>+'Exhibit No.__(BDJ-MYRP)'!P131/1000</f>
        <v>5077.8890150706075</v>
      </c>
      <c r="S22" s="372">
        <f>+'Exhibit No.__(BDJ-MYRP)'!Q131/1000</f>
        <v>5032.1761360706068</v>
      </c>
      <c r="T22" s="372">
        <f>+'Exhibit No.__(BDJ-MYRP)'!R131/1000</f>
        <v>295.69790999999998</v>
      </c>
      <c r="U22" s="372">
        <f>+'Exhibit No.__(BDJ-MYRP)'!S131/1000</f>
        <v>352.74199500000003</v>
      </c>
      <c r="W22" s="104">
        <f>+'Exhibit No.__(BDJ-MYRP)'!U128/1000</f>
        <v>76484</v>
      </c>
      <c r="X22" s="372">
        <f>+'Exhibit No.__(BDJ-MYRP)'!V131/1000</f>
        <v>5005.7380191791754</v>
      </c>
      <c r="Y22" s="372">
        <f>+'Exhibit No.__(BDJ-MYRP)'!W131/1000</f>
        <v>4960.688943179176</v>
      </c>
      <c r="Z22" s="372">
        <f>+'Exhibit No.__(BDJ-MYRP)'!X131/1000</f>
        <v>129.64037999999999</v>
      </c>
      <c r="AA22" s="372">
        <f>+'Exhibit No.__(BDJ-MYRP)'!Y131/1000</f>
        <v>538.98274800000002</v>
      </c>
    </row>
    <row r="23" spans="1:27" x14ac:dyDescent="0.25">
      <c r="A23" s="392">
        <f t="shared" ref="A23:A36" si="1">+A22+1</f>
        <v>11</v>
      </c>
      <c r="B23" s="392">
        <v>49</v>
      </c>
      <c r="C23" s="204" t="s">
        <v>52</v>
      </c>
      <c r="D23" s="104">
        <f>+'Exhibit No.__(BDJ-Prof-Prop)'!I35</f>
        <v>513293.73700000002</v>
      </c>
      <c r="E23" s="372">
        <f>+'Exhibit No.__(BDJ-Prof-Prop)'!L35</f>
        <v>34295.991999999998</v>
      </c>
      <c r="F23" s="372">
        <f>+'Exhibit No.__(BDJ-Prof-Prop)'!N35</f>
        <v>33995.182999999997</v>
      </c>
      <c r="H23" s="104">
        <f>+'Exhibit No.__(BDJ-MYRP)'!F136/1000</f>
        <v>504163</v>
      </c>
      <c r="I23" s="372">
        <f>+'Exhibit No.__(BDJ-MYRP)'!G139/1000</f>
        <v>33492.823715392282</v>
      </c>
      <c r="K23" s="104">
        <f>+'Exhibit No.__(BDJ-MYRP)'!I136/1000</f>
        <v>504715</v>
      </c>
      <c r="L23" s="372">
        <f>+'Exhibit No.__(BDJ-MYRP)'!J139/1000</f>
        <v>33455.047725176562</v>
      </c>
      <c r="M23" s="372">
        <f>+'Exhibit No.__(BDJ-MYRP)'!K139/1000</f>
        <v>33157.770590176566</v>
      </c>
      <c r="N23" s="372">
        <f>+'Exhibit No.__(BDJ-MYRP)'!L139/1000</f>
        <v>2476.1317899999999</v>
      </c>
      <c r="O23" s="372">
        <f>+'Exhibit No.__(BDJ-MYRP)'!M139/1000</f>
        <v>1052.8354899999999</v>
      </c>
      <c r="Q23" s="104">
        <f>+'Exhibit No.__(BDJ-MYRP)'!O136/1000</f>
        <v>499683</v>
      </c>
      <c r="R23" s="372">
        <f>+'Exhibit No.__(BDJ-MYRP)'!P139/1000</f>
        <v>33140.323570939225</v>
      </c>
      <c r="S23" s="372">
        <f>+'Exhibit No.__(BDJ-MYRP)'!Q139/1000</f>
        <v>32846.010283939228</v>
      </c>
      <c r="T23" s="372">
        <f>+'Exhibit No.__(BDJ-MYRP)'!R139/1000</f>
        <v>1903.79223</v>
      </c>
      <c r="U23" s="372">
        <f>+'Exhibit No.__(BDJ-MYRP)'!S139/1000</f>
        <v>2271.0592350000002</v>
      </c>
      <c r="W23" s="104">
        <f>+'Exhibit No.__(BDJ-MYRP)'!U136/1000</f>
        <v>489052</v>
      </c>
      <c r="X23" s="372">
        <f>+'Exhibit No.__(BDJ-MYRP)'!V139/1000</f>
        <v>32515.653966119506</v>
      </c>
      <c r="Y23" s="372">
        <f>+'Exhibit No.__(BDJ-MYRP)'!W139/1000</f>
        <v>32227.602338119505</v>
      </c>
      <c r="Z23" s="372">
        <f>+'Exhibit No.__(BDJ-MYRP)'!X139/1000</f>
        <v>828.94313999999986</v>
      </c>
      <c r="AA23" s="372">
        <f>+'Exhibit No.__(BDJ-MYRP)'!Y139/1000</f>
        <v>3446.3494439999999</v>
      </c>
    </row>
    <row r="24" spans="1:27" x14ac:dyDescent="0.25">
      <c r="A24" s="392">
        <f t="shared" si="1"/>
        <v>12</v>
      </c>
      <c r="B24" s="392" t="s">
        <v>391</v>
      </c>
      <c r="C24" s="204" t="s">
        <v>398</v>
      </c>
      <c r="D24" s="104">
        <f>+'Exhibit No.__(BDJ-Prof-Prop)'!I43</f>
        <v>69892.887000000002</v>
      </c>
      <c r="E24" s="372">
        <f>+'Exhibit No.__(BDJ-Prof-Prop)'!L43</f>
        <v>17783.762999999999</v>
      </c>
      <c r="F24" s="372">
        <f>+'Exhibit No.__(BDJ-Prof-Prop)'!N43</f>
        <v>17679.02327623442</v>
      </c>
      <c r="H24" s="104">
        <f>+'Exhibit No.__(BDJ-MYRP)'!F143/1000</f>
        <v>64560</v>
      </c>
      <c r="I24" s="372">
        <f>+'Exhibit No.__(BDJ-MYRP)'!G144/1000</f>
        <v>16426.846687274483</v>
      </c>
      <c r="K24" s="104">
        <f>+'Exhibit No.__(BDJ-MYRP)'!I143/1000</f>
        <v>62703</v>
      </c>
      <c r="L24" s="372">
        <f>+'Exhibit No.__(BDJ-MYRP)'!J144/1000</f>
        <v>15954.345846223234</v>
      </c>
      <c r="M24" s="372">
        <f>+'Exhibit No.__(BDJ-MYRP)'!K144/1000</f>
        <v>15860.380706404741</v>
      </c>
      <c r="N24" s="372">
        <f>+'Exhibit No.__(BDJ-MYRP)'!L144/1000</f>
        <v>2827.2155669999997</v>
      </c>
      <c r="O24" s="372">
        <f>+'Exhibit No.__(BDJ-MYRP)'!M144/1000</f>
        <v>1202.1419160000003</v>
      </c>
      <c r="Q24" s="104">
        <f>+'Exhibit No.__(BDJ-MYRP)'!O143/1000</f>
        <v>61382</v>
      </c>
      <c r="R24" s="372">
        <f>+'Exhibit No.__(BDJ-MYRP)'!P144/1000</f>
        <v>15618.226508027918</v>
      </c>
      <c r="S24" s="372">
        <f>+'Exhibit No.__(BDJ-MYRP)'!Q144/1000</f>
        <v>15526.240985607323</v>
      </c>
      <c r="T24" s="372">
        <f>+'Exhibit No.__(BDJ-MYRP)'!R144/1000</f>
        <v>2174.6414960000002</v>
      </c>
      <c r="U24" s="372">
        <f>+'Exhibit No.__(BDJ-MYRP)'!S144/1000</f>
        <v>2593.69641</v>
      </c>
      <c r="W24" s="104">
        <v>60001</v>
      </c>
      <c r="X24" s="372">
        <f>+'Exhibit No.__(BDJ-MYRP)'!V144/1000</f>
        <v>15266.840583692012</v>
      </c>
      <c r="Y24" s="372">
        <f>+'Exhibit No.__(BDJ-MYRP)'!W144/1000</f>
        <v>15176.924593161268</v>
      </c>
      <c r="Z24" s="372">
        <f>+'Exhibit No.__(BDJ-MYRP)'!X144/1000</f>
        <v>947.83579699999996</v>
      </c>
      <c r="AA24" s="372">
        <f>+'Exhibit No.__(BDJ-MYRP)'!Y144/1000</f>
        <v>3939.6656599999997</v>
      </c>
    </row>
    <row r="25" spans="1:27" x14ac:dyDescent="0.25">
      <c r="A25" s="392">
        <f t="shared" si="1"/>
        <v>13</v>
      </c>
      <c r="B25" s="392" t="s">
        <v>301</v>
      </c>
      <c r="C25" s="204" t="s">
        <v>399</v>
      </c>
      <c r="D25" s="104">
        <f>+'Exhibit No.__(BDJ-Prof-Prop)'!I39</f>
        <v>1945214.1669999999</v>
      </c>
      <c r="E25" s="372">
        <f>+'Exhibit No.__(BDJ-Prof-Prop)'!L39</f>
        <v>9528.5470000000005</v>
      </c>
      <c r="F25" s="372">
        <f>+'Exhibit No.__(BDJ-Prof-Prop)'!N39</f>
        <v>9487.9740000000002</v>
      </c>
      <c r="H25" s="104">
        <f>+'Exhibit No.__(BDJ-MYRP)'!F149/1000</f>
        <v>1900721</v>
      </c>
      <c r="I25" s="372">
        <f>+'Exhibit No.__(BDJ-MYRP)'!G151/1000</f>
        <v>9341.0110000000004</v>
      </c>
      <c r="K25" s="104">
        <f>+'Exhibit No.__(BDJ-MYRP)'!I149/1000</f>
        <v>1895530</v>
      </c>
      <c r="L25" s="372">
        <f>+'Exhibit No.__(BDJ-MYRP)'!J151/1000</f>
        <v>9340.98</v>
      </c>
      <c r="M25" s="372">
        <f>+'Exhibit No.__(BDJ-MYRP)'!K151/1000</f>
        <v>9300.4509999999991</v>
      </c>
      <c r="N25" s="372">
        <f>+'Exhibit No.__(BDJ-MYRP)'!L151/1000</f>
        <v>165.84</v>
      </c>
      <c r="O25" s="372">
        <f>+'Exhibit No.__(BDJ-MYRP)'!M151/1000</f>
        <v>70.56</v>
      </c>
      <c r="Q25" s="104">
        <f>+'Exhibit No.__(BDJ-MYRP)'!O149/1000</f>
        <v>1895104</v>
      </c>
      <c r="R25" s="372">
        <f>+'Exhibit No.__(BDJ-MYRP)'!P151/1000</f>
        <v>9340.98</v>
      </c>
      <c r="S25" s="372">
        <f>+'Exhibit No.__(BDJ-MYRP)'!Q151/1000</f>
        <v>9300.4509999999991</v>
      </c>
      <c r="T25" s="372">
        <f>+'Exhibit No.__(BDJ-MYRP)'!R151/1000</f>
        <v>127.68</v>
      </c>
      <c r="U25" s="372">
        <f>+'Exhibit No.__(BDJ-MYRP)'!S151/1000</f>
        <v>152.16</v>
      </c>
      <c r="W25" s="104">
        <f>+'Exhibit No.__(BDJ-MYRP)'!U149/1000</f>
        <v>1883722</v>
      </c>
      <c r="X25" s="372">
        <f>+'Exhibit No.__(BDJ-MYRP)'!V151/1000</f>
        <v>9340.98</v>
      </c>
      <c r="Y25" s="372">
        <f>+'Exhibit No.__(BDJ-MYRP)'!W151/1000</f>
        <v>9300.4509999999991</v>
      </c>
      <c r="Z25" s="372">
        <f>+'Exhibit No.__(BDJ-MYRP)'!X151/1000</f>
        <v>55.68</v>
      </c>
      <c r="AA25" s="372">
        <f>+'Exhibit No.__(BDJ-MYRP)'!Y151/1000</f>
        <v>231.12</v>
      </c>
    </row>
    <row r="26" spans="1:27" x14ac:dyDescent="0.25">
      <c r="A26" s="392">
        <f t="shared" si="1"/>
        <v>14</v>
      </c>
      <c r="B26" s="392" t="s">
        <v>300</v>
      </c>
      <c r="C26" s="204" t="s">
        <v>307</v>
      </c>
      <c r="D26" s="104">
        <f>+'Exhibit No.__(BDJ-Prof-Prop)'!I40</f>
        <v>278070.311162</v>
      </c>
      <c r="E26" s="372">
        <f>+'Exhibit No.__(BDJ-Prof-Prop)'!L40</f>
        <v>3788.1259300000002</v>
      </c>
      <c r="F26" s="372">
        <f>+'Exhibit No.__(BDJ-Prof-Prop)'!N40</f>
        <v>3100.2612300000001</v>
      </c>
      <c r="H26" s="104">
        <f>+'Exhibit No.__(BDJ-MYRP)'!F156/1000</f>
        <v>289426</v>
      </c>
      <c r="I26" s="372">
        <f>+'Exhibit No.__(BDJ-MYRP)'!G158/1000</f>
        <v>4500.3731384850562</v>
      </c>
      <c r="K26" s="104">
        <f>+'Exhibit No.__(BDJ-MYRP)'!I156/1000</f>
        <v>289426</v>
      </c>
      <c r="L26" s="372">
        <f>+'Exhibit No.__(BDJ-MYRP)'!J158/1000</f>
        <v>4500.3731384850562</v>
      </c>
      <c r="M26" s="372">
        <f>+'Exhibit No.__(BDJ-MYRP)'!K158/1000</f>
        <v>3652.1865759924035</v>
      </c>
      <c r="N26" s="372">
        <f>+'Exhibit No.__(BDJ-MYRP)'!L158/1000</f>
        <v>692.59641800000009</v>
      </c>
      <c r="O26" s="372">
        <f>+'Exhibit No.__(BDJ-MYRP)'!M158/1000</f>
        <v>294.63566800000001</v>
      </c>
      <c r="Q26" s="104">
        <f>+'Exhibit No.__(BDJ-MYRP)'!O156/1000</f>
        <v>289426</v>
      </c>
      <c r="R26" s="372">
        <f>+'Exhibit No.__(BDJ-MYRP)'!P158/1000</f>
        <v>4485.6760023360812</v>
      </c>
      <c r="S26" s="372">
        <f>+'Exhibit No.__(BDJ-MYRP)'!Q158/1000</f>
        <v>3641.0150859514597</v>
      </c>
      <c r="T26" s="372">
        <f>+'Exhibit No.__(BDJ-MYRP)'!R158/1000</f>
        <v>532.83326599999998</v>
      </c>
      <c r="U26" s="372">
        <f>+'Exhibit No.__(BDJ-MYRP)'!S158/1000</f>
        <v>635.57949600000006</v>
      </c>
      <c r="W26" s="104">
        <f>+'Exhibit No.__(BDJ-MYRP)'!U156/1000</f>
        <v>289426</v>
      </c>
      <c r="X26" s="372">
        <f>+'Exhibit No.__(BDJ-MYRP)'!V158/1000</f>
        <v>4500.3731384850562</v>
      </c>
      <c r="Y26" s="372">
        <f>+'Exhibit No.__(BDJ-MYRP)'!W158/1000</f>
        <v>3652.1865759924035</v>
      </c>
      <c r="Z26" s="372">
        <f>+'Exhibit No.__(BDJ-MYRP)'!X158/1000</f>
        <v>232.119652</v>
      </c>
      <c r="AA26" s="372">
        <f>+'Exhibit No.__(BDJ-MYRP)'!Y158/1000</f>
        <v>965.23570999999993</v>
      </c>
    </row>
    <row r="27" spans="1:27" x14ac:dyDescent="0.25">
      <c r="A27" s="392">
        <f t="shared" si="1"/>
        <v>15</v>
      </c>
      <c r="B27" s="392">
        <v>5</v>
      </c>
      <c r="C27" s="204" t="s">
        <v>179</v>
      </c>
      <c r="D27" s="104">
        <f>+'Exhibit No.__(BDJ-Prof-Prop)'!I47</f>
        <v>7372.3372879022108</v>
      </c>
      <c r="E27" s="372">
        <f>+'Exhibit No.__(BDJ-Prof-Prop)'!L47</f>
        <v>345.54538000000002</v>
      </c>
      <c r="F27" s="372">
        <f>+'Exhibit No.__(BDJ-Prof-Prop)'!N47</f>
        <v>576.62063999999998</v>
      </c>
      <c r="H27" s="104">
        <f>+'Exhibit No.__(BDJ-MYRP)'!F162/1000</f>
        <v>7520</v>
      </c>
      <c r="I27" s="372">
        <f>+'Exhibit No.__(BDJ-MYRP)'!G166/1000</f>
        <v>343.45950053919768</v>
      </c>
      <c r="K27" s="104">
        <f>+'Exhibit No.__(BDJ-MYRP)'!I162/1000</f>
        <v>7521</v>
      </c>
      <c r="L27" s="372">
        <f>+'Exhibit No.__(BDJ-MYRP)'!J166/1000</f>
        <v>343.26370234227704</v>
      </c>
      <c r="M27" s="372">
        <f>+'Exhibit No.__(BDJ-MYRP)'!K166/1000</f>
        <v>574.33896234227689</v>
      </c>
      <c r="N27" s="372">
        <f>+'Exhibit No.__(BDJ-MYRP)'!L166/1000</f>
        <v>62.055771</v>
      </c>
      <c r="O27" s="372">
        <f>+'Exhibit No.__(BDJ-MYRP)'!M166/1000</f>
        <v>26.391188999999997</v>
      </c>
      <c r="Q27" s="104">
        <f>+'Exhibit No.__(BDJ-MYRP)'!O162/1000</f>
        <v>7552</v>
      </c>
      <c r="R27" s="372">
        <f>+'Exhibit No.__(BDJ-MYRP)'!P166/1000</f>
        <v>344.3061619176637</v>
      </c>
      <c r="S27" s="372">
        <f>+'Exhibit No.__(BDJ-MYRP)'!Q166/1000</f>
        <v>575.3814219176636</v>
      </c>
      <c r="T27" s="372">
        <f>+'Exhibit No.__(BDJ-MYRP)'!R166/1000</f>
        <v>47.736192000000003</v>
      </c>
      <c r="U27" s="372">
        <f>+'Exhibit No.__(BDJ-MYRP)'!S166/1000</f>
        <v>56.934528</v>
      </c>
      <c r="W27" s="104">
        <f>+'Exhibit No.__(BDJ-MYRP)'!U162/1000</f>
        <v>7521</v>
      </c>
      <c r="X27" s="372">
        <f>+'Exhibit No.__(BDJ-MYRP)'!V166/1000</f>
        <v>343.26368462930077</v>
      </c>
      <c r="Y27" s="372">
        <f>+'Exhibit No.__(BDJ-MYRP)'!W166/1000</f>
        <v>574.33894462930073</v>
      </c>
      <c r="Z27" s="372">
        <f>+'Exhibit No.__(BDJ-MYRP)'!X166/1000</f>
        <v>20.803086</v>
      </c>
      <c r="AA27" s="372">
        <f>+'Exhibit No.__(BDJ-MYRP)'!Y166/1000</f>
        <v>86.476457999999994</v>
      </c>
    </row>
    <row r="28" spans="1:27" x14ac:dyDescent="0.25">
      <c r="A28" s="392">
        <f t="shared" si="1"/>
        <v>16</v>
      </c>
      <c r="D28" s="104"/>
      <c r="E28" s="372"/>
      <c r="F28" s="372"/>
      <c r="H28" s="104"/>
      <c r="I28" s="372"/>
      <c r="K28" s="104"/>
      <c r="L28" s="372"/>
      <c r="M28" s="372"/>
      <c r="N28" s="372"/>
      <c r="O28" s="372"/>
      <c r="Q28" s="104"/>
    </row>
    <row r="29" spans="1:27" ht="16.5" thickBot="1" x14ac:dyDescent="0.3">
      <c r="A29" s="392">
        <f t="shared" si="1"/>
        <v>17</v>
      </c>
      <c r="C29" s="196" t="s">
        <v>27</v>
      </c>
      <c r="D29" s="424">
        <f>SUM(D14:D28)</f>
        <v>22988348.593883667</v>
      </c>
      <c r="E29" s="417">
        <f>SUM(E14:E28)</f>
        <v>2115329.2403100003</v>
      </c>
      <c r="F29" s="417">
        <f>SUM(F14:F28)</f>
        <v>2102319.7601462342</v>
      </c>
      <c r="H29" s="424">
        <f>SUM(H14:H28)</f>
        <v>22409416</v>
      </c>
      <c r="I29" s="417">
        <f t="shared" ref="I29" si="2">SUM(I14:I28)</f>
        <v>2060167.4277589999</v>
      </c>
      <c r="K29" s="424">
        <f>SUM(K14:K28)</f>
        <v>22594778</v>
      </c>
      <c r="L29" s="417">
        <f t="shared" ref="L29:M29" si="3">SUM(L14:L28)</f>
        <v>2077495.373085629</v>
      </c>
      <c r="M29" s="417">
        <f t="shared" si="3"/>
        <v>2065389.9722955704</v>
      </c>
      <c r="N29" s="417">
        <f t="shared" ref="N29:O29" si="4">SUM(N14:N28)</f>
        <v>240049.12510000003</v>
      </c>
      <c r="O29" s="417">
        <f t="shared" si="4"/>
        <v>102075.578545</v>
      </c>
      <c r="Q29" s="424">
        <f>SUM(Q14:Q28)</f>
        <v>22791140</v>
      </c>
      <c r="R29" s="417">
        <f t="shared" ref="R29:U29" si="5">SUM(R14:R28)</f>
        <v>2097238.6358312168</v>
      </c>
      <c r="S29" s="417">
        <f t="shared" si="5"/>
        <v>2085058.2683006551</v>
      </c>
      <c r="T29" s="417">
        <f t="shared" si="5"/>
        <v>184642.95164999997</v>
      </c>
      <c r="U29" s="417">
        <f t="shared" si="5"/>
        <v>220216.69322300001</v>
      </c>
      <c r="W29" s="424">
        <f>SUM(W14:W28)</f>
        <v>22805019</v>
      </c>
      <c r="X29" s="417">
        <f t="shared" ref="X29:AA29" si="6">SUM(X14:X28)</f>
        <v>2101898.1814608821</v>
      </c>
      <c r="Y29" s="417">
        <f t="shared" si="6"/>
        <v>2089784.5110499586</v>
      </c>
      <c r="Z29" s="417">
        <f t="shared" si="6"/>
        <v>80471.718008999975</v>
      </c>
      <c r="AA29" s="417">
        <f t="shared" si="6"/>
        <v>334505.12268500001</v>
      </c>
    </row>
    <row r="30" spans="1:27" ht="16.5" thickTop="1" x14ac:dyDescent="0.25">
      <c r="A30" s="392">
        <f t="shared" si="1"/>
        <v>18</v>
      </c>
      <c r="C30" s="196" t="s">
        <v>249</v>
      </c>
      <c r="D30" s="104">
        <f>+'Exhibit No.__(BDJ-Rate Spread)'!D32-D29</f>
        <v>0</v>
      </c>
      <c r="F30" s="372">
        <f>+F29-E29</f>
        <v>-13009.480163766071</v>
      </c>
      <c r="H30" s="104">
        <f>+'Exhibit No.__(BDJ-MYRP)'!F169/1000-H29</f>
        <v>0</v>
      </c>
      <c r="I30" s="372">
        <f>+'Exhibit No.__(BDJ-MYRP)'!G169/1000</f>
        <v>2060167.4277590003</v>
      </c>
      <c r="K30" s="104">
        <f>+'Exhibit No.__(BDJ-MYRP)'!I169/1000-K29</f>
        <v>0</v>
      </c>
      <c r="L30" s="372">
        <f>+'Exhibit No.__(BDJ-MYRP)'!J169/1000</f>
        <v>2077495.373085629</v>
      </c>
      <c r="M30" s="372">
        <f>+'Exhibit No.__(BDJ-MYRP)'!K169/1000</f>
        <v>2065389.9722955704</v>
      </c>
      <c r="N30" s="372">
        <f>+'Exhibit No.__(BDJ-MYRP)'!L169/1000</f>
        <v>240049.1251</v>
      </c>
      <c r="O30" s="372">
        <f>+'Exhibit No.__(BDJ-MYRP)'!M169/1000</f>
        <v>102075.57854500001</v>
      </c>
      <c r="Q30" s="104">
        <f>+'Exhibit No.__(BDJ-MYRP)'!O169/1000-Q29</f>
        <v>0</v>
      </c>
      <c r="R30" s="372">
        <f>+'Exhibit No.__(BDJ-MYRP)'!P169/1000</f>
        <v>2097238.6358312173</v>
      </c>
      <c r="S30" s="372">
        <f>+'Exhibit No.__(BDJ-MYRP)'!Q169/1000</f>
        <v>2085058.2683006553</v>
      </c>
      <c r="T30" s="372">
        <f>+'Exhibit No.__(BDJ-MYRP)'!R169/1000</f>
        <v>184642.95164999997</v>
      </c>
      <c r="U30" s="372">
        <f>+'Exhibit No.__(BDJ-MYRP)'!S169/1000</f>
        <v>220216.69322299998</v>
      </c>
      <c r="W30" s="104">
        <f>+'Exhibit No.__(BDJ-MYRP)'!U169/1000-W29</f>
        <v>0</v>
      </c>
      <c r="X30" s="372">
        <f>+'Exhibit No.__(BDJ-MYRP)'!V169/1000</f>
        <v>2101898.1814608821</v>
      </c>
      <c r="Y30" s="372">
        <f>+'Exhibit No.__(BDJ-MYRP)'!W169/1000</f>
        <v>2089784.5110499586</v>
      </c>
      <c r="Z30" s="372">
        <f>+'Exhibit No.__(BDJ-MYRP)'!X169/1000</f>
        <v>80471.718009000004</v>
      </c>
      <c r="AA30" s="372">
        <f>+'Exhibit No.__(BDJ-MYRP)'!Y169/1000</f>
        <v>334505.12268500001</v>
      </c>
    </row>
    <row r="31" spans="1:27" x14ac:dyDescent="0.25">
      <c r="A31" s="392">
        <f t="shared" si="1"/>
        <v>19</v>
      </c>
      <c r="M31" s="372">
        <f>+M30-L30</f>
        <v>-12105.400790058542</v>
      </c>
      <c r="S31" s="372">
        <f>+S30-R30</f>
        <v>-12180.367530561984</v>
      </c>
      <c r="T31" s="372"/>
      <c r="U31" s="372"/>
      <c r="Y31" s="372">
        <f>+Y30-X30</f>
        <v>-12113.670410923427</v>
      </c>
    </row>
    <row r="32" spans="1:27" x14ac:dyDescent="0.25">
      <c r="A32" s="392">
        <f t="shared" si="1"/>
        <v>20</v>
      </c>
      <c r="C32" s="395" t="s">
        <v>455</v>
      </c>
      <c r="M32" s="372">
        <v>-13009.617433021203</v>
      </c>
      <c r="N32" s="372">
        <v>240950.97517390223</v>
      </c>
      <c r="O32" s="372">
        <v>102072.04351804593</v>
      </c>
      <c r="S32" s="372">
        <f>+M32</f>
        <v>-13009.617433021203</v>
      </c>
      <c r="T32" s="372">
        <v>185470.32337789179</v>
      </c>
      <c r="U32" s="372">
        <v>220218.85305641725</v>
      </c>
      <c r="Y32" s="372">
        <f>+S32</f>
        <v>-13009.617433021203</v>
      </c>
      <c r="Z32" s="372">
        <v>81371.4489268779</v>
      </c>
      <c r="AA32" s="372">
        <v>334503.46789084369</v>
      </c>
    </row>
    <row r="33" spans="1:27" x14ac:dyDescent="0.25">
      <c r="A33" s="392">
        <f t="shared" si="1"/>
        <v>21</v>
      </c>
      <c r="C33" s="68" t="s">
        <v>436</v>
      </c>
      <c r="M33" s="372">
        <f>+M31-M32</f>
        <v>904.21664296266135</v>
      </c>
      <c r="N33" s="372">
        <f>+N30-N32</f>
        <v>-901.85007390222745</v>
      </c>
      <c r="O33" s="372">
        <f>+O30-O32</f>
        <v>3.5350269540795125</v>
      </c>
      <c r="S33" s="372">
        <f>+S31-S32</f>
        <v>829.24990245921981</v>
      </c>
      <c r="T33" s="372">
        <f>+T30-T32</f>
        <v>-827.37172789181932</v>
      </c>
      <c r="U33" s="372">
        <f>+U30-U32</f>
        <v>-2.1598334172740579</v>
      </c>
      <c r="Y33" s="372">
        <f>+Y31-Y32</f>
        <v>895.94702209777643</v>
      </c>
      <c r="Z33" s="372">
        <f>+Z30-Z32</f>
        <v>-899.73091787789599</v>
      </c>
      <c r="AA33" s="372">
        <f>+AA30-AA32</f>
        <v>1.6547941563185304</v>
      </c>
    </row>
    <row r="34" spans="1:27" x14ac:dyDescent="0.25">
      <c r="A34" s="392">
        <f t="shared" si="1"/>
        <v>22</v>
      </c>
      <c r="C34" s="68" t="s">
        <v>437</v>
      </c>
      <c r="O34" s="372">
        <f>SUM(M29:O29)-L29</f>
        <v>330019.30285494146</v>
      </c>
      <c r="S34" s="372"/>
      <c r="T34" s="372"/>
      <c r="U34" s="372">
        <f>SUM(S29:U29)-R29</f>
        <v>392679.27734243823</v>
      </c>
      <c r="AA34" s="372">
        <f>SUM(Y29:AA29)-X29</f>
        <v>402863.17028307635</v>
      </c>
    </row>
    <row r="35" spans="1:27" x14ac:dyDescent="0.25">
      <c r="A35" s="392">
        <f t="shared" si="1"/>
        <v>23</v>
      </c>
      <c r="C35" s="395" t="s">
        <v>455</v>
      </c>
      <c r="O35" s="372">
        <v>330013.40125892701</v>
      </c>
      <c r="S35" s="372"/>
      <c r="T35" s="372"/>
      <c r="U35" s="372">
        <v>392679.55900128785</v>
      </c>
      <c r="AA35" s="372">
        <v>402865.29938470043</v>
      </c>
    </row>
    <row r="36" spans="1:27" x14ac:dyDescent="0.25">
      <c r="A36" s="392">
        <f t="shared" si="1"/>
        <v>24</v>
      </c>
      <c r="C36" s="68" t="s">
        <v>438</v>
      </c>
      <c r="O36" s="372">
        <f>+O35-O34</f>
        <v>-5.9015960144461133</v>
      </c>
      <c r="S36" s="372"/>
      <c r="T36" s="372"/>
      <c r="U36" s="372">
        <f>+U35-U34</f>
        <v>0.28165884962072596</v>
      </c>
      <c r="AA36" s="372">
        <f>+AA35-AA34</f>
        <v>2.1291016240720637</v>
      </c>
    </row>
  </sheetData>
  <mergeCells count="10">
    <mergeCell ref="Q10:U10"/>
    <mergeCell ref="W10:AA10"/>
    <mergeCell ref="K10:O10"/>
    <mergeCell ref="A2:AA2"/>
    <mergeCell ref="A3:AA3"/>
    <mergeCell ref="A4:AA4"/>
    <mergeCell ref="A5:AA5"/>
    <mergeCell ref="A6:AA6"/>
    <mergeCell ref="H10:I10"/>
    <mergeCell ref="D10:F10"/>
  </mergeCells>
  <pageMargins left="0.7" right="0.7" top="0.75" bottom="0.75" header="0.3" footer="0.3"/>
  <pageSetup scale="60" fitToWidth="0" orientation="landscape" r:id="rId1"/>
  <headerFooter>
    <oddFooter>&amp;L&amp;A</oddFooter>
  </headerFooter>
  <colBreaks count="1" manualBreakCount="1">
    <brk id="16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77"/>
  <sheetViews>
    <sheetView zoomScale="70" zoomScaleNormal="70" workbookViewId="0">
      <pane xSplit="5" ySplit="12" topLeftCell="H40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3.375" defaultRowHeight="15.75" x14ac:dyDescent="0.25"/>
  <cols>
    <col min="1" max="1" width="5.5" style="68" customWidth="1"/>
    <col min="2" max="2" width="12.375" style="392" bestFit="1" customWidth="1"/>
    <col min="3" max="3" width="41.75" style="68" bestFit="1" customWidth="1"/>
    <col min="4" max="4" width="19.875" style="68" bestFit="1" customWidth="1"/>
    <col min="5" max="5" width="16.125" style="68" bestFit="1" customWidth="1"/>
    <col min="6" max="7" width="20.375" style="68" bestFit="1" customWidth="1"/>
    <col min="8" max="8" width="1.875" style="68" customWidth="1"/>
    <col min="9" max="9" width="20.375" style="68" bestFit="1" customWidth="1"/>
    <col min="10" max="10" width="18.5" style="68" bestFit="1" customWidth="1"/>
    <col min="11" max="11" width="20.5" style="68" bestFit="1" customWidth="1"/>
    <col min="12" max="12" width="16.625" style="68" bestFit="1" customWidth="1"/>
    <col min="13" max="13" width="18" style="68" bestFit="1" customWidth="1"/>
    <col min="14" max="14" width="1.875" style="68" customWidth="1"/>
    <col min="15" max="15" width="20.375" style="68" bestFit="1" customWidth="1"/>
    <col min="16" max="16" width="18.5" style="68" bestFit="1" customWidth="1"/>
    <col min="17" max="17" width="20.5" style="68" bestFit="1" customWidth="1"/>
    <col min="18" max="18" width="16" style="68" bestFit="1" customWidth="1"/>
    <col min="19" max="19" width="18" style="68" bestFit="1" customWidth="1"/>
    <col min="20" max="20" width="1.875" style="68" customWidth="1"/>
    <col min="21" max="21" width="20.375" style="68" bestFit="1" customWidth="1"/>
    <col min="22" max="22" width="17.625" style="68" bestFit="1" customWidth="1"/>
    <col min="23" max="23" width="20.5" style="68" bestFit="1" customWidth="1"/>
    <col min="24" max="24" width="15.125" style="68" bestFit="1" customWidth="1"/>
    <col min="25" max="25" width="17.625" style="68" bestFit="1" customWidth="1"/>
    <col min="26" max="16384" width="3.375" style="68"/>
  </cols>
  <sheetData>
    <row r="2" spans="1:26" x14ac:dyDescent="0.25">
      <c r="A2" s="85" t="s">
        <v>504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6" x14ac:dyDescent="0.25">
      <c r="A3" s="378" t="s">
        <v>43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</row>
    <row r="4" spans="1:26" x14ac:dyDescent="0.25">
      <c r="A4" s="85" t="s">
        <v>367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</row>
    <row r="5" spans="1:26" x14ac:dyDescent="0.25">
      <c r="A5" s="85" t="s">
        <v>79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</row>
    <row r="6" spans="1:26" x14ac:dyDescent="0.25">
      <c r="A6" s="85" t="s">
        <v>405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9" spans="1:26" x14ac:dyDescent="0.25">
      <c r="D9" s="413" t="s">
        <v>418</v>
      </c>
      <c r="E9" s="414" t="s">
        <v>417</v>
      </c>
    </row>
    <row r="10" spans="1:26" x14ac:dyDescent="0.25">
      <c r="A10" s="392" t="s">
        <v>5</v>
      </c>
      <c r="D10" s="414" t="s">
        <v>369</v>
      </c>
      <c r="E10" s="414" t="s">
        <v>4</v>
      </c>
      <c r="F10" s="453" t="s">
        <v>406</v>
      </c>
      <c r="G10" s="452"/>
      <c r="I10" s="452" t="s">
        <v>350</v>
      </c>
      <c r="J10" s="452"/>
      <c r="K10" s="452"/>
      <c r="L10" s="452"/>
      <c r="M10" s="452"/>
      <c r="O10" s="453" t="s">
        <v>343</v>
      </c>
      <c r="P10" s="452"/>
      <c r="Q10" s="452"/>
      <c r="R10" s="452"/>
      <c r="S10" s="452"/>
      <c r="U10" s="453" t="s">
        <v>344</v>
      </c>
      <c r="V10" s="452"/>
      <c r="W10" s="452"/>
      <c r="X10" s="452"/>
      <c r="Y10" s="452"/>
    </row>
    <row r="11" spans="1:26" s="94" customFormat="1" ht="32.25" customHeight="1" x14ac:dyDescent="0.25">
      <c r="A11" s="131" t="s">
        <v>6</v>
      </c>
      <c r="B11" s="131" t="s">
        <v>252</v>
      </c>
      <c r="C11" s="131" t="s">
        <v>7</v>
      </c>
      <c r="D11" s="132" t="s">
        <v>24</v>
      </c>
      <c r="E11" s="132" t="s">
        <v>24</v>
      </c>
      <c r="F11" s="132" t="s">
        <v>368</v>
      </c>
      <c r="G11" s="127" t="s">
        <v>412</v>
      </c>
      <c r="I11" s="132" t="s">
        <v>368</v>
      </c>
      <c r="J11" s="132" t="s">
        <v>370</v>
      </c>
      <c r="K11" s="132" t="s">
        <v>411</v>
      </c>
      <c r="L11" s="127" t="s">
        <v>414</v>
      </c>
      <c r="M11" s="127" t="s">
        <v>415</v>
      </c>
      <c r="O11" s="132" t="s">
        <v>368</v>
      </c>
      <c r="P11" s="132" t="s">
        <v>370</v>
      </c>
      <c r="Q11" s="132" t="s">
        <v>411</v>
      </c>
      <c r="R11" s="127" t="s">
        <v>414</v>
      </c>
      <c r="S11" s="127" t="s">
        <v>415</v>
      </c>
      <c r="U11" s="132" t="s">
        <v>368</v>
      </c>
      <c r="V11" s="132" t="s">
        <v>370</v>
      </c>
      <c r="W11" s="132" t="s">
        <v>411</v>
      </c>
      <c r="X11" s="127" t="s">
        <v>414</v>
      </c>
      <c r="Y11" s="127" t="s">
        <v>415</v>
      </c>
    </row>
    <row r="12" spans="1:26" x14ac:dyDescent="0.25">
      <c r="A12" s="101"/>
      <c r="C12" s="393"/>
      <c r="D12" s="133" t="s">
        <v>359</v>
      </c>
      <c r="E12" s="133" t="s">
        <v>360</v>
      </c>
      <c r="F12" s="392" t="s">
        <v>371</v>
      </c>
      <c r="G12" s="392" t="s">
        <v>372</v>
      </c>
      <c r="H12" s="392"/>
      <c r="I12" s="392" t="s">
        <v>373</v>
      </c>
      <c r="J12" s="392" t="s">
        <v>364</v>
      </c>
      <c r="K12" s="392" t="s">
        <v>365</v>
      </c>
      <c r="L12" s="392" t="s">
        <v>366</v>
      </c>
      <c r="M12" s="392" t="s">
        <v>374</v>
      </c>
      <c r="N12" s="392"/>
      <c r="O12" s="392" t="s">
        <v>375</v>
      </c>
      <c r="P12" s="392" t="s">
        <v>420</v>
      </c>
      <c r="Q12" s="392" t="s">
        <v>421</v>
      </c>
      <c r="R12" s="392" t="s">
        <v>422</v>
      </c>
      <c r="S12" s="392" t="s">
        <v>423</v>
      </c>
      <c r="T12" s="392"/>
      <c r="U12" s="392" t="s">
        <v>424</v>
      </c>
      <c r="V12" s="392" t="s">
        <v>425</v>
      </c>
      <c r="W12" s="392" t="s">
        <v>426</v>
      </c>
      <c r="X12" s="392" t="s">
        <v>427</v>
      </c>
      <c r="Y12" s="392" t="s">
        <v>429</v>
      </c>
      <c r="Z12" s="392"/>
    </row>
    <row r="13" spans="1:26" x14ac:dyDescent="0.25">
      <c r="A13" s="392">
        <v>1</v>
      </c>
      <c r="B13" s="392" t="s">
        <v>580</v>
      </c>
      <c r="C13" s="102" t="s">
        <v>19</v>
      </c>
      <c r="D13" s="103"/>
      <c r="E13" s="103"/>
    </row>
    <row r="14" spans="1:26" x14ac:dyDescent="0.25">
      <c r="A14" s="392">
        <f>+A13+1</f>
        <v>2</v>
      </c>
      <c r="B14" s="392" t="str">
        <f>+B13</f>
        <v>7 (7D1, 7D2)</v>
      </c>
      <c r="C14" s="134" t="s">
        <v>33</v>
      </c>
    </row>
    <row r="15" spans="1:26" x14ac:dyDescent="0.25">
      <c r="A15" s="392">
        <f t="shared" ref="A15:A48" si="0">+A14+1</f>
        <v>3</v>
      </c>
      <c r="B15" s="392" t="str">
        <f t="shared" ref="B15:B24" si="1">+B14</f>
        <v>7 (7D1, 7D2)</v>
      </c>
      <c r="C15" s="134" t="s">
        <v>31</v>
      </c>
      <c r="D15" s="135">
        <f>'Exhibit No.__(BDJ-Tariff)'!$D$8</f>
        <v>7.49</v>
      </c>
      <c r="E15" s="135">
        <f>'Exhibit No.__(BDJ-Tariff)'!$E$8</f>
        <v>8.24</v>
      </c>
      <c r="F15" s="104">
        <v>13014927</v>
      </c>
      <c r="G15" s="372">
        <f>+$D15*F15</f>
        <v>97481803.230000004</v>
      </c>
      <c r="I15" s="104">
        <v>13183397</v>
      </c>
      <c r="J15" s="372">
        <f>+$D15*I15</f>
        <v>98743643.530000001</v>
      </c>
      <c r="K15" s="372">
        <f>+$E15*I15</f>
        <v>108631191.28</v>
      </c>
      <c r="O15" s="104">
        <v>13354075</v>
      </c>
      <c r="P15" s="372">
        <f>+$D15*O15</f>
        <v>100022021.75</v>
      </c>
      <c r="Q15" s="372">
        <f>+$E15*O15</f>
        <v>110037578</v>
      </c>
      <c r="U15" s="104">
        <v>13523089</v>
      </c>
      <c r="V15" s="372">
        <f>+$D15*U15</f>
        <v>101287936.61</v>
      </c>
      <c r="W15" s="372">
        <f>+$E15*U15</f>
        <v>111430253.36</v>
      </c>
    </row>
    <row r="16" spans="1:26" x14ac:dyDescent="0.25">
      <c r="A16" s="392">
        <f t="shared" si="0"/>
        <v>4</v>
      </c>
      <c r="B16" s="392" t="str">
        <f t="shared" si="1"/>
        <v>7 (7D1, 7D2)</v>
      </c>
      <c r="C16" s="134" t="s">
        <v>32</v>
      </c>
      <c r="D16" s="135">
        <f>'Exhibit No.__(BDJ-Tariff)'!$D$9</f>
        <v>17.989999999999998</v>
      </c>
      <c r="E16" s="135">
        <f>'Exhibit No.__(BDJ-Tariff)'!$E$9</f>
        <v>19.79</v>
      </c>
      <c r="F16" s="104">
        <v>3912</v>
      </c>
      <c r="G16" s="372">
        <f>+$D16*F16</f>
        <v>70376.87999999999</v>
      </c>
      <c r="I16" s="104">
        <v>3963</v>
      </c>
      <c r="J16" s="372">
        <f>+$D16*I16</f>
        <v>71294.37</v>
      </c>
      <c r="K16" s="372">
        <f>+$E16*I16</f>
        <v>78427.76999999999</v>
      </c>
      <c r="O16" s="104">
        <v>4014</v>
      </c>
      <c r="P16" s="372">
        <f>+$D16*O16</f>
        <v>72211.86</v>
      </c>
      <c r="Q16" s="372">
        <f>+$E16*O16</f>
        <v>79437.06</v>
      </c>
      <c r="U16" s="104">
        <v>4064</v>
      </c>
      <c r="V16" s="372">
        <f>+$D16*U16</f>
        <v>73111.360000000001</v>
      </c>
      <c r="W16" s="372">
        <f>+$E16*U16</f>
        <v>80426.559999999998</v>
      </c>
    </row>
    <row r="17" spans="1:27" x14ac:dyDescent="0.25">
      <c r="A17" s="392">
        <f t="shared" si="0"/>
        <v>5</v>
      </c>
      <c r="B17" s="392" t="str">
        <f t="shared" si="1"/>
        <v>7 (7D1, 7D2)</v>
      </c>
      <c r="C17" s="136" t="s">
        <v>26</v>
      </c>
      <c r="D17" s="137"/>
      <c r="E17" s="137"/>
      <c r="F17" s="415">
        <f>SUM(F15:F16)</f>
        <v>13018839</v>
      </c>
      <c r="G17" s="416">
        <f>SUM(G15:G16)</f>
        <v>97552180.109999999</v>
      </c>
      <c r="I17" s="415">
        <f>SUM(I15:I16)</f>
        <v>13187360</v>
      </c>
      <c r="J17" s="416">
        <f>SUM(J15:J16)</f>
        <v>98814937.900000006</v>
      </c>
      <c r="K17" s="416">
        <f>SUM(K15:K16)</f>
        <v>108709619.05</v>
      </c>
      <c r="O17" s="415">
        <f>SUM(O15:O16)</f>
        <v>13358089</v>
      </c>
      <c r="P17" s="416">
        <f>SUM(P15:P16)</f>
        <v>100094233.61</v>
      </c>
      <c r="Q17" s="416">
        <f>SUM(Q15:Q16)</f>
        <v>110117015.06</v>
      </c>
      <c r="U17" s="415">
        <f>SUM(U15:U16)</f>
        <v>13527153</v>
      </c>
      <c r="V17" s="416">
        <f>SUM(V15:V16)</f>
        <v>101361047.97</v>
      </c>
      <c r="W17" s="416">
        <f>SUM(W15:W16)</f>
        <v>111510679.92</v>
      </c>
    </row>
    <row r="18" spans="1:27" x14ac:dyDescent="0.25">
      <c r="A18" s="392">
        <f t="shared" si="0"/>
        <v>6</v>
      </c>
      <c r="B18" s="392" t="str">
        <f t="shared" si="1"/>
        <v>7 (7D1, 7D2)</v>
      </c>
      <c r="C18" s="134" t="s">
        <v>75</v>
      </c>
      <c r="F18" s="104"/>
      <c r="G18" s="372"/>
      <c r="I18" s="104"/>
      <c r="J18" s="372"/>
      <c r="K18" s="372"/>
      <c r="O18" s="104"/>
      <c r="P18" s="372"/>
      <c r="Q18" s="372"/>
      <c r="U18" s="104"/>
      <c r="V18" s="372"/>
      <c r="W18" s="372"/>
    </row>
    <row r="19" spans="1:27" x14ac:dyDescent="0.25">
      <c r="A19" s="392">
        <f t="shared" si="0"/>
        <v>7</v>
      </c>
      <c r="B19" s="392" t="str">
        <f t="shared" si="1"/>
        <v>7 (7D1, 7D2)</v>
      </c>
      <c r="C19" s="138" t="s">
        <v>70</v>
      </c>
      <c r="D19" s="251">
        <f>'Exhibit No.__(BDJ-Tariff)'!$D$11</f>
        <v>9.1343999999999995E-2</v>
      </c>
      <c r="E19" s="251">
        <f>'Exhibit No.__(BDJ-Tariff)'!$E$11</f>
        <v>8.9991000000000002E-2</v>
      </c>
      <c r="F19" s="104">
        <v>6215038853.9621391</v>
      </c>
      <c r="G19" s="372">
        <f t="shared" ref="G19:G20" si="2">+$D19*F19</f>
        <v>567706509.07631755</v>
      </c>
      <c r="I19" s="104">
        <v>6213351534.4964848</v>
      </c>
      <c r="J19" s="372">
        <f t="shared" ref="J19:J20" si="3">+$D19*I19</f>
        <v>567552382.56704688</v>
      </c>
      <c r="K19" s="372">
        <f>+$E19*I19</f>
        <v>559145717.94087315</v>
      </c>
      <c r="L19" s="227"/>
      <c r="M19" s="227"/>
      <c r="O19" s="104">
        <v>6274465955.531311</v>
      </c>
      <c r="P19" s="372">
        <f t="shared" ref="P19:P20" si="4">+$D19*O19</f>
        <v>573134818.24205208</v>
      </c>
      <c r="Q19" s="372">
        <f>+$E19*O19</f>
        <v>564645465.80421817</v>
      </c>
      <c r="R19" s="227"/>
      <c r="S19" s="227"/>
      <c r="U19" s="104">
        <v>6310029130.0032234</v>
      </c>
      <c r="V19" s="372">
        <f t="shared" ref="V19:V20" si="5">+$D19*U19</f>
        <v>576383300.85101438</v>
      </c>
      <c r="W19" s="372">
        <f t="shared" ref="W19:W20" si="6">+$E19*U19</f>
        <v>567845831.43812013</v>
      </c>
      <c r="X19" s="227"/>
      <c r="Y19" s="227"/>
    </row>
    <row r="20" spans="1:27" x14ac:dyDescent="0.25">
      <c r="A20" s="392">
        <f t="shared" si="0"/>
        <v>8</v>
      </c>
      <c r="B20" s="392" t="str">
        <f t="shared" si="1"/>
        <v>7 (7D1, 7D2)</v>
      </c>
      <c r="C20" s="138" t="s">
        <v>184</v>
      </c>
      <c r="D20" s="251">
        <f>'Exhibit No.__(BDJ-Tariff)'!$D$12</f>
        <v>0.111175</v>
      </c>
      <c r="E20" s="251">
        <f>'Exhibit No.__(BDJ-Tariff)'!$E$12</f>
        <v>0.109528</v>
      </c>
      <c r="F20" s="104">
        <v>4642314146.0378609</v>
      </c>
      <c r="G20" s="372">
        <f t="shared" si="2"/>
        <v>516109275.18575919</v>
      </c>
      <c r="I20" s="104">
        <v>4633130465.5035152</v>
      </c>
      <c r="J20" s="372">
        <f t="shared" si="3"/>
        <v>515088279.50235331</v>
      </c>
      <c r="K20" s="372">
        <f>+$E20*I20</f>
        <v>507457513.625669</v>
      </c>
      <c r="O20" s="104">
        <v>4678807044.468688</v>
      </c>
      <c r="P20" s="372">
        <f t="shared" si="4"/>
        <v>520166373.16880637</v>
      </c>
      <c r="Q20" s="372">
        <f>+$E20*O20</f>
        <v>512460377.96656644</v>
      </c>
      <c r="U20" s="104">
        <v>4693387869.9967766</v>
      </c>
      <c r="V20" s="372">
        <f t="shared" si="5"/>
        <v>521787396.44689161</v>
      </c>
      <c r="W20" s="372">
        <f t="shared" si="6"/>
        <v>514057386.62500697</v>
      </c>
    </row>
    <row r="21" spans="1:27" x14ac:dyDescent="0.25">
      <c r="A21" s="392">
        <f t="shared" si="0"/>
        <v>9</v>
      </c>
      <c r="B21" s="392" t="str">
        <f t="shared" si="1"/>
        <v>7 (7D1, 7D2)</v>
      </c>
      <c r="C21" s="136" t="s">
        <v>26</v>
      </c>
      <c r="F21" s="415">
        <f>SUM(F19:F20)</f>
        <v>10857353000</v>
      </c>
      <c r="G21" s="416">
        <f>SUM(G19:G20)</f>
        <v>1083815784.2620769</v>
      </c>
      <c r="I21" s="415">
        <f>SUM(I19:I20)</f>
        <v>10846482000</v>
      </c>
      <c r="J21" s="416">
        <f>SUM(J19:J20)</f>
        <v>1082640662.0694003</v>
      </c>
      <c r="K21" s="416">
        <f>SUM(K19:K20)</f>
        <v>1066603231.5665421</v>
      </c>
      <c r="L21" s="227">
        <f>ROUND(+L$23/I$21,6)</f>
        <v>1.3376000000000001E-2</v>
      </c>
      <c r="M21" s="227">
        <f>ROUND(+M$23/I$21,6)</f>
        <v>5.6880000000000003E-3</v>
      </c>
      <c r="O21" s="415">
        <f>SUM(O19:O20)</f>
        <v>10953273000</v>
      </c>
      <c r="P21" s="416">
        <f>SUM(P19:P20)</f>
        <v>1093301191.4108584</v>
      </c>
      <c r="Q21" s="416">
        <f>SUM(Q19:Q20)</f>
        <v>1077105843.7707846</v>
      </c>
      <c r="R21" s="227">
        <f>ROUND(+R$23/O$21,6)</f>
        <v>1.0187999999999999E-2</v>
      </c>
      <c r="S21" s="227">
        <f>ROUND(+S$23/O$21,6)</f>
        <v>1.2151E-2</v>
      </c>
      <c r="U21" s="415">
        <f>SUM(U19:U20)</f>
        <v>11003417000</v>
      </c>
      <c r="V21" s="416">
        <f>SUM(V19:V20)</f>
        <v>1098170697.2979059</v>
      </c>
      <c r="W21" s="416">
        <f>SUM(W19:W20)</f>
        <v>1081903218.063127</v>
      </c>
      <c r="X21" s="227">
        <f>ROUND(+X$23/U$21,6)</f>
        <v>4.4200000000000003E-3</v>
      </c>
      <c r="Y21" s="227">
        <f>ROUND(+Y$23/U$21,6)</f>
        <v>1.8373E-2</v>
      </c>
      <c r="AA21" s="372"/>
    </row>
    <row r="22" spans="1:27" ht="16.5" thickBot="1" x14ac:dyDescent="0.3">
      <c r="A22" s="392">
        <f t="shared" si="0"/>
        <v>10</v>
      </c>
      <c r="B22" s="392" t="str">
        <f t="shared" si="1"/>
        <v>7 (7D1, 7D2)</v>
      </c>
      <c r="C22" s="136" t="s">
        <v>413</v>
      </c>
      <c r="F22" s="104"/>
      <c r="G22" s="417">
        <f>SUM(G21,G17)</f>
        <v>1181367964.3720767</v>
      </c>
      <c r="I22" s="104"/>
      <c r="J22" s="417">
        <f>SUM(J21,J17)</f>
        <v>1181455599.9694004</v>
      </c>
      <c r="K22" s="417">
        <f>SUM(K21,K17)</f>
        <v>1175312850.6165421</v>
      </c>
      <c r="L22" s="417">
        <f>+L21*I21</f>
        <v>145082543.23199999</v>
      </c>
      <c r="M22" s="417">
        <f>+M21*I21</f>
        <v>61694789.616000004</v>
      </c>
      <c r="O22" s="104"/>
      <c r="P22" s="417">
        <f>SUM(P21,P17)</f>
        <v>1193395425.0208583</v>
      </c>
      <c r="Q22" s="417">
        <f>SUM(Q21,Q17)</f>
        <v>1187222858.8307846</v>
      </c>
      <c r="R22" s="417">
        <f>+R21*O21</f>
        <v>111591945.32399999</v>
      </c>
      <c r="S22" s="417">
        <f>+S21*O21</f>
        <v>133093220.223</v>
      </c>
      <c r="U22" s="104"/>
      <c r="V22" s="417">
        <f>SUM(V21,V17)</f>
        <v>1199531745.267906</v>
      </c>
      <c r="W22" s="417">
        <f>SUM(W21,W17)</f>
        <v>1193413897.9831271</v>
      </c>
      <c r="X22" s="417">
        <f>+X21*U21</f>
        <v>48635103.140000001</v>
      </c>
      <c r="Y22" s="417">
        <f>+Y21*U21</f>
        <v>202165780.54100001</v>
      </c>
      <c r="AA22" s="372"/>
    </row>
    <row r="23" spans="1:27" ht="16.5" thickTop="1" x14ac:dyDescent="0.25">
      <c r="A23" s="392">
        <f t="shared" si="0"/>
        <v>11</v>
      </c>
      <c r="B23" s="392" t="str">
        <f t="shared" si="1"/>
        <v>7 (7D1, 7D2)</v>
      </c>
      <c r="C23" s="418" t="s">
        <v>381</v>
      </c>
      <c r="L23" s="372">
        <f>+'Exhibit No.__(BDJ-Rate Spread)'!S8*1000</f>
        <v>145077866.54131511</v>
      </c>
      <c r="M23" s="372">
        <f>+'Exhibit No.__(BDJ-Rate Spread)'!W8*1000</f>
        <v>61689624.128799573</v>
      </c>
      <c r="R23" s="372">
        <f>+'Exhibit No.__(BDJ-Rate Spread)'!T8*1000</f>
        <v>111592146.37868708</v>
      </c>
      <c r="S23" s="372">
        <f>+'Exhibit No.__(BDJ-Rate Spread)'!X8*1000</f>
        <v>133094408.6440663</v>
      </c>
      <c r="X23" s="372">
        <f>+'Exhibit No.__(BDJ-Rate Spread)'!U8*1000</f>
        <v>48637249.661849633</v>
      </c>
      <c r="Y23" s="372">
        <f>+'Exhibit No.__(BDJ-Rate Spread)'!Y8*1000</f>
        <v>202164985.56059447</v>
      </c>
      <c r="AA23" s="372"/>
    </row>
    <row r="24" spans="1:27" ht="16.5" thickBot="1" x14ac:dyDescent="0.3">
      <c r="A24" s="392">
        <f t="shared" si="0"/>
        <v>12</v>
      </c>
      <c r="B24" s="392" t="str">
        <f t="shared" si="1"/>
        <v>7 (7D1, 7D2)</v>
      </c>
      <c r="C24" s="333" t="s">
        <v>378</v>
      </c>
      <c r="G24" s="372"/>
      <c r="J24" s="372"/>
      <c r="K24" s="372"/>
      <c r="L24" s="372"/>
      <c r="M24" s="417">
        <f>SUM(K22,L22:M22)</f>
        <v>1382090183.4645422</v>
      </c>
      <c r="P24" s="372"/>
      <c r="Q24" s="372"/>
      <c r="R24" s="372"/>
      <c r="S24" s="417">
        <f>SUM(Q22,R22:S22)</f>
        <v>1431908024.3777845</v>
      </c>
      <c r="V24" s="372"/>
      <c r="W24" s="372"/>
      <c r="X24" s="372"/>
      <c r="Y24" s="417">
        <f>SUM(W22,X22:Y22)</f>
        <v>1444214781.6641273</v>
      </c>
      <c r="AA24" s="372"/>
    </row>
    <row r="25" spans="1:27" ht="16.5" thickTop="1" x14ac:dyDescent="0.25">
      <c r="A25" s="392">
        <f t="shared" si="0"/>
        <v>13</v>
      </c>
      <c r="G25" s="372"/>
      <c r="J25" s="372"/>
      <c r="K25" s="372"/>
      <c r="L25" s="372"/>
      <c r="M25" s="372"/>
      <c r="P25" s="372"/>
      <c r="Q25" s="372"/>
      <c r="R25" s="372"/>
      <c r="S25" s="372"/>
      <c r="V25" s="372"/>
      <c r="W25" s="372"/>
      <c r="X25" s="372"/>
      <c r="Y25" s="372"/>
    </row>
    <row r="26" spans="1:27" x14ac:dyDescent="0.25">
      <c r="A26" s="392">
        <f t="shared" si="0"/>
        <v>14</v>
      </c>
      <c r="C26" s="102" t="s">
        <v>53</v>
      </c>
    </row>
    <row r="27" spans="1:27" x14ac:dyDescent="0.25">
      <c r="A27" s="392">
        <f t="shared" si="0"/>
        <v>15</v>
      </c>
      <c r="B27" s="393" t="s">
        <v>56</v>
      </c>
      <c r="C27" s="333" t="s">
        <v>33</v>
      </c>
    </row>
    <row r="28" spans="1:27" x14ac:dyDescent="0.25">
      <c r="A28" s="392">
        <f t="shared" si="0"/>
        <v>16</v>
      </c>
      <c r="B28" s="392" t="str">
        <f t="shared" ref="B28:B37" si="7">+B27</f>
        <v>8, 24</v>
      </c>
      <c r="C28" s="334" t="s">
        <v>376</v>
      </c>
      <c r="D28" s="348">
        <f>+'Exhibit No.__(BDJ-SV RD)'!$D15</f>
        <v>10.210000000000001</v>
      </c>
      <c r="E28" s="348">
        <f>+'Exhibit No.__(BDJ-SV RD)'!$G15</f>
        <v>10.210000000000001</v>
      </c>
      <c r="F28" s="104">
        <v>1144330</v>
      </c>
      <c r="G28" s="372">
        <f>+$D28*F28</f>
        <v>11683609.300000001</v>
      </c>
      <c r="I28" s="104">
        <v>1159050</v>
      </c>
      <c r="J28" s="372">
        <f>+$D28*I28</f>
        <v>11833900.500000002</v>
      </c>
      <c r="K28" s="372">
        <f>+$E28*I28</f>
        <v>11833900.500000002</v>
      </c>
      <c r="O28" s="104">
        <v>1173360</v>
      </c>
      <c r="P28" s="372">
        <f>+$D28*O28</f>
        <v>11980005.600000001</v>
      </c>
      <c r="Q28" s="372">
        <f>+$E28*O28</f>
        <v>11980005.600000001</v>
      </c>
      <c r="U28" s="104">
        <v>1186865</v>
      </c>
      <c r="V28" s="372">
        <f>+$D28*U28</f>
        <v>12117891.65</v>
      </c>
      <c r="W28" s="372">
        <f>+$E28*U28</f>
        <v>12117891.65</v>
      </c>
    </row>
    <row r="29" spans="1:27" x14ac:dyDescent="0.25">
      <c r="A29" s="392">
        <f t="shared" si="0"/>
        <v>17</v>
      </c>
      <c r="B29" s="392" t="str">
        <f t="shared" si="7"/>
        <v>8, 24</v>
      </c>
      <c r="C29" s="334" t="s">
        <v>377</v>
      </c>
      <c r="D29" s="348">
        <f>+'Exhibit No.__(BDJ-SV RD)'!$D16</f>
        <v>25.95</v>
      </c>
      <c r="E29" s="348">
        <f>+'Exhibit No.__(BDJ-SV RD)'!$G16</f>
        <v>25.95</v>
      </c>
      <c r="F29" s="104">
        <v>482994</v>
      </c>
      <c r="G29" s="372">
        <f>+$D29*F29</f>
        <v>12533694.299999999</v>
      </c>
      <c r="I29" s="104">
        <v>489208</v>
      </c>
      <c r="J29" s="372">
        <f>+$D29*I29</f>
        <v>12694947.6</v>
      </c>
      <c r="K29" s="372">
        <f>+$E29*I29</f>
        <v>12694947.6</v>
      </c>
      <c r="O29" s="104">
        <v>495246</v>
      </c>
      <c r="P29" s="372">
        <f>+$D29*O29</f>
        <v>12851633.699999999</v>
      </c>
      <c r="Q29" s="372">
        <f>+$E29*O29</f>
        <v>12851633.699999999</v>
      </c>
      <c r="U29" s="104">
        <v>500946</v>
      </c>
      <c r="V29" s="372">
        <f>+$D29*U29</f>
        <v>12999548.699999999</v>
      </c>
      <c r="W29" s="372">
        <f>+$E29*U29</f>
        <v>12999548.699999999</v>
      </c>
    </row>
    <row r="30" spans="1:27" x14ac:dyDescent="0.25">
      <c r="A30" s="392">
        <f t="shared" si="0"/>
        <v>18</v>
      </c>
      <c r="B30" s="392" t="str">
        <f t="shared" si="7"/>
        <v>8, 24</v>
      </c>
      <c r="C30" s="335" t="s">
        <v>26</v>
      </c>
      <c r="D30" s="348"/>
      <c r="E30" s="348"/>
      <c r="F30" s="415">
        <f>SUM(F28:F29)</f>
        <v>1627324</v>
      </c>
      <c r="G30" s="416">
        <f>SUM(G28:G29)</f>
        <v>24217303.600000001</v>
      </c>
      <c r="I30" s="415">
        <f>SUM(I28:I29)</f>
        <v>1648258</v>
      </c>
      <c r="J30" s="416">
        <f>SUM(J28:J29)</f>
        <v>24528848.100000001</v>
      </c>
      <c r="K30" s="416">
        <f>SUM(K28:K29)</f>
        <v>24528848.100000001</v>
      </c>
      <c r="O30" s="415">
        <f>SUM(O28:O29)</f>
        <v>1668606</v>
      </c>
      <c r="P30" s="416">
        <f>SUM(P28:P29)</f>
        <v>24831639.300000001</v>
      </c>
      <c r="Q30" s="416">
        <f>SUM(Q28:Q29)</f>
        <v>24831639.300000001</v>
      </c>
      <c r="U30" s="415">
        <f>SUM(U28:U29)</f>
        <v>1687811</v>
      </c>
      <c r="V30" s="416">
        <f>SUM(V28:V29)</f>
        <v>25117440.350000001</v>
      </c>
      <c r="W30" s="416">
        <f>SUM(W28:W29)</f>
        <v>25117440.350000001</v>
      </c>
    </row>
    <row r="31" spans="1:27" x14ac:dyDescent="0.25">
      <c r="A31" s="392">
        <f t="shared" si="0"/>
        <v>19</v>
      </c>
      <c r="B31" s="392" t="str">
        <f t="shared" si="7"/>
        <v>8, 24</v>
      </c>
      <c r="C31" s="333" t="s">
        <v>75</v>
      </c>
      <c r="D31" s="348"/>
      <c r="E31" s="348"/>
      <c r="F31" s="104"/>
      <c r="G31" s="372"/>
      <c r="I31" s="104"/>
      <c r="J31" s="372"/>
      <c r="K31" s="372"/>
      <c r="O31" s="104"/>
      <c r="P31" s="372"/>
      <c r="Q31" s="372"/>
      <c r="U31" s="104"/>
      <c r="V31" s="372"/>
      <c r="W31" s="372"/>
    </row>
    <row r="32" spans="1:27" x14ac:dyDescent="0.25">
      <c r="A32" s="392">
        <f t="shared" si="0"/>
        <v>20</v>
      </c>
      <c r="B32" s="392" t="str">
        <f t="shared" si="7"/>
        <v>8, 24</v>
      </c>
      <c r="C32" s="334" t="s">
        <v>73</v>
      </c>
      <c r="D32" s="251">
        <f>+'Exhibit No.__(BDJ-SV RD)'!$D19</f>
        <v>9.4531000000000004E-2</v>
      </c>
      <c r="E32" s="251">
        <f>+'Exhibit No.__(BDJ-SV RD)'!$G19</f>
        <v>9.3921000000000004E-2</v>
      </c>
      <c r="F32" s="104">
        <v>1379980000</v>
      </c>
      <c r="G32" s="372">
        <f t="shared" ref="G32:G33" si="8">+$D32*F32</f>
        <v>130450889.38000001</v>
      </c>
      <c r="I32" s="104">
        <v>1418426000</v>
      </c>
      <c r="J32" s="372">
        <f t="shared" ref="J32:J33" si="9">+$D32*I32</f>
        <v>134085228.206</v>
      </c>
      <c r="K32" s="372">
        <f>+$E32*I32</f>
        <v>133219988.346</v>
      </c>
      <c r="L32" s="227"/>
      <c r="M32" s="227"/>
      <c r="O32" s="104">
        <v>1441422000</v>
      </c>
      <c r="P32" s="372">
        <f t="shared" ref="P32:P33" si="10">+$D32*O32</f>
        <v>136259063.08200002</v>
      </c>
      <c r="Q32" s="372">
        <f t="shared" ref="Q32:Q33" si="11">+$E32*O32</f>
        <v>135379795.662</v>
      </c>
      <c r="R32" s="227"/>
      <c r="S32" s="227"/>
      <c r="U32" s="104">
        <v>1435646000</v>
      </c>
      <c r="V32" s="372">
        <f t="shared" ref="V32:V33" si="12">+$D32*U32</f>
        <v>135713052.02599999</v>
      </c>
      <c r="W32" s="372">
        <f t="shared" ref="W32:W33" si="13">+$E32*U32</f>
        <v>134837307.96600002</v>
      </c>
      <c r="X32" s="227"/>
      <c r="Y32" s="227"/>
    </row>
    <row r="33" spans="1:27" x14ac:dyDescent="0.25">
      <c r="A33" s="392">
        <f t="shared" si="0"/>
        <v>21</v>
      </c>
      <c r="B33" s="392" t="str">
        <f t="shared" si="7"/>
        <v>8, 24</v>
      </c>
      <c r="C33" s="334" t="s">
        <v>74</v>
      </c>
      <c r="D33" s="251">
        <f>+'Exhibit No.__(BDJ-SV RD)'!$D20</f>
        <v>9.1261999999999996E-2</v>
      </c>
      <c r="E33" s="251">
        <f>+'Exhibit No.__(BDJ-SV RD)'!$G20</f>
        <v>9.0673000000000004E-2</v>
      </c>
      <c r="F33" s="104">
        <v>1248137000</v>
      </c>
      <c r="G33" s="372">
        <f t="shared" si="8"/>
        <v>113907478.89399999</v>
      </c>
      <c r="I33" s="104">
        <v>1279207000</v>
      </c>
      <c r="J33" s="372">
        <f t="shared" si="9"/>
        <v>116742989.234</v>
      </c>
      <c r="K33" s="372">
        <f>+$E33*I33</f>
        <v>115989536.311</v>
      </c>
      <c r="O33" s="104">
        <v>1288950000</v>
      </c>
      <c r="P33" s="372">
        <f t="shared" si="10"/>
        <v>117632154.89999999</v>
      </c>
      <c r="Q33" s="372">
        <f t="shared" si="11"/>
        <v>116872963.35000001</v>
      </c>
      <c r="U33" s="104">
        <v>1291154000</v>
      </c>
      <c r="V33" s="372">
        <f t="shared" si="12"/>
        <v>117833296.34799999</v>
      </c>
      <c r="W33" s="372">
        <f t="shared" si="13"/>
        <v>117072806.642</v>
      </c>
    </row>
    <row r="34" spans="1:27" x14ac:dyDescent="0.25">
      <c r="A34" s="392">
        <f t="shared" si="0"/>
        <v>22</v>
      </c>
      <c r="B34" s="392" t="str">
        <f t="shared" si="7"/>
        <v>8, 24</v>
      </c>
      <c r="C34" s="335" t="s">
        <v>26</v>
      </c>
      <c r="F34" s="415">
        <f>SUM(F32:F33)</f>
        <v>2628117000</v>
      </c>
      <c r="G34" s="416">
        <f>SUM(G32:G33)</f>
        <v>244358368.27399999</v>
      </c>
      <c r="I34" s="415">
        <f>SUM(I32:I33)</f>
        <v>2697633000</v>
      </c>
      <c r="J34" s="416">
        <f>SUM(J32:J33)</f>
        <v>250828217.44</v>
      </c>
      <c r="K34" s="416">
        <f>SUM(K32:K33)</f>
        <v>249209524.65700001</v>
      </c>
      <c r="L34" s="227">
        <f>ROUND(+L$36/I$34,6)</f>
        <v>1.0369E-2</v>
      </c>
      <c r="M34" s="227">
        <f>ROUND(+M$36/I$34,6)</f>
        <v>4.4089999999999997E-3</v>
      </c>
      <c r="O34" s="415">
        <f>SUM(O32:O33)</f>
        <v>2730372000</v>
      </c>
      <c r="P34" s="416">
        <f>SUM(P32:P33)</f>
        <v>253891217.98199999</v>
      </c>
      <c r="Q34" s="416">
        <f>SUM(Q32:Q33)</f>
        <v>252252759.01200002</v>
      </c>
      <c r="R34" s="227">
        <f>ROUND(+R$36/O$34,6)</f>
        <v>7.8799999999999999E-3</v>
      </c>
      <c r="S34" s="227">
        <f>ROUND(+S$36/O$34,6)</f>
        <v>9.3980000000000001E-3</v>
      </c>
      <c r="U34" s="415">
        <f>SUM(U32:U33)</f>
        <v>2726800000</v>
      </c>
      <c r="V34" s="416">
        <f>SUM(V32:V33)</f>
        <v>253546348.37399998</v>
      </c>
      <c r="W34" s="416">
        <f>SUM(W32:W33)</f>
        <v>251910114.60800004</v>
      </c>
      <c r="X34" s="227">
        <f>ROUND(+X$36/U$34,6)</f>
        <v>3.4390000000000002E-3</v>
      </c>
      <c r="Y34" s="227">
        <f>ROUND(+Y$36/U$34,6)</f>
        <v>1.4295E-2</v>
      </c>
      <c r="AA34" s="372"/>
    </row>
    <row r="35" spans="1:27" ht="16.5" thickBot="1" x14ac:dyDescent="0.3">
      <c r="A35" s="392">
        <f t="shared" si="0"/>
        <v>23</v>
      </c>
      <c r="B35" s="392" t="str">
        <f t="shared" si="7"/>
        <v>8, 24</v>
      </c>
      <c r="C35" s="136" t="s">
        <v>413</v>
      </c>
      <c r="F35" s="104"/>
      <c r="G35" s="417">
        <f>SUM(G34,G30)</f>
        <v>268575671.87400001</v>
      </c>
      <c r="I35" s="104"/>
      <c r="J35" s="417">
        <f>SUM(J34,J30)</f>
        <v>275357065.54000002</v>
      </c>
      <c r="K35" s="417">
        <f>SUM(K34,K30)</f>
        <v>273738372.75700003</v>
      </c>
      <c r="L35" s="417">
        <f>+L34*I34</f>
        <v>27971756.577</v>
      </c>
      <c r="M35" s="417">
        <f>+M34*I34</f>
        <v>11893863.897</v>
      </c>
      <c r="O35" s="104"/>
      <c r="P35" s="417">
        <f>SUM(P34,P30)</f>
        <v>278722857.28200001</v>
      </c>
      <c r="Q35" s="417">
        <f>SUM(Q34,Q30)</f>
        <v>277084398.31200004</v>
      </c>
      <c r="R35" s="417">
        <f>+R34*O34</f>
        <v>21515331.359999999</v>
      </c>
      <c r="S35" s="417">
        <f>+S34*O34</f>
        <v>25660036.056000002</v>
      </c>
      <c r="U35" s="104"/>
      <c r="V35" s="417">
        <f>SUM(V34,V30)</f>
        <v>278663788.72399998</v>
      </c>
      <c r="W35" s="417">
        <f>SUM(W34,W30)</f>
        <v>277027554.95800006</v>
      </c>
      <c r="X35" s="417">
        <f>+X34*U34</f>
        <v>9377465.2000000011</v>
      </c>
      <c r="Y35" s="417">
        <f>+Y34*U34</f>
        <v>38979606</v>
      </c>
      <c r="AA35" s="372"/>
    </row>
    <row r="36" spans="1:27" ht="16.5" thickTop="1" x14ac:dyDescent="0.25">
      <c r="A36" s="392">
        <f t="shared" si="0"/>
        <v>24</v>
      </c>
      <c r="B36" s="392" t="str">
        <f t="shared" si="7"/>
        <v>8, 24</v>
      </c>
      <c r="C36" s="418" t="s">
        <v>381</v>
      </c>
      <c r="L36" s="372">
        <f>+'Exhibit No.__(BDJ-Rate Spread)'!S11*1000</f>
        <v>27971657.677642856</v>
      </c>
      <c r="M36" s="372">
        <f>+'Exhibit No.__(BDJ-Rate Spread)'!W11*1000</f>
        <v>11894033.800819889</v>
      </c>
      <c r="R36" s="372">
        <f>+'Exhibit No.__(BDJ-Rate Spread)'!T11*1000</f>
        <v>21515461.954557586</v>
      </c>
      <c r="S36" s="372">
        <f>+'Exhibit No.__(BDJ-Rate Spread)'!X11*1000</f>
        <v>25661193.717236932</v>
      </c>
      <c r="X36" s="372">
        <f>+'Exhibit No.__(BDJ-Rate Spread)'!U11*1000</f>
        <v>9377477.9734293744</v>
      </c>
      <c r="Y36" s="372">
        <f>+'Exhibit No.__(BDJ-Rate Spread)'!Y11*1000</f>
        <v>38978308.030854352</v>
      </c>
    </row>
    <row r="37" spans="1:27" ht="16.5" thickBot="1" x14ac:dyDescent="0.3">
      <c r="A37" s="392">
        <f t="shared" si="0"/>
        <v>25</v>
      </c>
      <c r="B37" s="392" t="str">
        <f t="shared" si="7"/>
        <v>8, 24</v>
      </c>
      <c r="C37" s="419" t="s">
        <v>379</v>
      </c>
      <c r="G37" s="372"/>
      <c r="J37" s="372"/>
      <c r="K37" s="372"/>
      <c r="L37" s="372"/>
      <c r="M37" s="417">
        <f>SUM(K35,L35:M35)</f>
        <v>313603993.23100007</v>
      </c>
      <c r="P37" s="372"/>
      <c r="Q37" s="372"/>
      <c r="R37" s="372"/>
      <c r="S37" s="417">
        <f>SUM(Q35,R35:S35)</f>
        <v>324259765.72800004</v>
      </c>
      <c r="V37" s="372"/>
      <c r="W37" s="372"/>
      <c r="X37" s="372"/>
      <c r="Y37" s="417">
        <f>SUM(W35,X35:Y35)</f>
        <v>325384626.15800005</v>
      </c>
    </row>
    <row r="38" spans="1:27" ht="16.5" thickTop="1" x14ac:dyDescent="0.25">
      <c r="A38" s="392">
        <f t="shared" si="0"/>
        <v>26</v>
      </c>
    </row>
    <row r="39" spans="1:27" x14ac:dyDescent="0.25">
      <c r="A39" s="392">
        <f t="shared" si="0"/>
        <v>27</v>
      </c>
      <c r="B39" s="392" t="s">
        <v>57</v>
      </c>
      <c r="C39" s="333" t="s">
        <v>33</v>
      </c>
      <c r="D39" s="348">
        <f>+'Exhibit No.__(BDJ-SV RD)'!D41</f>
        <v>53.95</v>
      </c>
      <c r="E39" s="348">
        <f>+'Exhibit No.__(BDJ-SV RD)'!G41</f>
        <v>53.95</v>
      </c>
      <c r="F39" s="104">
        <v>100824.97374611688</v>
      </c>
      <c r="G39" s="372">
        <f>+$D39*F39</f>
        <v>5439507.3336030059</v>
      </c>
      <c r="I39" s="104">
        <v>100947.09838885683</v>
      </c>
      <c r="J39" s="372">
        <f>+$D39*I39</f>
        <v>5446095.9580788258</v>
      </c>
      <c r="K39" s="372">
        <f>+$E39*I39</f>
        <v>5446095.9580788258</v>
      </c>
      <c r="O39" s="104">
        <v>102398.30526455554</v>
      </c>
      <c r="P39" s="372">
        <f>+$D39*O39</f>
        <v>5524388.5690227719</v>
      </c>
      <c r="Q39" s="372">
        <f>+$E39*O39</f>
        <v>5524388.5690227719</v>
      </c>
      <c r="U39" s="104">
        <v>103869.91081894003</v>
      </c>
      <c r="V39" s="372">
        <f>+$D39*U39</f>
        <v>5603781.6886818148</v>
      </c>
      <c r="W39" s="372">
        <f>+$E39*U39</f>
        <v>5603781.6886818148</v>
      </c>
    </row>
    <row r="40" spans="1:27" x14ac:dyDescent="0.25">
      <c r="A40" s="392">
        <f t="shared" si="0"/>
        <v>28</v>
      </c>
      <c r="B40" s="392" t="str">
        <f t="shared" ref="B40:B53" si="14">+B39</f>
        <v>7A, 11, 25</v>
      </c>
      <c r="C40" s="333" t="s">
        <v>36</v>
      </c>
      <c r="D40" s="348"/>
      <c r="E40" s="348"/>
      <c r="F40" s="104"/>
      <c r="G40" s="372"/>
      <c r="I40" s="104"/>
      <c r="J40" s="372"/>
      <c r="K40" s="372"/>
      <c r="O40" s="104"/>
      <c r="P40" s="372"/>
      <c r="Q40" s="372"/>
      <c r="U40" s="104"/>
      <c r="V40" s="372"/>
      <c r="W40" s="372"/>
    </row>
    <row r="41" spans="1:27" x14ac:dyDescent="0.25">
      <c r="A41" s="392">
        <f t="shared" si="0"/>
        <v>29</v>
      </c>
      <c r="B41" s="392" t="str">
        <f t="shared" si="14"/>
        <v>7A, 11, 25</v>
      </c>
      <c r="C41" s="334" t="s">
        <v>82</v>
      </c>
      <c r="D41" s="251">
        <f>+'Exhibit No.__(BDJ-SV RD)'!D43</f>
        <v>9.2719999999999997E-2</v>
      </c>
      <c r="E41" s="251">
        <f>+'Exhibit No.__(BDJ-SV RD)'!G43</f>
        <v>9.2069999999999999E-2</v>
      </c>
      <c r="F41" s="104">
        <v>760627742.84171677</v>
      </c>
      <c r="G41" s="372">
        <f t="shared" ref="G41:G43" si="15">+$D41*F41</f>
        <v>70525404.316283971</v>
      </c>
      <c r="I41" s="104">
        <v>781769926.84073794</v>
      </c>
      <c r="J41" s="372">
        <f t="shared" ref="J41:J43" si="16">+$D41*I41</f>
        <v>72485707.616673216</v>
      </c>
      <c r="K41" s="372">
        <f t="shared" ref="K41:K43" si="17">+$E41*I41</f>
        <v>71977557.164226741</v>
      </c>
      <c r="L41" s="227"/>
      <c r="M41" s="227"/>
      <c r="O41" s="104">
        <v>794849277.88484299</v>
      </c>
      <c r="P41" s="372">
        <f t="shared" ref="P41:P43" si="18">+$D41*O41</f>
        <v>73698425.045482635</v>
      </c>
      <c r="Q41" s="372">
        <f t="shared" ref="Q41:Q43" si="19">+$E41*O41</f>
        <v>73181773.014857501</v>
      </c>
      <c r="R41" s="227"/>
      <c r="S41" s="227"/>
      <c r="U41" s="104">
        <v>792171444.15807796</v>
      </c>
      <c r="V41" s="372">
        <f t="shared" ref="V41:V43" si="20">+$D41*U41</f>
        <v>73450136.302336991</v>
      </c>
      <c r="W41" s="372">
        <f t="shared" ref="W41:W43" si="21">+$E41*U41</f>
        <v>72935224.863634244</v>
      </c>
      <c r="X41" s="227"/>
      <c r="Y41" s="227"/>
    </row>
    <row r="42" spans="1:27" x14ac:dyDescent="0.25">
      <c r="A42" s="392">
        <f t="shared" si="0"/>
        <v>30</v>
      </c>
      <c r="B42" s="392" t="str">
        <f t="shared" si="14"/>
        <v>7A, 11, 25</v>
      </c>
      <c r="C42" s="334" t="s">
        <v>81</v>
      </c>
      <c r="D42" s="251">
        <f>+'Exhibit No.__(BDJ-SV RD)'!D44</f>
        <v>8.3563999999999999E-2</v>
      </c>
      <c r="E42" s="251">
        <f>+'Exhibit No.__(BDJ-SV RD)'!G44</f>
        <v>8.2977999999999996E-2</v>
      </c>
      <c r="F42" s="104">
        <v>753432437.27237582</v>
      </c>
      <c r="G42" s="372">
        <f t="shared" si="15"/>
        <v>62959828.188228816</v>
      </c>
      <c r="I42" s="104">
        <v>772193281.14606547</v>
      </c>
      <c r="J42" s="372">
        <f t="shared" si="16"/>
        <v>64527559.345689818</v>
      </c>
      <c r="K42" s="372">
        <f t="shared" si="17"/>
        <v>64075054.082938217</v>
      </c>
      <c r="L42" s="227"/>
      <c r="M42" s="227"/>
      <c r="O42" s="104">
        <v>778561276.60693872</v>
      </c>
      <c r="P42" s="372">
        <f t="shared" si="18"/>
        <v>65059694.518382229</v>
      </c>
      <c r="Q42" s="372">
        <f t="shared" si="19"/>
        <v>64603457.610290557</v>
      </c>
      <c r="R42" s="227"/>
      <c r="S42" s="227"/>
      <c r="U42" s="104">
        <v>780294512.43429947</v>
      </c>
      <c r="V42" s="372">
        <f t="shared" si="20"/>
        <v>65204530.6370598</v>
      </c>
      <c r="W42" s="372">
        <f t="shared" si="21"/>
        <v>64747278.052773297</v>
      </c>
      <c r="X42" s="227"/>
      <c r="Y42" s="227"/>
    </row>
    <row r="43" spans="1:27" x14ac:dyDescent="0.25">
      <c r="A43" s="392">
        <f t="shared" si="0"/>
        <v>31</v>
      </c>
      <c r="B43" s="392" t="str">
        <f t="shared" si="14"/>
        <v>7A, 11, 25</v>
      </c>
      <c r="C43" s="334" t="s">
        <v>83</v>
      </c>
      <c r="D43" s="251">
        <f>+'Exhibit No.__(BDJ-SV RD)'!D45</f>
        <v>6.6092999999999999E-2</v>
      </c>
      <c r="E43" s="251">
        <f>+'Exhibit No.__(BDJ-SV RD)'!G45</f>
        <v>6.5629999999999994E-2</v>
      </c>
      <c r="F43" s="104">
        <v>1322748819.8859076</v>
      </c>
      <c r="G43" s="372">
        <f t="shared" si="15"/>
        <v>87424437.752719298</v>
      </c>
      <c r="I43" s="104">
        <v>1357735792.0131969</v>
      </c>
      <c r="J43" s="372">
        <f t="shared" si="16"/>
        <v>89736831.701528221</v>
      </c>
      <c r="K43" s="372">
        <f t="shared" si="17"/>
        <v>89108200.029826105</v>
      </c>
      <c r="L43" s="227"/>
      <c r="M43" s="227"/>
      <c r="O43" s="104">
        <v>1374761445.5082183</v>
      </c>
      <c r="P43" s="372">
        <f t="shared" si="18"/>
        <v>90862108.217974663</v>
      </c>
      <c r="Q43" s="372">
        <f t="shared" si="19"/>
        <v>90225593.668704361</v>
      </c>
      <c r="R43" s="227"/>
      <c r="S43" s="227"/>
      <c r="U43" s="104">
        <v>1373990043.4076226</v>
      </c>
      <c r="V43" s="372">
        <f t="shared" si="20"/>
        <v>90811123.938940004</v>
      </c>
      <c r="W43" s="372">
        <f t="shared" si="21"/>
        <v>90174966.548842266</v>
      </c>
      <c r="X43" s="227"/>
      <c r="Y43" s="227"/>
    </row>
    <row r="44" spans="1:27" x14ac:dyDescent="0.25">
      <c r="A44" s="392">
        <f t="shared" si="0"/>
        <v>32</v>
      </c>
      <c r="B44" s="392" t="str">
        <f t="shared" si="14"/>
        <v>7A, 11, 25</v>
      </c>
      <c r="C44" s="335" t="s">
        <v>26</v>
      </c>
      <c r="D44" s="348"/>
      <c r="E44" s="348"/>
      <c r="F44" s="415">
        <f>SUM(F41:F43)</f>
        <v>2836809000</v>
      </c>
      <c r="G44" s="416">
        <f>SUM(G41:G43)</f>
        <v>220909670.25723207</v>
      </c>
      <c r="I44" s="415">
        <f>SUM(I41:I43)</f>
        <v>2911699000.0000005</v>
      </c>
      <c r="J44" s="416">
        <f>SUM(J41:J43)</f>
        <v>226750098.66389126</v>
      </c>
      <c r="K44" s="416">
        <f>SUM(K41:K43)</f>
        <v>225160811.27699107</v>
      </c>
      <c r="L44" s="227">
        <f t="shared" ref="L44" si="22">ROUND(+L$52/(I$44),6)</f>
        <v>1.0456E-2</v>
      </c>
      <c r="M44" s="227">
        <f>ROUND(+M$52/(I$44),6)</f>
        <v>4.4460000000000003E-3</v>
      </c>
      <c r="O44" s="415">
        <f>SUM(O41:O43)</f>
        <v>2948172000</v>
      </c>
      <c r="P44" s="416">
        <f>SUM(P41:P43)</f>
        <v>229620227.78183952</v>
      </c>
      <c r="Q44" s="416">
        <f>SUM(Q41:Q43)</f>
        <v>228010824.29385242</v>
      </c>
      <c r="R44" s="227">
        <f>ROUND(+R$52/(O$44),6)</f>
        <v>7.9439999999999997E-3</v>
      </c>
      <c r="S44" s="227">
        <f t="shared" ref="S44" si="23">ROUND(+S$52/(O$44),6)</f>
        <v>9.4739999999999998E-3</v>
      </c>
      <c r="U44" s="415">
        <f>SUM(U41:U43)</f>
        <v>2946456000</v>
      </c>
      <c r="V44" s="416">
        <f>SUM(V41:V43)</f>
        <v>229465790.87833679</v>
      </c>
      <c r="W44" s="416">
        <f>SUM(W41:W43)</f>
        <v>227857469.46524978</v>
      </c>
      <c r="X44" s="227">
        <f>ROUND(+X$52/(U$44),6)</f>
        <v>3.4640000000000001E-3</v>
      </c>
      <c r="Y44" s="227">
        <f t="shared" ref="Y44" si="24">ROUND(+Y$52/(U$44),6)</f>
        <v>1.4399E-2</v>
      </c>
      <c r="AA44" s="372"/>
    </row>
    <row r="45" spans="1:27" x14ac:dyDescent="0.25">
      <c r="A45" s="392">
        <f t="shared" si="0"/>
        <v>33</v>
      </c>
      <c r="B45" s="392" t="str">
        <f t="shared" si="14"/>
        <v>7A, 11, 25</v>
      </c>
      <c r="C45" s="333" t="s">
        <v>35</v>
      </c>
      <c r="D45" s="348"/>
      <c r="E45" s="348"/>
      <c r="F45" s="104"/>
      <c r="I45" s="104"/>
      <c r="O45" s="104"/>
      <c r="U45" s="104"/>
    </row>
    <row r="46" spans="1:27" x14ac:dyDescent="0.25">
      <c r="A46" s="392">
        <f t="shared" si="0"/>
        <v>34</v>
      </c>
      <c r="B46" s="392" t="str">
        <f t="shared" si="14"/>
        <v>7A, 11, 25</v>
      </c>
      <c r="C46" s="334" t="s">
        <v>84</v>
      </c>
      <c r="D46" s="348">
        <f>+'Exhibit No.__(BDJ-SV RD)'!D51</f>
        <v>10.119999999999999</v>
      </c>
      <c r="E46" s="348">
        <f>+'Exhibit No.__(BDJ-SV RD)'!G51</f>
        <v>10.119999999999999</v>
      </c>
      <c r="F46" s="104">
        <v>2235443.7115792874</v>
      </c>
      <c r="G46" s="372">
        <f t="shared" ref="G46:G47" si="25">+$D46*F46</f>
        <v>22622690.361182388</v>
      </c>
      <c r="I46" s="104">
        <v>2311361.9473690903</v>
      </c>
      <c r="J46" s="372">
        <f t="shared" ref="J46:J47" si="26">+$D46*I46</f>
        <v>23390982.90737519</v>
      </c>
      <c r="K46" s="372">
        <f t="shared" ref="K46:K47" si="27">+$E46*I46</f>
        <v>23390982.90737519</v>
      </c>
      <c r="O46" s="104">
        <v>2341768.287054738</v>
      </c>
      <c r="P46" s="372">
        <f t="shared" ref="P46:P47" si="28">+$D46*O46</f>
        <v>23698695.064993948</v>
      </c>
      <c r="Q46" s="372">
        <f t="shared" ref="Q46:Q47" si="29">+$E46*O46</f>
        <v>23698695.064993948</v>
      </c>
      <c r="U46" s="104">
        <v>2353228.9616237162</v>
      </c>
      <c r="V46" s="372">
        <f t="shared" ref="V46:V47" si="30">+$D46*U46</f>
        <v>23814677.091632005</v>
      </c>
      <c r="W46" s="372">
        <f t="shared" ref="W46:W47" si="31">+$E46*U46</f>
        <v>23814677.091632005</v>
      </c>
    </row>
    <row r="47" spans="1:27" x14ac:dyDescent="0.25">
      <c r="A47" s="392">
        <f t="shared" si="0"/>
        <v>35</v>
      </c>
      <c r="B47" s="392" t="str">
        <f t="shared" si="14"/>
        <v>7A, 11, 25</v>
      </c>
      <c r="C47" s="334" t="s">
        <v>85</v>
      </c>
      <c r="D47" s="348">
        <f>+'Exhibit No.__(BDJ-SV RD)'!D52</f>
        <v>6.75</v>
      </c>
      <c r="E47" s="348">
        <f>+'Exhibit No.__(BDJ-SV RD)'!G52</f>
        <v>6.75</v>
      </c>
      <c r="F47" s="104">
        <v>2121903.92404202</v>
      </c>
      <c r="G47" s="372">
        <f t="shared" si="25"/>
        <v>14322851.487283636</v>
      </c>
      <c r="I47" s="104">
        <v>2206114.3873631964</v>
      </c>
      <c r="J47" s="372">
        <f t="shared" si="26"/>
        <v>14891272.114701575</v>
      </c>
      <c r="K47" s="372">
        <f t="shared" si="27"/>
        <v>14891272.114701575</v>
      </c>
      <c r="O47" s="104">
        <v>2231832.3058989868</v>
      </c>
      <c r="P47" s="372">
        <f t="shared" si="28"/>
        <v>15064868.064818161</v>
      </c>
      <c r="Q47" s="372">
        <f t="shared" si="29"/>
        <v>15064868.064818161</v>
      </c>
      <c r="U47" s="104">
        <v>2235408.2666578433</v>
      </c>
      <c r="V47" s="372">
        <f t="shared" si="30"/>
        <v>15089005.799940443</v>
      </c>
      <c r="W47" s="372">
        <f t="shared" si="31"/>
        <v>15089005.799940443</v>
      </c>
    </row>
    <row r="48" spans="1:27" x14ac:dyDescent="0.25">
      <c r="A48" s="392">
        <f t="shared" si="0"/>
        <v>36</v>
      </c>
      <c r="B48" s="392" t="str">
        <f t="shared" si="14"/>
        <v>7A, 11, 25</v>
      </c>
      <c r="C48" s="335" t="s">
        <v>26</v>
      </c>
      <c r="D48" s="348"/>
      <c r="E48" s="348"/>
      <c r="F48" s="415">
        <f>SUM(F46:F47)</f>
        <v>4357347.6356213074</v>
      </c>
      <c r="G48" s="416">
        <f>SUM(G46:G47)</f>
        <v>36945541.848466024</v>
      </c>
      <c r="I48" s="415">
        <f>SUM(I46:I47)</f>
        <v>4517476.3347322866</v>
      </c>
      <c r="J48" s="416">
        <f>SUM(J46:J47)</f>
        <v>38282255.022076763</v>
      </c>
      <c r="K48" s="416">
        <f>SUM(K46:K47)</f>
        <v>38282255.022076763</v>
      </c>
      <c r="O48" s="415">
        <f>SUM(O46:O47)</f>
        <v>4573600.5929537248</v>
      </c>
      <c r="P48" s="416">
        <f>SUM(P46:P47)</f>
        <v>38763563.129812106</v>
      </c>
      <c r="Q48" s="416">
        <f>SUM(Q46:Q47)</f>
        <v>38763563.129812106</v>
      </c>
      <c r="U48" s="415">
        <f>SUM(U46:U47)</f>
        <v>4588637.2282815594</v>
      </c>
      <c r="V48" s="416">
        <f>SUM(V46:V47)</f>
        <v>38903682.891572446</v>
      </c>
      <c r="W48" s="416">
        <f>SUM(W46:W47)</f>
        <v>38903682.891572446</v>
      </c>
    </row>
    <row r="49" spans="1:27" x14ac:dyDescent="0.25">
      <c r="A49" s="392">
        <f t="shared" ref="A49:A117" si="32">+A48+1</f>
        <v>37</v>
      </c>
      <c r="B49" s="392" t="str">
        <f t="shared" si="14"/>
        <v>7A, 11, 25</v>
      </c>
      <c r="C49" s="335"/>
      <c r="D49" s="348"/>
      <c r="E49" s="348"/>
      <c r="F49" s="104"/>
      <c r="G49" s="372"/>
      <c r="I49" s="104"/>
      <c r="J49" s="372"/>
      <c r="K49" s="372"/>
      <c r="O49" s="104"/>
      <c r="P49" s="372"/>
      <c r="Q49" s="372"/>
      <c r="U49" s="104"/>
      <c r="V49" s="372"/>
      <c r="W49" s="372"/>
    </row>
    <row r="50" spans="1:27" x14ac:dyDescent="0.25">
      <c r="A50" s="392">
        <f t="shared" si="32"/>
        <v>38</v>
      </c>
      <c r="B50" s="392" t="str">
        <f t="shared" si="14"/>
        <v>7A, 11, 25</v>
      </c>
      <c r="C50" s="333" t="s">
        <v>86</v>
      </c>
      <c r="D50" s="420">
        <f>+'Exhibit No.__(BDJ-SV RD)'!D55</f>
        <v>3.1800000000000001E-3</v>
      </c>
      <c r="E50" s="420">
        <f>+'Exhibit No.__(BDJ-SV RD)'!G55</f>
        <v>3.1800000000000001E-3</v>
      </c>
      <c r="F50" s="415">
        <v>577370911.62192631</v>
      </c>
      <c r="G50" s="416">
        <f t="shared" ref="G50" si="33">+$D50*F50</f>
        <v>1836039.4989577257</v>
      </c>
      <c r="I50" s="415">
        <v>592195660.20454574</v>
      </c>
      <c r="J50" s="416">
        <f t="shared" ref="J50" si="34">+$D50*I50</f>
        <v>1883182.1994504556</v>
      </c>
      <c r="K50" s="416">
        <f>+$E50*I50</f>
        <v>1883182.1994504556</v>
      </c>
      <c r="O50" s="415">
        <v>599193988.63050675</v>
      </c>
      <c r="P50" s="416">
        <f t="shared" ref="P50" si="35">+$D50*O50</f>
        <v>1905436.8838450115</v>
      </c>
      <c r="Q50" s="416">
        <f>+$E50*O50</f>
        <v>1905436.8838450115</v>
      </c>
      <c r="U50" s="415">
        <v>599044974.23540485</v>
      </c>
      <c r="V50" s="416">
        <f t="shared" ref="V50" si="36">+$D50*U50</f>
        <v>1904963.0180685874</v>
      </c>
      <c r="W50" s="372">
        <f>+$E50*U50</f>
        <v>1904963.0180685874</v>
      </c>
    </row>
    <row r="51" spans="1:27" ht="16.5" thickBot="1" x14ac:dyDescent="0.3">
      <c r="A51" s="392">
        <f t="shared" si="32"/>
        <v>39</v>
      </c>
      <c r="B51" s="392" t="str">
        <f t="shared" si="14"/>
        <v>7A, 11, 25</v>
      </c>
      <c r="C51" s="136" t="s">
        <v>413</v>
      </c>
      <c r="D51" s="420"/>
      <c r="E51" s="420"/>
      <c r="F51" s="104"/>
      <c r="G51" s="417">
        <f>SUM(G50,G48,G44,G39)</f>
        <v>265130758.9382588</v>
      </c>
      <c r="I51" s="104"/>
      <c r="J51" s="417">
        <f t="shared" ref="J51:K51" si="37">SUM(J50,J48,J44,J39)</f>
        <v>272361631.84349728</v>
      </c>
      <c r="K51" s="417">
        <f t="shared" si="37"/>
        <v>270772344.45659709</v>
      </c>
      <c r="L51" s="417">
        <f>+L44*I44</f>
        <v>30444724.744000006</v>
      </c>
      <c r="M51" s="417">
        <f>+M44*I44</f>
        <v>12945413.754000003</v>
      </c>
      <c r="O51" s="104"/>
      <c r="P51" s="417">
        <f t="shared" ref="P51" si="38">SUM(P50,P48,P44,P39)</f>
        <v>275813616.36451942</v>
      </c>
      <c r="Q51" s="417">
        <f t="shared" ref="Q51" si="39">SUM(Q50,Q48,Q44,Q39)</f>
        <v>274204212.87653232</v>
      </c>
      <c r="R51" s="417">
        <f>+R44*O44</f>
        <v>23420278.368000001</v>
      </c>
      <c r="S51" s="417">
        <f>+S44*O44</f>
        <v>27930981.528000001</v>
      </c>
      <c r="U51" s="104"/>
      <c r="V51" s="417">
        <f t="shared" ref="V51" si="40">SUM(V50,V48,V44,V39)</f>
        <v>275878218.47665966</v>
      </c>
      <c r="W51" s="417">
        <f t="shared" ref="W51" si="41">SUM(W50,W48,W44,W39)</f>
        <v>274269897.06357265</v>
      </c>
      <c r="X51" s="417">
        <f>+X44*U44</f>
        <v>10206523.584000001</v>
      </c>
      <c r="Y51" s="417">
        <f>+Y44*U44</f>
        <v>42426019.943999998</v>
      </c>
    </row>
    <row r="52" spans="1:27" ht="16.5" thickTop="1" x14ac:dyDescent="0.25">
      <c r="A52" s="392">
        <f t="shared" si="32"/>
        <v>40</v>
      </c>
      <c r="B52" s="392" t="str">
        <f t="shared" si="14"/>
        <v>7A, 11, 25</v>
      </c>
      <c r="C52" s="421" t="s">
        <v>381</v>
      </c>
      <c r="D52" s="348"/>
      <c r="E52" s="348"/>
      <c r="F52" s="104"/>
      <c r="I52" s="104"/>
      <c r="L52" s="372">
        <f>+'Exhibit No.__(BDJ-Rate Spread)'!$S$12*1000*$I$44/SUM($I$44,$I$77)</f>
        <v>30445979.606046587</v>
      </c>
      <c r="M52" s="372">
        <f>+'Exhibit No.__(BDJ-Rate Spread)'!$W$12*1000*$I$44/SUM($I$44,$I$77)</f>
        <v>12946158.383127583</v>
      </c>
      <c r="O52" s="104"/>
      <c r="R52" s="372">
        <f>+'Exhibit No.__(BDJ-Rate Spread)'!$T$12*1000*$O$44/SUM($O$44,$O$77)</f>
        <v>23419263.362904008</v>
      </c>
      <c r="S52" s="372">
        <f>+'Exhibit No.__(BDJ-Rate Spread)'!$X$12*1000*$O$44/SUM($O$44,$O$77)</f>
        <v>27931831.309955567</v>
      </c>
      <c r="U52" s="104"/>
      <c r="X52" s="372">
        <f>+'Exhibit No.__(BDJ-Rate Spread)'!$U$12*1000*$U$44/SUM($U$44,$U$77)</f>
        <v>10207247.994428089</v>
      </c>
      <c r="Y52" s="372">
        <f>+'Exhibit No.__(BDJ-Rate Spread)'!$Y$12*1000*$U$44/SUM($U$44,$U$77)</f>
        <v>42427319.754997976</v>
      </c>
    </row>
    <row r="53" spans="1:27" ht="16.5" thickBot="1" x14ac:dyDescent="0.3">
      <c r="A53" s="392">
        <f t="shared" si="32"/>
        <v>41</v>
      </c>
      <c r="B53" s="392" t="str">
        <f t="shared" si="14"/>
        <v>7A, 11, 25</v>
      </c>
      <c r="C53" s="422" t="s">
        <v>380</v>
      </c>
      <c r="D53" s="348"/>
      <c r="E53" s="348"/>
      <c r="G53" s="372"/>
      <c r="J53" s="372"/>
      <c r="K53" s="372"/>
      <c r="L53" s="372"/>
      <c r="M53" s="417">
        <f>SUM(K51,L51:M51)</f>
        <v>314162482.95459712</v>
      </c>
      <c r="P53" s="372"/>
      <c r="Q53" s="372"/>
      <c r="R53" s="372"/>
      <c r="S53" s="417">
        <f>SUM(Q51,R51:S51)</f>
        <v>325555472.77253234</v>
      </c>
      <c r="V53" s="372"/>
      <c r="W53" s="372"/>
      <c r="X53" s="372"/>
      <c r="Y53" s="417">
        <f>SUM(W51,X51:Y51)</f>
        <v>326902440.59157264</v>
      </c>
    </row>
    <row r="54" spans="1:27" ht="16.5" thickTop="1" x14ac:dyDescent="0.25">
      <c r="A54" s="392">
        <f t="shared" si="32"/>
        <v>42</v>
      </c>
      <c r="D54" s="348"/>
      <c r="E54" s="348"/>
    </row>
    <row r="55" spans="1:27" x14ac:dyDescent="0.25">
      <c r="A55" s="392">
        <f t="shared" si="32"/>
        <v>43</v>
      </c>
      <c r="B55" s="393" t="s">
        <v>58</v>
      </c>
      <c r="C55" s="333" t="s">
        <v>33</v>
      </c>
      <c r="D55" s="348">
        <f>+'Exhibit No.__(BDJ-SV RD)'!D86</f>
        <v>109.08</v>
      </c>
      <c r="E55" s="348">
        <f>+'Exhibit No.__(BDJ-SV RD)'!G86</f>
        <v>109.08</v>
      </c>
      <c r="F55" s="104">
        <v>10218.051131441669</v>
      </c>
      <c r="G55" s="372">
        <f>+$D55*F55</f>
        <v>1114585.0174176572</v>
      </c>
      <c r="I55" s="104">
        <v>10573.371751323841</v>
      </c>
      <c r="J55" s="372">
        <f>+$D55*I55</f>
        <v>1153343.3906344045</v>
      </c>
      <c r="K55" s="372">
        <f>+$E55*I55</f>
        <v>1153343.3906344045</v>
      </c>
      <c r="O55" s="104">
        <v>11333.555688686807</v>
      </c>
      <c r="P55" s="372">
        <f>+$D55*O55</f>
        <v>1236264.2545219569</v>
      </c>
      <c r="Q55" s="372">
        <f>+$E55*O55</f>
        <v>1236264.2545219569</v>
      </c>
      <c r="U55" s="104">
        <v>12531.784032918931</v>
      </c>
      <c r="V55" s="372">
        <f>+$D55*U55</f>
        <v>1366967.0023107971</v>
      </c>
      <c r="W55" s="372">
        <f>+$E55*U55</f>
        <v>1366967.0023107971</v>
      </c>
    </row>
    <row r="56" spans="1:27" x14ac:dyDescent="0.25">
      <c r="A56" s="392">
        <f t="shared" si="32"/>
        <v>44</v>
      </c>
      <c r="B56" s="392" t="str">
        <f t="shared" ref="B56:B66" si="42">+B55</f>
        <v>12, 26, 26P</v>
      </c>
      <c r="C56" s="419" t="s">
        <v>75</v>
      </c>
      <c r="D56" s="348"/>
      <c r="E56" s="348"/>
      <c r="F56" s="104"/>
      <c r="G56" s="372"/>
      <c r="I56" s="104"/>
      <c r="J56" s="372"/>
      <c r="K56" s="372"/>
      <c r="O56" s="104"/>
      <c r="P56" s="372"/>
      <c r="Q56" s="372"/>
      <c r="U56" s="104"/>
      <c r="V56" s="372"/>
      <c r="W56" s="372"/>
    </row>
    <row r="57" spans="1:27" x14ac:dyDescent="0.25">
      <c r="A57" s="392">
        <f t="shared" si="32"/>
        <v>45</v>
      </c>
      <c r="B57" s="392" t="str">
        <f t="shared" si="42"/>
        <v>12, 26, 26P</v>
      </c>
      <c r="C57" s="334" t="s">
        <v>41</v>
      </c>
      <c r="D57" s="251">
        <f>+'Exhibit No.__(BDJ-SV RD)'!D88</f>
        <v>5.9096000000000003E-2</v>
      </c>
      <c r="E57" s="251">
        <f>+'Exhibit No.__(BDJ-SV RD)'!G88</f>
        <v>5.8595000000000001E-2</v>
      </c>
      <c r="F57" s="104">
        <v>1789712000</v>
      </c>
      <c r="G57" s="372">
        <f t="shared" ref="G57" si="43">+$D57*F57</f>
        <v>105764820.352</v>
      </c>
      <c r="I57" s="104">
        <v>1831289000</v>
      </c>
      <c r="J57" s="372">
        <f t="shared" ref="J57:J60" si="44">+$D57*I57</f>
        <v>108221854.744</v>
      </c>
      <c r="K57" s="372">
        <f>+$E57*I57</f>
        <v>107304378.955</v>
      </c>
      <c r="L57" s="227">
        <f>ROUND(+L$65/I$57,6)</f>
        <v>9.1129999999999996E-3</v>
      </c>
      <c r="M57" s="227">
        <f>ROUND(+M$65/I$57,6)</f>
        <v>3.875E-3</v>
      </c>
      <c r="O57" s="104">
        <v>1853862000</v>
      </c>
      <c r="P57" s="372">
        <f t="shared" ref="P57:P60" si="45">+$D57*O57</f>
        <v>109555828.752</v>
      </c>
      <c r="Q57" s="372">
        <f>+$E57*O57</f>
        <v>108627043.89</v>
      </c>
      <c r="R57" s="227">
        <f>ROUND(+R$65/O$57,6)</f>
        <v>6.9249999999999997E-3</v>
      </c>
      <c r="S57" s="227">
        <f>ROUND(+S$65/O$57,6)</f>
        <v>8.2590000000000007E-3</v>
      </c>
      <c r="U57" s="104">
        <v>1858617000</v>
      </c>
      <c r="V57" s="372">
        <f t="shared" ref="V57:V60" si="46">+$D57*U57</f>
        <v>109836830.23200001</v>
      </c>
      <c r="W57" s="372">
        <f>+$E57*U57</f>
        <v>108905663.11500001</v>
      </c>
      <c r="X57" s="227">
        <f>ROUND(+X$65/U$57,6)</f>
        <v>3.0100000000000001E-3</v>
      </c>
      <c r="Y57" s="227">
        <f>ROUND(+Y$65/U$57,6)</f>
        <v>1.2513E-2</v>
      </c>
      <c r="AA57" s="372"/>
    </row>
    <row r="58" spans="1:27" x14ac:dyDescent="0.25">
      <c r="A58" s="392">
        <f t="shared" si="32"/>
        <v>46</v>
      </c>
      <c r="B58" s="392" t="str">
        <f t="shared" si="42"/>
        <v>12, 26, 26P</v>
      </c>
      <c r="C58" s="333" t="s">
        <v>35</v>
      </c>
      <c r="D58" s="348"/>
      <c r="E58" s="348"/>
      <c r="F58" s="104"/>
      <c r="I58" s="104"/>
      <c r="O58" s="104"/>
      <c r="U58" s="104"/>
    </row>
    <row r="59" spans="1:27" x14ac:dyDescent="0.25">
      <c r="A59" s="392">
        <f t="shared" si="32"/>
        <v>47</v>
      </c>
      <c r="B59" s="392" t="str">
        <f t="shared" si="42"/>
        <v>12, 26, 26P</v>
      </c>
      <c r="C59" s="334" t="s">
        <v>90</v>
      </c>
      <c r="D59" s="348">
        <f>+'Exhibit No.__(BDJ-SV RD)'!D94</f>
        <v>12.23</v>
      </c>
      <c r="E59" s="348">
        <f>+'Exhibit No.__(BDJ-SV RD)'!G94</f>
        <v>12.23</v>
      </c>
      <c r="F59" s="104">
        <v>2152069.7666545114</v>
      </c>
      <c r="G59" s="372">
        <f t="shared" ref="G59:G60" si="47">+$D59*F59</f>
        <v>26319813.246184677</v>
      </c>
      <c r="I59" s="104">
        <v>2166079.5198340947</v>
      </c>
      <c r="J59" s="372">
        <f t="shared" si="44"/>
        <v>26491152.527570978</v>
      </c>
      <c r="K59" s="372">
        <f t="shared" ref="K59:K60" si="48">+$E59*I59</f>
        <v>26491152.527570978</v>
      </c>
      <c r="O59" s="104">
        <v>2170544.7039725371</v>
      </c>
      <c r="P59" s="372">
        <f t="shared" si="45"/>
        <v>26545761.729584128</v>
      </c>
      <c r="Q59" s="372">
        <f t="shared" ref="Q59:Q60" si="49">+$E59*O59</f>
        <v>26545761.729584128</v>
      </c>
      <c r="U59" s="104">
        <v>2173745.617575177</v>
      </c>
      <c r="V59" s="372">
        <f t="shared" si="46"/>
        <v>26584908.902944416</v>
      </c>
      <c r="W59" s="372">
        <f t="shared" ref="W59:W60" si="50">+$E59*U59</f>
        <v>26584908.902944416</v>
      </c>
    </row>
    <row r="60" spans="1:27" x14ac:dyDescent="0.25">
      <c r="A60" s="392">
        <f t="shared" si="32"/>
        <v>48</v>
      </c>
      <c r="B60" s="392" t="str">
        <f t="shared" si="42"/>
        <v>12, 26, 26P</v>
      </c>
      <c r="C60" s="334" t="s">
        <v>91</v>
      </c>
      <c r="D60" s="348">
        <f>+'Exhibit No.__(BDJ-SV RD)'!D95</f>
        <v>8.15</v>
      </c>
      <c r="E60" s="348">
        <f>+'Exhibit No.__(BDJ-SV RD)'!G95</f>
        <v>8.15</v>
      </c>
      <c r="F60" s="104">
        <v>2255629.4570080377</v>
      </c>
      <c r="G60" s="372">
        <f t="shared" si="47"/>
        <v>18383380.074615508</v>
      </c>
      <c r="I60" s="104">
        <v>2260766.8850435158</v>
      </c>
      <c r="J60" s="372">
        <f t="shared" si="44"/>
        <v>18425250.113104656</v>
      </c>
      <c r="K60" s="372">
        <f t="shared" si="48"/>
        <v>18425250.113104656</v>
      </c>
      <c r="O60" s="104">
        <v>2265015.1757267229</v>
      </c>
      <c r="P60" s="372">
        <f t="shared" si="45"/>
        <v>18459873.682172794</v>
      </c>
      <c r="Q60" s="372">
        <f t="shared" si="49"/>
        <v>18459873.682172794</v>
      </c>
      <c r="U60" s="104">
        <v>2264006.6307927999</v>
      </c>
      <c r="V60" s="372">
        <f t="shared" si="46"/>
        <v>18451654.040961321</v>
      </c>
      <c r="W60" s="372">
        <f t="shared" si="50"/>
        <v>18451654.040961321</v>
      </c>
    </row>
    <row r="61" spans="1:27" x14ac:dyDescent="0.25">
      <c r="A61" s="392">
        <f t="shared" si="32"/>
        <v>49</v>
      </c>
      <c r="B61" s="392" t="str">
        <f t="shared" si="42"/>
        <v>12, 26, 26P</v>
      </c>
      <c r="C61" s="335" t="s">
        <v>26</v>
      </c>
      <c r="D61" s="348"/>
      <c r="E61" s="348"/>
      <c r="F61" s="415">
        <f>SUM(F59:F60)</f>
        <v>4407699.2236625496</v>
      </c>
      <c r="G61" s="416">
        <f>SUM(G59:G60)</f>
        <v>44703193.320800185</v>
      </c>
      <c r="I61" s="415">
        <f>SUM(I59:I60)</f>
        <v>4426846.4048776105</v>
      </c>
      <c r="J61" s="416">
        <f>SUM(J59:J60)</f>
        <v>44916402.640675634</v>
      </c>
      <c r="K61" s="416">
        <f>SUM(K59:K60)</f>
        <v>44916402.640675634</v>
      </c>
      <c r="O61" s="415">
        <f>SUM(O59:O60)</f>
        <v>4435559.87969926</v>
      </c>
      <c r="P61" s="416">
        <f>SUM(P59:P60)</f>
        <v>45005635.411756918</v>
      </c>
      <c r="Q61" s="416">
        <f>SUM(Q59:Q60)</f>
        <v>45005635.411756918</v>
      </c>
      <c r="U61" s="415">
        <f>SUM(U59:U60)</f>
        <v>4437752.2483679764</v>
      </c>
      <c r="V61" s="416">
        <f>SUM(V59:V60)</f>
        <v>45036562.943905741</v>
      </c>
      <c r="W61" s="416">
        <f>SUM(W59:W60)</f>
        <v>45036562.943905741</v>
      </c>
    </row>
    <row r="62" spans="1:27" x14ac:dyDescent="0.25">
      <c r="A62" s="392">
        <f t="shared" si="32"/>
        <v>50</v>
      </c>
      <c r="B62" s="392" t="str">
        <f t="shared" si="42"/>
        <v>12, 26, 26P</v>
      </c>
      <c r="C62" s="335"/>
      <c r="D62" s="348"/>
      <c r="E62" s="348"/>
      <c r="F62" s="104"/>
      <c r="I62" s="104"/>
      <c r="O62" s="104"/>
      <c r="U62" s="104"/>
    </row>
    <row r="63" spans="1:27" x14ac:dyDescent="0.25">
      <c r="A63" s="392">
        <f t="shared" si="32"/>
        <v>51</v>
      </c>
      <c r="B63" s="392" t="str">
        <f t="shared" si="42"/>
        <v>12, 26, 26P</v>
      </c>
      <c r="C63" s="333" t="s">
        <v>86</v>
      </c>
      <c r="D63" s="420">
        <f>+'Exhibit No.__(BDJ-SV RD)'!D98</f>
        <v>1.2999999999999999E-3</v>
      </c>
      <c r="E63" s="420">
        <f>+'Exhibit No.__(BDJ-SV RD)'!G98</f>
        <v>1.2999999999999999E-3</v>
      </c>
      <c r="F63" s="104">
        <v>760835311.06196761</v>
      </c>
      <c r="G63" s="372">
        <f t="shared" ref="G63" si="51">+$D63*F63</f>
        <v>989085.90438055783</v>
      </c>
      <c r="I63" s="104">
        <v>777956807.55748641</v>
      </c>
      <c r="J63" s="372">
        <f t="shared" ref="J63" si="52">+$D63*I63</f>
        <v>1011343.8498247323</v>
      </c>
      <c r="K63" s="372">
        <f>+$E63*I63</f>
        <v>1011343.8498247323</v>
      </c>
      <c r="O63" s="104">
        <v>786534330.97848678</v>
      </c>
      <c r="P63" s="372">
        <f t="shared" ref="P63" si="53">+$D63*O63</f>
        <v>1022494.6302720328</v>
      </c>
      <c r="Q63" s="372">
        <f>+$E63*O63</f>
        <v>1022494.6302720328</v>
      </c>
      <c r="U63" s="104">
        <v>789243070.34018457</v>
      </c>
      <c r="V63" s="372">
        <f t="shared" ref="V63" si="54">+$D63*U63</f>
        <v>1026015.9914422398</v>
      </c>
      <c r="W63" s="372">
        <f>+$E63*U63</f>
        <v>1026015.9914422398</v>
      </c>
    </row>
    <row r="64" spans="1:27" ht="16.5" thickBot="1" x14ac:dyDescent="0.3">
      <c r="A64" s="392">
        <f t="shared" si="32"/>
        <v>52</v>
      </c>
      <c r="B64" s="392" t="str">
        <f t="shared" si="42"/>
        <v>12, 26, 26P</v>
      </c>
      <c r="C64" s="136" t="s">
        <v>413</v>
      </c>
      <c r="D64" s="420"/>
      <c r="E64" s="420"/>
      <c r="F64" s="104"/>
      <c r="G64" s="417">
        <f>SUM(G63,G61,G57,G55)</f>
        <v>152571684.59459841</v>
      </c>
      <c r="I64" s="104"/>
      <c r="J64" s="417">
        <f t="shared" ref="J64:K64" si="55">SUM(J63,J61,J57,J55)</f>
        <v>155302944.6251348</v>
      </c>
      <c r="K64" s="417">
        <f t="shared" si="55"/>
        <v>154385468.83613479</v>
      </c>
      <c r="L64" s="417">
        <f>+L57*I57</f>
        <v>16688536.657</v>
      </c>
      <c r="M64" s="417">
        <f>+M57*I57</f>
        <v>7096244.875</v>
      </c>
      <c r="O64" s="104"/>
      <c r="P64" s="417">
        <f t="shared" ref="P64:Q64" si="56">SUM(P63,P61,P57,P55)</f>
        <v>156820223.0485509</v>
      </c>
      <c r="Q64" s="417">
        <f t="shared" si="56"/>
        <v>155891438.18655092</v>
      </c>
      <c r="R64" s="417">
        <f>+R57*O57</f>
        <v>12837994.35</v>
      </c>
      <c r="S64" s="417">
        <f>+S57*O57</f>
        <v>15311046.258000001</v>
      </c>
      <c r="U64" s="104"/>
      <c r="V64" s="417">
        <f t="shared" ref="V64:W64" si="57">SUM(V63,V61,V57,V55)</f>
        <v>157266376.16965878</v>
      </c>
      <c r="W64" s="417">
        <f t="shared" si="57"/>
        <v>156335209.05265877</v>
      </c>
      <c r="X64" s="417">
        <f>+X57*U57</f>
        <v>5594437.1699999999</v>
      </c>
      <c r="Y64" s="417">
        <f>+Y57*U57</f>
        <v>23256874.520999998</v>
      </c>
    </row>
    <row r="65" spans="1:25" ht="16.5" thickTop="1" x14ac:dyDescent="0.25">
      <c r="A65" s="392">
        <f t="shared" si="32"/>
        <v>53</v>
      </c>
      <c r="B65" s="392" t="str">
        <f t="shared" si="42"/>
        <v>12, 26, 26P</v>
      </c>
      <c r="C65" s="421" t="s">
        <v>381</v>
      </c>
      <c r="D65" s="348"/>
      <c r="E65" s="348"/>
      <c r="L65" s="372">
        <f>+'Exhibit No.__(BDJ-Rate Spread)'!S13*1000</f>
        <v>16689321.543997906</v>
      </c>
      <c r="M65" s="372">
        <f>+'Exhibit No.__(BDJ-Rate Spread)'!W13*1000</f>
        <v>7096588.8702306729</v>
      </c>
      <c r="R65" s="372">
        <f>+'Exhibit No.__(BDJ-Rate Spread)'!T13*1000</f>
        <v>12837224.981995575</v>
      </c>
      <c r="S65" s="372">
        <f>+'Exhibit No.__(BDJ-Rate Spread)'!X13*1000</f>
        <v>15310780.579589725</v>
      </c>
      <c r="X65" s="372">
        <f>+'Exhibit No.__(BDJ-Rate Spread)'!U13*1000</f>
        <v>5595082.9576829383</v>
      </c>
      <c r="Y65" s="372">
        <f>+'Exhibit No.__(BDJ-Rate Spread)'!Y13*1000</f>
        <v>23256452.065330114</v>
      </c>
    </row>
    <row r="66" spans="1:25" ht="16.5" thickBot="1" x14ac:dyDescent="0.3">
      <c r="A66" s="392">
        <f t="shared" si="32"/>
        <v>54</v>
      </c>
      <c r="B66" s="392" t="str">
        <f t="shared" si="42"/>
        <v>12, 26, 26P</v>
      </c>
      <c r="C66" s="422" t="s">
        <v>382</v>
      </c>
      <c r="G66" s="372"/>
      <c r="J66" s="372"/>
      <c r="K66" s="372"/>
      <c r="L66" s="372"/>
      <c r="M66" s="417">
        <f>SUM(K64,L64:M64)</f>
        <v>178170250.3681348</v>
      </c>
      <c r="P66" s="372"/>
      <c r="Q66" s="372"/>
      <c r="R66" s="372"/>
      <c r="S66" s="417">
        <f>SUM(Q64,R64:S64)</f>
        <v>184040478.7945509</v>
      </c>
      <c r="V66" s="372"/>
      <c r="W66" s="372"/>
      <c r="X66" s="372"/>
      <c r="Y66" s="417">
        <f>SUM(W64,X64:Y64)</f>
        <v>185186520.74365875</v>
      </c>
    </row>
    <row r="67" spans="1:25" ht="16.5" thickTop="1" x14ac:dyDescent="0.25">
      <c r="A67" s="392">
        <f t="shared" si="32"/>
        <v>55</v>
      </c>
    </row>
    <row r="68" spans="1:25" x14ac:dyDescent="0.25">
      <c r="A68" s="392">
        <f t="shared" si="32"/>
        <v>56</v>
      </c>
      <c r="B68" s="392">
        <v>29</v>
      </c>
      <c r="C68" s="333" t="s">
        <v>33</v>
      </c>
    </row>
    <row r="69" spans="1:25" x14ac:dyDescent="0.25">
      <c r="A69" s="392">
        <f t="shared" si="32"/>
        <v>57</v>
      </c>
      <c r="B69" s="392">
        <f>+B68</f>
        <v>29</v>
      </c>
      <c r="C69" s="333" t="s">
        <v>31</v>
      </c>
      <c r="D69" s="348">
        <f>+'Exhibit No.__(BDJ-SV RD)'!D146</f>
        <v>9.99</v>
      </c>
      <c r="E69" s="348">
        <f>+'Exhibit No.__(BDJ-SV RD)'!G146</f>
        <v>9.99</v>
      </c>
      <c r="F69" s="104">
        <v>2398</v>
      </c>
      <c r="G69" s="372">
        <f t="shared" ref="G69:G70" si="58">+$D69*F69</f>
        <v>23956.02</v>
      </c>
      <c r="I69" s="104">
        <v>2421</v>
      </c>
      <c r="J69" s="372">
        <f t="shared" ref="J69:J70" si="59">+$D69*I69</f>
        <v>24185.79</v>
      </c>
      <c r="K69" s="372">
        <f>+$E69*I69</f>
        <v>24185.79</v>
      </c>
      <c r="O69" s="104">
        <v>2447</v>
      </c>
      <c r="P69" s="372">
        <f t="shared" ref="P69:P70" si="60">+$D69*O69</f>
        <v>24445.53</v>
      </c>
      <c r="Q69" s="372">
        <f>+$E69*O69</f>
        <v>24445.53</v>
      </c>
      <c r="U69" s="104">
        <v>2469</v>
      </c>
      <c r="V69" s="372">
        <f t="shared" ref="V69:V70" si="61">+$D69*U69</f>
        <v>24665.31</v>
      </c>
      <c r="W69" s="372">
        <f>+$E69*U69</f>
        <v>24665.31</v>
      </c>
    </row>
    <row r="70" spans="1:25" x14ac:dyDescent="0.25">
      <c r="A70" s="392">
        <f t="shared" si="32"/>
        <v>58</v>
      </c>
      <c r="B70" s="392">
        <f t="shared" ref="B70:B86" si="62">+B69</f>
        <v>29</v>
      </c>
      <c r="C70" s="333" t="s">
        <v>32</v>
      </c>
      <c r="D70" s="348">
        <f>+'Exhibit No.__(BDJ-SV RD)'!D147</f>
        <v>25.36</v>
      </c>
      <c r="E70" s="348">
        <f>+'Exhibit No.__(BDJ-SV RD)'!G147</f>
        <v>25.36</v>
      </c>
      <c r="F70" s="104">
        <v>5540</v>
      </c>
      <c r="G70" s="372">
        <f t="shared" si="58"/>
        <v>140494.39999999999</v>
      </c>
      <c r="I70" s="104">
        <v>5598</v>
      </c>
      <c r="J70" s="372">
        <f t="shared" si="59"/>
        <v>141965.28</v>
      </c>
      <c r="K70" s="372">
        <f>+$E70*I70</f>
        <v>141965.28</v>
      </c>
      <c r="O70" s="104">
        <v>5652</v>
      </c>
      <c r="P70" s="372">
        <f t="shared" si="60"/>
        <v>143334.72</v>
      </c>
      <c r="Q70" s="372">
        <f>+$E70*O70</f>
        <v>143334.72</v>
      </c>
      <c r="U70" s="104">
        <v>5705</v>
      </c>
      <c r="V70" s="372">
        <f t="shared" si="61"/>
        <v>144678.79999999999</v>
      </c>
      <c r="W70" s="372">
        <f>+$E70*U70</f>
        <v>144678.79999999999</v>
      </c>
    </row>
    <row r="71" spans="1:25" x14ac:dyDescent="0.25">
      <c r="A71" s="392">
        <f t="shared" si="32"/>
        <v>59</v>
      </c>
      <c r="B71" s="392">
        <f t="shared" si="62"/>
        <v>29</v>
      </c>
      <c r="C71" s="335" t="s">
        <v>26</v>
      </c>
      <c r="D71" s="348"/>
      <c r="E71" s="348"/>
      <c r="F71" s="415">
        <f>SUM(F69:F70)</f>
        <v>7938</v>
      </c>
      <c r="G71" s="416">
        <f>SUM(G69:G70)</f>
        <v>164450.41999999998</v>
      </c>
      <c r="I71" s="415">
        <f>SUM(I69:I70)</f>
        <v>8019</v>
      </c>
      <c r="J71" s="416">
        <f>SUM(J69:J70)</f>
        <v>166151.07</v>
      </c>
      <c r="K71" s="416">
        <f>SUM(K69:K70)</f>
        <v>166151.07</v>
      </c>
      <c r="O71" s="415">
        <f>SUM(O69:O70)</f>
        <v>8099</v>
      </c>
      <c r="P71" s="416">
        <f>SUM(P69:P70)</f>
        <v>167780.25</v>
      </c>
      <c r="Q71" s="416">
        <f>SUM(Q69:Q70)</f>
        <v>167780.25</v>
      </c>
      <c r="U71" s="415">
        <f>SUM(U69:U70)</f>
        <v>8174</v>
      </c>
      <c r="V71" s="416">
        <f>SUM(V69:V70)</f>
        <v>169344.11</v>
      </c>
      <c r="W71" s="416">
        <f>SUM(W69:W70)</f>
        <v>169344.11</v>
      </c>
    </row>
    <row r="72" spans="1:25" x14ac:dyDescent="0.25">
      <c r="A72" s="392">
        <f t="shared" si="32"/>
        <v>60</v>
      </c>
      <c r="B72" s="392">
        <f t="shared" si="62"/>
        <v>29</v>
      </c>
      <c r="C72" s="333" t="s">
        <v>36</v>
      </c>
      <c r="D72" s="348"/>
      <c r="E72" s="348"/>
      <c r="F72" s="104"/>
      <c r="I72" s="104"/>
      <c r="O72" s="104"/>
      <c r="U72" s="104"/>
    </row>
    <row r="73" spans="1:25" x14ac:dyDescent="0.25">
      <c r="A73" s="392">
        <f t="shared" si="32"/>
        <v>61</v>
      </c>
      <c r="B73" s="392">
        <f t="shared" si="62"/>
        <v>29</v>
      </c>
      <c r="C73" s="334" t="s">
        <v>82</v>
      </c>
      <c r="D73" s="251">
        <f>+'Exhibit No.__(BDJ-SV RD)'!D150</f>
        <v>9.3538999999999997E-2</v>
      </c>
      <c r="E73" s="251">
        <f>+'Exhibit No.__(BDJ-SV RD)'!G150</f>
        <v>9.2884999999999995E-2</v>
      </c>
      <c r="F73" s="104">
        <v>2171026.3112551076</v>
      </c>
      <c r="G73" s="372">
        <f t="shared" ref="G73:G76" si="63">+$D73*F73</f>
        <v>203075.6301284915</v>
      </c>
      <c r="I73" s="104">
        <v>2224468.7480835142</v>
      </c>
      <c r="J73" s="372">
        <f t="shared" ref="J73:J76" si="64">+$D73*I73</f>
        <v>208074.58222698382</v>
      </c>
      <c r="K73" s="372">
        <f t="shared" ref="K73:K76" si="65">+$E73*I73</f>
        <v>206619.77966573721</v>
      </c>
      <c r="L73" s="227"/>
      <c r="M73" s="227"/>
      <c r="O73" s="104">
        <v>2250148.0672441293</v>
      </c>
      <c r="P73" s="372">
        <f t="shared" ref="P73:P76" si="66">+$D73*O73</f>
        <v>210476.60006194859</v>
      </c>
      <c r="Q73" s="372">
        <f t="shared" ref="Q73:Q76" si="67">+$E73*O73</f>
        <v>209005.00322597093</v>
      </c>
      <c r="R73" s="227"/>
      <c r="S73" s="227"/>
      <c r="U73" s="104">
        <v>2243073.7919268189</v>
      </c>
      <c r="V73" s="372">
        <f t="shared" ref="V73:V76" si="68">+$D73*U73</f>
        <v>209814.8794230427</v>
      </c>
      <c r="W73" s="372">
        <f t="shared" ref="W73:W76" si="69">+$E73*U73</f>
        <v>208347.90916312256</v>
      </c>
      <c r="X73" s="227"/>
      <c r="Y73" s="227"/>
    </row>
    <row r="74" spans="1:25" x14ac:dyDescent="0.25">
      <c r="A74" s="392">
        <f t="shared" si="32"/>
        <v>62</v>
      </c>
      <c r="B74" s="392">
        <f t="shared" si="62"/>
        <v>29</v>
      </c>
      <c r="C74" s="334" t="s">
        <v>102</v>
      </c>
      <c r="D74" s="251">
        <f>+'Exhibit No.__(BDJ-SV RD)'!D151</f>
        <v>7.1040000000000006E-2</v>
      </c>
      <c r="E74" s="251">
        <f>+'Exhibit No.__(BDJ-SV RD)'!G151</f>
        <v>7.0542999999999995E-2</v>
      </c>
      <c r="F74" s="104">
        <v>11162492.38423821</v>
      </c>
      <c r="G74" s="372">
        <f t="shared" si="63"/>
        <v>792983.45897628251</v>
      </c>
      <c r="I74" s="104">
        <v>11418218.080074316</v>
      </c>
      <c r="J74" s="372">
        <f t="shared" si="64"/>
        <v>811150.21240847942</v>
      </c>
      <c r="K74" s="372">
        <f t="shared" si="65"/>
        <v>805475.35802268237</v>
      </c>
      <c r="L74" s="227"/>
      <c r="M74" s="227"/>
      <c r="O74" s="104">
        <v>11494476.460111147</v>
      </c>
      <c r="P74" s="372">
        <f t="shared" si="66"/>
        <v>816567.60772629594</v>
      </c>
      <c r="Q74" s="372">
        <f t="shared" si="67"/>
        <v>810854.85292562062</v>
      </c>
      <c r="R74" s="227"/>
      <c r="S74" s="227"/>
      <c r="U74" s="104">
        <v>11493350.474201521</v>
      </c>
      <c r="V74" s="372">
        <f t="shared" si="68"/>
        <v>816487.6176872761</v>
      </c>
      <c r="W74" s="372">
        <f t="shared" si="69"/>
        <v>810775.42250159779</v>
      </c>
      <c r="X74" s="227"/>
      <c r="Y74" s="227"/>
    </row>
    <row r="75" spans="1:25" x14ac:dyDescent="0.25">
      <c r="A75" s="392">
        <f t="shared" si="32"/>
        <v>63</v>
      </c>
      <c r="B75" s="392">
        <f t="shared" si="62"/>
        <v>29</v>
      </c>
      <c r="C75" s="334" t="s">
        <v>81</v>
      </c>
      <c r="D75" s="251">
        <f>+'Exhibit No.__(BDJ-SV RD)'!D152</f>
        <v>6.4817E-2</v>
      </c>
      <c r="E75" s="251">
        <f>+'Exhibit No.__(BDJ-SV RD)'!G152</f>
        <v>6.4364000000000005E-2</v>
      </c>
      <c r="F75" s="104">
        <v>153973.68874489251</v>
      </c>
      <c r="G75" s="372">
        <f t="shared" si="63"/>
        <v>9980.1125833776987</v>
      </c>
      <c r="I75" s="104">
        <v>157531.25191648593</v>
      </c>
      <c r="J75" s="372">
        <f t="shared" si="64"/>
        <v>10210.703155470868</v>
      </c>
      <c r="K75" s="372">
        <f t="shared" si="65"/>
        <v>10139.3414983527</v>
      </c>
      <c r="L75" s="227"/>
      <c r="M75" s="227"/>
      <c r="O75" s="104">
        <v>159851.93275587048</v>
      </c>
      <c r="P75" s="372">
        <f t="shared" si="66"/>
        <v>10361.122725437257</v>
      </c>
      <c r="Q75" s="372">
        <f t="shared" si="67"/>
        <v>10288.709799898848</v>
      </c>
      <c r="R75" s="227"/>
      <c r="S75" s="227"/>
      <c r="U75" s="104">
        <v>158926.2080731811</v>
      </c>
      <c r="V75" s="372">
        <f t="shared" si="68"/>
        <v>10301.120028679379</v>
      </c>
      <c r="W75" s="372">
        <f t="shared" si="69"/>
        <v>10229.126456422229</v>
      </c>
      <c r="X75" s="227"/>
      <c r="Y75" s="227"/>
    </row>
    <row r="76" spans="1:25" x14ac:dyDescent="0.25">
      <c r="A76" s="392">
        <f t="shared" si="32"/>
        <v>64</v>
      </c>
      <c r="B76" s="392">
        <f t="shared" si="62"/>
        <v>29</v>
      </c>
      <c r="C76" s="334" t="s">
        <v>101</v>
      </c>
      <c r="D76" s="251">
        <f>+'Exhibit No.__(BDJ-SV RD)'!D153</f>
        <v>5.5537000000000003E-2</v>
      </c>
      <c r="E76" s="251">
        <f>+'Exhibit No.__(BDJ-SV RD)'!G153</f>
        <v>5.5148999999999997E-2</v>
      </c>
      <c r="F76" s="104">
        <v>848507.61576178996</v>
      </c>
      <c r="G76" s="372">
        <f t="shared" si="63"/>
        <v>47123.56745656253</v>
      </c>
      <c r="I76" s="104">
        <v>867781.91992568295</v>
      </c>
      <c r="J76" s="372">
        <f t="shared" si="64"/>
        <v>48194.004486912658</v>
      </c>
      <c r="K76" s="372">
        <f t="shared" si="65"/>
        <v>47857.305101981488</v>
      </c>
      <c r="L76" s="227"/>
      <c r="M76" s="227"/>
      <c r="O76" s="104">
        <v>873523.53988885297</v>
      </c>
      <c r="P76" s="372">
        <f t="shared" si="66"/>
        <v>48512.876834807234</v>
      </c>
      <c r="Q76" s="372">
        <f t="shared" si="67"/>
        <v>48173.949701330348</v>
      </c>
      <c r="R76" s="227"/>
      <c r="S76" s="227"/>
      <c r="U76" s="104">
        <v>873649.52579847875</v>
      </c>
      <c r="V76" s="372">
        <f t="shared" si="68"/>
        <v>48519.873714270114</v>
      </c>
      <c r="W76" s="372">
        <f t="shared" si="69"/>
        <v>48180.897698260298</v>
      </c>
      <c r="X76" s="227"/>
      <c r="Y76" s="227"/>
    </row>
    <row r="77" spans="1:25" x14ac:dyDescent="0.25">
      <c r="A77" s="392">
        <f t="shared" si="32"/>
        <v>65</v>
      </c>
      <c r="B77" s="392">
        <f t="shared" si="62"/>
        <v>29</v>
      </c>
      <c r="C77" s="335" t="s">
        <v>26</v>
      </c>
      <c r="D77" s="348"/>
      <c r="E77" s="348"/>
      <c r="F77" s="415">
        <f>SUM(F73:F76)</f>
        <v>14336000.000000002</v>
      </c>
      <c r="G77" s="416">
        <f>SUM(G73:G76)</f>
        <v>1053162.7691447141</v>
      </c>
      <c r="I77" s="415">
        <f>SUM(I73:I76)</f>
        <v>14668000</v>
      </c>
      <c r="J77" s="416">
        <f>SUM(J73:J76)</f>
        <v>1077629.5022778469</v>
      </c>
      <c r="K77" s="416">
        <f>SUM(K73:K76)</f>
        <v>1070091.7842887538</v>
      </c>
      <c r="L77" s="227">
        <f t="shared" ref="L77" si="70">ROUND(+L$85/(I$77),6)</f>
        <v>1.0456E-2</v>
      </c>
      <c r="M77" s="227">
        <f>ROUND(+M$85/(I$77),6)</f>
        <v>4.4460000000000003E-3</v>
      </c>
      <c r="O77" s="415">
        <f>SUM(O73:O76)</f>
        <v>14778000</v>
      </c>
      <c r="P77" s="416">
        <f>SUM(P73:P76)</f>
        <v>1085918.2073484892</v>
      </c>
      <c r="Q77" s="416">
        <f>SUM(Q73:Q76)</f>
        <v>1078322.5156528207</v>
      </c>
      <c r="R77" s="227">
        <f>ROUND(+R$85/(O$77),6)</f>
        <v>7.9439999999999997E-3</v>
      </c>
      <c r="S77" s="227">
        <f t="shared" ref="S77" si="71">ROUND(+S$85/(O$77),6)</f>
        <v>9.4739999999999998E-3</v>
      </c>
      <c r="U77" s="415">
        <f>SUM(U73:U76)</f>
        <v>14768999.999999998</v>
      </c>
      <c r="V77" s="416">
        <f>SUM(V73:V76)</f>
        <v>1085123.4908532684</v>
      </c>
      <c r="W77" s="416">
        <f>SUM(W73:W76)</f>
        <v>1077533.355819403</v>
      </c>
      <c r="X77" s="227">
        <f>ROUND(+X$85/(U$77),6)</f>
        <v>3.4640000000000001E-3</v>
      </c>
      <c r="Y77" s="227">
        <f t="shared" ref="Y77" si="72">ROUND(+Y$85/(U$77),6)</f>
        <v>1.4399E-2</v>
      </c>
    </row>
    <row r="78" spans="1:25" x14ac:dyDescent="0.25">
      <c r="A78" s="392">
        <f t="shared" si="32"/>
        <v>66</v>
      </c>
      <c r="B78" s="392">
        <f t="shared" si="62"/>
        <v>29</v>
      </c>
      <c r="C78" s="333" t="s">
        <v>35</v>
      </c>
      <c r="F78" s="104"/>
      <c r="I78" s="104"/>
      <c r="O78" s="104"/>
      <c r="U78" s="104"/>
    </row>
    <row r="79" spans="1:25" x14ac:dyDescent="0.25">
      <c r="A79" s="392">
        <f t="shared" si="32"/>
        <v>67</v>
      </c>
      <c r="B79" s="392">
        <f t="shared" si="62"/>
        <v>29</v>
      </c>
      <c r="C79" s="334" t="s">
        <v>84</v>
      </c>
      <c r="D79" s="348">
        <f>+'Exhibit No.__(BDJ-SV RD)'!D160</f>
        <v>9.2200000000000006</v>
      </c>
      <c r="E79" s="348">
        <f>+'Exhibit No.__(BDJ-SV RD)'!G160</f>
        <v>9.2200000000000006</v>
      </c>
      <c r="F79" s="104">
        <v>1333.1882720625085</v>
      </c>
      <c r="G79" s="372">
        <f t="shared" ref="G79:G80" si="73">+$D79*F79</f>
        <v>12291.99586841633</v>
      </c>
      <c r="I79" s="104">
        <v>1377.5780768161571</v>
      </c>
      <c r="J79" s="372">
        <f t="shared" ref="J79:J80" si="74">+$D79*I79</f>
        <v>12701.26986824497</v>
      </c>
      <c r="K79" s="372">
        <f t="shared" ref="K79:K80" si="75">+$E79*I79</f>
        <v>12701.26986824497</v>
      </c>
      <c r="O79" s="104">
        <v>1395.5661918212122</v>
      </c>
      <c r="P79" s="372">
        <f t="shared" ref="P79:P80" si="76">+$D79*O79</f>
        <v>12867.120288591577</v>
      </c>
      <c r="Q79" s="372">
        <f t="shared" ref="Q79:Q80" si="77">+$E79*O79</f>
        <v>12867.120288591577</v>
      </c>
      <c r="U79" s="104">
        <v>1398.6873437922584</v>
      </c>
      <c r="V79" s="372">
        <f t="shared" ref="V79:V80" si="78">+$D79*U79</f>
        <v>12895.897309764623</v>
      </c>
      <c r="W79" s="372">
        <f t="shared" ref="W79:W80" si="79">+$E79*U79</f>
        <v>12895.897309764623</v>
      </c>
    </row>
    <row r="80" spans="1:25" x14ac:dyDescent="0.25">
      <c r="A80" s="392">
        <f t="shared" si="32"/>
        <v>68</v>
      </c>
      <c r="B80" s="392">
        <f t="shared" si="62"/>
        <v>29</v>
      </c>
      <c r="C80" s="334" t="s">
        <v>85</v>
      </c>
      <c r="D80" s="348">
        <f>+'Exhibit No.__(BDJ-SV RD)'!D161</f>
        <v>4.54</v>
      </c>
      <c r="E80" s="348">
        <f>+'Exhibit No.__(BDJ-SV RD)'!G161</f>
        <v>4.54</v>
      </c>
      <c r="F80" s="104">
        <v>3787.1952356046836</v>
      </c>
      <c r="G80" s="372">
        <f t="shared" si="73"/>
        <v>17193.866369645264</v>
      </c>
      <c r="I80" s="104">
        <v>3935.2115055845188</v>
      </c>
      <c r="J80" s="372">
        <f t="shared" si="74"/>
        <v>17865.860235353717</v>
      </c>
      <c r="K80" s="372">
        <f t="shared" si="75"/>
        <v>17865.860235353717</v>
      </c>
      <c r="O80" s="104">
        <v>3979.6769754945531</v>
      </c>
      <c r="P80" s="372">
        <f t="shared" si="76"/>
        <v>18067.733468745271</v>
      </c>
      <c r="Q80" s="372">
        <f t="shared" si="77"/>
        <v>18067.733468745271</v>
      </c>
      <c r="U80" s="104">
        <v>3980.9648671771156</v>
      </c>
      <c r="V80" s="372">
        <f t="shared" si="78"/>
        <v>18073.580496984105</v>
      </c>
      <c r="W80" s="372">
        <f t="shared" si="79"/>
        <v>18073.580496984105</v>
      </c>
    </row>
    <row r="81" spans="1:27" x14ac:dyDescent="0.25">
      <c r="A81" s="392">
        <f t="shared" si="32"/>
        <v>69</v>
      </c>
      <c r="B81" s="392">
        <f t="shared" si="62"/>
        <v>29</v>
      </c>
      <c r="C81" s="335" t="s">
        <v>26</v>
      </c>
      <c r="D81" s="348"/>
      <c r="E81" s="348"/>
      <c r="F81" s="415">
        <f>SUM(F79:F80)</f>
        <v>5120.3835076671921</v>
      </c>
      <c r="G81" s="416">
        <f>SUM(G79:G80)</f>
        <v>29485.862238061593</v>
      </c>
      <c r="I81" s="415">
        <f>SUM(I79:I80)</f>
        <v>5312.7895824006755</v>
      </c>
      <c r="J81" s="416">
        <f>SUM(J79:J80)</f>
        <v>30567.130103598687</v>
      </c>
      <c r="K81" s="416">
        <f>SUM(K79:K80)</f>
        <v>30567.130103598687</v>
      </c>
      <c r="O81" s="415">
        <f>SUM(O79:O80)</f>
        <v>5375.2431673157653</v>
      </c>
      <c r="P81" s="416">
        <f>SUM(P79:P80)</f>
        <v>30934.853757336849</v>
      </c>
      <c r="Q81" s="416">
        <f>SUM(Q79:Q80)</f>
        <v>30934.853757336849</v>
      </c>
      <c r="U81" s="415">
        <f>SUM(U79:U80)</f>
        <v>5379.6522109693742</v>
      </c>
      <c r="V81" s="416">
        <f>SUM(V79:V80)</f>
        <v>30969.477806748728</v>
      </c>
      <c r="W81" s="416">
        <f>SUM(W79:W80)</f>
        <v>30969.477806748728</v>
      </c>
    </row>
    <row r="82" spans="1:27" x14ac:dyDescent="0.25">
      <c r="A82" s="392">
        <f t="shared" si="32"/>
        <v>70</v>
      </c>
      <c r="B82" s="392">
        <f t="shared" si="62"/>
        <v>29</v>
      </c>
      <c r="C82" s="335"/>
      <c r="D82" s="348"/>
      <c r="E82" s="348"/>
      <c r="F82" s="104"/>
      <c r="I82" s="104"/>
      <c r="O82" s="104"/>
      <c r="U82" s="104"/>
    </row>
    <row r="83" spans="1:27" x14ac:dyDescent="0.25">
      <c r="A83" s="392">
        <f t="shared" si="32"/>
        <v>71</v>
      </c>
      <c r="B83" s="392">
        <f t="shared" si="62"/>
        <v>29</v>
      </c>
      <c r="C83" s="333" t="s">
        <v>86</v>
      </c>
      <c r="D83" s="420">
        <f>+'Exhibit No.__(BDJ-SV RD)'!D164</f>
        <v>2.9299999999999999E-3</v>
      </c>
      <c r="E83" s="420">
        <f>+'Exhibit No.__(BDJ-SV RD)'!G164</f>
        <v>2.9299999999999999E-3</v>
      </c>
      <c r="F83" s="104">
        <v>307926.76253166154</v>
      </c>
      <c r="G83" s="372">
        <f>+$D83*F83</f>
        <v>902.22541421776828</v>
      </c>
      <c r="I83" s="104">
        <v>317016.45911692502</v>
      </c>
      <c r="J83" s="372">
        <f>+$D83*I83</f>
        <v>928.85822521259024</v>
      </c>
      <c r="K83" s="372">
        <f>+$E83*I83</f>
        <v>928.85822521259024</v>
      </c>
      <c r="O83" s="104">
        <v>321733.46343207243</v>
      </c>
      <c r="P83" s="372">
        <f>+$D83*O83</f>
        <v>942.67904785597216</v>
      </c>
      <c r="Q83" s="372">
        <f>+$E83*O83</f>
        <v>942.67904785597216</v>
      </c>
      <c r="U83" s="104">
        <v>320140.42221436056</v>
      </c>
      <c r="V83" s="372">
        <f>+$D83*U83</f>
        <v>938.01143708807638</v>
      </c>
      <c r="W83" s="372">
        <f>+$E83*U83</f>
        <v>938.01143708807638</v>
      </c>
    </row>
    <row r="84" spans="1:27" ht="16.5" thickBot="1" x14ac:dyDescent="0.3">
      <c r="A84" s="392">
        <f t="shared" si="32"/>
        <v>72</v>
      </c>
      <c r="B84" s="392">
        <f t="shared" si="62"/>
        <v>29</v>
      </c>
      <c r="C84" s="136" t="s">
        <v>413</v>
      </c>
      <c r="D84" s="420"/>
      <c r="E84" s="420"/>
      <c r="F84" s="104"/>
      <c r="G84" s="417">
        <f>SUM(G83,G81,G77,G71)</f>
        <v>1248001.2767969933</v>
      </c>
      <c r="I84" s="104"/>
      <c r="J84" s="417">
        <f t="shared" ref="J84:K84" si="80">SUM(J83,J81,J77,J71)</f>
        <v>1275276.5606066582</v>
      </c>
      <c r="K84" s="417">
        <f t="shared" si="80"/>
        <v>1267738.8426175651</v>
      </c>
      <c r="L84" s="417">
        <f>+L77*I77</f>
        <v>153368.60800000001</v>
      </c>
      <c r="M84" s="417">
        <f>+M77*I77</f>
        <v>65213.928000000007</v>
      </c>
      <c r="O84" s="104"/>
      <c r="P84" s="417">
        <f t="shared" ref="P84:Q84" si="81">SUM(P83,P81,P77,P71)</f>
        <v>1285575.990153682</v>
      </c>
      <c r="Q84" s="417">
        <f t="shared" si="81"/>
        <v>1277980.2984580135</v>
      </c>
      <c r="R84" s="417">
        <f>+R77*O77</f>
        <v>117396.432</v>
      </c>
      <c r="S84" s="417">
        <f>+S77*O77</f>
        <v>140006.772</v>
      </c>
      <c r="U84" s="104"/>
      <c r="V84" s="417">
        <f t="shared" ref="V84" si="82">SUM(V83,V81,V77,V71)</f>
        <v>1286375.0900971051</v>
      </c>
      <c r="W84" s="417">
        <f t="shared" ref="W84" si="83">SUM(W83,W81,W77,W71)</f>
        <v>1278784.9550632397</v>
      </c>
      <c r="X84" s="417">
        <f>+X77*U77</f>
        <v>51159.815999999992</v>
      </c>
      <c r="Y84" s="417">
        <f>+Y77*U77</f>
        <v>212658.83099999998</v>
      </c>
    </row>
    <row r="85" spans="1:27" ht="16.5" thickTop="1" x14ac:dyDescent="0.25">
      <c r="A85" s="392">
        <f t="shared" si="32"/>
        <v>73</v>
      </c>
      <c r="B85" s="392">
        <f t="shared" si="62"/>
        <v>29</v>
      </c>
      <c r="C85" s="421" t="s">
        <v>381</v>
      </c>
      <c r="L85" s="372">
        <f>+'Exhibit No.__(BDJ-Rate Spread)'!$S$12*1000*$I$77/SUM($I$44,$I$77)</f>
        <v>153374.92950387087</v>
      </c>
      <c r="M85" s="372">
        <f>+'Exhibit No.__(BDJ-Rate Spread)'!$W$12*1000*$I$77/SUM($I$44,$I$77)</f>
        <v>65217.679150116594</v>
      </c>
      <c r="R85" s="372">
        <f>+'Exhibit No.__(BDJ-Rate Spread)'!$T$12*1000*$O$77/SUM($O$44,$O$77)</f>
        <v>117391.34418785453</v>
      </c>
      <c r="S85" s="372">
        <f>+'Exhibit No.__(BDJ-Rate Spread)'!$X$12*1000*$O$77/SUM($O$44,$O$77)</f>
        <v>140011.03161502225</v>
      </c>
      <c r="X85" s="372">
        <f>+'Exhibit No.__(BDJ-Rate Spread)'!$U$12*1000*$U$77/SUM($U$44,$U$77)</f>
        <v>51163.447080054284</v>
      </c>
      <c r="Y85" s="372">
        <f>+'Exhibit No.__(BDJ-Rate Spread)'!$Y$12*1000*$U$77/SUM($U$44,$U$77)</f>
        <v>212665.3462537927</v>
      </c>
    </row>
    <row r="86" spans="1:27" ht="16.5" thickBot="1" x14ac:dyDescent="0.3">
      <c r="A86" s="392">
        <f t="shared" si="32"/>
        <v>74</v>
      </c>
      <c r="B86" s="392">
        <f t="shared" si="62"/>
        <v>29</v>
      </c>
      <c r="C86" s="422" t="s">
        <v>383</v>
      </c>
      <c r="G86" s="372"/>
      <c r="J86" s="372"/>
      <c r="K86" s="372"/>
      <c r="L86" s="372"/>
      <c r="M86" s="417">
        <f>SUM(K84,L84:M84)</f>
        <v>1486321.3786175651</v>
      </c>
      <c r="P86" s="372"/>
      <c r="Q86" s="372"/>
      <c r="R86" s="372"/>
      <c r="S86" s="417">
        <f>SUM(Q84,R84:S84)</f>
        <v>1535383.5024580136</v>
      </c>
      <c r="T86" s="372"/>
      <c r="V86" s="372"/>
      <c r="W86" s="372"/>
      <c r="X86" s="372"/>
      <c r="Y86" s="417">
        <f>SUM(W84,X84:Y84)</f>
        <v>1542603.6020632398</v>
      </c>
    </row>
    <row r="87" spans="1:27" ht="16.5" thickTop="1" x14ac:dyDescent="0.25">
      <c r="A87" s="392">
        <f t="shared" si="32"/>
        <v>75</v>
      </c>
    </row>
    <row r="88" spans="1:27" x14ac:dyDescent="0.25">
      <c r="A88" s="392">
        <f t="shared" si="32"/>
        <v>76</v>
      </c>
      <c r="C88" s="102" t="s">
        <v>54</v>
      </c>
    </row>
    <row r="89" spans="1:27" x14ac:dyDescent="0.25">
      <c r="A89" s="392">
        <f t="shared" si="32"/>
        <v>77</v>
      </c>
      <c r="B89" s="392" t="s">
        <v>59</v>
      </c>
      <c r="C89" s="333" t="s">
        <v>33</v>
      </c>
      <c r="D89" s="348">
        <f>+'Exhibit No.__(BDJ-PV RD)'!D15</f>
        <v>358.11</v>
      </c>
      <c r="E89" s="348">
        <f>+'Exhibit No.__(BDJ-PV RD)'!G15</f>
        <v>358.11</v>
      </c>
      <c r="F89" s="104">
        <v>6086.1696385856967</v>
      </c>
      <c r="G89" s="372">
        <f>+$D89*F89</f>
        <v>2179518.2092739241</v>
      </c>
      <c r="I89" s="104">
        <v>6136.0693760082077</v>
      </c>
      <c r="J89" s="372">
        <f>+$D89*I89</f>
        <v>2197387.8042422994</v>
      </c>
      <c r="K89" s="372">
        <f>+$E89*I89</f>
        <v>2197387.8042422994</v>
      </c>
      <c r="O89" s="104">
        <v>6164.1310308628408</v>
      </c>
      <c r="P89" s="372">
        <f>+$D89*O89</f>
        <v>2207436.9634622922</v>
      </c>
      <c r="Q89" s="372">
        <f>+$E89*O89</f>
        <v>2207436.9634622922</v>
      </c>
      <c r="U89" s="104">
        <v>6181.5979449839933</v>
      </c>
      <c r="V89" s="372">
        <f>+$D89*U89</f>
        <v>2213692.0400782181</v>
      </c>
      <c r="W89" s="372">
        <f>+$E89*U89</f>
        <v>2213692.0400782181</v>
      </c>
    </row>
    <row r="90" spans="1:27" x14ac:dyDescent="0.25">
      <c r="A90" s="392">
        <f t="shared" si="32"/>
        <v>78</v>
      </c>
      <c r="B90" s="392" t="str">
        <f t="shared" ref="B90:B100" si="84">+B89</f>
        <v>10, 31</v>
      </c>
      <c r="C90" s="419" t="s">
        <v>75</v>
      </c>
      <c r="F90" s="104"/>
      <c r="G90" s="372"/>
      <c r="I90" s="104"/>
      <c r="J90" s="372"/>
      <c r="K90" s="372"/>
      <c r="O90" s="104"/>
      <c r="P90" s="372"/>
      <c r="Q90" s="372"/>
      <c r="U90" s="104"/>
      <c r="V90" s="372"/>
      <c r="W90" s="372"/>
    </row>
    <row r="91" spans="1:27" x14ac:dyDescent="0.25">
      <c r="A91" s="392">
        <f t="shared" si="32"/>
        <v>79</v>
      </c>
      <c r="B91" s="392" t="str">
        <f t="shared" si="84"/>
        <v>10, 31</v>
      </c>
      <c r="C91" s="334" t="s">
        <v>41</v>
      </c>
      <c r="D91" s="251">
        <f>+'Exhibit No.__(BDJ-PV RD)'!D17</f>
        <v>5.7328999999999998E-2</v>
      </c>
      <c r="E91" s="251">
        <f>+'Exhibit No.__(BDJ-PV RD)'!G17</f>
        <v>5.6835999999999998E-2</v>
      </c>
      <c r="F91" s="104">
        <v>1318295000</v>
      </c>
      <c r="G91" s="372">
        <f t="shared" ref="G91" si="85">+$D91*F91</f>
        <v>75576534.054999992</v>
      </c>
      <c r="I91" s="104">
        <v>1332008000</v>
      </c>
      <c r="J91" s="372">
        <f t="shared" ref="J91:J94" si="86">+$D91*I91</f>
        <v>76362686.631999999</v>
      </c>
      <c r="K91" s="372">
        <f>+$E91*I91</f>
        <v>75706006.687999994</v>
      </c>
      <c r="L91" s="227">
        <f>ROUND(+L$99/I$91,6)</f>
        <v>9.0240000000000008E-3</v>
      </c>
      <c r="M91" s="227">
        <f>ROUND(+M$99/I$91,6)</f>
        <v>3.8370000000000001E-3</v>
      </c>
      <c r="O91" s="104">
        <v>1335448000</v>
      </c>
      <c r="P91" s="372">
        <f t="shared" ref="P91:P94" si="87">+$D91*O91</f>
        <v>76559898.392000005</v>
      </c>
      <c r="Q91" s="372">
        <f>+$E91*O91</f>
        <v>75901522.527999997</v>
      </c>
      <c r="R91" s="227">
        <f>ROUND(+R$99/O$91,6)</f>
        <v>6.9239999999999996E-3</v>
      </c>
      <c r="S91" s="227">
        <f>ROUND(+S$99/O$91,6)</f>
        <v>8.2579999999999997E-3</v>
      </c>
      <c r="U91" s="104">
        <v>1324706000</v>
      </c>
      <c r="V91" s="372">
        <f t="shared" ref="V91:V94" si="88">+$D91*U91</f>
        <v>75944070.274000004</v>
      </c>
      <c r="W91" s="372">
        <f>+$E91*U91</f>
        <v>75290990.215999991</v>
      </c>
      <c r="X91" s="227">
        <f>ROUND(+X$99/U$91,6)</f>
        <v>3.042E-3</v>
      </c>
      <c r="Y91" s="227">
        <f>ROUND(+Y$99/U$91,6)</f>
        <v>1.2645E-2</v>
      </c>
      <c r="AA91" s="372"/>
    </row>
    <row r="92" spans="1:27" x14ac:dyDescent="0.25">
      <c r="A92" s="392">
        <f t="shared" si="32"/>
        <v>80</v>
      </c>
      <c r="B92" s="392" t="str">
        <f t="shared" si="84"/>
        <v>10, 31</v>
      </c>
      <c r="C92" s="333" t="s">
        <v>35</v>
      </c>
      <c r="F92" s="104"/>
      <c r="I92" s="104"/>
      <c r="O92" s="104"/>
      <c r="U92" s="104"/>
    </row>
    <row r="93" spans="1:27" x14ac:dyDescent="0.25">
      <c r="A93" s="392">
        <f t="shared" si="32"/>
        <v>81</v>
      </c>
      <c r="B93" s="392" t="str">
        <f t="shared" si="84"/>
        <v>10, 31</v>
      </c>
      <c r="C93" s="334" t="s">
        <v>90</v>
      </c>
      <c r="D93" s="348">
        <f>+'Exhibit No.__(BDJ-PV RD)'!D23</f>
        <v>11.94</v>
      </c>
      <c r="E93" s="348">
        <f>+'Exhibit No.__(BDJ-PV RD)'!G23</f>
        <v>11.94</v>
      </c>
      <c r="F93" s="104">
        <v>1615363.3833470757</v>
      </c>
      <c r="G93" s="372">
        <f t="shared" ref="G93:G94" si="89">+$D93*F93</f>
        <v>19287438.797164083</v>
      </c>
      <c r="I93" s="104">
        <v>1611634.5729500088</v>
      </c>
      <c r="J93" s="372">
        <f t="shared" si="86"/>
        <v>19242916.801023103</v>
      </c>
      <c r="K93" s="372">
        <f t="shared" ref="K93:K94" si="90">+$E93*I93</f>
        <v>19242916.801023103</v>
      </c>
      <c r="O93" s="104">
        <v>1602213.5251208919</v>
      </c>
      <c r="P93" s="372">
        <f t="shared" si="87"/>
        <v>19130429.489943448</v>
      </c>
      <c r="Q93" s="372">
        <f t="shared" ref="Q93:Q94" si="91">+$E93*O93</f>
        <v>19130429.489943448</v>
      </c>
      <c r="U93" s="104">
        <v>1589443.0990647813</v>
      </c>
      <c r="V93" s="372">
        <f t="shared" si="88"/>
        <v>18977950.602833487</v>
      </c>
      <c r="W93" s="372">
        <f t="shared" ref="W93:W94" si="92">+$E93*U93</f>
        <v>18977950.602833487</v>
      </c>
    </row>
    <row r="94" spans="1:27" x14ac:dyDescent="0.25">
      <c r="A94" s="392">
        <f t="shared" si="32"/>
        <v>82</v>
      </c>
      <c r="B94" s="392" t="str">
        <f t="shared" si="84"/>
        <v>10, 31</v>
      </c>
      <c r="C94" s="334" t="s">
        <v>91</v>
      </c>
      <c r="D94" s="348">
        <f>+'Exhibit No.__(BDJ-PV RD)'!D24</f>
        <v>7.96</v>
      </c>
      <c r="E94" s="348">
        <f>+'Exhibit No.__(BDJ-PV RD)'!G24</f>
        <v>7.96</v>
      </c>
      <c r="F94" s="104">
        <v>1688882.1519224746</v>
      </c>
      <c r="G94" s="372">
        <f t="shared" si="89"/>
        <v>13443501.929302897</v>
      </c>
      <c r="I94" s="104">
        <v>1680397.6414039268</v>
      </c>
      <c r="J94" s="372">
        <f t="shared" si="86"/>
        <v>13375965.225575257</v>
      </c>
      <c r="K94" s="372">
        <f t="shared" si="90"/>
        <v>13375965.225575257</v>
      </c>
      <c r="O94" s="104">
        <v>1671360.9363106801</v>
      </c>
      <c r="P94" s="372">
        <f t="shared" si="87"/>
        <v>13304033.053033013</v>
      </c>
      <c r="Q94" s="372">
        <f t="shared" si="91"/>
        <v>13304033.053033013</v>
      </c>
      <c r="U94" s="104">
        <v>1656881.8821073596</v>
      </c>
      <c r="V94" s="372">
        <f t="shared" si="88"/>
        <v>13188779.781574583</v>
      </c>
      <c r="W94" s="372">
        <f t="shared" si="92"/>
        <v>13188779.781574583</v>
      </c>
    </row>
    <row r="95" spans="1:27" x14ac:dyDescent="0.25">
      <c r="A95" s="392">
        <f t="shared" si="32"/>
        <v>83</v>
      </c>
      <c r="B95" s="392" t="str">
        <f t="shared" si="84"/>
        <v>10, 31</v>
      </c>
      <c r="C95" s="335" t="s">
        <v>26</v>
      </c>
      <c r="D95" s="348"/>
      <c r="E95" s="348"/>
      <c r="F95" s="415">
        <f>SUM(F93:F94)</f>
        <v>3304245.53526955</v>
      </c>
      <c r="G95" s="416">
        <f>SUM(G93:G94)</f>
        <v>32730940.72646698</v>
      </c>
      <c r="I95" s="415">
        <f>SUM(I93:I94)</f>
        <v>3292032.2143539358</v>
      </c>
      <c r="J95" s="416">
        <f>SUM(J93:J94)</f>
        <v>32618882.02659836</v>
      </c>
      <c r="K95" s="416">
        <f>SUM(K93:K94)</f>
        <v>32618882.02659836</v>
      </c>
      <c r="O95" s="415">
        <f>SUM(O93:O94)</f>
        <v>3273574.4614315722</v>
      </c>
      <c r="P95" s="416">
        <f>SUM(P93:P94)</f>
        <v>32434462.542976461</v>
      </c>
      <c r="Q95" s="416">
        <f>SUM(Q93:Q94)</f>
        <v>32434462.542976461</v>
      </c>
      <c r="U95" s="415">
        <f>SUM(U93:U94)</f>
        <v>3246324.9811721407</v>
      </c>
      <c r="V95" s="416">
        <f>SUM(V93:V94)</f>
        <v>32166730.384408072</v>
      </c>
      <c r="W95" s="416">
        <f>SUM(W93:W94)</f>
        <v>32166730.384408072</v>
      </c>
    </row>
    <row r="96" spans="1:27" x14ac:dyDescent="0.25">
      <c r="A96" s="392">
        <f t="shared" si="32"/>
        <v>84</v>
      </c>
      <c r="B96" s="392" t="str">
        <f t="shared" si="84"/>
        <v>10, 31</v>
      </c>
      <c r="C96" s="335"/>
      <c r="D96" s="348"/>
      <c r="E96" s="348"/>
      <c r="F96" s="104"/>
      <c r="I96" s="104"/>
      <c r="O96" s="104"/>
      <c r="U96" s="104"/>
    </row>
    <row r="97" spans="1:27" x14ac:dyDescent="0.25">
      <c r="A97" s="392">
        <f t="shared" si="32"/>
        <v>85</v>
      </c>
      <c r="B97" s="392" t="str">
        <f t="shared" si="84"/>
        <v>10, 31</v>
      </c>
      <c r="C97" s="333" t="s">
        <v>86</v>
      </c>
      <c r="D97" s="420">
        <f>+'Exhibit No.__(BDJ-PV RD)'!D27</f>
        <v>1.1199999999999999E-3</v>
      </c>
      <c r="E97" s="420">
        <f>+'Exhibit No.__(BDJ-PV RD)'!G27</f>
        <v>1.1199999999999999E-3</v>
      </c>
      <c r="F97" s="104">
        <v>664361870.91667593</v>
      </c>
      <c r="G97" s="372">
        <f t="shared" ref="G97" si="93">+$D97*F97</f>
        <v>744085.29542667698</v>
      </c>
      <c r="I97" s="104">
        <v>671039368.69977927</v>
      </c>
      <c r="J97" s="372">
        <f t="shared" ref="J97" si="94">+$D97*I97</f>
        <v>751564.09294375277</v>
      </c>
      <c r="K97" s="372">
        <f>+$E97*I97</f>
        <v>751564.09294375277</v>
      </c>
      <c r="O97" s="104">
        <v>672507031.39690697</v>
      </c>
      <c r="P97" s="372">
        <f t="shared" ref="P97" si="95">+$D97*O97</f>
        <v>753207.87516453571</v>
      </c>
      <c r="Q97" s="372">
        <f>+$E97*O97</f>
        <v>753207.87516453571</v>
      </c>
      <c r="U97" s="104">
        <v>667258846.18180883</v>
      </c>
      <c r="V97" s="372">
        <f t="shared" ref="V97" si="96">+$D97*U97</f>
        <v>747329.90772362577</v>
      </c>
      <c r="W97" s="372">
        <f>+$E97*U97</f>
        <v>747329.90772362577</v>
      </c>
    </row>
    <row r="98" spans="1:27" ht="16.5" thickBot="1" x14ac:dyDescent="0.3">
      <c r="A98" s="392">
        <f t="shared" si="32"/>
        <v>86</v>
      </c>
      <c r="B98" s="392" t="str">
        <f t="shared" si="84"/>
        <v>10, 31</v>
      </c>
      <c r="C98" s="136" t="s">
        <v>413</v>
      </c>
      <c r="D98" s="420"/>
      <c r="E98" s="420"/>
      <c r="F98" s="104"/>
      <c r="G98" s="417">
        <f>SUM(G97,G95,G91,G89)</f>
        <v>111231078.28616758</v>
      </c>
      <c r="I98" s="104"/>
      <c r="J98" s="417">
        <f t="shared" ref="J98:K98" si="97">SUM(J97,J95,J91,J89)</f>
        <v>111930520.55578442</v>
      </c>
      <c r="K98" s="417">
        <f t="shared" si="97"/>
        <v>111273840.61178441</v>
      </c>
      <c r="L98" s="417">
        <f>+L91*I91</f>
        <v>12020040.192000002</v>
      </c>
      <c r="M98" s="417">
        <f>+M91*I91</f>
        <v>5110914.6960000005</v>
      </c>
      <c r="O98" s="104"/>
      <c r="P98" s="417">
        <f t="shared" ref="P98:Q98" si="98">SUM(P97,P95,P91,P89)</f>
        <v>111955005.77360329</v>
      </c>
      <c r="Q98" s="417">
        <f t="shared" si="98"/>
        <v>111296629.90960328</v>
      </c>
      <c r="R98" s="417">
        <f>+R91*O91</f>
        <v>9246641.9519999996</v>
      </c>
      <c r="S98" s="417">
        <f>+S91*O91</f>
        <v>11028129.583999999</v>
      </c>
      <c r="U98" s="104"/>
      <c r="V98" s="417">
        <f t="shared" ref="V98:W98" si="99">SUM(V97,V95,V91,V89)</f>
        <v>111071822.60620992</v>
      </c>
      <c r="W98" s="417">
        <f t="shared" si="99"/>
        <v>110418742.54820991</v>
      </c>
      <c r="X98" s="417">
        <f>+X91*U91</f>
        <v>4029755.6519999998</v>
      </c>
      <c r="Y98" s="417">
        <f>+Y91*U91</f>
        <v>16750907.369999999</v>
      </c>
    </row>
    <row r="99" spans="1:27" ht="16.5" thickTop="1" x14ac:dyDescent="0.25">
      <c r="A99" s="392">
        <f t="shared" si="32"/>
        <v>87</v>
      </c>
      <c r="B99" s="392" t="str">
        <f t="shared" si="84"/>
        <v>10, 31</v>
      </c>
      <c r="C99" s="421" t="s">
        <v>381</v>
      </c>
      <c r="L99" s="372">
        <f>+'Exhibit No.__(BDJ-Rate Spread)'!S17*1000</f>
        <v>12020567.056764307</v>
      </c>
      <c r="M99" s="372">
        <f>+'Exhibit No.__(BDJ-Rate Spread)'!W17*1000</f>
        <v>5111353.5181167312</v>
      </c>
      <c r="R99" s="372">
        <f>+'Exhibit No.__(BDJ-Rate Spread)'!T17*1000</f>
        <v>9246075.3010264579</v>
      </c>
      <c r="S99" s="372">
        <f>+'Exhibit No.__(BDJ-Rate Spread)'!X17*1000</f>
        <v>11027666.053600125</v>
      </c>
      <c r="X99" s="372">
        <f>+'Exhibit No.__(BDJ-Rate Spread)'!U17*1000</f>
        <v>4029886.3979389677</v>
      </c>
      <c r="Y99" s="372">
        <f>+'Exhibit No.__(BDJ-Rate Spread)'!Y17*1000</f>
        <v>16750575.559152309</v>
      </c>
    </row>
    <row r="100" spans="1:27" ht="16.5" thickBot="1" x14ac:dyDescent="0.3">
      <c r="A100" s="392">
        <f t="shared" si="32"/>
        <v>88</v>
      </c>
      <c r="B100" s="392" t="str">
        <f t="shared" si="84"/>
        <v>10, 31</v>
      </c>
      <c r="C100" s="422" t="s">
        <v>384</v>
      </c>
      <c r="G100" s="372"/>
      <c r="J100" s="372"/>
      <c r="K100" s="372"/>
      <c r="L100" s="372"/>
      <c r="M100" s="417">
        <f>SUM(K98,L98:M98)</f>
        <v>128404795.49978441</v>
      </c>
      <c r="P100" s="372"/>
      <c r="Q100" s="372"/>
      <c r="R100" s="372"/>
      <c r="S100" s="417">
        <f>SUM(Q98,R98:S98)</f>
        <v>131571401.44560328</v>
      </c>
      <c r="V100" s="372"/>
      <c r="W100" s="372"/>
      <c r="X100" s="372"/>
      <c r="Y100" s="417">
        <f>SUM(W98,X98:Y98)</f>
        <v>131199405.57020991</v>
      </c>
    </row>
    <row r="101" spans="1:27" ht="16.5" thickTop="1" x14ac:dyDescent="0.25">
      <c r="A101" s="392">
        <f t="shared" si="32"/>
        <v>89</v>
      </c>
    </row>
    <row r="102" spans="1:27" x14ac:dyDescent="0.25">
      <c r="A102" s="392">
        <f t="shared" si="32"/>
        <v>90</v>
      </c>
      <c r="B102" s="392">
        <v>35</v>
      </c>
      <c r="C102" s="333" t="s">
        <v>33</v>
      </c>
      <c r="D102" s="348">
        <f>+'Exhibit No.__(BDJ-PV RD)'!D44</f>
        <v>358.11</v>
      </c>
      <c r="E102" s="348">
        <f>+'Exhibit No.__(BDJ-PV RD)'!G44</f>
        <v>358.11</v>
      </c>
      <c r="F102" s="104">
        <v>24</v>
      </c>
      <c r="G102" s="372">
        <f t="shared" ref="G102" si="100">+$D102*F102</f>
        <v>8594.64</v>
      </c>
      <c r="I102" s="104">
        <v>24</v>
      </c>
      <c r="J102" s="372">
        <f t="shared" ref="J102" si="101">+$D102*I102</f>
        <v>8594.64</v>
      </c>
      <c r="K102" s="372">
        <f>+$E102*I102</f>
        <v>8594.64</v>
      </c>
      <c r="O102" s="104">
        <v>24</v>
      </c>
      <c r="P102" s="372">
        <f t="shared" ref="P102" si="102">+$D102*O102</f>
        <v>8594.64</v>
      </c>
      <c r="Q102" s="372">
        <f>+$E102*O102</f>
        <v>8594.64</v>
      </c>
      <c r="U102" s="104">
        <v>24</v>
      </c>
      <c r="V102" s="372">
        <f t="shared" ref="V102" si="103">+$D102*U102</f>
        <v>8594.64</v>
      </c>
      <c r="W102" s="372">
        <f>+$E102*U102</f>
        <v>8594.64</v>
      </c>
    </row>
    <row r="103" spans="1:27" x14ac:dyDescent="0.25">
      <c r="A103" s="392">
        <f t="shared" si="32"/>
        <v>91</v>
      </c>
      <c r="B103" s="392">
        <f t="shared" ref="B103:B113" si="104">+B102</f>
        <v>35</v>
      </c>
      <c r="C103" s="419" t="s">
        <v>75</v>
      </c>
      <c r="F103" s="104"/>
      <c r="I103" s="104"/>
      <c r="O103" s="104"/>
      <c r="U103" s="104"/>
    </row>
    <row r="104" spans="1:27" x14ac:dyDescent="0.25">
      <c r="A104" s="392">
        <f t="shared" si="32"/>
        <v>92</v>
      </c>
      <c r="B104" s="392">
        <f t="shared" si="104"/>
        <v>35</v>
      </c>
      <c r="C104" s="334" t="s">
        <v>41</v>
      </c>
      <c r="D104" s="227">
        <f>+'Exhibit No.__(BDJ-PV RD)'!D46</f>
        <v>5.3178000000000003E-2</v>
      </c>
      <c r="E104" s="227">
        <f>+'Exhibit No.__(BDJ-PV RD)'!G46</f>
        <v>5.3178000000000003E-2</v>
      </c>
      <c r="F104" s="104">
        <v>4565000</v>
      </c>
      <c r="G104" s="372">
        <f t="shared" ref="G104" si="105">+$D104*F104</f>
        <v>242757.57</v>
      </c>
      <c r="I104" s="104">
        <v>4663000</v>
      </c>
      <c r="J104" s="372">
        <f t="shared" ref="J104" si="106">+$D104*I104</f>
        <v>247969.01400000002</v>
      </c>
      <c r="K104" s="372">
        <f>+$E104*I104</f>
        <v>247969.01400000002</v>
      </c>
      <c r="L104" s="227">
        <f>ROUND(+L$112/I$104,6)</f>
        <v>1.2605999999999999E-2</v>
      </c>
      <c r="M104" s="227">
        <f>ROUND(+M$112/I$104,6)</f>
        <v>5.3600000000000002E-3</v>
      </c>
      <c r="O104" s="104">
        <v>4695000</v>
      </c>
      <c r="P104" s="372">
        <f t="shared" ref="P104" si="107">+$D104*O104</f>
        <v>249670.71000000002</v>
      </c>
      <c r="Q104" s="372">
        <f>+$E104*O104</f>
        <v>249670.71000000002</v>
      </c>
      <c r="R104" s="227">
        <f>ROUND(+R$112/O$104,6)</f>
        <v>9.6299999999999997E-3</v>
      </c>
      <c r="S104" s="227">
        <f>ROUND(+S$112/O$104,6)</f>
        <v>1.1486E-2</v>
      </c>
      <c r="U104" s="104">
        <v>4694000</v>
      </c>
      <c r="V104" s="372">
        <f t="shared" ref="V104" si="108">+$D104*U104</f>
        <v>249617.53200000001</v>
      </c>
      <c r="W104" s="372">
        <f>+$E104*U104</f>
        <v>249617.53200000001</v>
      </c>
      <c r="X104" s="227">
        <f>ROUND(+X$112/U$104,6)</f>
        <v>4.1980000000000003E-3</v>
      </c>
      <c r="Y104" s="227">
        <f>ROUND(+Y$112/U$104,6)</f>
        <v>1.745E-2</v>
      </c>
      <c r="AA104" s="372"/>
    </row>
    <row r="105" spans="1:27" x14ac:dyDescent="0.25">
      <c r="A105" s="392">
        <f t="shared" si="32"/>
        <v>93</v>
      </c>
      <c r="B105" s="392">
        <f t="shared" si="104"/>
        <v>35</v>
      </c>
      <c r="C105" s="333" t="s">
        <v>35</v>
      </c>
      <c r="F105" s="104"/>
      <c r="I105" s="104"/>
      <c r="O105" s="104"/>
      <c r="U105" s="104"/>
    </row>
    <row r="106" spans="1:27" x14ac:dyDescent="0.25">
      <c r="A106" s="392">
        <f t="shared" si="32"/>
        <v>94</v>
      </c>
      <c r="B106" s="392">
        <f t="shared" si="104"/>
        <v>35</v>
      </c>
      <c r="C106" s="334" t="s">
        <v>90</v>
      </c>
      <c r="D106" s="348">
        <f>+'Exhibit No.__(BDJ-PV RD)'!D52</f>
        <v>4.92</v>
      </c>
      <c r="E106" s="348">
        <f>+'Exhibit No.__(BDJ-PV RD)'!G52</f>
        <v>4.92</v>
      </c>
      <c r="F106" s="104">
        <v>2126.4206412676504</v>
      </c>
      <c r="G106" s="372">
        <f t="shared" ref="G106:G107" si="109">+$D106*F106</f>
        <v>10461.98955503684</v>
      </c>
      <c r="I106" s="104">
        <v>2180.7576327989195</v>
      </c>
      <c r="J106" s="372">
        <f t="shared" ref="J106:J107" si="110">+$D106*I106</f>
        <v>10729.327553370684</v>
      </c>
      <c r="K106" s="372">
        <f t="shared" ref="K106:K107" si="111">+$E106*I106</f>
        <v>10729.327553370684</v>
      </c>
      <c r="O106" s="104">
        <v>2205.2682848289551</v>
      </c>
      <c r="P106" s="372">
        <f t="shared" ref="P106:P107" si="112">+$D106*O106</f>
        <v>10849.919961358459</v>
      </c>
      <c r="Q106" s="372">
        <f t="shared" ref="Q106:Q107" si="113">+$E106*O106</f>
        <v>10849.919961358459</v>
      </c>
      <c r="U106" s="104">
        <v>2208.0569846891594</v>
      </c>
      <c r="V106" s="372">
        <f t="shared" ref="V106:V107" si="114">+$D106*U106</f>
        <v>10863.640364670664</v>
      </c>
      <c r="W106" s="372">
        <f t="shared" ref="W106:W107" si="115">+$E106*U106</f>
        <v>10863.640364670664</v>
      </c>
      <c r="AA106" s="372"/>
    </row>
    <row r="107" spans="1:27" x14ac:dyDescent="0.25">
      <c r="A107" s="392">
        <f t="shared" si="32"/>
        <v>95</v>
      </c>
      <c r="B107" s="392">
        <f t="shared" si="104"/>
        <v>35</v>
      </c>
      <c r="C107" s="334" t="s">
        <v>91</v>
      </c>
      <c r="D107" s="348">
        <f>+'Exhibit No.__(BDJ-PV RD)'!D53</f>
        <v>3.28</v>
      </c>
      <c r="E107" s="348">
        <f>+'Exhibit No.__(BDJ-PV RD)'!G53</f>
        <v>3.28</v>
      </c>
      <c r="F107" s="104">
        <v>6085.6399488507341</v>
      </c>
      <c r="G107" s="372">
        <f t="shared" si="109"/>
        <v>19960.899032230405</v>
      </c>
      <c r="I107" s="104">
        <v>6315.6121389677801</v>
      </c>
      <c r="J107" s="372">
        <f t="shared" si="110"/>
        <v>20715.207815814316</v>
      </c>
      <c r="K107" s="372">
        <f t="shared" si="111"/>
        <v>20715.207815814316</v>
      </c>
      <c r="O107" s="104">
        <v>6385.8091379541329</v>
      </c>
      <c r="P107" s="372">
        <f t="shared" si="112"/>
        <v>20945.453972489555</v>
      </c>
      <c r="Q107" s="372">
        <f t="shared" si="113"/>
        <v>20945.453972489555</v>
      </c>
      <c r="U107" s="104">
        <v>6388.1245688087001</v>
      </c>
      <c r="V107" s="372">
        <f t="shared" si="114"/>
        <v>20953.048585692533</v>
      </c>
      <c r="W107" s="372">
        <f t="shared" si="115"/>
        <v>20953.048585692533</v>
      </c>
      <c r="AA107" s="372"/>
    </row>
    <row r="108" spans="1:27" x14ac:dyDescent="0.25">
      <c r="A108" s="392">
        <f t="shared" si="32"/>
        <v>96</v>
      </c>
      <c r="B108" s="392">
        <f t="shared" si="104"/>
        <v>35</v>
      </c>
      <c r="C108" s="335" t="s">
        <v>26</v>
      </c>
      <c r="F108" s="415">
        <f>SUM(F106:F107)</f>
        <v>8212.0605901183844</v>
      </c>
      <c r="G108" s="416">
        <f>SUM(G106:G107)</f>
        <v>30422.888587267247</v>
      </c>
      <c r="I108" s="415">
        <f>SUM(I106:I107)</f>
        <v>8496.3697717667001</v>
      </c>
      <c r="J108" s="416">
        <f>SUM(J106:J107)</f>
        <v>31444.535369185</v>
      </c>
      <c r="K108" s="416">
        <f>SUM(K106:K107)</f>
        <v>31444.535369185</v>
      </c>
      <c r="O108" s="415">
        <f>SUM(O106:O107)</f>
        <v>8591.077422783088</v>
      </c>
      <c r="P108" s="416">
        <f>SUM(P106:P107)</f>
        <v>31795.373933848015</v>
      </c>
      <c r="Q108" s="416">
        <f>SUM(Q106:Q107)</f>
        <v>31795.373933848015</v>
      </c>
      <c r="U108" s="415">
        <f>SUM(U106:U107)</f>
        <v>8596.1815534978596</v>
      </c>
      <c r="V108" s="416">
        <f>SUM(V106:V107)</f>
        <v>31816.688950363197</v>
      </c>
      <c r="W108" s="416">
        <f>SUM(W106:W107)</f>
        <v>31816.688950363197</v>
      </c>
      <c r="AA108" s="372"/>
    </row>
    <row r="109" spans="1:27" x14ac:dyDescent="0.25">
      <c r="A109" s="392">
        <f t="shared" si="32"/>
        <v>97</v>
      </c>
      <c r="B109" s="392">
        <f t="shared" si="104"/>
        <v>35</v>
      </c>
      <c r="C109" s="335"/>
      <c r="F109" s="104"/>
      <c r="I109" s="104"/>
      <c r="O109" s="104"/>
      <c r="U109" s="104"/>
      <c r="AA109" s="372"/>
    </row>
    <row r="110" spans="1:27" x14ac:dyDescent="0.25">
      <c r="A110" s="392">
        <f t="shared" si="32"/>
        <v>98</v>
      </c>
      <c r="B110" s="392">
        <f t="shared" si="104"/>
        <v>35</v>
      </c>
      <c r="C110" s="333" t="s">
        <v>86</v>
      </c>
      <c r="D110" s="420">
        <f>+'Exhibit No.__(BDJ-PV RD)'!D56</f>
        <v>1.1800000000000001E-3</v>
      </c>
      <c r="E110" s="420">
        <f>+'Exhibit No.__(BDJ-PV RD)'!G56</f>
        <v>1.1800000000000001E-3</v>
      </c>
      <c r="F110" s="104">
        <v>2493433.7024926301</v>
      </c>
      <c r="G110" s="372">
        <f t="shared" ref="G110" si="116">+$D110*F110</f>
        <v>2942.2517689413035</v>
      </c>
      <c r="I110" s="104">
        <v>2547271.6141468417</v>
      </c>
      <c r="J110" s="372">
        <f t="shared" ref="J110" si="117">+$D110*I110</f>
        <v>3005.7805046932735</v>
      </c>
      <c r="K110" s="372">
        <f>+$E110*I110</f>
        <v>3005.7805046932735</v>
      </c>
      <c r="O110" s="104">
        <v>2564841.52760123</v>
      </c>
      <c r="P110" s="372">
        <f t="shared" ref="P110" si="118">+$D110*O110</f>
        <v>3026.5130025694516</v>
      </c>
      <c r="Q110" s="372">
        <f>+$E110*O110</f>
        <v>3026.5130025694516</v>
      </c>
      <c r="U110" s="104">
        <v>2564301.847870185</v>
      </c>
      <c r="V110" s="372">
        <f t="shared" ref="V110" si="119">+$D110*U110</f>
        <v>3025.8761804868186</v>
      </c>
      <c r="W110" s="372">
        <f>+$E110*U110</f>
        <v>3025.8761804868186</v>
      </c>
      <c r="AA110" s="372"/>
    </row>
    <row r="111" spans="1:27" ht="16.5" thickBot="1" x14ac:dyDescent="0.3">
      <c r="A111" s="392">
        <f t="shared" si="32"/>
        <v>99</v>
      </c>
      <c r="B111" s="392">
        <f t="shared" si="104"/>
        <v>35</v>
      </c>
      <c r="C111" s="136" t="s">
        <v>413</v>
      </c>
      <c r="D111" s="420"/>
      <c r="E111" s="420"/>
      <c r="F111" s="104"/>
      <c r="G111" s="417">
        <f>SUM(G110,G108,G104,G102)</f>
        <v>284717.35035620857</v>
      </c>
      <c r="I111" s="104"/>
      <c r="J111" s="417">
        <f t="shared" ref="J111:K111" si="120">SUM(J110,J108,J104,J102)</f>
        <v>291013.96987387829</v>
      </c>
      <c r="K111" s="417">
        <f t="shared" si="120"/>
        <v>291013.96987387829</v>
      </c>
      <c r="L111" s="417">
        <f>+L104*I104</f>
        <v>58781.777999999998</v>
      </c>
      <c r="M111" s="417">
        <f>+M104*I104</f>
        <v>24993.68</v>
      </c>
      <c r="O111" s="104"/>
      <c r="P111" s="417">
        <f t="shared" ref="P111:Q111" si="121">SUM(P110,P108,P104,P102)</f>
        <v>293087.23693641752</v>
      </c>
      <c r="Q111" s="417">
        <f t="shared" si="121"/>
        <v>293087.23693641752</v>
      </c>
      <c r="R111" s="417">
        <f>+R104*O104</f>
        <v>45212.85</v>
      </c>
      <c r="S111" s="417">
        <f>+S104*O104</f>
        <v>53926.77</v>
      </c>
      <c r="U111" s="104"/>
      <c r="V111" s="417">
        <f t="shared" ref="V111:W111" si="122">SUM(V110,V108,V104,V102)</f>
        <v>293054.73713085003</v>
      </c>
      <c r="W111" s="417">
        <f t="shared" si="122"/>
        <v>293054.73713085003</v>
      </c>
      <c r="X111" s="417">
        <f>+X104*U104</f>
        <v>19705.412</v>
      </c>
      <c r="Y111" s="417">
        <f>+Y104*U104</f>
        <v>81910.3</v>
      </c>
    </row>
    <row r="112" spans="1:27" ht="16.5" thickTop="1" x14ac:dyDescent="0.25">
      <c r="A112" s="392">
        <f t="shared" si="32"/>
        <v>100</v>
      </c>
      <c r="B112" s="392">
        <f t="shared" si="104"/>
        <v>35</v>
      </c>
      <c r="C112" s="421" t="s">
        <v>381</v>
      </c>
      <c r="L112" s="372">
        <f>+'Exhibit No.__(BDJ-Rate Spread)'!S18*1000</f>
        <v>58780.426734014269</v>
      </c>
      <c r="M112" s="372">
        <f>+'Exhibit No.__(BDJ-Rate Spread)'!W18*1000</f>
        <v>24994.456548057478</v>
      </c>
      <c r="R112" s="372">
        <f>+'Exhibit No.__(BDJ-Rate Spread)'!T18*1000</f>
        <v>45213.195787076344</v>
      </c>
      <c r="S112" s="372">
        <f>+'Exhibit No.__(BDJ-Rate Spread)'!X18*1000</f>
        <v>53925.152902504065</v>
      </c>
      <c r="X112" s="372">
        <f>+'Exhibit No.__(BDJ-Rate Spread)'!U18*1000</f>
        <v>19706.095481340384</v>
      </c>
      <c r="Y112" s="372">
        <f>+'Exhibit No.__(BDJ-Rate Spread)'!Y18*1000</f>
        <v>81910.110792423671</v>
      </c>
      <c r="AA112" s="372"/>
    </row>
    <row r="113" spans="1:27" ht="16.5" thickBot="1" x14ac:dyDescent="0.3">
      <c r="A113" s="392">
        <f t="shared" si="32"/>
        <v>101</v>
      </c>
      <c r="B113" s="392">
        <f t="shared" si="104"/>
        <v>35</v>
      </c>
      <c r="C113" s="422" t="s">
        <v>385</v>
      </c>
      <c r="G113" s="372"/>
      <c r="J113" s="372"/>
      <c r="K113" s="372"/>
      <c r="L113" s="372"/>
      <c r="M113" s="417">
        <f>SUM(K111,L111:M111)</f>
        <v>374789.42787387827</v>
      </c>
      <c r="P113" s="372"/>
      <c r="Q113" s="372"/>
      <c r="R113" s="372"/>
      <c r="S113" s="417">
        <f>SUM(Q111,R111:S111)</f>
        <v>392226.85693641752</v>
      </c>
      <c r="V113" s="372"/>
      <c r="W113" s="372"/>
      <c r="X113" s="372"/>
      <c r="Y113" s="417">
        <f>SUM(W111,X111:Y111)</f>
        <v>394670.44913085003</v>
      </c>
      <c r="AA113" s="372"/>
    </row>
    <row r="114" spans="1:27" ht="16.5" thickTop="1" x14ac:dyDescent="0.25">
      <c r="A114" s="392">
        <f t="shared" si="32"/>
        <v>102</v>
      </c>
      <c r="AA114" s="372"/>
    </row>
    <row r="115" spans="1:27" x14ac:dyDescent="0.25">
      <c r="A115" s="392">
        <f t="shared" si="32"/>
        <v>103</v>
      </c>
      <c r="B115" s="392">
        <v>43</v>
      </c>
      <c r="C115" s="333" t="s">
        <v>33</v>
      </c>
      <c r="D115" s="348">
        <f>+'Exhibit No.__(BDJ-PV RD)'!D72</f>
        <v>358.11</v>
      </c>
      <c r="E115" s="348">
        <f>+'Exhibit No.__(BDJ-PV RD)'!G72</f>
        <v>358.11</v>
      </c>
      <c r="F115" s="104">
        <v>1796.2428978453806</v>
      </c>
      <c r="G115" s="372">
        <f t="shared" ref="G115" si="123">+$D115*F115</f>
        <v>643252.54414740927</v>
      </c>
      <c r="I115" s="104">
        <v>1815.6033001416461</v>
      </c>
      <c r="J115" s="372">
        <f t="shared" ref="J115" si="124">+$D115*I115</f>
        <v>650185.69781372487</v>
      </c>
      <c r="K115" s="372">
        <f>+$E115*I115</f>
        <v>650185.69781372487</v>
      </c>
      <c r="O115" s="104">
        <v>1832.640204697733</v>
      </c>
      <c r="P115" s="372">
        <f t="shared" ref="P115" si="125">+$D115*O115</f>
        <v>656286.78370430518</v>
      </c>
      <c r="Q115" s="372">
        <f>+$E115*O115</f>
        <v>656286.78370430518</v>
      </c>
      <c r="U115" s="104">
        <v>1849.703589915822</v>
      </c>
      <c r="V115" s="372">
        <f t="shared" ref="V115" si="126">+$D115*U115</f>
        <v>662397.35258475505</v>
      </c>
      <c r="W115" s="372">
        <f>+$E115*U115</f>
        <v>662397.35258475505</v>
      </c>
      <c r="AA115" s="372"/>
    </row>
    <row r="116" spans="1:27" x14ac:dyDescent="0.25">
      <c r="A116" s="392">
        <f t="shared" si="32"/>
        <v>104</v>
      </c>
      <c r="B116" s="392">
        <f t="shared" ref="B116:B124" si="127">+B115</f>
        <v>43</v>
      </c>
      <c r="C116" s="419" t="s">
        <v>75</v>
      </c>
      <c r="F116" s="104"/>
      <c r="I116" s="104"/>
      <c r="O116" s="104"/>
      <c r="U116" s="104"/>
      <c r="AA116" s="372"/>
    </row>
    <row r="117" spans="1:27" x14ac:dyDescent="0.25">
      <c r="A117" s="392">
        <f t="shared" si="32"/>
        <v>105</v>
      </c>
      <c r="B117" s="392">
        <f t="shared" si="127"/>
        <v>43</v>
      </c>
      <c r="C117" s="334" t="s">
        <v>41</v>
      </c>
      <c r="D117" s="227">
        <f>+'Exhibit No.__(BDJ-PV RD)'!D74</f>
        <v>5.9549999999999999E-2</v>
      </c>
      <c r="E117" s="227">
        <f>+'Exhibit No.__(BDJ-PV RD)'!G74</f>
        <v>5.8889999999999998E-2</v>
      </c>
      <c r="F117" s="104">
        <v>114881000</v>
      </c>
      <c r="G117" s="372">
        <f t="shared" ref="G117" si="128">+$D117*F117</f>
        <v>6841163.5499999998</v>
      </c>
      <c r="I117" s="104">
        <v>118190000</v>
      </c>
      <c r="J117" s="372">
        <f t="shared" ref="J117" si="129">+$D117*I117</f>
        <v>7038214.5</v>
      </c>
      <c r="K117" s="372">
        <f>+$E117*I117</f>
        <v>6960209.0999999996</v>
      </c>
      <c r="L117" s="227">
        <f>ROUND(+L$123/I$117,6)</f>
        <v>8.6440000000000006E-3</v>
      </c>
      <c r="M117" s="227">
        <f>ROUND(+M$123/I$117,6)</f>
        <v>3.6749999999999999E-3</v>
      </c>
      <c r="O117" s="104">
        <v>119782000</v>
      </c>
      <c r="P117" s="372">
        <f t="shared" ref="P117" si="130">+$D117*O117</f>
        <v>7133018.0999999996</v>
      </c>
      <c r="Q117" s="372">
        <f>+$E117*O117</f>
        <v>7053961.9799999995</v>
      </c>
      <c r="R117" s="227">
        <f>ROUND(+R$123/O$117,6)</f>
        <v>6.5599999999999999E-3</v>
      </c>
      <c r="S117" s="227">
        <f>ROUND(+S$123/O$117,6)</f>
        <v>7.8239999999999994E-3</v>
      </c>
      <c r="U117" s="104">
        <v>119354000</v>
      </c>
      <c r="V117" s="372">
        <f t="shared" ref="V117" si="131">+$D117*U117</f>
        <v>7107530.7000000002</v>
      </c>
      <c r="W117" s="372">
        <f>+$E117*U117</f>
        <v>7028757.0599999996</v>
      </c>
      <c r="X117" s="227">
        <f>ROUND(+X$123/U$117,6)</f>
        <v>2.8700000000000002E-3</v>
      </c>
      <c r="Y117" s="227">
        <f>ROUND(+Y$123/U$117,6)</f>
        <v>1.1927E-2</v>
      </c>
      <c r="AA117" s="372"/>
    </row>
    <row r="118" spans="1:27" x14ac:dyDescent="0.25">
      <c r="A118" s="392">
        <f t="shared" ref="A118:A163" si="132">+A117+1</f>
        <v>106</v>
      </c>
      <c r="B118" s="392">
        <f t="shared" si="127"/>
        <v>43</v>
      </c>
      <c r="C118" s="333" t="s">
        <v>35</v>
      </c>
      <c r="F118" s="104"/>
      <c r="I118" s="104"/>
      <c r="O118" s="104"/>
      <c r="U118" s="104"/>
    </row>
    <row r="119" spans="1:27" x14ac:dyDescent="0.25">
      <c r="A119" s="392">
        <f t="shared" si="132"/>
        <v>107</v>
      </c>
      <c r="B119" s="392">
        <f t="shared" si="127"/>
        <v>43</v>
      </c>
      <c r="C119" s="422" t="s">
        <v>386</v>
      </c>
      <c r="D119" s="348">
        <f>+'Exhibit No.__(BDJ-PV RD)'!D80</f>
        <v>5.01</v>
      </c>
      <c r="E119" s="348">
        <f>+'Exhibit No.__(BDJ-PV RD)'!G80</f>
        <v>5.01</v>
      </c>
      <c r="F119" s="104">
        <v>569907.38191925827</v>
      </c>
      <c r="G119" s="372">
        <f t="shared" ref="G119" si="133">+$D119*F119</f>
        <v>2855235.983415484</v>
      </c>
      <c r="I119" s="104">
        <v>593190.97908409662</v>
      </c>
      <c r="J119" s="372">
        <f t="shared" ref="J119" si="134">+$D119*I119</f>
        <v>2971886.8052113238</v>
      </c>
      <c r="K119" s="372">
        <f>+$E119*I119</f>
        <v>2971886.8052113238</v>
      </c>
      <c r="O119" s="104">
        <v>600868.62342584261</v>
      </c>
      <c r="P119" s="372">
        <f t="shared" ref="P119" si="135">+$D119*O119</f>
        <v>3010351.8033634713</v>
      </c>
      <c r="Q119" s="372">
        <f>+$E119*O119</f>
        <v>3010351.8033634713</v>
      </c>
      <c r="U119" s="104">
        <v>602536.76757021376</v>
      </c>
      <c r="V119" s="372">
        <f t="shared" ref="V119" si="136">+$D119*U119</f>
        <v>3018709.205526771</v>
      </c>
      <c r="W119" s="372">
        <f>+$E119*U119</f>
        <v>3018709.205526771</v>
      </c>
    </row>
    <row r="120" spans="1:27" x14ac:dyDescent="0.25">
      <c r="A120" s="392">
        <f t="shared" si="132"/>
        <v>108</v>
      </c>
      <c r="B120" s="392">
        <f t="shared" si="127"/>
        <v>43</v>
      </c>
      <c r="C120" s="422"/>
      <c r="D120" s="348"/>
      <c r="E120" s="348"/>
      <c r="F120" s="104"/>
      <c r="I120" s="104"/>
      <c r="O120" s="104"/>
      <c r="U120" s="104"/>
    </row>
    <row r="121" spans="1:27" x14ac:dyDescent="0.25">
      <c r="A121" s="392">
        <f t="shared" si="132"/>
        <v>109</v>
      </c>
      <c r="B121" s="392">
        <f t="shared" si="127"/>
        <v>43</v>
      </c>
      <c r="C121" s="333" t="s">
        <v>86</v>
      </c>
      <c r="D121" s="420">
        <f>+'Exhibit No.__(BDJ-PV RD)'!D85</f>
        <v>3.1700000000000001E-3</v>
      </c>
      <c r="E121" s="420">
        <f>+'Exhibit No.__(BDJ-PV RD)'!G85</f>
        <v>3.1700000000000001E-3</v>
      </c>
      <c r="F121" s="104">
        <v>44208447.555363372</v>
      </c>
      <c r="G121" s="372">
        <f t="shared" ref="G121" si="137">+$D121*F121</f>
        <v>140140.77875050189</v>
      </c>
      <c r="I121" s="104">
        <v>45423445.869114868</v>
      </c>
      <c r="J121" s="372">
        <f t="shared" ref="J121" si="138">+$D121*I121</f>
        <v>143992.32340509412</v>
      </c>
      <c r="K121" s="372">
        <f>+$E121*I121</f>
        <v>143992.32340509412</v>
      </c>
      <c r="O121" s="104">
        <v>45989643.29206147</v>
      </c>
      <c r="P121" s="372">
        <f t="shared" ref="P121" si="139">+$D121*O121</f>
        <v>145787.16923583485</v>
      </c>
      <c r="Q121" s="372">
        <f>+$E121*O121</f>
        <v>145787.16923583485</v>
      </c>
      <c r="U121" s="104">
        <v>45840296.215493992</v>
      </c>
      <c r="V121" s="372">
        <f t="shared" ref="V121" si="140">+$D121*U121</f>
        <v>145313.73900311594</v>
      </c>
      <c r="W121" s="372">
        <f>+$E121*U121</f>
        <v>145313.73900311594</v>
      </c>
    </row>
    <row r="122" spans="1:27" ht="16.5" thickBot="1" x14ac:dyDescent="0.3">
      <c r="A122" s="392">
        <f t="shared" si="132"/>
        <v>110</v>
      </c>
      <c r="B122" s="392">
        <f t="shared" si="127"/>
        <v>43</v>
      </c>
      <c r="C122" s="136" t="s">
        <v>413</v>
      </c>
      <c r="D122" s="420"/>
      <c r="E122" s="420"/>
      <c r="F122" s="104"/>
      <c r="G122" s="417">
        <f>SUM(G121,G119,G117,G115)</f>
        <v>10479792.856313396</v>
      </c>
      <c r="I122" s="104"/>
      <c r="J122" s="417">
        <f t="shared" ref="J122:K122" si="141">SUM(J121,J119,J117,J115)</f>
        <v>10804279.326430144</v>
      </c>
      <c r="K122" s="417">
        <f t="shared" si="141"/>
        <v>10726273.926430142</v>
      </c>
      <c r="L122" s="417">
        <f>+L117*I117</f>
        <v>1021634.3600000001</v>
      </c>
      <c r="M122" s="417">
        <f>+M117*I117</f>
        <v>434348.25</v>
      </c>
      <c r="O122" s="104"/>
      <c r="P122" s="417">
        <f t="shared" ref="P122:Q122" si="142">SUM(P121,P119,P117,P115)</f>
        <v>10945443.856303612</v>
      </c>
      <c r="Q122" s="417">
        <f t="shared" si="142"/>
        <v>10866387.736303611</v>
      </c>
      <c r="R122" s="417">
        <f>+R117*O117</f>
        <v>785769.91999999993</v>
      </c>
      <c r="S122" s="417">
        <f>+S117*O117</f>
        <v>937174.3679999999</v>
      </c>
      <c r="U122" s="104"/>
      <c r="V122" s="417">
        <f t="shared" ref="V122" si="143">SUM(V121,V119,V117,V115)</f>
        <v>10933950.997114642</v>
      </c>
      <c r="W122" s="417">
        <f t="shared" ref="W122" si="144">SUM(W121,W119,W117,W115)</f>
        <v>10855177.357114641</v>
      </c>
      <c r="X122" s="417">
        <f>+X117*U117</f>
        <v>342545.98000000004</v>
      </c>
      <c r="Y122" s="417">
        <f>+Y117*U117</f>
        <v>1423535.1580000001</v>
      </c>
    </row>
    <row r="123" spans="1:27" ht="16.5" thickTop="1" x14ac:dyDescent="0.25">
      <c r="A123" s="392">
        <f t="shared" si="132"/>
        <v>111</v>
      </c>
      <c r="B123" s="392">
        <f t="shared" si="127"/>
        <v>43</v>
      </c>
      <c r="C123" s="421" t="s">
        <v>381</v>
      </c>
      <c r="D123" s="348"/>
      <c r="E123" s="348"/>
      <c r="F123" s="104"/>
      <c r="I123" s="104"/>
      <c r="L123" s="372">
        <f>+'Exhibit No.__(BDJ-Rate Spread)'!S19*1000</f>
        <v>1021593.5177098666</v>
      </c>
      <c r="M123" s="372">
        <f>+'Exhibit No.__(BDJ-Rate Spread)'!W19*1000</f>
        <v>434399.27552279364</v>
      </c>
      <c r="O123" s="104"/>
      <c r="R123" s="372">
        <f>+'Exhibit No.__(BDJ-Rate Spread)'!T19*1000</f>
        <v>785797.42096863547</v>
      </c>
      <c r="S123" s="372">
        <f>+'Exhibit No.__(BDJ-Rate Spread)'!X19*1000</f>
        <v>937209.7092114687</v>
      </c>
      <c r="U123" s="104"/>
      <c r="X123" s="372">
        <f>+'Exhibit No.__(BDJ-Rate Spread)'!U19*1000</f>
        <v>342488.48675777874</v>
      </c>
      <c r="Y123" s="372">
        <f>+'Exhibit No.__(BDJ-Rate Spread)'!Y19*1000</f>
        <v>1423583.3740896415</v>
      </c>
    </row>
    <row r="124" spans="1:27" ht="16.5" thickBot="1" x14ac:dyDescent="0.3">
      <c r="A124" s="392">
        <f t="shared" si="132"/>
        <v>112</v>
      </c>
      <c r="B124" s="392">
        <f t="shared" si="127"/>
        <v>43</v>
      </c>
      <c r="C124" s="422" t="s">
        <v>387</v>
      </c>
      <c r="G124" s="372"/>
      <c r="J124" s="372"/>
      <c r="K124" s="372"/>
      <c r="L124" s="372"/>
      <c r="M124" s="417">
        <f>SUM(K122,L122:M122)</f>
        <v>12182256.536430141</v>
      </c>
      <c r="P124" s="372"/>
      <c r="Q124" s="372"/>
      <c r="R124" s="372"/>
      <c r="S124" s="417">
        <f>SUM(Q122,R122:S122)</f>
        <v>12589332.024303611</v>
      </c>
      <c r="V124" s="372"/>
      <c r="W124" s="372"/>
      <c r="X124" s="372"/>
      <c r="Y124" s="417">
        <f>SUM(W122,X122:Y122)</f>
        <v>12621258.495114641</v>
      </c>
    </row>
    <row r="125" spans="1:27" ht="16.5" thickTop="1" x14ac:dyDescent="0.25">
      <c r="A125" s="392">
        <f t="shared" si="132"/>
        <v>113</v>
      </c>
    </row>
    <row r="126" spans="1:27" x14ac:dyDescent="0.25">
      <c r="A126" s="392">
        <f t="shared" si="132"/>
        <v>114</v>
      </c>
      <c r="C126" s="102" t="s">
        <v>55</v>
      </c>
    </row>
    <row r="127" spans="1:27" x14ac:dyDescent="0.25">
      <c r="A127" s="392">
        <f t="shared" si="132"/>
        <v>115</v>
      </c>
      <c r="B127" s="392">
        <v>46</v>
      </c>
      <c r="C127" s="419" t="s">
        <v>75</v>
      </c>
    </row>
    <row r="128" spans="1:27" x14ac:dyDescent="0.25">
      <c r="A128" s="392">
        <f t="shared" si="132"/>
        <v>116</v>
      </c>
      <c r="B128" s="392">
        <f t="shared" ref="B128:B133" si="145">+B127</f>
        <v>46</v>
      </c>
      <c r="C128" s="334" t="s">
        <v>41</v>
      </c>
      <c r="D128" s="227">
        <f>+'Exhibit No.__(BDJ-HV RD)'!D16</f>
        <v>5.2347999999999999E-2</v>
      </c>
      <c r="E128" s="227">
        <f>+'Exhibit No.__(BDJ-HV RD)'!G16</f>
        <v>5.1758999999999999E-2</v>
      </c>
      <c r="F128" s="104">
        <v>78958000</v>
      </c>
      <c r="G128" s="372">
        <f t="shared" ref="G128" si="146">+$D128*F128</f>
        <v>4133293.3840000001</v>
      </c>
      <c r="I128" s="104">
        <v>78251000</v>
      </c>
      <c r="J128" s="372">
        <f t="shared" ref="J128" si="147">+$D128*I128</f>
        <v>4096283.3479999998</v>
      </c>
      <c r="K128" s="372">
        <f>+$E128*I128</f>
        <v>4050193.5090000001</v>
      </c>
      <c r="L128" s="227">
        <f>ROUND(+L$132/I$128,6)</f>
        <v>4.9059999999999998E-3</v>
      </c>
      <c r="M128" s="227">
        <f>ROUND(+M$132/I$128,6)</f>
        <v>2.0860000000000002E-3</v>
      </c>
      <c r="O128" s="104">
        <v>77611000</v>
      </c>
      <c r="P128" s="372">
        <f t="shared" ref="P128" si="148">+$D128*O128</f>
        <v>4062780.628</v>
      </c>
      <c r="Q128" s="372">
        <f>+$E128*O128</f>
        <v>4017067.7489999998</v>
      </c>
      <c r="R128" s="227">
        <f>ROUND(+R$132/O$128,6)</f>
        <v>3.81E-3</v>
      </c>
      <c r="S128" s="227">
        <f>ROUND(+S$132/O$128,6)</f>
        <v>4.5450000000000004E-3</v>
      </c>
      <c r="U128" s="104">
        <v>76484000</v>
      </c>
      <c r="V128" s="372">
        <f t="shared" ref="V128" si="149">+$D128*U128</f>
        <v>4003784.432</v>
      </c>
      <c r="W128" s="372">
        <f>+$E128*U128</f>
        <v>3958735.3560000001</v>
      </c>
      <c r="X128" s="227">
        <f>ROUND(+X$132/U$128,6)</f>
        <v>1.6949999999999999E-3</v>
      </c>
      <c r="Y128" s="227">
        <f>ROUND(+Y$132/U$128,6)</f>
        <v>7.0470000000000003E-3</v>
      </c>
      <c r="AA128" s="372"/>
    </row>
    <row r="129" spans="1:27" x14ac:dyDescent="0.25">
      <c r="A129" s="392">
        <f t="shared" si="132"/>
        <v>117</v>
      </c>
      <c r="B129" s="392">
        <f t="shared" si="145"/>
        <v>46</v>
      </c>
      <c r="C129" s="333" t="s">
        <v>35</v>
      </c>
      <c r="F129" s="104"/>
      <c r="I129" s="104"/>
      <c r="O129" s="104"/>
      <c r="U129" s="104"/>
    </row>
    <row r="130" spans="1:27" x14ac:dyDescent="0.25">
      <c r="A130" s="392">
        <f t="shared" si="132"/>
        <v>118</v>
      </c>
      <c r="B130" s="392">
        <f t="shared" si="145"/>
        <v>46</v>
      </c>
      <c r="C130" s="422" t="s">
        <v>388</v>
      </c>
      <c r="D130" s="348">
        <f>+'Exhibit No.__(BDJ-HV RD)'!D20</f>
        <v>3.04</v>
      </c>
      <c r="E130" s="348">
        <f>+'Exhibit No.__(BDJ-HV RD)'!G20</f>
        <v>3.04</v>
      </c>
      <c r="F130" s="104">
        <v>342089.07392803591</v>
      </c>
      <c r="G130" s="372">
        <f t="shared" ref="G130" si="150">+$D130*F130</f>
        <v>1039950.7847412291</v>
      </c>
      <c r="I130" s="104">
        <v>337745.7021955165</v>
      </c>
      <c r="J130" s="372">
        <f t="shared" ref="J130" si="151">+$D130*I130</f>
        <v>1026746.9346743702</v>
      </c>
      <c r="K130" s="372">
        <f>+$E130*I130</f>
        <v>1026746.9346743702</v>
      </c>
      <c r="O130" s="104">
        <v>333917.23258901574</v>
      </c>
      <c r="P130" s="372">
        <f t="shared" ref="P130" si="152">+$D130*O130</f>
        <v>1015108.3870706079</v>
      </c>
      <c r="Q130" s="372">
        <f>+$E130*O130</f>
        <v>1015108.3870706079</v>
      </c>
      <c r="U130" s="104">
        <v>329589.99578262359</v>
      </c>
      <c r="V130" s="372">
        <f t="shared" ref="V130" si="153">+$D130*U130</f>
        <v>1001953.5871791757</v>
      </c>
      <c r="W130" s="372">
        <f>+$E130*U130</f>
        <v>1001953.5871791757</v>
      </c>
    </row>
    <row r="131" spans="1:27" ht="16.5" thickBot="1" x14ac:dyDescent="0.3">
      <c r="A131" s="392">
        <f t="shared" si="132"/>
        <v>119</v>
      </c>
      <c r="B131" s="392">
        <f t="shared" si="145"/>
        <v>46</v>
      </c>
      <c r="C131" s="136" t="s">
        <v>413</v>
      </c>
      <c r="D131" s="420"/>
      <c r="E131" s="420"/>
      <c r="F131" s="104"/>
      <c r="G131" s="417">
        <f>SUM(G130,G128)</f>
        <v>5173244.168741229</v>
      </c>
      <c r="I131" s="104"/>
      <c r="J131" s="417">
        <f t="shared" ref="J131:K131" si="154">SUM(J130,J128)</f>
        <v>5123030.2826743703</v>
      </c>
      <c r="K131" s="417">
        <f t="shared" si="154"/>
        <v>5076940.4436743706</v>
      </c>
      <c r="L131" s="417">
        <f>+L128*I128</f>
        <v>383899.40599999996</v>
      </c>
      <c r="M131" s="417">
        <f>+M128*I128</f>
        <v>163231.58600000001</v>
      </c>
      <c r="O131" s="104"/>
      <c r="P131" s="417">
        <f t="shared" ref="P131" si="155">SUM(P130,P128)</f>
        <v>5077889.0150706079</v>
      </c>
      <c r="Q131" s="417">
        <f t="shared" ref="Q131" si="156">SUM(Q130,Q128)</f>
        <v>5032176.1360706072</v>
      </c>
      <c r="R131" s="417">
        <f>+R128*O128</f>
        <v>295697.90999999997</v>
      </c>
      <c r="S131" s="417">
        <f>+S128*O128</f>
        <v>352741.99500000005</v>
      </c>
      <c r="U131" s="104"/>
      <c r="V131" s="417">
        <f t="shared" ref="V131:W131" si="157">SUM(V130,V128)</f>
        <v>5005738.0191791756</v>
      </c>
      <c r="W131" s="417">
        <f t="shared" si="157"/>
        <v>4960688.9431791762</v>
      </c>
      <c r="X131" s="417">
        <f>+X128*U128</f>
        <v>129640.37999999999</v>
      </c>
      <c r="Y131" s="417">
        <f>+Y128*U128</f>
        <v>538982.74800000002</v>
      </c>
    </row>
    <row r="132" spans="1:27" ht="16.5" thickTop="1" x14ac:dyDescent="0.25">
      <c r="A132" s="392">
        <f t="shared" si="132"/>
        <v>120</v>
      </c>
      <c r="B132" s="392">
        <f t="shared" si="145"/>
        <v>46</v>
      </c>
      <c r="C132" s="421" t="s">
        <v>381</v>
      </c>
      <c r="L132" s="372">
        <f>+'Exhibit No.__(BDJ-Rate Spread)'!$S$22*1000*$I$128/SUM($I$136,$I$128)</f>
        <v>383869.06801176572</v>
      </c>
      <c r="M132" s="372">
        <f>+'Exhibit No.__(BDJ-Rate Spread)'!$W$22*1000*$I$128/SUM($I$136,$I$128)</f>
        <v>163227.78301660958</v>
      </c>
      <c r="R132" s="372">
        <f>+'Exhibit No.__(BDJ-Rate Spread)'!T22*1000*O128/SUM(O136,O128)</f>
        <v>295729.84417439671</v>
      </c>
      <c r="S132" s="372">
        <f>+'Exhibit No.__(BDJ-Rate Spread)'!X22*1000*O128/SUM(O136,O128)</f>
        <v>352712.89249357564</v>
      </c>
      <c r="X132" s="372">
        <f>+'Exhibit No.__(BDJ-Rate Spread)'!$U$22*1000*$U$128/SUM($U$136,$U$128)</f>
        <v>129662.57243937466</v>
      </c>
      <c r="Y132" s="372">
        <f>+'Exhibit No.__(BDJ-Rate Spread)'!$Y$22*1000*$U$128/SUM($U$136,$U$128)</f>
        <v>538953.83203620987</v>
      </c>
    </row>
    <row r="133" spans="1:27" ht="16.5" thickBot="1" x14ac:dyDescent="0.3">
      <c r="A133" s="392">
        <f t="shared" si="132"/>
        <v>121</v>
      </c>
      <c r="B133" s="392">
        <f t="shared" si="145"/>
        <v>46</v>
      </c>
      <c r="C133" s="422" t="s">
        <v>389</v>
      </c>
      <c r="G133" s="372"/>
      <c r="J133" s="372"/>
      <c r="K133" s="372"/>
      <c r="L133" s="372"/>
      <c r="M133" s="417">
        <f>SUM(K131,L131:M131)</f>
        <v>5624071.4356743703</v>
      </c>
      <c r="P133" s="372"/>
      <c r="Q133" s="372"/>
      <c r="R133" s="372"/>
      <c r="S133" s="417">
        <f>SUM(Q131,R131:S131)</f>
        <v>5680616.0410706075</v>
      </c>
      <c r="V133" s="372"/>
      <c r="W133" s="372"/>
      <c r="X133" s="372"/>
      <c r="Y133" s="417">
        <f>SUM(W131,X131:Y131)</f>
        <v>5629312.0711791757</v>
      </c>
    </row>
    <row r="134" spans="1:27" ht="16.5" thickTop="1" x14ac:dyDescent="0.25">
      <c r="A134" s="392">
        <f t="shared" si="132"/>
        <v>122</v>
      </c>
    </row>
    <row r="135" spans="1:27" x14ac:dyDescent="0.25">
      <c r="A135" s="392">
        <f t="shared" si="132"/>
        <v>123</v>
      </c>
      <c r="B135" s="392">
        <v>49</v>
      </c>
      <c r="C135" s="419" t="s">
        <v>75</v>
      </c>
    </row>
    <row r="136" spans="1:27" x14ac:dyDescent="0.25">
      <c r="A136" s="392">
        <f t="shared" si="132"/>
        <v>124</v>
      </c>
      <c r="B136" s="392">
        <f t="shared" ref="B136:B141" si="158">+B135</f>
        <v>49</v>
      </c>
      <c r="C136" s="334" t="s">
        <v>41</v>
      </c>
      <c r="D136" s="227">
        <f>+'Exhibit No.__(BDJ-HV RD)'!D31</f>
        <v>5.2347999999999999E-2</v>
      </c>
      <c r="E136" s="227">
        <f>+'Exhibit No.__(BDJ-HV RD)'!G31</f>
        <v>5.1758999999999999E-2</v>
      </c>
      <c r="F136" s="104">
        <v>504163000</v>
      </c>
      <c r="G136" s="372">
        <f t="shared" ref="G136" si="159">+$D136*F136</f>
        <v>26391924.723999999</v>
      </c>
      <c r="I136" s="104">
        <v>504715000</v>
      </c>
      <c r="J136" s="372">
        <f t="shared" ref="J136" si="160">+$D136*I136</f>
        <v>26420820.82</v>
      </c>
      <c r="K136" s="372">
        <f>+$E136*I136</f>
        <v>26123543.684999999</v>
      </c>
      <c r="L136" s="227">
        <f>ROUND(+L$140/I$136,6)</f>
        <v>4.9059999999999998E-3</v>
      </c>
      <c r="M136" s="227">
        <f>ROUND(+M$140/I$136,6)</f>
        <v>2.0860000000000002E-3</v>
      </c>
      <c r="O136" s="104">
        <v>499683000</v>
      </c>
      <c r="P136" s="372">
        <f t="shared" ref="P136" si="161">+$D136*O136</f>
        <v>26157405.684</v>
      </c>
      <c r="Q136" s="372">
        <f>+$E136*O136</f>
        <v>25863092.397</v>
      </c>
      <c r="R136" s="227">
        <f>ROUND(+R$140/O$136,6)</f>
        <v>3.81E-3</v>
      </c>
      <c r="S136" s="227">
        <f>ROUND(+S$140/O$136,6)</f>
        <v>4.5450000000000004E-3</v>
      </c>
      <c r="U136" s="104">
        <v>489052000</v>
      </c>
      <c r="V136" s="372">
        <f t="shared" ref="V136" si="162">+$D136*U136</f>
        <v>25600894.096000001</v>
      </c>
      <c r="W136" s="372">
        <f>+$E136*U136</f>
        <v>25312842.467999998</v>
      </c>
      <c r="X136" s="227">
        <f>ROUND(+X$140/U$136,6)</f>
        <v>1.6949999999999999E-3</v>
      </c>
      <c r="Y136" s="227">
        <f>ROUND(+Y$140/U$136,6)</f>
        <v>7.0470000000000003E-3</v>
      </c>
    </row>
    <row r="137" spans="1:27" x14ac:dyDescent="0.25">
      <c r="A137" s="392">
        <f t="shared" si="132"/>
        <v>125</v>
      </c>
      <c r="B137" s="392">
        <f t="shared" si="158"/>
        <v>49</v>
      </c>
      <c r="C137" s="333" t="s">
        <v>35</v>
      </c>
      <c r="F137" s="104"/>
      <c r="I137" s="104"/>
      <c r="K137" s="372"/>
      <c r="O137" s="104"/>
      <c r="Q137" s="372"/>
      <c r="U137" s="104"/>
    </row>
    <row r="138" spans="1:27" x14ac:dyDescent="0.25">
      <c r="A138" s="392">
        <f t="shared" si="132"/>
        <v>126</v>
      </c>
      <c r="B138" s="392">
        <f t="shared" si="158"/>
        <v>49</v>
      </c>
      <c r="C138" s="422" t="s">
        <v>388</v>
      </c>
      <c r="D138" s="348">
        <f>+'Exhibit No.__(BDJ-HV RD)'!D35</f>
        <v>5.65</v>
      </c>
      <c r="E138" s="348">
        <f>+'Exhibit No.__(BDJ-HV RD)'!G35</f>
        <v>5.65</v>
      </c>
      <c r="F138" s="104">
        <v>1256796.2816623512</v>
      </c>
      <c r="G138" s="372">
        <f t="shared" ref="G138" si="163">+$D138*F138</f>
        <v>7100898.9913922846</v>
      </c>
      <c r="I138" s="104">
        <v>1244995.9124206307</v>
      </c>
      <c r="J138" s="372">
        <f t="shared" ref="J138" si="164">+$D138*I138</f>
        <v>7034226.9051765641</v>
      </c>
      <c r="K138" s="372">
        <f t="shared" ref="K138" si="165">+$E138*I138</f>
        <v>7034226.9051765641</v>
      </c>
      <c r="O138" s="104">
        <v>1235914.6702547306</v>
      </c>
      <c r="P138" s="372">
        <f t="shared" ref="P138" si="166">+$D138*O138</f>
        <v>6982917.8869392285</v>
      </c>
      <c r="Q138" s="372">
        <f>+$E138*O138</f>
        <v>6982917.8869392285</v>
      </c>
      <c r="U138" s="104">
        <v>1223851.3044459298</v>
      </c>
      <c r="V138" s="372">
        <f t="shared" ref="V138" si="167">+$D138*U138</f>
        <v>6914759.8701195037</v>
      </c>
      <c r="W138" s="372">
        <f>+$E138*U138</f>
        <v>6914759.8701195037</v>
      </c>
    </row>
    <row r="139" spans="1:27" ht="16.5" thickBot="1" x14ac:dyDescent="0.3">
      <c r="A139" s="392">
        <f t="shared" si="132"/>
        <v>127</v>
      </c>
      <c r="B139" s="392">
        <f t="shared" si="158"/>
        <v>49</v>
      </c>
      <c r="C139" s="136" t="s">
        <v>413</v>
      </c>
      <c r="D139" s="420"/>
      <c r="E139" s="420"/>
      <c r="F139" s="104"/>
      <c r="G139" s="417">
        <f>SUM(G138,G136)</f>
        <v>33492823.715392284</v>
      </c>
      <c r="I139" s="104"/>
      <c r="J139" s="417">
        <f t="shared" ref="J139:K139" si="168">SUM(J138,J136)</f>
        <v>33455047.725176565</v>
      </c>
      <c r="K139" s="417">
        <f t="shared" si="168"/>
        <v>33157770.590176564</v>
      </c>
      <c r="L139" s="417">
        <f>+L136*I136</f>
        <v>2476131.79</v>
      </c>
      <c r="M139" s="417">
        <f>+M136*I136</f>
        <v>1052835.49</v>
      </c>
      <c r="O139" s="104"/>
      <c r="P139" s="417">
        <f t="shared" ref="P139" si="169">SUM(P138,P136)</f>
        <v>33140323.570939228</v>
      </c>
      <c r="Q139" s="417">
        <f t="shared" ref="Q139" si="170">SUM(Q138,Q136)</f>
        <v>32846010.283939227</v>
      </c>
      <c r="R139" s="417">
        <f>+R136*O136</f>
        <v>1903792.23</v>
      </c>
      <c r="S139" s="417">
        <f>+S136*O136</f>
        <v>2271059.2350000003</v>
      </c>
      <c r="U139" s="104"/>
      <c r="V139" s="417">
        <f t="shared" ref="V139:W139" si="171">SUM(V138,V136)</f>
        <v>32515653.966119505</v>
      </c>
      <c r="W139" s="417">
        <f t="shared" si="171"/>
        <v>32227602.338119503</v>
      </c>
      <c r="X139" s="417">
        <f>+X136*U136</f>
        <v>828943.1399999999</v>
      </c>
      <c r="Y139" s="417">
        <f>+Y136*U136</f>
        <v>3446349.4440000001</v>
      </c>
    </row>
    <row r="140" spans="1:27" ht="16.5" thickTop="1" x14ac:dyDescent="0.25">
      <c r="A140" s="392">
        <f t="shared" si="132"/>
        <v>128</v>
      </c>
      <c r="B140" s="392">
        <f t="shared" si="158"/>
        <v>49</v>
      </c>
      <c r="C140" s="421" t="s">
        <v>381</v>
      </c>
      <c r="L140" s="372">
        <f>+'Exhibit No.__(BDJ-Rate Spread)'!$S$22*1000*$I$136/SUM($I$128,$I$136)</f>
        <v>2475936.1115073073</v>
      </c>
      <c r="M140" s="372">
        <f>+'Exhibit No.__(BDJ-Rate Spread)'!$W$22*1000*$I$136/SUM($I$128,$I$136)</f>
        <v>1052810.960949101</v>
      </c>
      <c r="R140" s="372">
        <f>+'Exhibit No.__(BDJ-Rate Spread)'!T22*1000*O136/SUM(O128,O136)</f>
        <v>1903997.8318356299</v>
      </c>
      <c r="S140" s="372">
        <f>+'Exhibit No.__(BDJ-Rate Spread)'!X22*1000*O136/SUM(O128,O136)</f>
        <v>2270871.864295878</v>
      </c>
      <c r="X140" s="372">
        <f>+'Exhibit No.__(BDJ-Rate Spread)'!$U$22*1000*$U$136/SUM($U$128,$U$136)</f>
        <v>829085.04231762281</v>
      </c>
      <c r="Y140" s="372">
        <f>+'Exhibit No.__(BDJ-Rate Spread)'!$Y$22*1000*$U$136/SUM($U$128,$U$136)</f>
        <v>3446164.5502977422</v>
      </c>
    </row>
    <row r="141" spans="1:27" ht="16.5" thickBot="1" x14ac:dyDescent="0.3">
      <c r="A141" s="392">
        <f t="shared" si="132"/>
        <v>129</v>
      </c>
      <c r="B141" s="392">
        <f t="shared" si="158"/>
        <v>49</v>
      </c>
      <c r="C141" s="422" t="s">
        <v>390</v>
      </c>
      <c r="G141" s="372"/>
      <c r="J141" s="372"/>
      <c r="K141" s="372"/>
      <c r="L141" s="372"/>
      <c r="M141" s="417">
        <f>SUM(K139,L139:M139)</f>
        <v>36686737.870176569</v>
      </c>
      <c r="P141" s="372"/>
      <c r="Q141" s="372"/>
      <c r="R141" s="372"/>
      <c r="S141" s="417">
        <f>SUM(Q139,R139:S139)</f>
        <v>37020861.748939224</v>
      </c>
      <c r="V141" s="372"/>
      <c r="W141" s="372"/>
      <c r="X141" s="372"/>
      <c r="Y141" s="417">
        <f>SUM(W139,X139:Y139)</f>
        <v>36502894.922119506</v>
      </c>
    </row>
    <row r="142" spans="1:27" ht="16.5" thickTop="1" x14ac:dyDescent="0.25">
      <c r="A142" s="392">
        <f t="shared" si="132"/>
        <v>130</v>
      </c>
    </row>
    <row r="143" spans="1:27" x14ac:dyDescent="0.25">
      <c r="A143" s="392">
        <f t="shared" si="132"/>
        <v>131</v>
      </c>
      <c r="B143" s="392" t="s">
        <v>391</v>
      </c>
      <c r="C143" s="419" t="s">
        <v>392</v>
      </c>
      <c r="D143" s="227">
        <f>+'Exhibit No.__(BDJ-Prof-Prop)'!L43/'Exhibit No.__(BDJ-Prof-Prop)'!I43</f>
        <v>0.25444310234316114</v>
      </c>
      <c r="E143" s="227">
        <f>+'Exhibit No.__(BDJ-Prof-Prop)'!N43/'Exhibit No.__(BDJ-Prof-Prop)'!I43</f>
        <v>0.25294452747722984</v>
      </c>
      <c r="F143" s="104">
        <v>64560000</v>
      </c>
      <c r="G143" s="372">
        <f t="shared" ref="G143" si="172">+$D143*F143</f>
        <v>16426846.687274484</v>
      </c>
      <c r="I143" s="104">
        <v>62703000</v>
      </c>
      <c r="J143" s="372">
        <f t="shared" ref="J143" si="173">+$D143*I143</f>
        <v>15954345.846223233</v>
      </c>
      <c r="K143" s="372">
        <f>+$E143*I143</f>
        <v>15860380.706404742</v>
      </c>
      <c r="L143" s="227">
        <f>ROUND(+L$145/I$143,6)</f>
        <v>4.5088999999999997E-2</v>
      </c>
      <c r="M143" s="227">
        <f>ROUND(+M$145/I$143,6)</f>
        <v>1.9172000000000002E-2</v>
      </c>
      <c r="O143" s="104">
        <v>61382000</v>
      </c>
      <c r="P143" s="372">
        <f t="shared" ref="P143" si="174">+$D143*O143</f>
        <v>15618226.508027917</v>
      </c>
      <c r="Q143" s="372">
        <f>+$E143*O143</f>
        <v>15526240.985607322</v>
      </c>
      <c r="R143" s="227">
        <f>ROUND(+R$145/O$143,6)</f>
        <v>3.5428000000000001E-2</v>
      </c>
      <c r="S143" s="227">
        <f>ROUND(+S$145/O$143,6)</f>
        <v>4.2255000000000001E-2</v>
      </c>
      <c r="U143" s="104">
        <v>60001000</v>
      </c>
      <c r="V143" s="372">
        <f t="shared" ref="V143" si="175">+$D143*U143</f>
        <v>15266840.583692012</v>
      </c>
      <c r="W143" s="372">
        <f>+$E143*U143</f>
        <v>15176924.593161268</v>
      </c>
      <c r="X143" s="227">
        <f>ROUND(+X$145/U$143,6)</f>
        <v>1.5796999999999999E-2</v>
      </c>
      <c r="Y143" s="227">
        <f>ROUND(+Y$145/U$143,6)</f>
        <v>6.5659999999999996E-2</v>
      </c>
      <c r="AA143" s="372"/>
    </row>
    <row r="144" spans="1:27" ht="16.5" thickBot="1" x14ac:dyDescent="0.3">
      <c r="A144" s="392">
        <f t="shared" si="132"/>
        <v>132</v>
      </c>
      <c r="B144" s="392" t="str">
        <f t="shared" ref="B144:B146" si="176">+B143</f>
        <v>3, 50-59</v>
      </c>
      <c r="C144" s="136" t="s">
        <v>413</v>
      </c>
      <c r="D144" s="420"/>
      <c r="E144" s="420"/>
      <c r="F144" s="104"/>
      <c r="G144" s="417">
        <f>SUM(G143)</f>
        <v>16426846.687274484</v>
      </c>
      <c r="I144" s="104"/>
      <c r="J144" s="417">
        <f t="shared" ref="J144:K144" si="177">SUM(J143)</f>
        <v>15954345.846223233</v>
      </c>
      <c r="K144" s="417">
        <f t="shared" si="177"/>
        <v>15860380.706404742</v>
      </c>
      <c r="L144" s="417">
        <f>+L143*I143</f>
        <v>2827215.5669999998</v>
      </c>
      <c r="M144" s="417">
        <f>+M143*I143</f>
        <v>1202141.9160000002</v>
      </c>
      <c r="O144" s="104"/>
      <c r="P144" s="417">
        <f t="shared" ref="P144" si="178">SUM(P143)</f>
        <v>15618226.508027917</v>
      </c>
      <c r="Q144" s="417">
        <f t="shared" ref="Q144" si="179">SUM(Q143)</f>
        <v>15526240.985607322</v>
      </c>
      <c r="R144" s="417">
        <f>+R143*O143</f>
        <v>2174641.4960000003</v>
      </c>
      <c r="S144" s="417">
        <f>+S143*O143</f>
        <v>2593696.41</v>
      </c>
      <c r="U144" s="104"/>
      <c r="V144" s="417">
        <f t="shared" ref="V144:W144" si="180">SUM(V143)</f>
        <v>15266840.583692012</v>
      </c>
      <c r="W144" s="417">
        <f t="shared" si="180"/>
        <v>15176924.593161268</v>
      </c>
      <c r="X144" s="417">
        <f>+X143*U143</f>
        <v>947835.7969999999</v>
      </c>
      <c r="Y144" s="417">
        <f>+Y143*U143</f>
        <v>3939665.6599999997</v>
      </c>
    </row>
    <row r="145" spans="1:25" ht="16.5" thickTop="1" x14ac:dyDescent="0.25">
      <c r="A145" s="392">
        <f t="shared" si="132"/>
        <v>133</v>
      </c>
      <c r="B145" s="392" t="str">
        <f t="shared" si="176"/>
        <v>3, 50-59</v>
      </c>
      <c r="C145" s="423" t="s">
        <v>381</v>
      </c>
      <c r="F145" s="104"/>
      <c r="I145" s="104"/>
      <c r="L145" s="372">
        <f>+'Exhibit No.__(BDJ-Rate Spread)'!S26*1000</f>
        <v>2827192.7141128145</v>
      </c>
      <c r="M145" s="372">
        <f>+'Exhibit No.__(BDJ-Rate Spread)'!W26*1000</f>
        <v>1202171.3582590655</v>
      </c>
      <c r="O145" s="104"/>
      <c r="R145" s="372">
        <f>+'Exhibit No.__(BDJ-Rate Spread)'!T26*1000</f>
        <v>2174642.5606843978</v>
      </c>
      <c r="S145" s="372">
        <f>+'Exhibit No.__(BDJ-Rate Spread)'!X26*1000</f>
        <v>2593666.0868975511</v>
      </c>
      <c r="U145" s="104"/>
      <c r="X145" s="372">
        <f>+'Exhibit No.__(BDJ-Rate Spread)'!U26*1000</f>
        <v>947814.30935440573</v>
      </c>
      <c r="Y145" s="372">
        <f>+'Exhibit No.__(BDJ-Rate Spread)'!Y26*1000</f>
        <v>3939673.1414082861</v>
      </c>
    </row>
    <row r="146" spans="1:25" ht="16.5" thickBot="1" x14ac:dyDescent="0.3">
      <c r="A146" s="392">
        <f t="shared" si="132"/>
        <v>134</v>
      </c>
      <c r="B146" s="392" t="str">
        <f t="shared" si="176"/>
        <v>3, 50-59</v>
      </c>
      <c r="C146" s="422" t="s">
        <v>393</v>
      </c>
      <c r="G146" s="372"/>
      <c r="J146" s="372"/>
      <c r="K146" s="372"/>
      <c r="L146" s="372"/>
      <c r="M146" s="417">
        <f>SUM(K144,L144:M144)</f>
        <v>19889738.189404741</v>
      </c>
      <c r="P146" s="372"/>
      <c r="Q146" s="372"/>
      <c r="R146" s="372"/>
      <c r="S146" s="417">
        <f>SUM(Q144,R144:S144)</f>
        <v>20294578.891607322</v>
      </c>
      <c r="V146" s="372"/>
      <c r="W146" s="372"/>
      <c r="X146" s="372"/>
      <c r="Y146" s="417">
        <f>SUM(W144,X144:Y144)</f>
        <v>20064426.050161269</v>
      </c>
    </row>
    <row r="147" spans="1:25" ht="16.5" thickTop="1" x14ac:dyDescent="0.25">
      <c r="A147" s="392">
        <f t="shared" si="132"/>
        <v>135</v>
      </c>
      <c r="F147" s="104"/>
      <c r="I147" s="104"/>
      <c r="O147" s="104"/>
    </row>
    <row r="148" spans="1:25" x14ac:dyDescent="0.25">
      <c r="A148" s="392">
        <f t="shared" si="132"/>
        <v>136</v>
      </c>
      <c r="B148" s="392" t="s">
        <v>301</v>
      </c>
      <c r="C148" s="419" t="s">
        <v>315</v>
      </c>
      <c r="D148" s="348">
        <f>+'Exhibit No.__(BDJ-TRANSP RD)'!D14</f>
        <v>2277</v>
      </c>
      <c r="E148" s="348">
        <f>+'Exhibit No.__(BDJ-TRANSP RD)'!G14</f>
        <v>2108</v>
      </c>
      <c r="F148" s="104">
        <v>240</v>
      </c>
      <c r="G148" s="372">
        <f t="shared" ref="G148:G149" si="181">+$D148*F148</f>
        <v>546480</v>
      </c>
      <c r="I148" s="104">
        <v>240</v>
      </c>
      <c r="J148" s="372">
        <f t="shared" ref="J148:K149" si="182">+$D148*I148</f>
        <v>546480</v>
      </c>
      <c r="K148" s="372">
        <f>+$E148*I148</f>
        <v>505920</v>
      </c>
      <c r="L148" s="348">
        <f>ROUND(+L$152/I$148,0)</f>
        <v>691</v>
      </c>
      <c r="M148" s="348">
        <f>ROUND(+M$152/I$148,0)</f>
        <v>294</v>
      </c>
      <c r="O148" s="104">
        <v>240</v>
      </c>
      <c r="P148" s="372">
        <f t="shared" ref="P148:P149" si="183">+$D148*O148</f>
        <v>546480</v>
      </c>
      <c r="Q148" s="372">
        <f>+$E148*O148</f>
        <v>505920</v>
      </c>
      <c r="R148" s="348">
        <f>ROUND(+R$152/O$148,0)</f>
        <v>532</v>
      </c>
      <c r="S148" s="348">
        <f>ROUND(+S$152/O$148,0)</f>
        <v>634</v>
      </c>
      <c r="T148" s="348">
        <f>ROUND(+T$152/P$148,0)</f>
        <v>1</v>
      </c>
      <c r="U148" s="104">
        <v>240</v>
      </c>
      <c r="V148" s="372">
        <f t="shared" ref="V148:V149" si="184">+$D148*U148</f>
        <v>546480</v>
      </c>
      <c r="W148" s="372">
        <f>+$E148*U148</f>
        <v>505920</v>
      </c>
      <c r="X148" s="348">
        <f>ROUND(+X$152/U$148,0)</f>
        <v>232</v>
      </c>
      <c r="Y148" s="348">
        <f>ROUND(+Y$152/U$148,0)</f>
        <v>963</v>
      </c>
    </row>
    <row r="149" spans="1:25" x14ac:dyDescent="0.25">
      <c r="A149" s="392">
        <f t="shared" si="132"/>
        <v>137</v>
      </c>
      <c r="B149" s="392" t="str">
        <f>+B148</f>
        <v>449, 459</v>
      </c>
      <c r="C149" s="419" t="s">
        <v>40</v>
      </c>
      <c r="D149" s="348">
        <v>0</v>
      </c>
      <c r="E149" s="348">
        <v>0</v>
      </c>
      <c r="F149" s="104">
        <v>1900721000</v>
      </c>
      <c r="G149" s="372">
        <f t="shared" si="181"/>
        <v>0</v>
      </c>
      <c r="I149" s="104">
        <v>1895530000</v>
      </c>
      <c r="J149" s="372">
        <f t="shared" si="182"/>
        <v>0</v>
      </c>
      <c r="K149" s="372">
        <f t="shared" si="182"/>
        <v>0</v>
      </c>
      <c r="L149" s="348"/>
      <c r="M149" s="348"/>
      <c r="O149" s="104">
        <v>1895104000</v>
      </c>
      <c r="P149" s="372">
        <f t="shared" si="183"/>
        <v>0</v>
      </c>
      <c r="Q149" s="372">
        <f t="shared" ref="Q149" si="185">+$E149*O149</f>
        <v>0</v>
      </c>
      <c r="R149" s="348"/>
      <c r="S149" s="348"/>
      <c r="T149" s="348"/>
      <c r="U149" s="104">
        <v>1883722000</v>
      </c>
      <c r="V149" s="372">
        <f t="shared" si="184"/>
        <v>0</v>
      </c>
      <c r="W149" s="372">
        <f>+$E149*U149</f>
        <v>0</v>
      </c>
      <c r="X149" s="348"/>
      <c r="Y149" s="348"/>
    </row>
    <row r="150" spans="1:25" x14ac:dyDescent="0.25">
      <c r="A150" s="392">
        <f t="shared" si="132"/>
        <v>138</v>
      </c>
      <c r="B150" s="392" t="str">
        <f t="shared" ref="B150:B153" si="186">+B149</f>
        <v>449, 459</v>
      </c>
      <c r="C150" s="419" t="s">
        <v>402</v>
      </c>
      <c r="D150" s="348"/>
      <c r="E150" s="348"/>
      <c r="F150" s="104"/>
      <c r="G150" s="372">
        <f>+'Exhibit No.__(BDJ-TRANSP RD)'!I23</f>
        <v>8794531</v>
      </c>
      <c r="I150" s="104"/>
      <c r="J150" s="372">
        <f>ROUND(+'Exhibit No.__(BDJ-TRANSP RD)'!$F$23,-2)</f>
        <v>8794500</v>
      </c>
      <c r="K150" s="372">
        <f>+G150</f>
        <v>8794531</v>
      </c>
      <c r="L150" s="348"/>
      <c r="M150" s="348"/>
      <c r="O150" s="104"/>
      <c r="P150" s="372">
        <f>ROUND(+'Exhibit No.__(BDJ-TRANSP RD)'!$F$23,-2)</f>
        <v>8794500</v>
      </c>
      <c r="Q150" s="372">
        <f>+K150</f>
        <v>8794531</v>
      </c>
      <c r="R150" s="348"/>
      <c r="S150" s="348"/>
      <c r="T150" s="348"/>
      <c r="U150" s="104"/>
      <c r="V150" s="372">
        <f>ROUND(+'Exhibit No.__(BDJ-TRANSP RD)'!$F$23,-2)</f>
        <v>8794500</v>
      </c>
      <c r="W150" s="372">
        <f>+Q150</f>
        <v>8794531</v>
      </c>
      <c r="X150" s="348"/>
      <c r="Y150" s="348"/>
    </row>
    <row r="151" spans="1:25" ht="16.5" thickBot="1" x14ac:dyDescent="0.3">
      <c r="A151" s="392">
        <f t="shared" si="132"/>
        <v>139</v>
      </c>
      <c r="B151" s="392" t="str">
        <f t="shared" si="186"/>
        <v>449, 459</v>
      </c>
      <c r="C151" s="136" t="s">
        <v>413</v>
      </c>
      <c r="D151" s="420"/>
      <c r="E151" s="420"/>
      <c r="F151" s="104"/>
      <c r="G151" s="417">
        <f>SUM(G148:G150)</f>
        <v>9341011</v>
      </c>
      <c r="I151" s="104"/>
      <c r="J151" s="417">
        <f t="shared" ref="J151:K151" si="187">SUM(J148:J150)</f>
        <v>9340980</v>
      </c>
      <c r="K151" s="417">
        <f t="shared" si="187"/>
        <v>9300451</v>
      </c>
      <c r="L151" s="417">
        <f>+L148*I148</f>
        <v>165840</v>
      </c>
      <c r="M151" s="417">
        <f>+M148*I148</f>
        <v>70560</v>
      </c>
      <c r="O151" s="104"/>
      <c r="P151" s="417">
        <f t="shared" ref="P151" si="188">SUM(P148:P150)</f>
        <v>9340980</v>
      </c>
      <c r="Q151" s="417">
        <f t="shared" ref="Q151" si="189">SUM(Q148:Q150)</f>
        <v>9300451</v>
      </c>
      <c r="R151" s="417">
        <f>+R148*O148</f>
        <v>127680</v>
      </c>
      <c r="S151" s="417">
        <f>+S148*O148</f>
        <v>152160</v>
      </c>
      <c r="U151" s="104"/>
      <c r="V151" s="417">
        <f t="shared" ref="V151:W151" si="190">SUM(V148:V150)</f>
        <v>9340980</v>
      </c>
      <c r="W151" s="417">
        <f t="shared" si="190"/>
        <v>9300451</v>
      </c>
      <c r="X151" s="417">
        <f>+X148*U148</f>
        <v>55680</v>
      </c>
      <c r="Y151" s="417">
        <f>+Y148*U148</f>
        <v>231120</v>
      </c>
    </row>
    <row r="152" spans="1:25" ht="16.5" thickTop="1" x14ac:dyDescent="0.25">
      <c r="A152" s="392">
        <f t="shared" si="132"/>
        <v>140</v>
      </c>
      <c r="B152" s="392" t="str">
        <f t="shared" si="186"/>
        <v>449, 459</v>
      </c>
      <c r="C152" s="423" t="s">
        <v>381</v>
      </c>
      <c r="F152" s="104"/>
      <c r="I152" s="104"/>
      <c r="L152" s="372">
        <f>+'Exhibit No.__(BDJ-Rate Spread)'!S$24*1000*$I$173/SUM(I$175)</f>
        <v>165877.46255930647</v>
      </c>
      <c r="M152" s="372">
        <f>+'Exhibit No.__(BDJ-Rate Spread)'!W$24*1000*$I$173/SUM($I$175)</f>
        <v>70533.97296691376</v>
      </c>
      <c r="O152" s="104"/>
      <c r="R152" s="372">
        <f>+'Exhibit No.__(BDJ-Rate Spread)'!T$24*1000*$I$173/SUM($I$175)</f>
        <v>127590.94494660138</v>
      </c>
      <c r="S152" s="372">
        <f>+'Exhibit No.__(BDJ-Rate Spread)'!X$24*1000*$I$173/$I$175</f>
        <v>152175.95428605218</v>
      </c>
      <c r="T152" s="372">
        <f>+'Exhibit No.__(BDJ-Rate Spread)'!X24*1000</f>
        <v>787643.27586136782</v>
      </c>
      <c r="U152" s="104"/>
      <c r="X152" s="372">
        <f>+'Exhibit No.__(BDJ-Rate Spread)'!$U$24*1000*$I$173/$I$175</f>
        <v>55610.299159407325</v>
      </c>
      <c r="Y152" s="372">
        <f>+'Exhibit No.__(BDJ-Rate Spread)'!$Y$24*1000*$I$173/$I$175</f>
        <v>231149.07616580022</v>
      </c>
    </row>
    <row r="153" spans="1:25" ht="16.5" thickBot="1" x14ac:dyDescent="0.3">
      <c r="A153" s="392">
        <f t="shared" si="132"/>
        <v>141</v>
      </c>
      <c r="B153" s="392" t="str">
        <f t="shared" si="186"/>
        <v>449, 459</v>
      </c>
      <c r="C153" s="422" t="s">
        <v>394</v>
      </c>
      <c r="G153" s="372"/>
      <c r="J153" s="372"/>
      <c r="K153" s="372"/>
      <c r="L153" s="372"/>
      <c r="M153" s="417">
        <f>SUM(K151,L151:M151)</f>
        <v>9536851</v>
      </c>
      <c r="P153" s="372"/>
      <c r="Q153" s="372"/>
      <c r="R153" s="372"/>
      <c r="S153" s="417">
        <f>SUM(Q151,R151:S151)</f>
        <v>9580291</v>
      </c>
      <c r="T153" s="372">
        <f>+S153+T152</f>
        <v>10367934.275861368</v>
      </c>
      <c r="V153" s="372"/>
      <c r="W153" s="372"/>
      <c r="X153" s="372"/>
      <c r="Y153" s="417">
        <f>SUM(W151,X151:Y151)</f>
        <v>9587251</v>
      </c>
    </row>
    <row r="154" spans="1:25" ht="16.5" thickTop="1" x14ac:dyDescent="0.25">
      <c r="A154" s="392">
        <f t="shared" si="132"/>
        <v>142</v>
      </c>
      <c r="F154" s="104"/>
      <c r="I154" s="104"/>
      <c r="O154" s="104"/>
      <c r="U154" s="104"/>
    </row>
    <row r="155" spans="1:25" x14ac:dyDescent="0.25">
      <c r="A155" s="392">
        <f t="shared" si="132"/>
        <v>143</v>
      </c>
      <c r="B155" s="392" t="s">
        <v>287</v>
      </c>
      <c r="C155" s="419" t="s">
        <v>315</v>
      </c>
      <c r="D155" s="348">
        <f>+'Exhibit No.__(BDJ-TRANSP RD)'!D30</f>
        <v>236</v>
      </c>
      <c r="E155" s="348">
        <f>+'Exhibit No.__(BDJ-TRANSP RD)'!G30</f>
        <v>396</v>
      </c>
      <c r="F155" s="104">
        <v>1068.2296072507554</v>
      </c>
      <c r="G155" s="372">
        <f t="shared" ref="G155:G157" si="191">+$D155*F155</f>
        <v>252102.18731117828</v>
      </c>
      <c r="I155" s="104">
        <v>1068.2296072507554</v>
      </c>
      <c r="J155" s="372">
        <f t="shared" ref="J155:J156" si="192">+$D155*I155</f>
        <v>252102.18731117828</v>
      </c>
      <c r="K155" s="372">
        <f>+$E155*I155</f>
        <v>423018.92447129916</v>
      </c>
      <c r="L155" s="348"/>
      <c r="M155" s="348"/>
      <c r="O155" s="104">
        <v>1068.2296072507554</v>
      </c>
      <c r="P155" s="372">
        <f t="shared" ref="P155:P157" si="193">+$D155*O155</f>
        <v>252102.18731117828</v>
      </c>
      <c r="Q155" s="372">
        <f>+$E155*O155</f>
        <v>423018.92447129916</v>
      </c>
      <c r="R155" s="348"/>
      <c r="S155" s="348"/>
      <c r="U155" s="104">
        <v>1068.2296072507554</v>
      </c>
      <c r="V155" s="372">
        <f t="shared" ref="V155:V157" si="194">+$D155*U155</f>
        <v>252102.18731117828</v>
      </c>
      <c r="W155" s="372">
        <f>+$E155*U155</f>
        <v>423018.92447129916</v>
      </c>
      <c r="X155" s="348"/>
      <c r="Y155" s="348"/>
    </row>
    <row r="156" spans="1:25" x14ac:dyDescent="0.25">
      <c r="A156" s="392">
        <f t="shared" si="132"/>
        <v>144</v>
      </c>
      <c r="B156" s="392" t="str">
        <f>+B155</f>
        <v>MSSC</v>
      </c>
      <c r="C156" s="419" t="s">
        <v>40</v>
      </c>
      <c r="D156" s="348">
        <v>0</v>
      </c>
      <c r="E156" s="348">
        <v>0</v>
      </c>
      <c r="F156" s="104">
        <v>289426000</v>
      </c>
      <c r="G156" s="372">
        <f t="shared" si="191"/>
        <v>0</v>
      </c>
      <c r="I156" s="104">
        <v>289426000</v>
      </c>
      <c r="J156" s="372">
        <f t="shared" si="192"/>
        <v>0</v>
      </c>
      <c r="K156" s="372">
        <f t="shared" ref="K156:K157" si="195">+$E156*I156</f>
        <v>0</v>
      </c>
      <c r="L156" s="227">
        <f>ROUND(+L$159/I$156,6)</f>
        <v>2.3930000000000002E-3</v>
      </c>
      <c r="M156" s="227">
        <f>ROUND(+M$159/I$156,6)</f>
        <v>1.018E-3</v>
      </c>
      <c r="O156" s="104">
        <v>289426000</v>
      </c>
      <c r="P156" s="372">
        <f t="shared" si="193"/>
        <v>0</v>
      </c>
      <c r="Q156" s="372">
        <f t="shared" ref="Q156:Q157" si="196">+$E156*O156</f>
        <v>0</v>
      </c>
      <c r="R156" s="227">
        <f>ROUND(+R$159/O$156,6)</f>
        <v>1.841E-3</v>
      </c>
      <c r="S156" s="227">
        <f>ROUND(+S$159/O$156,6)</f>
        <v>2.196E-3</v>
      </c>
      <c r="U156" s="104">
        <v>289426000</v>
      </c>
      <c r="V156" s="372">
        <f t="shared" si="194"/>
        <v>0</v>
      </c>
      <c r="W156" s="372">
        <f t="shared" ref="W156:W157" si="197">+$E156*U156</f>
        <v>0</v>
      </c>
      <c r="X156" s="227">
        <f>ROUND(+X$159/U$156,6)</f>
        <v>8.0199999999999998E-4</v>
      </c>
      <c r="Y156" s="227">
        <f>ROUND(+Y$159/U$156,6)</f>
        <v>3.3349999999999999E-3</v>
      </c>
    </row>
    <row r="157" spans="1:25" x14ac:dyDescent="0.25">
      <c r="A157" s="392">
        <f t="shared" si="132"/>
        <v>145</v>
      </c>
      <c r="B157" s="392" t="str">
        <f>+B156</f>
        <v>MSSC</v>
      </c>
      <c r="C157" s="419" t="s">
        <v>293</v>
      </c>
      <c r="D157" s="348">
        <f>+'Exhibit No.__(BDJ-TRANSP RD)'!F33/'Exhibit No.__(BDJ-TRANSP RD)'!C33</f>
        <v>5.3836603445040723</v>
      </c>
      <c r="E157" s="348">
        <f>+'Exhibit No.__(BDJ-TRANSP RD)'!I33/'Exhibit No.__(BDJ-TRANSP RD)'!C33</f>
        <v>4.0921923368484254</v>
      </c>
      <c r="F157" s="104">
        <v>789104.56442720047</v>
      </c>
      <c r="G157" s="372">
        <f t="shared" si="191"/>
        <v>4248270.9511738783</v>
      </c>
      <c r="I157" s="104">
        <v>789104.56442720047</v>
      </c>
      <c r="J157" s="372">
        <f t="shared" ref="J157" si="198">+$D157*I157</f>
        <v>4248270.9511738783</v>
      </c>
      <c r="K157" s="372">
        <f t="shared" si="195"/>
        <v>3229167.6515211044</v>
      </c>
      <c r="O157" s="104">
        <v>786374.61208836501</v>
      </c>
      <c r="P157" s="372">
        <f t="shared" si="193"/>
        <v>4233573.815024903</v>
      </c>
      <c r="Q157" s="372">
        <f t="shared" si="196"/>
        <v>3217996.1614801604</v>
      </c>
      <c r="U157" s="104">
        <v>789104.56442720047</v>
      </c>
      <c r="V157" s="372">
        <f t="shared" si="194"/>
        <v>4248270.9511738783</v>
      </c>
      <c r="W157" s="372">
        <f t="shared" si="197"/>
        <v>3229167.6515211044</v>
      </c>
    </row>
    <row r="158" spans="1:25" ht="16.5" thickBot="1" x14ac:dyDescent="0.3">
      <c r="A158" s="392">
        <f t="shared" si="132"/>
        <v>146</v>
      </c>
      <c r="B158" s="392" t="str">
        <f t="shared" ref="B158:B160" si="199">+B157</f>
        <v>MSSC</v>
      </c>
      <c r="C158" s="136" t="s">
        <v>413</v>
      </c>
      <c r="D158" s="420"/>
      <c r="E158" s="420"/>
      <c r="F158" s="104"/>
      <c r="G158" s="417">
        <f>SUM(G155:G157)</f>
        <v>4500373.1384850563</v>
      </c>
      <c r="I158" s="104"/>
      <c r="J158" s="417">
        <f t="shared" ref="J158" si="200">SUM(J155:J157)</f>
        <v>4500373.1384850563</v>
      </c>
      <c r="K158" s="417">
        <f t="shared" ref="K158" si="201">SUM(K155:K157)</f>
        <v>3652186.5759924036</v>
      </c>
      <c r="L158" s="417">
        <f>+L156*I156</f>
        <v>692596.41800000006</v>
      </c>
      <c r="M158" s="417">
        <f>+M156*I156</f>
        <v>294635.66800000001</v>
      </c>
      <c r="O158" s="104"/>
      <c r="P158" s="417">
        <f t="shared" ref="P158" si="202">SUM(P155:P157)</f>
        <v>4485676.0023360811</v>
      </c>
      <c r="Q158" s="417">
        <f t="shared" ref="Q158" si="203">SUM(Q155:Q157)</f>
        <v>3641015.0859514596</v>
      </c>
      <c r="R158" s="417">
        <f>+R156*O156</f>
        <v>532833.26599999995</v>
      </c>
      <c r="S158" s="417">
        <f>+S156*O156</f>
        <v>635579.49600000004</v>
      </c>
      <c r="U158" s="104"/>
      <c r="V158" s="417">
        <f t="shared" ref="V158:W158" si="204">SUM(V155:V157)</f>
        <v>4500373.1384850563</v>
      </c>
      <c r="W158" s="417">
        <f t="shared" si="204"/>
        <v>3652186.5759924036</v>
      </c>
      <c r="X158" s="417">
        <f>+X156*U156</f>
        <v>232119.652</v>
      </c>
      <c r="Y158" s="417">
        <f>+Y156*U156</f>
        <v>965235.71</v>
      </c>
    </row>
    <row r="159" spans="1:25" ht="16.5" thickTop="1" x14ac:dyDescent="0.25">
      <c r="A159" s="392">
        <f t="shared" si="132"/>
        <v>147</v>
      </c>
      <c r="B159" s="392" t="str">
        <f t="shared" si="199"/>
        <v>MSSC</v>
      </c>
      <c r="C159" s="423" t="s">
        <v>381</v>
      </c>
      <c r="L159" s="372">
        <f>+'Exhibit No.__(BDJ-Rate Spread)'!S$24*1000*$I$174/SUM(I$175)</f>
        <v>692683.06768182758</v>
      </c>
      <c r="M159" s="372">
        <f>+'Exhibit No.__(BDJ-Rate Spread)'!W$24*1000*$I$174/SUM($I$175)</f>
        <v>294540.84971332824</v>
      </c>
      <c r="R159" s="372">
        <f>+'Exhibit No.__(BDJ-Rate Spread)'!T$24*1000*$I$174/SUM($I$175)</f>
        <v>532803.46703179367</v>
      </c>
      <c r="S159" s="372">
        <f>+'Exhibit No.__(BDJ-Rate Spread)'!X$24*1000*$I$174/$I$175</f>
        <v>635467.32157531567</v>
      </c>
      <c r="X159" s="372">
        <f>+'Exhibit No.__(BDJ-Rate Spread)'!$U$24*1000*$I$174/$I$175</f>
        <v>232221.49665250749</v>
      </c>
      <c r="Y159" s="372">
        <f>+'Exhibit No.__(BDJ-Rate Spread)'!$Y$24*1000*$I$174/$I$175</f>
        <v>965248.97776936623</v>
      </c>
    </row>
    <row r="160" spans="1:25" ht="16.5" thickBot="1" x14ac:dyDescent="0.3">
      <c r="A160" s="392">
        <f t="shared" si="132"/>
        <v>148</v>
      </c>
      <c r="B160" s="392" t="str">
        <f t="shared" si="199"/>
        <v>MSSC</v>
      </c>
      <c r="C160" s="422" t="s">
        <v>401</v>
      </c>
      <c r="G160" s="372"/>
      <c r="J160" s="372"/>
      <c r="K160" s="372"/>
      <c r="L160" s="372"/>
      <c r="M160" s="417">
        <f>SUM(K158,L158:M158)</f>
        <v>4639418.6619924027</v>
      </c>
      <c r="P160" s="372"/>
      <c r="Q160" s="372"/>
      <c r="R160" s="372"/>
      <c r="S160" s="417">
        <f>SUM(Q158,R158:S158)</f>
        <v>4809427.8479514597</v>
      </c>
      <c r="V160" s="372"/>
      <c r="W160" s="372"/>
      <c r="X160" s="372"/>
      <c r="Y160" s="417">
        <f>SUM(W158,X158:Y158)</f>
        <v>4849541.9379924033</v>
      </c>
    </row>
    <row r="161" spans="1:25" ht="16.5" thickTop="1" x14ac:dyDescent="0.25">
      <c r="A161" s="392">
        <f t="shared" si="132"/>
        <v>149</v>
      </c>
      <c r="C161" s="422"/>
      <c r="G161" s="372"/>
      <c r="J161" s="372"/>
      <c r="K161" s="372"/>
      <c r="L161" s="372"/>
      <c r="M161" s="372"/>
      <c r="P161" s="372"/>
      <c r="Q161" s="372"/>
      <c r="R161" s="372"/>
      <c r="S161" s="372"/>
      <c r="V161" s="372"/>
      <c r="W161" s="372"/>
      <c r="X161" s="372"/>
      <c r="Y161" s="372"/>
    </row>
    <row r="162" spans="1:25" x14ac:dyDescent="0.25">
      <c r="A162" s="392">
        <f t="shared" si="132"/>
        <v>150</v>
      </c>
      <c r="B162" s="393" t="s">
        <v>179</v>
      </c>
      <c r="C162" s="419" t="s">
        <v>40</v>
      </c>
      <c r="D162" s="227">
        <f>+'Exhibit No.__(BDJ-TRANSP RD)'!D47</f>
        <v>3.5139999999999998E-2</v>
      </c>
      <c r="E162" s="227">
        <f>+'Exhibit No.__(BDJ-TRANSP RD)'!G47</f>
        <v>3.5139999999999998E-2</v>
      </c>
      <c r="F162" s="104">
        <v>7520000</v>
      </c>
      <c r="G162" s="372">
        <f t="shared" ref="G162:G164" si="205">+$D162*F162</f>
        <v>264252.79999999999</v>
      </c>
      <c r="I162" s="104">
        <v>7521000</v>
      </c>
      <c r="J162" s="372">
        <f t="shared" ref="J162:J164" si="206">+$D162*I162</f>
        <v>264287.94</v>
      </c>
      <c r="K162" s="372">
        <f>+$E162*I162</f>
        <v>264287.94</v>
      </c>
      <c r="L162" s="227">
        <f>ROUND(+L$167/I$162,6)</f>
        <v>8.2509999999999997E-3</v>
      </c>
      <c r="M162" s="227">
        <f>ROUND(+M$167/I$162,6)</f>
        <v>3.509E-3</v>
      </c>
      <c r="O162" s="104">
        <v>7552000</v>
      </c>
      <c r="P162" s="372">
        <f t="shared" ref="P162:P164" si="207">+$D162*O162</f>
        <v>265377.27999999997</v>
      </c>
      <c r="Q162" s="372">
        <f>+$E162*O162</f>
        <v>265377.27999999997</v>
      </c>
      <c r="R162" s="227">
        <f>ROUND(+R$167/O$162,6)</f>
        <v>6.3210000000000002E-3</v>
      </c>
      <c r="S162" s="227">
        <f>ROUND(+S$167/O$162,6)</f>
        <v>7.5389999999999997E-3</v>
      </c>
      <c r="U162" s="104">
        <v>7521000</v>
      </c>
      <c r="V162" s="372">
        <f t="shared" ref="V162:V164" si="208">+$D162*U162</f>
        <v>264287.94</v>
      </c>
      <c r="W162" s="372">
        <f>+$E162*U162</f>
        <v>264287.94</v>
      </c>
      <c r="X162" s="227">
        <f>ROUND(+X$167/U$162,6)</f>
        <v>2.7659999999999998E-3</v>
      </c>
      <c r="Y162" s="227">
        <f>ROUND(+Y$167/U$162,6)</f>
        <v>1.1498E-2</v>
      </c>
    </row>
    <row r="163" spans="1:25" x14ac:dyDescent="0.25">
      <c r="A163" s="392">
        <f t="shared" si="132"/>
        <v>151</v>
      </c>
      <c r="B163" s="392" t="str">
        <f>+B162</f>
        <v>Firm Resale</v>
      </c>
      <c r="C163" s="419" t="s">
        <v>400</v>
      </c>
      <c r="D163" s="227">
        <f>+'Exhibit No.__(BDJ-TRANSP RD)'!D52</f>
        <v>5.25</v>
      </c>
      <c r="E163" s="227">
        <f>+'Exhibit No.__(BDJ-TRANSP RD)'!G52</f>
        <v>5.25</v>
      </c>
      <c r="F163" s="104">
        <v>14950.85716497262</v>
      </c>
      <c r="G163" s="372">
        <f t="shared" si="205"/>
        <v>78492.000116106254</v>
      </c>
      <c r="I163" s="104">
        <v>14950.857165103656</v>
      </c>
      <c r="J163" s="372">
        <f t="shared" si="206"/>
        <v>78492.000116794195</v>
      </c>
      <c r="K163" s="372">
        <f t="shared" ref="K163" si="209">+$E163*I163</f>
        <v>78492.000116794195</v>
      </c>
      <c r="O163" s="104">
        <v>14941.592782693015</v>
      </c>
      <c r="P163" s="372">
        <f t="shared" si="207"/>
        <v>78443.362109138325</v>
      </c>
      <c r="Q163" s="372">
        <f t="shared" ref="Q163:Q164" si="210">+$E163*O163</f>
        <v>78443.362109138325</v>
      </c>
      <c r="U163" s="104">
        <v>14950.857165103656</v>
      </c>
      <c r="V163" s="372">
        <f t="shared" si="208"/>
        <v>78492.000116794195</v>
      </c>
      <c r="W163" s="372">
        <f t="shared" ref="W163:W164" si="211">+$E163*U163</f>
        <v>78492.000116794195</v>
      </c>
    </row>
    <row r="164" spans="1:25" x14ac:dyDescent="0.25">
      <c r="A164" s="392">
        <f t="shared" ref="A164:A175" si="212">+A163+1</f>
        <v>152</v>
      </c>
      <c r="B164" s="392" t="str">
        <f>+B163</f>
        <v>Firm Resale</v>
      </c>
      <c r="C164" s="419" t="s">
        <v>86</v>
      </c>
      <c r="D164" s="227">
        <f>+'Exhibit No.__(BDJ-TRANSP RD)'!D54</f>
        <v>2.5000000000000001E-4</v>
      </c>
      <c r="E164" s="227">
        <f>+'Exhibit No.__(BDJ-TRANSP RD)'!G54</f>
        <v>2.5000000000000001E-4</v>
      </c>
      <c r="F164" s="104">
        <v>1934500.6523658875</v>
      </c>
      <c r="G164" s="372">
        <f t="shared" si="205"/>
        <v>483.6251630914719</v>
      </c>
      <c r="I164" s="104">
        <v>1935048.9019313797</v>
      </c>
      <c r="J164" s="372">
        <f t="shared" si="206"/>
        <v>483.76222548284494</v>
      </c>
      <c r="K164" s="372">
        <f>+$E164*I164</f>
        <v>483.76222548284494</v>
      </c>
      <c r="O164" s="104">
        <v>1942079.2341014855</v>
      </c>
      <c r="P164" s="372">
        <f t="shared" si="207"/>
        <v>485.51980852537139</v>
      </c>
      <c r="Q164" s="372">
        <f t="shared" si="210"/>
        <v>485.51980852537139</v>
      </c>
      <c r="U164" s="104">
        <v>1934978.0500263989</v>
      </c>
      <c r="V164" s="372">
        <f t="shared" si="208"/>
        <v>483.74451250659973</v>
      </c>
      <c r="W164" s="372">
        <f t="shared" si="211"/>
        <v>483.74451250659973</v>
      </c>
    </row>
    <row r="165" spans="1:25" x14ac:dyDescent="0.25">
      <c r="A165" s="392">
        <f t="shared" si="212"/>
        <v>153</v>
      </c>
      <c r="B165" s="392" t="str">
        <f t="shared" ref="B165:B167" si="213">+B164</f>
        <v>Firm Resale</v>
      </c>
      <c r="C165" s="333" t="s">
        <v>516</v>
      </c>
      <c r="G165" s="372">
        <f>+'Exhibit No.__(BDJ-Prof-Prop)'!$P$47</f>
        <v>231.07525999999996</v>
      </c>
      <c r="K165" s="372">
        <f>+G165*1000</f>
        <v>231075.25999999995</v>
      </c>
      <c r="Q165" s="372">
        <f>+K165</f>
        <v>231075.25999999995</v>
      </c>
      <c r="W165" s="372">
        <f>+Q165</f>
        <v>231075.25999999995</v>
      </c>
    </row>
    <row r="166" spans="1:25" ht="16.5" thickBot="1" x14ac:dyDescent="0.3">
      <c r="A166" s="392">
        <f t="shared" si="212"/>
        <v>154</v>
      </c>
      <c r="B166" s="392" t="str">
        <f t="shared" si="213"/>
        <v>Firm Resale</v>
      </c>
      <c r="C166" s="136" t="s">
        <v>413</v>
      </c>
      <c r="D166" s="420"/>
      <c r="E166" s="420"/>
      <c r="F166" s="104"/>
      <c r="G166" s="417">
        <f>SUM(G162:G165)</f>
        <v>343459.5005391977</v>
      </c>
      <c r="I166" s="104"/>
      <c r="J166" s="417">
        <f>SUM(J162:J165)</f>
        <v>343263.70234227704</v>
      </c>
      <c r="K166" s="417">
        <f>SUM(K162:K165)</f>
        <v>574338.96234227694</v>
      </c>
      <c r="L166" s="417">
        <f>+L162*I162</f>
        <v>62055.771000000001</v>
      </c>
      <c r="M166" s="417">
        <f>+M162*I162</f>
        <v>26391.188999999998</v>
      </c>
      <c r="O166" s="104"/>
      <c r="P166" s="417">
        <f t="shared" ref="P166:Q166" si="214">SUM(P162:P165)</f>
        <v>344306.1619176637</v>
      </c>
      <c r="Q166" s="417">
        <f t="shared" si="214"/>
        <v>575381.42191766365</v>
      </c>
      <c r="R166" s="417">
        <f>+R162*O162</f>
        <v>47736.192000000003</v>
      </c>
      <c r="S166" s="417">
        <f>+S162*O162</f>
        <v>56934.527999999998</v>
      </c>
      <c r="U166" s="104"/>
      <c r="V166" s="417">
        <f t="shared" ref="V166" si="215">SUM(V162:V165)</f>
        <v>343263.68462930078</v>
      </c>
      <c r="W166" s="417">
        <f t="shared" ref="W166" si="216">SUM(W162:W165)</f>
        <v>574338.94462930073</v>
      </c>
      <c r="X166" s="417">
        <f>+X162*U162</f>
        <v>20803.085999999999</v>
      </c>
      <c r="Y166" s="417">
        <f>+Y162*U162</f>
        <v>86476.457999999999</v>
      </c>
    </row>
    <row r="167" spans="1:25" ht="16.5" thickTop="1" x14ac:dyDescent="0.25">
      <c r="A167" s="392">
        <f t="shared" si="212"/>
        <v>155</v>
      </c>
      <c r="B167" s="392" t="str">
        <f t="shared" si="213"/>
        <v>Firm Resale</v>
      </c>
      <c r="C167" s="423" t="s">
        <v>381</v>
      </c>
      <c r="L167" s="372">
        <f>+'Exhibit No.__(BDJ-Rate Spread)'!S30*1000</f>
        <v>62058.807352083655</v>
      </c>
      <c r="M167" s="372">
        <f>+'Exhibit No.__(BDJ-Rate Spread)'!W30*1000</f>
        <v>26388.4808255116</v>
      </c>
      <c r="R167" s="372">
        <f>+'Exhibit No.__(BDJ-Rate Spread)'!T30*1000</f>
        <v>47734.886645498678</v>
      </c>
      <c r="S167" s="372">
        <f>+'Exhibit No.__(BDJ-Rate Spread)'!X30*1000</f>
        <v>56932.738691256032</v>
      </c>
      <c r="X167" s="372">
        <f>+'Exhibit No.__(BDJ-Rate Spread)'!U30*1000</f>
        <v>20805.170208650365</v>
      </c>
      <c r="Y167" s="372">
        <f>+'Exhibit No.__(BDJ-Rate Spread)'!Y30*1000</f>
        <v>86478.511101270138</v>
      </c>
    </row>
    <row r="168" spans="1:25" ht="16.5" thickBot="1" x14ac:dyDescent="0.3">
      <c r="A168" s="392">
        <f t="shared" si="212"/>
        <v>156</v>
      </c>
      <c r="B168" s="392" t="str">
        <f>+B166</f>
        <v>Firm Resale</v>
      </c>
      <c r="C168" s="422"/>
      <c r="G168" s="417"/>
      <c r="J168" s="372"/>
      <c r="K168" s="372"/>
      <c r="L168" s="372"/>
      <c r="M168" s="417">
        <f>SUM(K166,L166:M166)</f>
        <v>662785.9223422769</v>
      </c>
      <c r="P168" s="372"/>
      <c r="Q168" s="372"/>
      <c r="R168" s="372"/>
      <c r="S168" s="417">
        <f>SUM(Q166,R166:S166)</f>
        <v>680052.14191766374</v>
      </c>
      <c r="V168" s="372"/>
      <c r="W168" s="372"/>
      <c r="X168" s="372"/>
      <c r="Y168" s="417">
        <f>SUM(W166,X166:Y166)</f>
        <v>681618.48862930073</v>
      </c>
    </row>
    <row r="169" spans="1:25" ht="16.5" thickTop="1" x14ac:dyDescent="0.25">
      <c r="A169" s="392">
        <f t="shared" si="212"/>
        <v>157</v>
      </c>
      <c r="C169" s="395" t="s">
        <v>27</v>
      </c>
      <c r="F169" s="104">
        <f>SUM(F162,F156,F149,F143,F136,F128,F117,F104,F91,F77,F57,F44,F34,F21)</f>
        <v>22409416000</v>
      </c>
      <c r="G169" s="372">
        <f>SUM(G166,G158,G151,G144,G139,G131,G122,G111,G98,G84,G64,G51,G35,G22)</f>
        <v>2060167427.7590003</v>
      </c>
      <c r="I169" s="104">
        <f>SUM(I162,I156,I149,I143,I136,I128,I117,I104,I91,I77,I57,I44,I34,I21)</f>
        <v>22594778000</v>
      </c>
      <c r="J169" s="372">
        <f>SUM(J166,J158,J151,J144,J139,J131,J122,J111,J98,J84,J64,J51,J35,J22)</f>
        <v>2077495373.085629</v>
      </c>
      <c r="K169" s="372">
        <f>SUM(K166,K158,K151,K144,K139,K131,K122,K111,K98,K84,K64,K51,K35,K22)</f>
        <v>2065389972.2955704</v>
      </c>
      <c r="L169" s="372">
        <f>SUM(L166,L158,L151,L144,L139,L131,L122,L111,L98,L84,L64,L51,L35,L22)</f>
        <v>240049125.09999999</v>
      </c>
      <c r="M169" s="372">
        <f>SUM(M166,M158,M151,M144,M139,M131,M122,M111,M98,M84,M64,M51,M35,M22)</f>
        <v>102075578.54500002</v>
      </c>
      <c r="O169" s="104">
        <f>SUM(O162,O156,O149,O143,O136,O128,O117,O104,O91,O77,O57,O44,O34,O21)</f>
        <v>22791140000</v>
      </c>
      <c r="P169" s="372">
        <f>SUM(P166,P158,P151,P144,P139,P131,P122,P111,P98,P84,P64,P51,P35,P22)</f>
        <v>2097238635.8312171</v>
      </c>
      <c r="Q169" s="372">
        <f>SUM(Q166,Q158,Q151,Q144,Q139,Q131,Q122,Q111,Q98,Q84,Q64,Q51,Q35,Q22)</f>
        <v>2085058268.3006554</v>
      </c>
      <c r="R169" s="372">
        <f>SUM(R166,R158,R151,R144,R139,R131,R122,R111,R98,R84,R64,R51,R35,R22)</f>
        <v>184642951.64999998</v>
      </c>
      <c r="S169" s="372">
        <f>SUM(S166,S158,S151,S144,S139,S131,S122,S111,S98,S84,S64,S51,S35,S22)</f>
        <v>220216693.22299999</v>
      </c>
      <c r="U169" s="104">
        <f>SUM(U162,U156,U149,U143,U136,U128,U117,U104,U91,U77,U57,U44,U34,U21)</f>
        <v>22805019000</v>
      </c>
      <c r="V169" s="372">
        <f>SUM(V166,V158,V151,V144,V139,V131,V122,V111,V98,V84,V64,V51,V35,V22)</f>
        <v>2101898181.4608819</v>
      </c>
      <c r="W169" s="372">
        <f>SUM(W166,W158,W151,W144,W139,W131,W122,W111,W98,W84,W64,W51,W35,W22)</f>
        <v>2089784511.0499587</v>
      </c>
      <c r="X169" s="372">
        <f>SUM(X166,X158,X151,X144,X139,X131,X122,X111,X98,X84,X64,X51,X35,X22)</f>
        <v>80471718.009000003</v>
      </c>
      <c r="Y169" s="372">
        <f>SUM(Y166,Y158,Y151,Y144,Y139,Y131,Y122,Y111,Y98,Y84,Y64,Y51,Y35,Y22)</f>
        <v>334505122.685</v>
      </c>
    </row>
    <row r="170" spans="1:25" x14ac:dyDescent="0.25">
      <c r="A170" s="392">
        <f t="shared" si="212"/>
        <v>158</v>
      </c>
      <c r="L170" s="372"/>
      <c r="M170" s="372"/>
      <c r="R170" s="372"/>
      <c r="S170" s="372"/>
      <c r="X170" s="372"/>
      <c r="Y170" s="372"/>
    </row>
    <row r="171" spans="1:25" x14ac:dyDescent="0.25">
      <c r="A171" s="392">
        <f t="shared" si="212"/>
        <v>159</v>
      </c>
    </row>
    <row r="172" spans="1:25" x14ac:dyDescent="0.25">
      <c r="A172" s="392">
        <f t="shared" si="212"/>
        <v>160</v>
      </c>
    </row>
    <row r="173" spans="1:25" x14ac:dyDescent="0.25">
      <c r="A173" s="392">
        <f t="shared" si="212"/>
        <v>161</v>
      </c>
      <c r="B173" s="392" t="str">
        <f>+B153</f>
        <v>449, 459</v>
      </c>
      <c r="C173" s="68" t="s">
        <v>579</v>
      </c>
      <c r="I173" s="372">
        <v>3769748.5482469648</v>
      </c>
    </row>
    <row r="174" spans="1:25" x14ac:dyDescent="0.25">
      <c r="A174" s="392">
        <f t="shared" si="212"/>
        <v>162</v>
      </c>
      <c r="B174" s="392" t="str">
        <f>+B160</f>
        <v>MSSC</v>
      </c>
      <c r="C174" s="68" t="s">
        <v>579</v>
      </c>
      <c r="I174" s="372">
        <v>15741987.781222671</v>
      </c>
    </row>
    <row r="175" spans="1:25" x14ac:dyDescent="0.25">
      <c r="A175" s="392">
        <f t="shared" si="212"/>
        <v>163</v>
      </c>
      <c r="B175" s="392" t="s">
        <v>27</v>
      </c>
      <c r="C175" s="68" t="s">
        <v>579</v>
      </c>
      <c r="I175" s="372">
        <f>SUM(I173:I174)</f>
        <v>19511736.329469636</v>
      </c>
    </row>
    <row r="177" spans="9:9" x14ac:dyDescent="0.25">
      <c r="I177" s="372"/>
    </row>
  </sheetData>
  <mergeCells count="4">
    <mergeCell ref="O10:S10"/>
    <mergeCell ref="U10:Y10"/>
    <mergeCell ref="F10:G10"/>
    <mergeCell ref="I10:M10"/>
  </mergeCells>
  <pageMargins left="0.7" right="0.7" top="0.75" bottom="0.75" header="0.3" footer="0.3"/>
  <pageSetup scale="46" fitToWidth="2" fitToHeight="0" orientation="landscape" r:id="rId1"/>
  <headerFooter>
    <oddFooter>&amp;L&amp;A</oddFooter>
  </headerFooter>
  <rowBreaks count="3" manualBreakCount="3">
    <brk id="53" max="24" man="1"/>
    <brk id="87" max="24" man="1"/>
    <brk id="141" max="24" man="1"/>
  </rowBreaks>
  <colBreaks count="1" manualBreakCount="1">
    <brk id="13" min="1" max="17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="90" zoomScaleNormal="90" workbookViewId="0">
      <pane xSplit="3" ySplit="6" topLeftCell="D19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8" defaultRowHeight="12.75" x14ac:dyDescent="0.2"/>
  <cols>
    <col min="1" max="1" width="7.25" style="373" bestFit="1" customWidth="1"/>
    <col min="2" max="2" width="25.375" style="139" bestFit="1" customWidth="1"/>
    <col min="3" max="3" width="10.25" style="139" customWidth="1"/>
    <col min="4" max="4" width="13.75" style="141" bestFit="1" customWidth="1"/>
    <col min="5" max="5" width="9" style="139" bestFit="1" customWidth="1"/>
    <col min="6" max="6" width="10.25" style="141" bestFit="1" customWidth="1"/>
    <col min="7" max="8" width="9" style="139" bestFit="1" customWidth="1"/>
    <col min="9" max="9" width="14.25" style="139" bestFit="1" customWidth="1"/>
    <col min="10" max="10" width="12.5" style="139" bestFit="1" customWidth="1"/>
    <col min="11" max="11" width="13.75" style="139" bestFit="1" customWidth="1"/>
    <col min="12" max="12" width="14.625" style="139" bestFit="1" customWidth="1"/>
    <col min="13" max="13" width="1.5" style="139" customWidth="1"/>
    <col min="14" max="15" width="13.125" style="139" bestFit="1" customWidth="1"/>
    <col min="16" max="16" width="9.375" style="139" bestFit="1" customWidth="1"/>
    <col min="17" max="17" width="10.875" style="139" bestFit="1" customWidth="1"/>
    <col min="18" max="18" width="1.5" style="139" customWidth="1"/>
    <col min="19" max="19" width="14.375" style="139" customWidth="1"/>
    <col min="20" max="20" width="13.125" style="139" bestFit="1" customWidth="1"/>
    <col min="21" max="21" width="9.375" style="139" bestFit="1" customWidth="1"/>
    <col min="22" max="22" width="10.75" style="139" bestFit="1" customWidth="1"/>
    <col min="23" max="16384" width="8" style="139"/>
  </cols>
  <sheetData>
    <row r="1" spans="1:22" x14ac:dyDescent="0.2">
      <c r="A1" s="379" t="s">
        <v>72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1"/>
    </row>
    <row r="2" spans="1:22" x14ac:dyDescent="0.2">
      <c r="A2" s="382" t="s">
        <v>458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4"/>
    </row>
    <row r="3" spans="1:22" ht="13.5" thickBot="1" x14ac:dyDescent="0.25">
      <c r="A3" s="382" t="s">
        <v>459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4"/>
    </row>
    <row r="4" spans="1:22" ht="12.75" customHeight="1" thickBot="1" x14ac:dyDescent="0.25">
      <c r="A4" s="385"/>
      <c r="B4" s="383"/>
      <c r="C4" s="383"/>
      <c r="D4" s="386"/>
      <c r="E4" s="383"/>
      <c r="F4" s="386"/>
      <c r="G4" s="383"/>
      <c r="H4" s="383"/>
      <c r="I4" s="383"/>
      <c r="J4" s="383"/>
      <c r="K4" s="383"/>
      <c r="L4" s="384"/>
      <c r="N4" s="455">
        <v>2024</v>
      </c>
      <c r="O4" s="456"/>
      <c r="P4" s="456"/>
      <c r="Q4" s="457"/>
      <c r="S4" s="458">
        <v>2025</v>
      </c>
      <c r="T4" s="459"/>
      <c r="U4" s="459"/>
      <c r="V4" s="460"/>
    </row>
    <row r="5" spans="1:22" s="148" customFormat="1" ht="109.5" customHeight="1" thickBot="1" x14ac:dyDescent="0.25">
      <c r="A5" s="143" t="s">
        <v>152</v>
      </c>
      <c r="B5" s="144" t="s">
        <v>460</v>
      </c>
      <c r="C5" s="144" t="s">
        <v>461</v>
      </c>
      <c r="D5" s="145" t="s">
        <v>462</v>
      </c>
      <c r="E5" s="145" t="str">
        <f>CONCATENATE(ROUND(E24*100,2),"% 
2022 GRC Energy (Docket No. UE-22xxxx)")</f>
        <v>20% 
2022 GRC Energy (Docket No. UE-22xxxx)</v>
      </c>
      <c r="F5" s="145" t="s">
        <v>463</v>
      </c>
      <c r="G5" s="145" t="str">
        <f>CONCATENATE(ROUND(G24*100,2),"% 
2022 GRC Demand (Docket No. UE-22xxxx)")</f>
        <v>80% 
2022 GRC Demand (Docket No. UE-22xxxx)</v>
      </c>
      <c r="H5" s="146" t="s">
        <v>464</v>
      </c>
      <c r="I5" s="146" t="s">
        <v>465</v>
      </c>
      <c r="J5" s="146" t="s">
        <v>466</v>
      </c>
      <c r="K5" s="146" t="s">
        <v>467</v>
      </c>
      <c r="L5" s="147" t="s">
        <v>468</v>
      </c>
      <c r="N5" s="398" t="s">
        <v>508</v>
      </c>
      <c r="O5" s="399" t="s">
        <v>509</v>
      </c>
      <c r="P5" s="399" t="s">
        <v>510</v>
      </c>
      <c r="Q5" s="400" t="s">
        <v>514</v>
      </c>
      <c r="S5" s="398" t="s">
        <v>513</v>
      </c>
      <c r="T5" s="399" t="s">
        <v>511</v>
      </c>
      <c r="U5" s="399" t="s">
        <v>512</v>
      </c>
      <c r="V5" s="400" t="s">
        <v>515</v>
      </c>
    </row>
    <row r="6" spans="1:22" s="148" customFormat="1" ht="39" customHeight="1" x14ac:dyDescent="0.2">
      <c r="A6" s="149"/>
      <c r="D6" s="150" t="s">
        <v>359</v>
      </c>
      <c r="E6" s="151" t="s">
        <v>553</v>
      </c>
      <c r="F6" s="150" t="s">
        <v>371</v>
      </c>
      <c r="G6" s="151" t="s">
        <v>554</v>
      </c>
      <c r="H6" s="152" t="s">
        <v>469</v>
      </c>
      <c r="I6" s="152" t="s">
        <v>364</v>
      </c>
      <c r="J6" s="153" t="s">
        <v>470</v>
      </c>
      <c r="K6" s="152" t="s">
        <v>366</v>
      </c>
      <c r="L6" s="154" t="s">
        <v>471</v>
      </c>
      <c r="N6" s="155" t="s">
        <v>375</v>
      </c>
      <c r="O6" s="152" t="s">
        <v>420</v>
      </c>
      <c r="P6" s="153" t="s">
        <v>421</v>
      </c>
      <c r="Q6" s="154" t="s">
        <v>422</v>
      </c>
      <c r="R6" s="139"/>
      <c r="S6" s="156" t="s">
        <v>423</v>
      </c>
      <c r="T6" s="157" t="s">
        <v>424</v>
      </c>
      <c r="U6" s="158" t="s">
        <v>425</v>
      </c>
      <c r="V6" s="159" t="s">
        <v>426</v>
      </c>
    </row>
    <row r="7" spans="1:22" x14ac:dyDescent="0.2">
      <c r="A7" s="140">
        <v>1</v>
      </c>
      <c r="B7" s="139" t="s">
        <v>163</v>
      </c>
      <c r="C7" s="373" t="s">
        <v>580</v>
      </c>
      <c r="D7" s="141">
        <v>11289690774.498602</v>
      </c>
      <c r="E7" s="160">
        <f>+D7/D$24*0.2</f>
        <v>0.10977174165570475</v>
      </c>
      <c r="F7" s="141">
        <v>2085925.9513142572</v>
      </c>
      <c r="G7" s="160">
        <f>+F7/F$24*0.8</f>
        <v>0.47242859385465685</v>
      </c>
      <c r="H7" s="160">
        <f>+G7+E7</f>
        <v>0.58220033551036154</v>
      </c>
      <c r="I7" s="160"/>
      <c r="J7" s="181">
        <f>+H7*($I$24)</f>
        <v>31365619.991416212</v>
      </c>
      <c r="K7" s="141">
        <f>'Exhibit No.__(BDJ-MYRP-SUM)'!$K$14*1000</f>
        <v>10846482000</v>
      </c>
      <c r="L7" s="161">
        <f>(+J7/K7)</f>
        <v>2.8917781812956692E-3</v>
      </c>
      <c r="N7" s="162">
        <f>+H7*($N$40)</f>
        <v>33780681.048909023</v>
      </c>
      <c r="O7" s="141">
        <f>'Exhibit No.__(BDJ-MYRP-SUM)'!$Q$14*1000</f>
        <v>10953273000</v>
      </c>
      <c r="P7" s="163">
        <f>(+N7/O7)</f>
        <v>3.0840718613430909E-3</v>
      </c>
      <c r="Q7" s="164">
        <f>(+P7-L7)*O7</f>
        <v>2106245.1737340624</v>
      </c>
      <c r="S7" s="162">
        <f>+H7*($S$40)</f>
        <v>46900391.241492689</v>
      </c>
      <c r="T7" s="141">
        <f>'Exhibit No.__(BDJ-MYRP-SUM)'!$W$14*1000</f>
        <v>11003417000</v>
      </c>
      <c r="U7" s="163">
        <f>(+S7/T7)</f>
        <v>4.2623478907954397E-3</v>
      </c>
      <c r="V7" s="164">
        <f>(+U7-P7)*T7</f>
        <v>12965062.493168475</v>
      </c>
    </row>
    <row r="8" spans="1:22" x14ac:dyDescent="0.2">
      <c r="A8" s="140">
        <f t="shared" ref="A8:A30" si="0">+A7+1</f>
        <v>2</v>
      </c>
      <c r="C8" s="165"/>
      <c r="E8" s="160"/>
      <c r="G8" s="160"/>
      <c r="H8" s="160"/>
      <c r="I8" s="160"/>
      <c r="J8" s="181"/>
      <c r="K8" s="141"/>
      <c r="L8" s="166"/>
      <c r="N8" s="167"/>
      <c r="O8" s="141"/>
      <c r="P8" s="168"/>
      <c r="Q8" s="164"/>
      <c r="S8" s="167"/>
      <c r="T8" s="141"/>
      <c r="U8" s="168"/>
      <c r="V8" s="164"/>
    </row>
    <row r="9" spans="1:22" x14ac:dyDescent="0.2">
      <c r="A9" s="140">
        <f t="shared" si="0"/>
        <v>3</v>
      </c>
      <c r="B9" s="297" t="s">
        <v>472</v>
      </c>
      <c r="C9" s="169" t="s">
        <v>473</v>
      </c>
      <c r="D9" s="141">
        <v>2650509853.8373485</v>
      </c>
      <c r="E9" s="160">
        <f>+D9/D$24*0.2</f>
        <v>2.5771395226212902E-2</v>
      </c>
      <c r="F9" s="141">
        <v>442083.12923040631</v>
      </c>
      <c r="G9" s="160">
        <f>+F9/F$24*0.8</f>
        <v>0.10012470048498022</v>
      </c>
      <c r="H9" s="160">
        <f>+G9+E9</f>
        <v>0.12589609571119312</v>
      </c>
      <c r="I9" s="160"/>
      <c r="J9" s="181">
        <f>+H9*($I$24)</f>
        <v>6782560.6679162923</v>
      </c>
      <c r="K9" s="141">
        <f>'Exhibit No.__(BDJ-MYRP-SUM)'!K15*1000</f>
        <v>2697633000</v>
      </c>
      <c r="L9" s="161">
        <f t="shared" ref="L9:L12" si="1">(+J9/K9)</f>
        <v>2.5142636777931958E-3</v>
      </c>
      <c r="N9" s="162">
        <f t="shared" ref="N9:N12" si="2">+H9*($N$40)</f>
        <v>7304798.0138909575</v>
      </c>
      <c r="O9" s="141">
        <f>'Exhibit No.__(BDJ-MYRP-SUM)'!Q15*1000</f>
        <v>2730372000</v>
      </c>
      <c r="P9" s="163">
        <f t="shared" ref="P9:P12" si="3">(+N9/O9)</f>
        <v>2.6753856301965293E-3</v>
      </c>
      <c r="Q9" s="164">
        <f t="shared" ref="Q9:Q12" si="4">(+P9-L9)*O9</f>
        <v>439922.86742739438</v>
      </c>
      <c r="S9" s="162">
        <f t="shared" ref="S9:S12" si="5">+H9*($S$40)</f>
        <v>10141828.825047597</v>
      </c>
      <c r="T9" s="141">
        <f>'Exhibit No.__(BDJ-MYRP-SUM)'!W15*1000</f>
        <v>2726800000</v>
      </c>
      <c r="U9" s="163">
        <f t="shared" ref="U9:U12" si="6">(+S9/T9)</f>
        <v>3.7193152504942048E-3</v>
      </c>
      <c r="V9" s="164">
        <f t="shared" ref="V9:V12" si="7">(+U9-P9)*T9</f>
        <v>2846587.2886277013</v>
      </c>
    </row>
    <row r="10" spans="1:22" x14ac:dyDescent="0.2">
      <c r="A10" s="140">
        <f t="shared" si="0"/>
        <v>4</v>
      </c>
      <c r="B10" s="139" t="s">
        <v>474</v>
      </c>
      <c r="C10" s="169" t="s">
        <v>475</v>
      </c>
      <c r="D10" s="141">
        <v>2848339505.8642573</v>
      </c>
      <c r="E10" s="160">
        <f>+D10/D$24*0.2</f>
        <v>2.7694929350211114E-2</v>
      </c>
      <c r="F10" s="141">
        <v>475073.8072564879</v>
      </c>
      <c r="G10" s="160">
        <f>+F10/F$24*0.8</f>
        <v>0.10759655710594679</v>
      </c>
      <c r="H10" s="160">
        <f>+G10+E10</f>
        <v>0.13529148645615791</v>
      </c>
      <c r="I10" s="160"/>
      <c r="J10" s="181">
        <f>+H10*($I$24)</f>
        <v>7288730.5166833922</v>
      </c>
      <c r="K10" s="141">
        <f>'Exhibit No.__(BDJ-MYRP-SUM)'!K16*1000</f>
        <v>2911699000.0000005</v>
      </c>
      <c r="L10" s="161">
        <f t="shared" si="1"/>
        <v>2.503256867101782E-3</v>
      </c>
      <c r="N10" s="162">
        <f t="shared" si="2"/>
        <v>7849941.4614764126</v>
      </c>
      <c r="O10" s="141">
        <f>'Exhibit No.__(BDJ-MYRP-SUM)'!Q16*1000</f>
        <v>2948172000</v>
      </c>
      <c r="P10" s="163">
        <f t="shared" si="3"/>
        <v>2.6626470441603856E-3</v>
      </c>
      <c r="Q10" s="164">
        <f t="shared" si="4"/>
        <v>469909.65707921749</v>
      </c>
      <c r="S10" s="162">
        <f t="shared" si="5"/>
        <v>10898694.589165155</v>
      </c>
      <c r="T10" s="141">
        <f>'Exhibit No.__(BDJ-MYRP-SUM)'!W16*1000</f>
        <v>2946456000</v>
      </c>
      <c r="U10" s="163">
        <f t="shared" si="6"/>
        <v>3.6989164573186075E-3</v>
      </c>
      <c r="V10" s="164">
        <f t="shared" si="7"/>
        <v>3053322.2300165216</v>
      </c>
    </row>
    <row r="11" spans="1:22" x14ac:dyDescent="0.2">
      <c r="A11" s="140">
        <f t="shared" si="0"/>
        <v>5</v>
      </c>
      <c r="B11" s="139" t="s">
        <v>476</v>
      </c>
      <c r="C11" s="169" t="s">
        <v>477</v>
      </c>
      <c r="D11" s="141">
        <v>1761654196.4658761</v>
      </c>
      <c r="E11" s="160">
        <f>+D11/D$24*0.2</f>
        <v>1.7128888045184625E-2</v>
      </c>
      <c r="F11" s="141">
        <v>269366.56769329851</v>
      </c>
      <c r="G11" s="160">
        <f>+F11/F$24*0.8</f>
        <v>6.100718423231713E-2</v>
      </c>
      <c r="H11" s="160">
        <f>+G11+E11</f>
        <v>7.8136072277501759E-2</v>
      </c>
      <c r="I11" s="160"/>
      <c r="J11" s="181">
        <f>+H11*($I$24)</f>
        <v>4209524.1125712711</v>
      </c>
      <c r="K11" s="141">
        <f>'Exhibit No.__(BDJ-MYRP-SUM)'!K17*1000</f>
        <v>1831289000</v>
      </c>
      <c r="L11" s="161">
        <f t="shared" si="1"/>
        <v>2.2986672843943643E-3</v>
      </c>
      <c r="N11" s="162">
        <f t="shared" si="2"/>
        <v>4533645.1647816235</v>
      </c>
      <c r="O11" s="141">
        <f>'Exhibit No.__(BDJ-MYRP-SUM)'!Q17*1000</f>
        <v>1853862000</v>
      </c>
      <c r="P11" s="163">
        <f t="shared" si="3"/>
        <v>2.4455138326270366E-3</v>
      </c>
      <c r="Q11" s="164">
        <f t="shared" si="4"/>
        <v>272233.23559971841</v>
      </c>
      <c r="S11" s="162">
        <f t="shared" si="5"/>
        <v>6294418.1519166492</v>
      </c>
      <c r="T11" s="141">
        <f>'Exhibit No.__(BDJ-MYRP-SUM)'!W17*1000</f>
        <v>1858617000</v>
      </c>
      <c r="U11" s="163">
        <f t="shared" si="6"/>
        <v>3.386613891897389E-3</v>
      </c>
      <c r="V11" s="164">
        <f t="shared" si="7"/>
        <v>1749144.5688608845</v>
      </c>
    </row>
    <row r="12" spans="1:22" x14ac:dyDescent="0.2">
      <c r="A12" s="140">
        <f t="shared" si="0"/>
        <v>6</v>
      </c>
      <c r="B12" s="139" t="s">
        <v>478</v>
      </c>
      <c r="C12" s="169">
        <v>29</v>
      </c>
      <c r="D12" s="141">
        <v>15210528.869569011</v>
      </c>
      <c r="E12" s="160">
        <f>+D12/D$24*0.2</f>
        <v>1.478947722189603E-4</v>
      </c>
      <c r="F12" s="141">
        <v>2551.8733588958303</v>
      </c>
      <c r="G12" s="160">
        <f>+F12/F$24*0.8</f>
        <v>5.7795816859113882E-4</v>
      </c>
      <c r="H12" s="160">
        <f>+G12+E12</f>
        <v>7.2585294081009913E-4</v>
      </c>
      <c r="I12" s="160"/>
      <c r="J12" s="181">
        <f>+H12*($I$24)</f>
        <v>39104.799709783583</v>
      </c>
      <c r="K12" s="141">
        <f>'Exhibit No.__(BDJ-MYRP-SUM)'!K18*1000</f>
        <v>14668000</v>
      </c>
      <c r="L12" s="161">
        <f t="shared" si="1"/>
        <v>2.6659939807597206E-3</v>
      </c>
      <c r="N12" s="162">
        <f t="shared" si="2"/>
        <v>42115.754983934079</v>
      </c>
      <c r="O12" s="141">
        <f>'Exhibit No.__(BDJ-MYRP-SUM)'!Q18*1000</f>
        <v>14778000</v>
      </c>
      <c r="P12" s="163">
        <f t="shared" si="3"/>
        <v>2.8498954516128082E-3</v>
      </c>
      <c r="Q12" s="164">
        <f t="shared" si="4"/>
        <v>2717.695936266929</v>
      </c>
      <c r="S12" s="162">
        <f t="shared" si="5"/>
        <v>58472.633613203776</v>
      </c>
      <c r="T12" s="141">
        <f>'Exhibit No.__(BDJ-MYRP-SUM)'!W18*1000</f>
        <v>14768999.999999998</v>
      </c>
      <c r="U12" s="163">
        <f t="shared" si="6"/>
        <v>3.9591464292236291E-3</v>
      </c>
      <c r="V12" s="164">
        <f t="shared" si="7"/>
        <v>16382.52768833421</v>
      </c>
    </row>
    <row r="13" spans="1:22" x14ac:dyDescent="0.2">
      <c r="A13" s="140">
        <f t="shared" si="0"/>
        <v>7</v>
      </c>
      <c r="C13" s="169"/>
      <c r="E13" s="160"/>
      <c r="G13" s="160"/>
      <c r="H13" s="160"/>
      <c r="I13" s="160"/>
      <c r="J13" s="181"/>
      <c r="K13" s="141"/>
      <c r="L13" s="166"/>
      <c r="N13" s="167"/>
      <c r="O13" s="141"/>
      <c r="P13" s="168"/>
      <c r="Q13" s="164"/>
      <c r="S13" s="167"/>
      <c r="T13" s="141"/>
      <c r="U13" s="168"/>
      <c r="V13" s="164"/>
    </row>
    <row r="14" spans="1:22" x14ac:dyDescent="0.2">
      <c r="A14" s="140">
        <f t="shared" si="0"/>
        <v>8</v>
      </c>
      <c r="B14" s="139" t="s">
        <v>479</v>
      </c>
      <c r="C14" s="169" t="s">
        <v>480</v>
      </c>
      <c r="D14" s="141">
        <v>1244960837.6746433</v>
      </c>
      <c r="E14" s="160">
        <f>+D14/D$24*0.2</f>
        <v>1.2104983402502458E-2</v>
      </c>
      <c r="F14" s="141">
        <v>187475.93901391898</v>
      </c>
      <c r="G14" s="160">
        <f>+F14/F$24*0.8</f>
        <v>4.2460277266373442E-2</v>
      </c>
      <c r="H14" s="160">
        <f>+G14+E14</f>
        <v>5.4565260668875903E-2</v>
      </c>
      <c r="I14" s="160"/>
      <c r="J14" s="181">
        <f>+H14*($I$24)</f>
        <v>2939663.7660337989</v>
      </c>
      <c r="K14" s="141">
        <f>'Exhibit No.__(BDJ-MYRP-SUM)'!K19*1000</f>
        <v>1332008000</v>
      </c>
      <c r="L14" s="161">
        <f t="shared" ref="L14:L16" si="8">(+J14/K14)</f>
        <v>2.2069415244006033E-3</v>
      </c>
      <c r="N14" s="162">
        <f t="shared" ref="N14:N16" si="9">+H14*($N$40)</f>
        <v>3166009.2833681861</v>
      </c>
      <c r="O14" s="141">
        <f>'Exhibit No.__(BDJ-MYRP-SUM)'!Q19*1000</f>
        <v>1335448000</v>
      </c>
      <c r="P14" s="163">
        <f t="shared" ref="P14:P16" si="10">(+N14/O14)</f>
        <v>2.3707469578509877E-3</v>
      </c>
      <c r="Q14" s="164">
        <f t="shared" ref="Q14:Q16" si="11">(+P14-L14)*O14</f>
        <v>218753.63849044903</v>
      </c>
      <c r="S14" s="162">
        <f t="shared" ref="S14:S16" si="12">+H14*($S$40)</f>
        <v>4395621.0903261621</v>
      </c>
      <c r="T14" s="141">
        <f>'Exhibit No.__(BDJ-MYRP-SUM)'!W19*1000</f>
        <v>1324706000</v>
      </c>
      <c r="U14" s="163">
        <f t="shared" ref="U14:U16" si="13">(+S14/T14)</f>
        <v>3.3181861411710691E-3</v>
      </c>
      <c r="V14" s="164">
        <f t="shared" ref="V14:V16" si="14">(+U14-P14)*T14</f>
        <v>1255078.3707792116</v>
      </c>
    </row>
    <row r="15" spans="1:22" x14ac:dyDescent="0.2">
      <c r="A15" s="140">
        <f t="shared" si="0"/>
        <v>9</v>
      </c>
      <c r="B15" s="139" t="s">
        <v>481</v>
      </c>
      <c r="C15" s="169">
        <v>35</v>
      </c>
      <c r="D15" s="141">
        <v>4166514.0850937385</v>
      </c>
      <c r="E15" s="160">
        <f>+D15/D$24*0.2</f>
        <v>4.0511783439354425E-5</v>
      </c>
      <c r="F15" s="141">
        <v>401.31553606995664</v>
      </c>
      <c r="G15" s="160">
        <f>+F15/F$24*0.8</f>
        <v>9.0891497983474736E-5</v>
      </c>
      <c r="H15" s="160">
        <f>+G15+E15</f>
        <v>1.3140328142282915E-4</v>
      </c>
      <c r="I15" s="160"/>
      <c r="J15" s="181">
        <f>+H15*($I$24)</f>
        <v>7079.256296066199</v>
      </c>
      <c r="K15" s="141">
        <f>'Exhibit No.__(BDJ-MYRP-SUM)'!K20*1000</f>
        <v>4663000</v>
      </c>
      <c r="L15" s="161">
        <f t="shared" si="8"/>
        <v>1.5181763448565728E-3</v>
      </c>
      <c r="N15" s="162">
        <f t="shared" si="9"/>
        <v>7624.3383381657704</v>
      </c>
      <c r="O15" s="141">
        <f>'Exhibit No.__(BDJ-MYRP-SUM)'!Q20*1000</f>
        <v>4695000</v>
      </c>
      <c r="P15" s="163">
        <f t="shared" si="10"/>
        <v>1.623927228576309E-3</v>
      </c>
      <c r="Q15" s="164">
        <f t="shared" si="11"/>
        <v>496.50039906416157</v>
      </c>
      <c r="S15" s="162">
        <f t="shared" si="12"/>
        <v>10585.471929940124</v>
      </c>
      <c r="T15" s="141">
        <f>'Exhibit No.__(BDJ-MYRP-SUM)'!W20*1000</f>
        <v>4694000</v>
      </c>
      <c r="U15" s="163">
        <f t="shared" si="13"/>
        <v>2.2551069301108063E-3</v>
      </c>
      <c r="V15" s="164">
        <f t="shared" si="14"/>
        <v>2962.7575190029306</v>
      </c>
    </row>
    <row r="16" spans="1:22" x14ac:dyDescent="0.2">
      <c r="A16" s="140">
        <f t="shared" si="0"/>
        <v>10</v>
      </c>
      <c r="B16" s="139" t="s">
        <v>482</v>
      </c>
      <c r="C16" s="169">
        <v>43</v>
      </c>
      <c r="D16" s="141">
        <v>106553558.62246363</v>
      </c>
      <c r="E16" s="160">
        <f>+D16/D$24*0.2</f>
        <v>1.0360398653275369E-3</v>
      </c>
      <c r="F16" s="141">
        <v>0</v>
      </c>
      <c r="G16" s="160">
        <f>+F16/F$24*0.8</f>
        <v>0</v>
      </c>
      <c r="H16" s="160">
        <f>+G16+E16</f>
        <v>1.0360398653275369E-3</v>
      </c>
      <c r="I16" s="160"/>
      <c r="J16" s="181">
        <f>+H16*($I$24)</f>
        <v>55815.894855737701</v>
      </c>
      <c r="K16" s="141">
        <f>'Exhibit No.__(BDJ-MYRP-SUM)'!K21*1000</f>
        <v>118190000</v>
      </c>
      <c r="L16" s="161">
        <f t="shared" si="8"/>
        <v>4.7225564646533296E-4</v>
      </c>
      <c r="N16" s="162">
        <f t="shared" si="9"/>
        <v>60113.555609521485</v>
      </c>
      <c r="O16" s="141">
        <f>'Exhibit No.__(BDJ-MYRP-SUM)'!Q21*1000</f>
        <v>119782000</v>
      </c>
      <c r="P16" s="163">
        <f t="shared" si="10"/>
        <v>5.0185800545592401E-4</v>
      </c>
      <c r="Q16" s="164">
        <f t="shared" si="11"/>
        <v>3545.8297646109763</v>
      </c>
      <c r="S16" s="162">
        <f t="shared" si="12"/>
        <v>83460.403682264965</v>
      </c>
      <c r="T16" s="141">
        <f>'Exhibit No.__(BDJ-MYRP-SUM)'!W21*1000</f>
        <v>119354000</v>
      </c>
      <c r="U16" s="163">
        <f t="shared" si="13"/>
        <v>6.9926775543563652E-4</v>
      </c>
      <c r="V16" s="164">
        <f t="shared" si="14"/>
        <v>23561.643299078605</v>
      </c>
    </row>
    <row r="17" spans="1:22" x14ac:dyDescent="0.2">
      <c r="A17" s="140">
        <f t="shared" si="0"/>
        <v>11</v>
      </c>
      <c r="C17" s="169"/>
      <c r="E17" s="160"/>
      <c r="G17" s="160"/>
      <c r="H17" s="160"/>
      <c r="I17" s="160"/>
      <c r="J17" s="181"/>
      <c r="K17" s="141"/>
      <c r="L17" s="166"/>
      <c r="N17" s="167"/>
      <c r="O17" s="141"/>
      <c r="P17" s="168"/>
      <c r="Q17" s="164"/>
      <c r="S17" s="167"/>
      <c r="T17" s="141"/>
      <c r="U17" s="168"/>
      <c r="V17" s="164"/>
    </row>
    <row r="18" spans="1:22" x14ac:dyDescent="0.2">
      <c r="A18" s="140">
        <f t="shared" si="0"/>
        <v>12</v>
      </c>
      <c r="B18" s="297" t="s">
        <v>483</v>
      </c>
      <c r="C18" s="169">
        <v>46</v>
      </c>
      <c r="D18" s="141">
        <v>93811148.646427751</v>
      </c>
      <c r="E18" s="160">
        <f>+D18/D$24*0.2</f>
        <v>9.1214306745243234E-4</v>
      </c>
      <c r="F18" s="141">
        <v>0</v>
      </c>
      <c r="G18" s="160">
        <f>+F18/F$24*0.8</f>
        <v>0</v>
      </c>
      <c r="H18" s="160">
        <f>+G18+E18</f>
        <v>9.1214306745243234E-4</v>
      </c>
      <c r="I18" s="160"/>
      <c r="J18" s="181">
        <f>+H18*($I$24)</f>
        <v>49141.044905853611</v>
      </c>
      <c r="K18" s="141">
        <f>'Exhibit No.__(BDJ-MYRP-SUM)'!K22*1000</f>
        <v>78251000</v>
      </c>
      <c r="L18" s="161">
        <f t="shared" ref="L18:L19" si="15">(+J18/K18)</f>
        <v>6.2799254841284602E-4</v>
      </c>
      <c r="N18" s="162">
        <f t="shared" ref="N18:N19" si="16">+H18*($N$40)</f>
        <v>52924.761724112308</v>
      </c>
      <c r="O18" s="141">
        <f>'Exhibit No.__(BDJ-MYRP-SUM)'!Q22*1000</f>
        <v>77611000</v>
      </c>
      <c r="P18" s="163">
        <f t="shared" ref="P18:P19" si="17">(+N18/O18)</f>
        <v>6.8192346090260793E-4</v>
      </c>
      <c r="Q18" s="164">
        <f t="shared" ref="Q18:Q19" si="18">(+P18-L18)*O18</f>
        <v>4185.6320492429122</v>
      </c>
      <c r="S18" s="162">
        <f t="shared" ref="S18:S19" si="19">+H18*($S$40)</f>
        <v>73479.632563648644</v>
      </c>
      <c r="T18" s="141">
        <f>'Exhibit No.__(BDJ-MYRP-SUM)'!W22*1000</f>
        <v>76484000</v>
      </c>
      <c r="U18" s="163">
        <f t="shared" ref="U18:U19" si="20">(+S18/T18)</f>
        <v>9.6071900742179599E-4</v>
      </c>
      <c r="V18" s="164">
        <f t="shared" ref="V18:V19" si="21">(+U18-P18)*T18</f>
        <v>21323.398579973578</v>
      </c>
    </row>
    <row r="19" spans="1:22" x14ac:dyDescent="0.2">
      <c r="A19" s="140">
        <f t="shared" si="0"/>
        <v>13</v>
      </c>
      <c r="B19" s="297" t="s">
        <v>484</v>
      </c>
      <c r="C19" s="169">
        <v>49</v>
      </c>
      <c r="D19" s="141">
        <v>477634882.60558343</v>
      </c>
      <c r="E19" s="160">
        <f>+D19/D$24*0.2</f>
        <v>4.6441318886753583E-3</v>
      </c>
      <c r="F19" s="141">
        <v>64687.506260655966</v>
      </c>
      <c r="G19" s="160">
        <f>+F19/F$24*0.8</f>
        <v>1.4650677126592749E-2</v>
      </c>
      <c r="H19" s="160">
        <f>+G19+E19</f>
        <v>1.9294809015268109E-2</v>
      </c>
      <c r="I19" s="160"/>
      <c r="J19" s="181">
        <f>+H19*($I$24)</f>
        <v>1039493.8141856848</v>
      </c>
      <c r="K19" s="141">
        <f>'Exhibit No.__(BDJ-MYRP-SUM)'!K23*1000</f>
        <v>504715000</v>
      </c>
      <c r="L19" s="161">
        <f t="shared" si="15"/>
        <v>2.0595659217294607E-3</v>
      </c>
      <c r="N19" s="162">
        <f t="shared" si="16"/>
        <v>1119531.7994329571</v>
      </c>
      <c r="O19" s="141">
        <f>'Exhibit No.__(BDJ-MYRP-SUM)'!Q23*1000</f>
        <v>499683000</v>
      </c>
      <c r="P19" s="163">
        <f t="shared" si="17"/>
        <v>2.2404840657636082E-3</v>
      </c>
      <c r="Q19" s="164">
        <f t="shared" si="18"/>
        <v>90401.72096541489</v>
      </c>
      <c r="S19" s="162">
        <f t="shared" si="19"/>
        <v>1554334.5418251641</v>
      </c>
      <c r="T19" s="141">
        <f>'Exhibit No.__(BDJ-MYRP-SUM)'!W23*1000</f>
        <v>489052000</v>
      </c>
      <c r="U19" s="163">
        <f t="shared" si="20"/>
        <v>3.1782602705339395E-3</v>
      </c>
      <c r="V19" s="164">
        <f t="shared" si="21"/>
        <v>458621.32849534007</v>
      </c>
    </row>
    <row r="20" spans="1:22" x14ac:dyDescent="0.2">
      <c r="A20" s="140">
        <f t="shared" si="0"/>
        <v>14</v>
      </c>
      <c r="B20" s="297"/>
      <c r="C20" s="169"/>
      <c r="E20" s="160"/>
      <c r="G20" s="160"/>
      <c r="H20" s="160"/>
      <c r="I20" s="160"/>
      <c r="J20" s="181"/>
      <c r="K20" s="141"/>
      <c r="L20" s="166"/>
      <c r="N20" s="167"/>
      <c r="O20" s="141"/>
      <c r="P20" s="168"/>
      <c r="Q20" s="164"/>
      <c r="S20" s="167"/>
      <c r="T20" s="141"/>
      <c r="U20" s="168"/>
      <c r="V20" s="164"/>
    </row>
    <row r="21" spans="1:22" x14ac:dyDescent="0.2">
      <c r="A21" s="140">
        <f t="shared" si="0"/>
        <v>15</v>
      </c>
      <c r="B21" s="139" t="s">
        <v>485</v>
      </c>
      <c r="C21" s="169" t="s">
        <v>65</v>
      </c>
      <c r="D21" s="141">
        <v>69921349.876824558</v>
      </c>
      <c r="E21" s="160">
        <f>+D21/D$24*0.2</f>
        <v>6.798581562777841E-4</v>
      </c>
      <c r="F21" s="141">
        <v>3735.6122611509818</v>
      </c>
      <c r="G21" s="160">
        <f>+F21/F$24*0.8</f>
        <v>8.4605594297814757E-4</v>
      </c>
      <c r="H21" s="160">
        <f>+G21+E21</f>
        <v>1.5259140992559318E-3</v>
      </c>
      <c r="I21" s="160"/>
      <c r="J21" s="181">
        <f>+H21*($I$24)</f>
        <v>82207.513217679894</v>
      </c>
      <c r="K21" s="141">
        <f>'Exhibit No.__(BDJ-MYRP-SUM)'!K24*1000</f>
        <v>62703000</v>
      </c>
      <c r="L21" s="161">
        <f>(+J21/K21)</f>
        <v>1.3110618824885554E-3</v>
      </c>
      <c r="N21" s="162">
        <f t="shared" ref="N21:N22" si="22">+H21*($N$40)</f>
        <v>88537.251442515801</v>
      </c>
      <c r="O21" s="141">
        <f>'Exhibit No.__(BDJ-MYRP-SUM)'!Q24*1000</f>
        <v>61382000</v>
      </c>
      <c r="P21" s="163">
        <f>(+N21/O21)</f>
        <v>1.4423976319200384E-3</v>
      </c>
      <c r="Q21" s="164">
        <f t="shared" ref="Q21:Q22" si="23">(+P21-L21)*O21</f>
        <v>8061.6509716032906</v>
      </c>
      <c r="S21" s="162">
        <f t="shared" ref="S21:S22" si="24">+H21*($S$40)</f>
        <v>122923.26866022465</v>
      </c>
      <c r="T21" s="141">
        <f>'Exhibit No.__(BDJ-MYRP-SUM)'!W24*1000</f>
        <v>60001000</v>
      </c>
      <c r="U21" s="163">
        <f>(+S21/T21)</f>
        <v>2.0486869995537515E-3</v>
      </c>
      <c r="V21" s="164">
        <f>(+U21-P21)*T21</f>
        <v>36377.968347390415</v>
      </c>
    </row>
    <row r="22" spans="1:22" x14ac:dyDescent="0.2">
      <c r="A22" s="140">
        <f t="shared" si="0"/>
        <v>16</v>
      </c>
      <c r="B22" s="297" t="s">
        <v>486</v>
      </c>
      <c r="C22" s="169">
        <v>5</v>
      </c>
      <c r="D22" s="141">
        <v>6940399.9973075157</v>
      </c>
      <c r="E22" s="160">
        <f>+D22/D$24*0.2</f>
        <v>6.7482786792761397E-5</v>
      </c>
      <c r="F22" s="141">
        <v>958.58620804307577</v>
      </c>
      <c r="G22" s="160">
        <f>+F22/F$24*0.8</f>
        <v>2.1710431957995774E-4</v>
      </c>
      <c r="H22" s="160">
        <f>+G22+E22</f>
        <v>2.8458710637271911E-4</v>
      </c>
      <c r="I22" s="160"/>
      <c r="J22" s="181">
        <f>+H22*($I$24)</f>
        <v>15331.923546760972</v>
      </c>
      <c r="K22" s="141">
        <f>'Exhibit No.__(BDJ-MYRP-SUM)'!K27*1000</f>
        <v>7521000</v>
      </c>
      <c r="L22" s="161">
        <f>(+J22/K22)</f>
        <v>2.0385485369978688E-3</v>
      </c>
      <c r="N22" s="162">
        <f t="shared" si="22"/>
        <v>16512.436844581094</v>
      </c>
      <c r="O22" s="141">
        <f>'Exhibit No.__(BDJ-MYRP-SUM)'!Q27*1000</f>
        <v>7552000</v>
      </c>
      <c r="P22" s="163">
        <f>(+N22/O22)</f>
        <v>2.1864985228523693E-3</v>
      </c>
      <c r="Q22" s="164">
        <f t="shared" si="23"/>
        <v>1117.3182931731881</v>
      </c>
      <c r="S22" s="162">
        <f t="shared" si="24"/>
        <v>22925.522053271437</v>
      </c>
      <c r="T22" s="141">
        <f>'Exhibit No.__(BDJ-MYRP-SUM)'!W27*1000</f>
        <v>7521000</v>
      </c>
      <c r="U22" s="163">
        <f>(+S22/T22)</f>
        <v>3.0482013101012415E-3</v>
      </c>
      <c r="V22" s="164">
        <f>(+U22-P22)*T22</f>
        <v>6480.8666628987676</v>
      </c>
    </row>
    <row r="23" spans="1:22" x14ac:dyDescent="0.2">
      <c r="A23" s="140">
        <f t="shared" si="0"/>
        <v>17</v>
      </c>
      <c r="C23" s="169"/>
      <c r="E23" s="160"/>
      <c r="J23" s="181"/>
      <c r="L23" s="166"/>
      <c r="N23" s="167"/>
      <c r="P23" s="168"/>
      <c r="Q23" s="164"/>
      <c r="S23" s="167"/>
      <c r="U23" s="168"/>
      <c r="V23" s="164"/>
    </row>
    <row r="24" spans="1:22" x14ac:dyDescent="0.2">
      <c r="A24" s="140">
        <f t="shared" si="0"/>
        <v>18</v>
      </c>
      <c r="B24" s="139" t="s">
        <v>26</v>
      </c>
      <c r="C24" s="169"/>
      <c r="D24" s="141">
        <f>SUM(D7:D22)</f>
        <v>20569393551.043995</v>
      </c>
      <c r="E24" s="160">
        <f>SUM(E7:E22)</f>
        <v>0.20000000000000004</v>
      </c>
      <c r="F24" s="141">
        <f>SUM(F7:F22)</f>
        <v>3532260.2881331854</v>
      </c>
      <c r="G24" s="160">
        <f>SUM(G7:G22)</f>
        <v>0.8</v>
      </c>
      <c r="H24" s="160">
        <f>SUM(H7:H22)</f>
        <v>0.99999999999999989</v>
      </c>
      <c r="I24" s="181">
        <f>I40</f>
        <v>53874273.301338539</v>
      </c>
      <c r="J24" s="181">
        <f>SUM(J7:J22)</f>
        <v>53874273.301338539</v>
      </c>
      <c r="K24" s="141">
        <f>SUM(K7:K22)</f>
        <v>20409822000</v>
      </c>
      <c r="L24" s="161">
        <f>(+J24/K24)</f>
        <v>2.6396248483371654E-3</v>
      </c>
      <c r="N24" s="167">
        <f>SUM(N7:N22)</f>
        <v>58022434.870801993</v>
      </c>
      <c r="O24" s="141">
        <f>SUM(O7:O22)</f>
        <v>20606610000</v>
      </c>
      <c r="P24" s="163">
        <f>(+N24/O24)</f>
        <v>2.8157195613835559E-3</v>
      </c>
      <c r="Q24" s="170">
        <f>SUM(Q7:Q22)</f>
        <v>3617590.9207102181</v>
      </c>
      <c r="S24" s="167">
        <f>SUM(S7:S22)</f>
        <v>80557135.372275949</v>
      </c>
      <c r="T24" s="141">
        <f>SUM(T7:T22)</f>
        <v>20631871000</v>
      </c>
      <c r="U24" s="163">
        <f>(+S24/T24)</f>
        <v>3.9044997602144735E-3</v>
      </c>
      <c r="V24" s="170">
        <f>SUM(V7:V22)</f>
        <v>22434905.442044813</v>
      </c>
    </row>
    <row r="25" spans="1:22" x14ac:dyDescent="0.2">
      <c r="A25" s="140">
        <f t="shared" si="0"/>
        <v>19</v>
      </c>
      <c r="C25" s="169"/>
      <c r="E25" s="160"/>
      <c r="G25" s="160"/>
      <c r="H25" s="160"/>
      <c r="I25" s="181"/>
      <c r="J25" s="181"/>
      <c r="K25" s="141"/>
      <c r="L25" s="161"/>
      <c r="N25" s="167"/>
      <c r="O25" s="141"/>
      <c r="P25" s="163"/>
      <c r="Q25" s="164"/>
      <c r="S25" s="167"/>
      <c r="T25" s="141"/>
      <c r="U25" s="163"/>
      <c r="V25" s="164"/>
    </row>
    <row r="26" spans="1:22" x14ac:dyDescent="0.2">
      <c r="A26" s="140">
        <f t="shared" si="0"/>
        <v>20</v>
      </c>
      <c r="B26" s="139" t="s">
        <v>307</v>
      </c>
      <c r="C26" s="169" t="s">
        <v>300</v>
      </c>
      <c r="H26" s="141"/>
      <c r="I26" s="181">
        <f>+I38</f>
        <v>6725.6601606013064</v>
      </c>
      <c r="J26" s="181">
        <f>+I26</f>
        <v>6725.6601606013064</v>
      </c>
      <c r="K26" s="141">
        <f>'Exhibit No.__(BDJ-MYRP-SUM)'!K26*1000</f>
        <v>289426000</v>
      </c>
      <c r="L26" s="161">
        <f>(+J26/K26)</f>
        <v>2.3237926656904724E-5</v>
      </c>
      <c r="N26" s="167">
        <f>+N38</f>
        <v>6725.6601606013064</v>
      </c>
      <c r="O26" s="141">
        <f>'Exhibit No.__(BDJ-MYRP-SUM)'!Q26*1000</f>
        <v>289426000</v>
      </c>
      <c r="P26" s="163">
        <f>(+N26/O26)</f>
        <v>2.3237926656904724E-5</v>
      </c>
      <c r="Q26" s="164">
        <f>(+P26-L26)*O26</f>
        <v>0</v>
      </c>
      <c r="S26" s="167">
        <f>+S38</f>
        <v>6725.6601606013064</v>
      </c>
      <c r="T26" s="141">
        <f>'Exhibit No.__(BDJ-MYRP-SUM)'!W26*1000</f>
        <v>289426000</v>
      </c>
      <c r="U26" s="163">
        <f>(+S26/T26)</f>
        <v>2.3237926656904724E-5</v>
      </c>
      <c r="V26" s="164">
        <f>(+U26-P26)*T26</f>
        <v>0</v>
      </c>
    </row>
    <row r="27" spans="1:22" x14ac:dyDescent="0.2">
      <c r="A27" s="140">
        <f t="shared" si="0"/>
        <v>21</v>
      </c>
      <c r="C27" s="169"/>
      <c r="J27" s="181"/>
      <c r="L27" s="171"/>
      <c r="N27" s="167"/>
      <c r="P27" s="373"/>
      <c r="Q27" s="164"/>
      <c r="S27" s="167"/>
      <c r="U27" s="373"/>
      <c r="V27" s="164"/>
    </row>
    <row r="28" spans="1:22" x14ac:dyDescent="0.2">
      <c r="A28" s="140">
        <f t="shared" si="0"/>
        <v>22</v>
      </c>
      <c r="B28" s="139" t="s">
        <v>487</v>
      </c>
      <c r="C28" s="169" t="s">
        <v>488</v>
      </c>
      <c r="H28" s="141"/>
      <c r="I28" s="141"/>
      <c r="J28" s="181"/>
      <c r="K28" s="141">
        <f>'Exhibit No.__(BDJ-MYRP-SUM)'!K25*1000</f>
        <v>1895530000</v>
      </c>
      <c r="L28" s="161">
        <f>(+J28/K28)</f>
        <v>0</v>
      </c>
      <c r="N28" s="167"/>
      <c r="O28" s="141">
        <f>'Exhibit No.__(BDJ-MYRP-SUM)'!Q25*1000</f>
        <v>1895104000</v>
      </c>
      <c r="P28" s="163">
        <f>(+N28/O28)</f>
        <v>0</v>
      </c>
      <c r="Q28" s="164"/>
      <c r="S28" s="167"/>
      <c r="T28" s="141">
        <f>'Exhibit No.__(BDJ-MYRP-SUM)'!W25*1000</f>
        <v>1883722000</v>
      </c>
      <c r="U28" s="163">
        <f>(+S28/T28)</f>
        <v>0</v>
      </c>
      <c r="V28" s="164"/>
    </row>
    <row r="29" spans="1:22" x14ac:dyDescent="0.2">
      <c r="A29" s="140">
        <f t="shared" si="0"/>
        <v>23</v>
      </c>
      <c r="L29" s="142"/>
      <c r="N29" s="172"/>
      <c r="Q29" s="170"/>
      <c r="S29" s="172"/>
      <c r="V29" s="170"/>
    </row>
    <row r="30" spans="1:22" x14ac:dyDescent="0.2">
      <c r="A30" s="140">
        <f t="shared" si="0"/>
        <v>24</v>
      </c>
      <c r="B30" s="139" t="s">
        <v>27</v>
      </c>
      <c r="I30" s="181">
        <f>SUM(I24:I28)</f>
        <v>53880998.96149914</v>
      </c>
      <c r="J30" s="181">
        <f>SUM(J24:J28)</f>
        <v>53880998.96149914</v>
      </c>
      <c r="K30" s="141">
        <f>SUM(K24:K28)</f>
        <v>22594778000</v>
      </c>
      <c r="L30" s="166"/>
      <c r="N30" s="167">
        <f>SUM(N24:N28)</f>
        <v>58029160.530962594</v>
      </c>
      <c r="O30" s="141">
        <f>SUM(O24:O28)</f>
        <v>22791140000</v>
      </c>
      <c r="P30" s="168"/>
      <c r="Q30" s="170">
        <f>SUM(Q24:Q28)</f>
        <v>3617590.9207102181</v>
      </c>
      <c r="S30" s="167">
        <f>SUM(S24:S28)</f>
        <v>80563861.03243655</v>
      </c>
      <c r="T30" s="141">
        <f>SUM(T24:T28)</f>
        <v>22805019000</v>
      </c>
      <c r="U30" s="168"/>
      <c r="V30" s="170">
        <f>SUM(V24:V28)</f>
        <v>22434905.442044813</v>
      </c>
    </row>
    <row r="31" spans="1:22" x14ac:dyDescent="0.2">
      <c r="A31" s="140"/>
      <c r="J31" s="181"/>
      <c r="K31" s="141"/>
      <c r="L31" s="142"/>
      <c r="N31" s="167"/>
      <c r="O31" s="141"/>
      <c r="Q31" s="170"/>
      <c r="S31" s="167"/>
      <c r="T31" s="141"/>
      <c r="V31" s="170"/>
    </row>
    <row r="32" spans="1:22" ht="13.5" thickBot="1" x14ac:dyDescent="0.25">
      <c r="A32" s="173"/>
      <c r="B32" s="174"/>
      <c r="C32" s="174"/>
      <c r="D32" s="175"/>
      <c r="E32" s="174"/>
      <c r="F32" s="175"/>
      <c r="G32" s="174"/>
      <c r="H32" s="174"/>
      <c r="I32" s="174"/>
      <c r="J32" s="174"/>
      <c r="K32" s="174"/>
      <c r="L32" s="176"/>
      <c r="N32" s="177"/>
      <c r="O32" s="174"/>
      <c r="P32" s="174"/>
      <c r="Q32" s="178"/>
      <c r="S32" s="177"/>
      <c r="T32" s="174"/>
      <c r="U32" s="174"/>
      <c r="V32" s="178"/>
    </row>
    <row r="34" spans="2:19" x14ac:dyDescent="0.2">
      <c r="D34" s="179">
        <v>20569393551.043995</v>
      </c>
      <c r="E34" s="411"/>
      <c r="F34" s="179">
        <v>3532260.2881331854</v>
      </c>
      <c r="G34" s="411"/>
      <c r="H34" s="411"/>
      <c r="I34" s="411"/>
      <c r="J34" s="411"/>
      <c r="K34" s="412">
        <f>'Exhibit No.__(BDJ-MYRP-SUM)'!$K$29*1000</f>
        <v>22594778000</v>
      </c>
    </row>
    <row r="35" spans="2:19" x14ac:dyDescent="0.2">
      <c r="D35" s="179">
        <f>+D34-D24</f>
        <v>0</v>
      </c>
      <c r="E35" s="411"/>
      <c r="F35" s="179">
        <f>+F34-F24</f>
        <v>0</v>
      </c>
      <c r="G35" s="411"/>
      <c r="H35" s="411"/>
      <c r="I35" s="411"/>
      <c r="J35" s="411"/>
      <c r="K35" s="412">
        <f>+K30-K34</f>
        <v>0</v>
      </c>
    </row>
    <row r="37" spans="2:19" x14ac:dyDescent="0.2">
      <c r="B37" s="297" t="s">
        <v>492</v>
      </c>
      <c r="I37" s="181">
        <v>422997.49437744066</v>
      </c>
      <c r="N37" s="181">
        <v>422997.49437744066</v>
      </c>
      <c r="S37" s="181">
        <v>422997.49437744066</v>
      </c>
    </row>
    <row r="38" spans="2:19" x14ac:dyDescent="0.2">
      <c r="B38" s="297" t="s">
        <v>494</v>
      </c>
      <c r="H38" s="180">
        <v>1.5900000000000001E-2</v>
      </c>
      <c r="I38" s="181">
        <f>+I37*H38</f>
        <v>6725.6601606013064</v>
      </c>
      <c r="N38" s="181">
        <f>+N37*H38</f>
        <v>6725.6601606013064</v>
      </c>
      <c r="S38" s="181">
        <f>+S37*H38</f>
        <v>6725.6601606013064</v>
      </c>
    </row>
    <row r="39" spans="2:19" x14ac:dyDescent="0.2">
      <c r="B39" s="297" t="s">
        <v>493</v>
      </c>
      <c r="I39" s="181">
        <v>53880998.96149914</v>
      </c>
      <c r="N39" s="181">
        <v>58029160.530962601</v>
      </c>
      <c r="S39" s="181">
        <v>80563861.032436579</v>
      </c>
    </row>
    <row r="40" spans="2:19" x14ac:dyDescent="0.2">
      <c r="B40" s="139" t="s">
        <v>489</v>
      </c>
      <c r="I40" s="181">
        <f>+I39-I38</f>
        <v>53874273.301338539</v>
      </c>
      <c r="N40" s="181">
        <f>+N39-N38</f>
        <v>58022434.870802</v>
      </c>
      <c r="S40" s="181">
        <f>+S39-S38</f>
        <v>80557135.372275978</v>
      </c>
    </row>
    <row r="41" spans="2:19" x14ac:dyDescent="0.2">
      <c r="N41" s="181">
        <f>+N39-I39</f>
        <v>4148161.5694634616</v>
      </c>
      <c r="S41" s="181">
        <f>+S39-N39</f>
        <v>22534700.501473978</v>
      </c>
    </row>
  </sheetData>
  <mergeCells count="2">
    <mergeCell ref="N4:Q4"/>
    <mergeCell ref="S4:V4"/>
  </mergeCells>
  <printOptions horizontalCentered="1"/>
  <pageMargins left="0.7" right="0.7" top="0.75" bottom="0.75" header="0.3" footer="0.3"/>
  <pageSetup scale="59" fitToWidth="0" orientation="landscape" r:id="rId1"/>
  <headerFooter alignWithMargins="0">
    <oddFooter>&amp;L&amp;A</oddFooter>
  </headerFooter>
  <colBreaks count="1" manualBreakCount="1">
    <brk id="12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N41"/>
  <sheetViews>
    <sheetView zoomScale="80" zoomScaleNormal="80" zoomScaleSheetLayoutView="80" workbookViewId="0">
      <pane xSplit="2" ySplit="11" topLeftCell="C12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10.25" defaultRowHeight="15.75" x14ac:dyDescent="0.25"/>
  <cols>
    <col min="1" max="1" width="27.5" style="68" bestFit="1" customWidth="1"/>
    <col min="2" max="2" width="1.625" style="68" customWidth="1"/>
    <col min="3" max="3" width="15.875" style="68" bestFit="1" customWidth="1"/>
    <col min="4" max="4" width="11.5" style="68" bestFit="1" customWidth="1"/>
    <col min="5" max="5" width="1.625" style="68" customWidth="1"/>
    <col min="6" max="6" width="15.875" style="68" bestFit="1" customWidth="1"/>
    <col min="7" max="7" width="11.5" style="68" bestFit="1" customWidth="1"/>
    <col min="8" max="8" width="1.625" style="68" customWidth="1"/>
    <col min="9" max="9" width="15.875" style="68" bestFit="1" customWidth="1"/>
    <col min="10" max="10" width="45.75" style="68" bestFit="1" customWidth="1"/>
    <col min="11" max="11" width="1.625" style="68" customWidth="1"/>
    <col min="12" max="16384" width="10.25" style="68"/>
  </cols>
  <sheetData>
    <row r="1" spans="1:14" ht="18.75" x14ac:dyDescent="0.3">
      <c r="A1" s="461" t="s">
        <v>43</v>
      </c>
      <c r="B1" s="461"/>
      <c r="C1" s="461"/>
      <c r="D1" s="461"/>
      <c r="E1" s="461"/>
      <c r="F1" s="461"/>
      <c r="G1" s="461"/>
      <c r="H1" s="461"/>
      <c r="I1" s="461"/>
      <c r="J1" s="461"/>
      <c r="K1" s="86"/>
    </row>
    <row r="2" spans="1:14" ht="18.75" x14ac:dyDescent="0.3">
      <c r="A2" s="461" t="s">
        <v>20</v>
      </c>
      <c r="B2" s="461"/>
      <c r="C2" s="461"/>
      <c r="D2" s="461"/>
      <c r="E2" s="461"/>
      <c r="F2" s="461"/>
      <c r="G2" s="461"/>
      <c r="H2" s="461"/>
      <c r="I2" s="461"/>
      <c r="J2" s="461"/>
      <c r="K2" s="86"/>
    </row>
    <row r="3" spans="1:14" x14ac:dyDescent="0.25">
      <c r="A3" s="466" t="str">
        <f>'Exhibit No.__(BDJ-Prof-Prop)'!$A$6</f>
        <v>12 MONTHS ENDED JUNE 2021</v>
      </c>
      <c r="B3" s="466"/>
      <c r="C3" s="466"/>
      <c r="D3" s="466"/>
      <c r="E3" s="466"/>
      <c r="F3" s="466"/>
      <c r="G3" s="466"/>
      <c r="H3" s="466"/>
      <c r="I3" s="466"/>
      <c r="J3" s="466"/>
      <c r="K3" s="86"/>
    </row>
    <row r="4" spans="1:14" x14ac:dyDescent="0.25">
      <c r="A4" s="467" t="s">
        <v>21</v>
      </c>
      <c r="B4" s="467"/>
      <c r="C4" s="467"/>
      <c r="D4" s="467"/>
      <c r="E4" s="467"/>
      <c r="F4" s="467"/>
      <c r="G4" s="467"/>
      <c r="H4" s="467"/>
      <c r="I4" s="467"/>
      <c r="J4" s="467"/>
      <c r="K4" s="86"/>
    </row>
    <row r="5" spans="1:14" x14ac:dyDescent="0.25">
      <c r="A5" s="467" t="s">
        <v>87</v>
      </c>
      <c r="B5" s="467"/>
      <c r="C5" s="467"/>
      <c r="D5" s="467"/>
      <c r="E5" s="467"/>
      <c r="F5" s="467"/>
      <c r="G5" s="467"/>
      <c r="H5" s="467"/>
      <c r="I5" s="467"/>
      <c r="J5" s="467"/>
      <c r="K5" s="86"/>
    </row>
    <row r="6" spans="1:14" x14ac:dyDescent="0.25">
      <c r="A6" s="182"/>
      <c r="B6" s="183"/>
      <c r="C6" s="183"/>
      <c r="D6" s="184"/>
      <c r="E6" s="184"/>
      <c r="F6" s="183"/>
      <c r="G6" s="184"/>
      <c r="H6" s="183"/>
      <c r="I6" s="183"/>
      <c r="J6" s="183"/>
      <c r="K6" s="86"/>
    </row>
    <row r="7" spans="1:14" x14ac:dyDescent="0.25">
      <c r="A7" s="183"/>
      <c r="B7" s="183"/>
      <c r="C7" s="183"/>
      <c r="D7" s="184"/>
      <c r="E7" s="184"/>
      <c r="F7" s="183"/>
      <c r="G7" s="184"/>
      <c r="H7" s="183"/>
      <c r="I7" s="183"/>
      <c r="J7" s="183"/>
      <c r="K7" s="86"/>
    </row>
    <row r="8" spans="1:14" x14ac:dyDescent="0.25">
      <c r="A8" s="185"/>
      <c r="B8" s="185"/>
      <c r="C8" s="186"/>
      <c r="D8" s="462" t="s">
        <v>3</v>
      </c>
      <c r="E8" s="462"/>
      <c r="F8" s="462"/>
      <c r="G8" s="464" t="s">
        <v>342</v>
      </c>
      <c r="H8" s="464"/>
      <c r="I8" s="464"/>
      <c r="J8" s="187"/>
      <c r="K8" s="86"/>
    </row>
    <row r="9" spans="1:14" x14ac:dyDescent="0.25">
      <c r="A9" s="185"/>
      <c r="B9" s="185"/>
      <c r="C9" s="186" t="s">
        <v>22</v>
      </c>
      <c r="D9" s="463"/>
      <c r="E9" s="463"/>
      <c r="F9" s="463"/>
      <c r="G9" s="465"/>
      <c r="H9" s="465"/>
      <c r="I9" s="465"/>
      <c r="J9" s="187"/>
      <c r="K9" s="86"/>
    </row>
    <row r="10" spans="1:14" x14ac:dyDescent="0.25">
      <c r="A10" s="185"/>
      <c r="B10" s="185"/>
      <c r="C10" s="188" t="s">
        <v>23</v>
      </c>
      <c r="D10" s="189" t="s">
        <v>24</v>
      </c>
      <c r="E10" s="401"/>
      <c r="F10" s="187" t="s">
        <v>25</v>
      </c>
      <c r="G10" s="189" t="s">
        <v>24</v>
      </c>
      <c r="H10" s="189"/>
      <c r="I10" s="189" t="s">
        <v>25</v>
      </c>
      <c r="J10" s="189"/>
      <c r="K10" s="86"/>
    </row>
    <row r="11" spans="1:14" x14ac:dyDescent="0.25">
      <c r="A11" s="332" t="s">
        <v>580</v>
      </c>
      <c r="B11" s="191"/>
      <c r="C11" s="192" t="s">
        <v>359</v>
      </c>
      <c r="D11" s="133" t="s">
        <v>360</v>
      </c>
      <c r="E11" s="192"/>
      <c r="F11" s="193" t="s">
        <v>361</v>
      </c>
      <c r="G11" s="194" t="s">
        <v>362</v>
      </c>
      <c r="H11" s="192"/>
      <c r="I11" s="192" t="s">
        <v>363</v>
      </c>
      <c r="J11" s="192"/>
      <c r="K11" s="91"/>
    </row>
    <row r="12" spans="1:14" x14ac:dyDescent="0.25">
      <c r="A12" s="190" t="s">
        <v>19</v>
      </c>
      <c r="B12" s="191"/>
      <c r="C12" s="191"/>
      <c r="D12" s="103"/>
      <c r="E12" s="191"/>
      <c r="F12" s="191"/>
      <c r="G12" s="103"/>
      <c r="H12" s="191"/>
      <c r="I12" s="191"/>
      <c r="J12" s="191"/>
      <c r="K12" s="195"/>
    </row>
    <row r="13" spans="1:14" x14ac:dyDescent="0.25">
      <c r="A13" s="191" t="s">
        <v>33</v>
      </c>
      <c r="B13" s="191"/>
      <c r="C13" s="201"/>
      <c r="D13" s="103"/>
      <c r="E13" s="191"/>
      <c r="F13" s="191"/>
      <c r="G13" s="103"/>
      <c r="H13" s="191"/>
      <c r="I13" s="191"/>
      <c r="J13" s="191"/>
      <c r="K13" s="86"/>
    </row>
    <row r="14" spans="1:14" x14ac:dyDescent="0.25">
      <c r="A14" s="191" t="s">
        <v>31</v>
      </c>
      <c r="B14" s="191"/>
      <c r="C14" s="201">
        <v>12758626</v>
      </c>
      <c r="D14" s="135">
        <f>'Exhibit No.__(BDJ-Tariff)'!$D$8</f>
        <v>7.49</v>
      </c>
      <c r="E14" s="191"/>
      <c r="F14" s="209">
        <f>ROUND(D14*$C14,0)</f>
        <v>95562109</v>
      </c>
      <c r="G14" s="135">
        <f>ROUND(D14*1.1,2)</f>
        <v>8.24</v>
      </c>
      <c r="H14" s="191"/>
      <c r="I14" s="209">
        <f>ROUND(G14*$C14,0)</f>
        <v>105131078</v>
      </c>
      <c r="J14" s="196" t="s">
        <v>505</v>
      </c>
      <c r="M14" s="196"/>
      <c r="N14" s="348"/>
    </row>
    <row r="15" spans="1:14" ht="15.6" customHeight="1" x14ac:dyDescent="0.25">
      <c r="A15" s="191" t="s">
        <v>32</v>
      </c>
      <c r="B15" s="191"/>
      <c r="C15" s="201">
        <v>3835</v>
      </c>
      <c r="D15" s="135">
        <f>'Exhibit No.__(BDJ-Tariff)'!$D$9</f>
        <v>17.989999999999998</v>
      </c>
      <c r="E15" s="191"/>
      <c r="F15" s="209">
        <f>ROUND(D15*$C15,0)</f>
        <v>68992</v>
      </c>
      <c r="G15" s="135">
        <f>ROUND(D15*1.1,2)</f>
        <v>19.79</v>
      </c>
      <c r="H15" s="191"/>
      <c r="I15" s="209">
        <f>ROUND(G15*$C15,0)</f>
        <v>75895</v>
      </c>
      <c r="J15" s="196" t="s">
        <v>505</v>
      </c>
      <c r="N15" s="348"/>
    </row>
    <row r="16" spans="1:14" x14ac:dyDescent="0.25">
      <c r="A16" s="197" t="s">
        <v>26</v>
      </c>
      <c r="B16" s="191"/>
      <c r="C16" s="198">
        <f>SUM(C14:C15)</f>
        <v>12762461</v>
      </c>
      <c r="D16" s="137"/>
      <c r="E16" s="191"/>
      <c r="F16" s="125">
        <f>SUM(F14:F15)</f>
        <v>95631101</v>
      </c>
      <c r="G16" s="137"/>
      <c r="H16" s="191"/>
      <c r="I16" s="125">
        <f>SUM(I14:I15)</f>
        <v>105206973</v>
      </c>
      <c r="J16" s="196"/>
    </row>
    <row r="17" spans="1:13" x14ac:dyDescent="0.25">
      <c r="A17" s="191" t="s">
        <v>75</v>
      </c>
      <c r="B17" s="191"/>
      <c r="C17" s="235"/>
      <c r="D17" s="137"/>
      <c r="E17" s="191"/>
      <c r="F17" s="199"/>
      <c r="G17" s="137"/>
      <c r="H17" s="191"/>
      <c r="I17" s="199"/>
      <c r="J17" s="394"/>
    </row>
    <row r="18" spans="1:13" x14ac:dyDescent="0.25">
      <c r="A18" s="200" t="s">
        <v>70</v>
      </c>
      <c r="B18" s="191"/>
      <c r="C18" s="201">
        <v>6379788603</v>
      </c>
      <c r="D18" s="251">
        <f>'Exhibit No.__(BDJ-Tariff)'!$D$11</f>
        <v>9.1343999999999995E-2</v>
      </c>
      <c r="E18" s="191"/>
      <c r="F18" s="209">
        <f>ROUND(D18*$C18,0)</f>
        <v>582755410</v>
      </c>
      <c r="G18" s="251">
        <f>ROUND(D18*(1+$I$38),6)+0</f>
        <v>8.9991000000000002E-2</v>
      </c>
      <c r="H18" s="191"/>
      <c r="I18" s="209">
        <f>ROUND(G18*$C18,0)</f>
        <v>574123556</v>
      </c>
      <c r="J18" s="395" t="s">
        <v>525</v>
      </c>
    </row>
    <row r="19" spans="1:13" ht="15.6" customHeight="1" x14ac:dyDescent="0.25">
      <c r="A19" s="200" t="s">
        <v>184</v>
      </c>
      <c r="B19" s="191"/>
      <c r="C19" s="201">
        <v>4787766669</v>
      </c>
      <c r="D19" s="251">
        <f>'Exhibit No.__(BDJ-Tariff)'!$D$12</f>
        <v>0.111175</v>
      </c>
      <c r="E19" s="191"/>
      <c r="F19" s="209">
        <f>ROUND(D19*$C19,0)</f>
        <v>532279959</v>
      </c>
      <c r="G19" s="251">
        <f>ROUND(D19*(1+$I$38),6)</f>
        <v>0.109528</v>
      </c>
      <c r="H19" s="191"/>
      <c r="I19" s="209">
        <f>ROUND(G19*$C19,0)</f>
        <v>524394508</v>
      </c>
      <c r="J19" s="395" t="s">
        <v>525</v>
      </c>
    </row>
    <row r="20" spans="1:13" x14ac:dyDescent="0.25">
      <c r="A20" s="197" t="s">
        <v>26</v>
      </c>
      <c r="B20" s="201"/>
      <c r="C20" s="198">
        <f>SUM(C18:C19)</f>
        <v>11167555272</v>
      </c>
      <c r="D20" s="202"/>
      <c r="E20" s="203"/>
      <c r="F20" s="125">
        <f>SUM(F18:F19)</f>
        <v>1115035369</v>
      </c>
      <c r="G20" s="203"/>
      <c r="H20" s="203"/>
      <c r="I20" s="125">
        <f>SUM(I18:I19)</f>
        <v>1098518064</v>
      </c>
      <c r="J20" s="196"/>
    </row>
    <row r="21" spans="1:13" ht="15.6" customHeight="1" x14ac:dyDescent="0.25">
      <c r="A21" s="134" t="s">
        <v>69</v>
      </c>
      <c r="B21" s="191"/>
      <c r="C21" s="201">
        <v>21461011.603521049</v>
      </c>
      <c r="D21" s="251">
        <f>D19</f>
        <v>0.111175</v>
      </c>
      <c r="E21" s="191"/>
      <c r="F21" s="209">
        <f>ROUND(D21*$C21,0)</f>
        <v>2385928</v>
      </c>
      <c r="G21" s="251">
        <f>G19</f>
        <v>0.109528</v>
      </c>
      <c r="H21" s="191"/>
      <c r="I21" s="209">
        <f>ROUND(G21*$C21,0)</f>
        <v>2350582</v>
      </c>
      <c r="J21" s="204" t="s">
        <v>270</v>
      </c>
    </row>
    <row r="22" spans="1:13" x14ac:dyDescent="0.25">
      <c r="A22" s="134" t="s">
        <v>71</v>
      </c>
      <c r="B22" s="201"/>
      <c r="C22" s="201">
        <v>166338288</v>
      </c>
      <c r="D22" s="251">
        <f>F22/C22</f>
        <v>0.10822994643301848</v>
      </c>
      <c r="E22" s="191"/>
      <c r="F22" s="205">
        <v>18002784</v>
      </c>
      <c r="G22" s="251">
        <f>ROUND(I22/C22,6)</f>
        <v>0.106585</v>
      </c>
      <c r="H22" s="191"/>
      <c r="I22" s="205">
        <f>F22*(1+I38)-6995</f>
        <v>17729107.617455669</v>
      </c>
      <c r="J22" s="395" t="s">
        <v>578</v>
      </c>
    </row>
    <row r="23" spans="1:13" ht="16.5" thickBot="1" x14ac:dyDescent="0.3">
      <c r="A23" s="197" t="s">
        <v>26</v>
      </c>
      <c r="B23" s="201"/>
      <c r="C23" s="345">
        <f>SUM(C20:C22)</f>
        <v>11355354571.603521</v>
      </c>
      <c r="D23" s="251"/>
      <c r="E23" s="191"/>
      <c r="F23" s="209">
        <f>SUM(F20:F22)</f>
        <v>1135424081</v>
      </c>
      <c r="G23" s="251"/>
      <c r="H23" s="191"/>
      <c r="I23" s="209">
        <f>SUM(I20:I22)</f>
        <v>1118597753.6174557</v>
      </c>
      <c r="J23" s="196"/>
    </row>
    <row r="24" spans="1:13" ht="17.25" thickTop="1" thickBot="1" x14ac:dyDescent="0.3">
      <c r="A24" s="191" t="s">
        <v>27</v>
      </c>
      <c r="B24" s="191"/>
      <c r="D24" s="251"/>
      <c r="E24" s="191"/>
      <c r="F24" s="206">
        <f>SUM(F23,F16)</f>
        <v>1231055182</v>
      </c>
      <c r="G24" s="191"/>
      <c r="H24" s="191"/>
      <c r="I24" s="206">
        <f>SUM(I23,I16)</f>
        <v>1223804726.6174557</v>
      </c>
      <c r="J24" s="196"/>
    </row>
    <row r="25" spans="1:13" ht="16.5" thickTop="1" x14ac:dyDescent="0.25">
      <c r="A25" s="191"/>
      <c r="B25" s="191"/>
      <c r="C25" s="207"/>
      <c r="D25" s="208"/>
      <c r="E25" s="208"/>
      <c r="F25" s="208"/>
      <c r="G25" s="208"/>
      <c r="H25" s="208"/>
      <c r="I25" s="208"/>
      <c r="J25" s="196"/>
    </row>
    <row r="26" spans="1:13" x14ac:dyDescent="0.25">
      <c r="C26" s="103"/>
      <c r="D26" s="191"/>
      <c r="E26" s="103"/>
      <c r="F26" s="203"/>
      <c r="G26" s="191" t="s">
        <v>0</v>
      </c>
      <c r="H26" s="103"/>
      <c r="I26" s="209"/>
      <c r="J26" s="196"/>
      <c r="M26" s="210"/>
    </row>
    <row r="27" spans="1:13" x14ac:dyDescent="0.25">
      <c r="C27" s="103"/>
      <c r="D27" s="191"/>
      <c r="E27" s="103"/>
      <c r="F27" s="203"/>
      <c r="G27" s="191"/>
      <c r="H27" s="103"/>
      <c r="I27" s="203"/>
      <c r="J27" s="196"/>
      <c r="M27" s="210"/>
    </row>
    <row r="28" spans="1:13" x14ac:dyDescent="0.25">
      <c r="C28" s="103"/>
      <c r="D28" s="191"/>
      <c r="E28" s="103"/>
      <c r="F28" s="203"/>
      <c r="G28" s="191"/>
      <c r="H28" s="103"/>
      <c r="I28" s="203"/>
      <c r="J28" s="196"/>
      <c r="M28" s="210"/>
    </row>
    <row r="29" spans="1:13" ht="16.5" thickBot="1" x14ac:dyDescent="0.3">
      <c r="C29" s="103"/>
      <c r="D29" s="191"/>
      <c r="E29" s="103"/>
      <c r="F29" s="203"/>
      <c r="G29" s="191"/>
      <c r="H29" s="103"/>
      <c r="I29" s="203"/>
      <c r="J29" s="196"/>
      <c r="M29" s="210"/>
    </row>
    <row r="30" spans="1:13" x14ac:dyDescent="0.25">
      <c r="A30" s="211" t="s">
        <v>28</v>
      </c>
      <c r="B30" s="212"/>
      <c r="C30" s="212"/>
      <c r="D30" s="212"/>
      <c r="E30" s="213"/>
      <c r="F30" s="213"/>
      <c r="G30" s="213"/>
      <c r="H30" s="213"/>
      <c r="I30" s="214">
        <f>'Exhibit No.__(BDJ-Rate Spread)'!K8*1000</f>
        <v>1223804726.6434557</v>
      </c>
      <c r="J30" s="203"/>
      <c r="M30" s="210"/>
    </row>
    <row r="31" spans="1:13" x14ac:dyDescent="0.25">
      <c r="A31" s="215" t="s">
        <v>526</v>
      </c>
      <c r="B31" s="86"/>
      <c r="C31" s="86"/>
      <c r="D31" s="86"/>
      <c r="E31" s="216"/>
      <c r="F31" s="208"/>
      <c r="G31" s="216" t="s">
        <v>0</v>
      </c>
      <c r="H31" s="216"/>
      <c r="I31" s="217">
        <f>I30-F24</f>
        <v>-7250455.3565442562</v>
      </c>
      <c r="J31" s="203"/>
      <c r="M31" s="210"/>
    </row>
    <row r="32" spans="1:13" x14ac:dyDescent="0.25">
      <c r="A32" s="215" t="s">
        <v>527</v>
      </c>
      <c r="B32" s="86"/>
      <c r="C32" s="86"/>
      <c r="D32" s="86"/>
      <c r="E32" s="216"/>
      <c r="F32" s="208"/>
      <c r="G32" s="216"/>
      <c r="H32" s="216"/>
      <c r="I32" s="349">
        <f>I31/F24</f>
        <v>-5.8896266085854921E-3</v>
      </c>
      <c r="J32" s="203"/>
      <c r="M32" s="210"/>
    </row>
    <row r="33" spans="1:11" x14ac:dyDescent="0.25">
      <c r="A33" s="218" t="s">
        <v>29</v>
      </c>
      <c r="B33" s="86"/>
      <c r="C33" s="86"/>
      <c r="D33" s="86"/>
      <c r="E33" s="86"/>
      <c r="F33" s="208"/>
      <c r="G33" s="86"/>
      <c r="H33" s="86"/>
      <c r="I33" s="217">
        <f>I30-I24</f>
        <v>2.6000022888183594E-2</v>
      </c>
      <c r="J33" s="203"/>
    </row>
    <row r="34" spans="1:11" x14ac:dyDescent="0.25">
      <c r="A34" s="219"/>
      <c r="B34" s="86"/>
      <c r="C34" s="86"/>
      <c r="D34" s="86"/>
      <c r="E34" s="207"/>
      <c r="F34" s="208"/>
      <c r="G34" s="216" t="s">
        <v>0</v>
      </c>
      <c r="H34" s="207"/>
      <c r="I34" s="220"/>
      <c r="J34" s="203"/>
    </row>
    <row r="35" spans="1:11" x14ac:dyDescent="0.25">
      <c r="A35" s="221" t="s">
        <v>277</v>
      </c>
      <c r="B35" s="86"/>
      <c r="C35" s="86"/>
      <c r="D35" s="86"/>
      <c r="E35" s="86"/>
      <c r="F35" s="208"/>
      <c r="G35" s="86"/>
      <c r="H35" s="86"/>
      <c r="I35" s="217">
        <f>I14-F14</f>
        <v>9568969</v>
      </c>
      <c r="J35" s="203"/>
    </row>
    <row r="36" spans="1:11" x14ac:dyDescent="0.25">
      <c r="A36" s="221" t="s">
        <v>528</v>
      </c>
      <c r="B36" s="86"/>
      <c r="C36" s="86"/>
      <c r="D36" s="86"/>
      <c r="E36" s="86"/>
      <c r="F36" s="208"/>
      <c r="G36" s="86"/>
      <c r="H36" s="86"/>
      <c r="I36" s="217">
        <f>I31-I35</f>
        <v>-16819424.356544256</v>
      </c>
      <c r="J36" s="203"/>
    </row>
    <row r="37" spans="1:11" ht="16.5" thickBot="1" x14ac:dyDescent="0.3">
      <c r="A37" s="221" t="s">
        <v>506</v>
      </c>
      <c r="B37" s="86"/>
      <c r="C37" s="86"/>
      <c r="D37" s="86"/>
      <c r="E37" s="86"/>
      <c r="F37" s="208"/>
      <c r="G37" s="86"/>
      <c r="H37" s="86"/>
      <c r="I37" s="217">
        <f>F23</f>
        <v>1135424081</v>
      </c>
      <c r="J37" s="203"/>
    </row>
    <row r="38" spans="1:11" x14ac:dyDescent="0.25">
      <c r="A38" s="221" t="s">
        <v>529</v>
      </c>
      <c r="B38" s="86"/>
      <c r="C38" s="86"/>
      <c r="D38" s="86"/>
      <c r="E38" s="86"/>
      <c r="F38" s="208"/>
      <c r="G38" s="86"/>
      <c r="H38" s="86"/>
      <c r="I38" s="222">
        <f>I36/I37</f>
        <v>-1.4813341233463109E-2</v>
      </c>
      <c r="J38" s="203"/>
    </row>
    <row r="39" spans="1:11" ht="16.5" thickBot="1" x14ac:dyDescent="0.3">
      <c r="A39" s="223"/>
      <c r="B39" s="224"/>
      <c r="C39" s="224"/>
      <c r="D39" s="224"/>
      <c r="E39" s="224"/>
      <c r="F39" s="225"/>
      <c r="G39" s="224"/>
      <c r="H39" s="224"/>
      <c r="I39" s="226" t="s">
        <v>155</v>
      </c>
      <c r="J39" s="208"/>
    </row>
    <row r="40" spans="1:11" x14ac:dyDescent="0.25">
      <c r="G40" s="227"/>
      <c r="I40" s="208"/>
      <c r="J40" s="208"/>
      <c r="K40" s="208"/>
    </row>
    <row r="41" spans="1:11" x14ac:dyDescent="0.25">
      <c r="G41" s="227"/>
      <c r="I41" s="208"/>
      <c r="J41" s="208"/>
      <c r="K41" s="208"/>
    </row>
  </sheetData>
  <mergeCells count="7">
    <mergeCell ref="A1:J1"/>
    <mergeCell ref="D8:F9"/>
    <mergeCell ref="G8:I9"/>
    <mergeCell ref="A2:J2"/>
    <mergeCell ref="A3:J3"/>
    <mergeCell ref="A4:J4"/>
    <mergeCell ref="A5:J5"/>
  </mergeCells>
  <printOptions horizontalCentered="1"/>
  <pageMargins left="0.7" right="0.7" top="0.75" bottom="0.8" header="0.3" footer="0.3"/>
  <pageSetup scale="66" orientation="landscape" r:id="rId1"/>
  <headerFooter alignWithMargins="0">
    <oddFooter>&amp;L&amp;A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AE180"/>
  <sheetViews>
    <sheetView zoomScale="80" zoomScaleNormal="80" zoomScaleSheetLayoutView="80" workbookViewId="0">
      <pane xSplit="6" ySplit="10" topLeftCell="G11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10.25" defaultRowHeight="15.75" x14ac:dyDescent="0.25"/>
  <cols>
    <col min="1" max="1" width="55.625" style="68" bestFit="1" customWidth="1"/>
    <col min="2" max="2" width="1.25" style="68" customWidth="1"/>
    <col min="3" max="3" width="14.875" style="68" bestFit="1" customWidth="1"/>
    <col min="4" max="4" width="12.125" style="68" bestFit="1" customWidth="1"/>
    <col min="5" max="5" width="1.25" style="68" customWidth="1"/>
    <col min="6" max="6" width="14.375" style="68" bestFit="1" customWidth="1"/>
    <col min="7" max="7" width="12.125" style="68" bestFit="1" customWidth="1"/>
    <col min="8" max="8" width="1.25" style="68" customWidth="1"/>
    <col min="9" max="9" width="18.375" style="68" bestFit="1" customWidth="1"/>
    <col min="10" max="10" width="1.25" style="68" customWidth="1"/>
    <col min="11" max="11" width="25.625" style="68" customWidth="1"/>
    <col min="12" max="12" width="16.375" style="228" bestFit="1" customWidth="1"/>
    <col min="13" max="13" width="13.25" style="228" bestFit="1" customWidth="1"/>
    <col min="14" max="14" width="17.125" style="228" bestFit="1" customWidth="1"/>
    <col min="15" max="15" width="1.375" style="68" bestFit="1" customWidth="1"/>
    <col min="16" max="16" width="15.875" style="68" bestFit="1" customWidth="1"/>
    <col min="17" max="17" width="4.625" style="68" bestFit="1" customWidth="1"/>
    <col min="18" max="16384" width="10.25" style="68"/>
  </cols>
  <sheetData>
    <row r="1" spans="1:31" ht="18.75" x14ac:dyDescent="0.3">
      <c r="A1" s="468" t="s">
        <v>43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229"/>
      <c r="M1" s="229"/>
      <c r="N1" s="229"/>
      <c r="O1" s="86"/>
      <c r="P1" s="86"/>
      <c r="Q1" s="86"/>
      <c r="R1" s="86"/>
      <c r="S1" s="86"/>
      <c r="T1" s="86"/>
      <c r="U1" s="86"/>
      <c r="V1" s="86"/>
    </row>
    <row r="2" spans="1:31" ht="18.75" x14ac:dyDescent="0.3">
      <c r="A2" s="468" t="s">
        <v>20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229"/>
      <c r="M2" s="229"/>
      <c r="N2" s="229"/>
      <c r="O2" s="86"/>
      <c r="P2" s="86"/>
      <c r="Q2" s="86"/>
      <c r="R2" s="86"/>
      <c r="S2" s="86"/>
      <c r="T2" s="86"/>
      <c r="U2" s="86"/>
      <c r="V2" s="86"/>
    </row>
    <row r="3" spans="1:31" ht="18.75" x14ac:dyDescent="0.3">
      <c r="A3" s="468" t="str">
        <f>'Exhibit No.__(BDJ-Prof-Prop)'!$A$6</f>
        <v>12 MONTHS ENDED JUNE 2021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229"/>
      <c r="M3" s="229"/>
      <c r="N3" s="229"/>
      <c r="O3" s="86"/>
      <c r="P3" s="86"/>
      <c r="Q3" s="86"/>
      <c r="R3" s="86"/>
      <c r="S3" s="86"/>
      <c r="T3" s="86"/>
      <c r="U3" s="86"/>
      <c r="V3" s="86"/>
    </row>
    <row r="4" spans="1:31" ht="18.75" x14ac:dyDescent="0.3">
      <c r="A4" s="468" t="s">
        <v>21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229"/>
      <c r="M4" s="229"/>
      <c r="N4" s="229"/>
      <c r="O4" s="86"/>
      <c r="P4" s="86"/>
      <c r="Q4" s="86"/>
      <c r="R4" s="86"/>
      <c r="S4" s="86"/>
      <c r="T4" s="86"/>
      <c r="U4" s="86"/>
      <c r="V4" s="86"/>
    </row>
    <row r="5" spans="1:31" ht="18.75" x14ac:dyDescent="0.3">
      <c r="A5" s="468" t="s">
        <v>88</v>
      </c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229"/>
      <c r="M5" s="229"/>
      <c r="N5" s="229"/>
      <c r="O5" s="86"/>
      <c r="P5" s="86"/>
      <c r="Q5" s="86"/>
      <c r="R5" s="86"/>
      <c r="S5" s="86"/>
      <c r="T5" s="86"/>
      <c r="U5" s="86"/>
      <c r="V5" s="86"/>
    </row>
    <row r="6" spans="1:31" x14ac:dyDescent="0.25">
      <c r="A6" s="402"/>
      <c r="B6" s="187"/>
      <c r="C6" s="187"/>
      <c r="D6" s="186"/>
      <c r="E6" s="186"/>
      <c r="F6" s="187"/>
      <c r="G6" s="186"/>
      <c r="H6" s="187"/>
      <c r="I6" s="187"/>
      <c r="J6" s="187"/>
      <c r="L6" s="229"/>
      <c r="M6" s="229"/>
      <c r="N6" s="229"/>
      <c r="O6" s="86"/>
      <c r="P6" s="86"/>
      <c r="Q6" s="86"/>
      <c r="R6" s="86"/>
      <c r="S6" s="86"/>
      <c r="T6" s="86"/>
      <c r="U6" s="86"/>
      <c r="V6" s="86"/>
    </row>
    <row r="7" spans="1:31" x14ac:dyDescent="0.25">
      <c r="A7" s="187"/>
      <c r="B7" s="187"/>
      <c r="C7" s="187"/>
      <c r="D7" s="186"/>
      <c r="E7" s="186"/>
      <c r="F7" s="187"/>
      <c r="G7" s="186"/>
      <c r="H7" s="187"/>
      <c r="I7" s="187"/>
      <c r="J7" s="187"/>
      <c r="L7" s="229"/>
      <c r="M7" s="229"/>
      <c r="N7" s="229"/>
      <c r="O7" s="86"/>
      <c r="P7" s="86"/>
      <c r="Q7" s="86"/>
      <c r="R7" s="86"/>
      <c r="S7" s="86"/>
      <c r="T7" s="86"/>
      <c r="U7" s="86"/>
      <c r="V7" s="86"/>
    </row>
    <row r="8" spans="1:31" x14ac:dyDescent="0.25">
      <c r="A8" s="185"/>
      <c r="B8" s="185"/>
      <c r="C8" s="186"/>
      <c r="D8" s="185"/>
      <c r="E8" s="185"/>
      <c r="G8" s="185"/>
      <c r="H8" s="187"/>
      <c r="I8" s="187"/>
      <c r="J8" s="187"/>
      <c r="K8" s="86"/>
      <c r="L8" s="229"/>
      <c r="M8" s="229"/>
      <c r="N8" s="229"/>
      <c r="O8" s="86"/>
      <c r="P8" s="86"/>
      <c r="Q8" s="86"/>
      <c r="R8" s="86"/>
      <c r="S8" s="86"/>
      <c r="T8" s="86"/>
      <c r="U8" s="86"/>
      <c r="V8" s="86"/>
    </row>
    <row r="9" spans="1:31" x14ac:dyDescent="0.25">
      <c r="A9" s="185"/>
      <c r="B9" s="185"/>
      <c r="C9" s="186" t="s">
        <v>22</v>
      </c>
      <c r="D9" s="404" t="s">
        <v>3</v>
      </c>
      <c r="E9" s="405"/>
      <c r="F9" s="406"/>
      <c r="G9" s="407" t="str">
        <f>'Exhibit No.__(BDJ-Res RD)'!$G$8</f>
        <v>Proposed Effective 
January 2023</v>
      </c>
      <c r="H9" s="405"/>
      <c r="I9" s="406"/>
      <c r="J9" s="187"/>
      <c r="K9" s="86"/>
      <c r="L9" s="229"/>
      <c r="M9" s="229"/>
      <c r="N9" s="229"/>
      <c r="O9" s="86"/>
      <c r="P9" s="86"/>
      <c r="Q9" s="86"/>
      <c r="R9" s="86"/>
      <c r="S9" s="86"/>
      <c r="T9" s="86"/>
      <c r="U9" s="86"/>
      <c r="V9" s="86"/>
    </row>
    <row r="10" spans="1:31" x14ac:dyDescent="0.25">
      <c r="A10" s="185"/>
      <c r="B10" s="185"/>
      <c r="C10" s="188" t="s">
        <v>23</v>
      </c>
      <c r="D10" s="189" t="s">
        <v>24</v>
      </c>
      <c r="E10" s="401"/>
      <c r="F10" s="187" t="s">
        <v>25</v>
      </c>
      <c r="G10" s="189" t="s">
        <v>24</v>
      </c>
      <c r="H10" s="189"/>
      <c r="I10" s="189" t="s">
        <v>25</v>
      </c>
      <c r="J10" s="189"/>
      <c r="K10" s="86"/>
      <c r="L10" s="229"/>
      <c r="M10" s="229"/>
      <c r="N10" s="229"/>
      <c r="O10" s="86"/>
      <c r="P10" s="86"/>
      <c r="Q10" s="86"/>
      <c r="R10" s="86"/>
      <c r="S10" s="86"/>
      <c r="T10" s="86"/>
      <c r="U10" s="86"/>
      <c r="V10" s="86"/>
    </row>
    <row r="11" spans="1:31" x14ac:dyDescent="0.25">
      <c r="A11" s="191"/>
      <c r="B11" s="230"/>
      <c r="C11" s="103"/>
      <c r="D11" s="191" t="s">
        <v>0</v>
      </c>
      <c r="E11" s="191"/>
      <c r="G11" s="191" t="s">
        <v>0</v>
      </c>
      <c r="H11" s="191"/>
      <c r="I11" s="203" t="s">
        <v>0</v>
      </c>
      <c r="J11" s="203"/>
      <c r="K11" s="86"/>
      <c r="L11" s="229"/>
      <c r="M11" s="229"/>
      <c r="N11" s="229"/>
      <c r="O11" s="86"/>
      <c r="P11" s="86"/>
      <c r="Q11" s="86"/>
      <c r="R11" s="86"/>
      <c r="S11" s="86"/>
      <c r="T11" s="86"/>
      <c r="U11" s="86"/>
      <c r="V11" s="86"/>
      <c r="X11" s="210"/>
    </row>
    <row r="12" spans="1:31" x14ac:dyDescent="0.25">
      <c r="A12" s="332" t="s">
        <v>96</v>
      </c>
      <c r="B12" s="191"/>
      <c r="C12" s="191" t="s">
        <v>0</v>
      </c>
      <c r="D12" s="203"/>
      <c r="E12" s="191"/>
      <c r="F12" s="191"/>
      <c r="G12" s="203"/>
      <c r="H12" s="191"/>
      <c r="I12" s="191"/>
      <c r="J12" s="191"/>
      <c r="K12" s="86"/>
      <c r="L12" s="229"/>
      <c r="M12" s="229"/>
      <c r="N12" s="229"/>
      <c r="O12" s="86"/>
      <c r="P12" s="86"/>
      <c r="Q12" s="86"/>
      <c r="R12" s="86"/>
      <c r="S12" s="86"/>
      <c r="T12" s="86"/>
      <c r="U12" s="86"/>
      <c r="V12" s="86"/>
      <c r="X12" s="210"/>
    </row>
    <row r="13" spans="1:31" x14ac:dyDescent="0.25">
      <c r="A13" s="190" t="s">
        <v>78</v>
      </c>
      <c r="B13" s="191"/>
      <c r="C13" s="191"/>
      <c r="D13" s="203"/>
      <c r="E13" s="191"/>
      <c r="F13" s="203"/>
      <c r="G13" s="203"/>
      <c r="H13" s="191"/>
      <c r="I13" s="191"/>
      <c r="J13" s="191"/>
      <c r="K13" s="86"/>
      <c r="L13" s="229"/>
      <c r="M13" s="229"/>
      <c r="N13" s="229"/>
      <c r="O13" s="86"/>
      <c r="P13" s="86"/>
      <c r="Q13" s="86"/>
      <c r="R13" s="86"/>
      <c r="S13" s="86"/>
      <c r="T13" s="86"/>
      <c r="U13" s="86"/>
      <c r="V13" s="86"/>
      <c r="X13" s="210"/>
    </row>
    <row r="14" spans="1:31" x14ac:dyDescent="0.25">
      <c r="A14" s="191" t="s">
        <v>33</v>
      </c>
      <c r="B14" s="191"/>
      <c r="C14" s="103"/>
      <c r="D14" s="203"/>
      <c r="E14" s="191"/>
      <c r="F14" s="191"/>
      <c r="G14" s="203"/>
      <c r="H14" s="191"/>
      <c r="I14" s="191"/>
      <c r="J14" s="191"/>
      <c r="M14" s="362"/>
      <c r="N14" s="362"/>
      <c r="O14" s="210"/>
      <c r="P14" s="210"/>
      <c r="X14" s="86"/>
      <c r="Y14" s="86"/>
      <c r="Z14" s="86"/>
      <c r="AA14" s="86"/>
      <c r="AB14" s="86"/>
      <c r="AC14" s="86"/>
      <c r="AE14" s="210"/>
    </row>
    <row r="15" spans="1:31" x14ac:dyDescent="0.25">
      <c r="A15" s="191" t="s">
        <v>31</v>
      </c>
      <c r="B15" s="191"/>
      <c r="C15" s="103">
        <v>1122471</v>
      </c>
      <c r="D15" s="135">
        <f>'Exhibit No.__(BDJ-Tariff)'!D15</f>
        <v>10.210000000000001</v>
      </c>
      <c r="E15" s="191"/>
      <c r="F15" s="209">
        <f>ROUND(D15*$C15,0)</f>
        <v>11460429</v>
      </c>
      <c r="G15" s="135">
        <f>D15</f>
        <v>10.210000000000001</v>
      </c>
      <c r="H15" s="191"/>
      <c r="I15" s="209">
        <f>ROUND(G15*$C15,0)</f>
        <v>11460429</v>
      </c>
      <c r="J15" s="208"/>
      <c r="K15" s="196" t="s">
        <v>552</v>
      </c>
      <c r="L15" s="196"/>
      <c r="M15" s="196"/>
      <c r="N15" s="348"/>
      <c r="O15" s="210"/>
      <c r="P15" s="210"/>
      <c r="X15" s="86"/>
      <c r="Y15" s="86"/>
      <c r="Z15" s="86"/>
      <c r="AA15" s="86"/>
      <c r="AB15" s="86"/>
      <c r="AC15" s="86"/>
      <c r="AE15" s="210"/>
    </row>
    <row r="16" spans="1:31" x14ac:dyDescent="0.25">
      <c r="A16" s="191" t="s">
        <v>32</v>
      </c>
      <c r="B16" s="191"/>
      <c r="C16" s="103">
        <v>473768</v>
      </c>
      <c r="D16" s="135">
        <f>'Exhibit No.__(BDJ-Tariff)'!D16</f>
        <v>25.95</v>
      </c>
      <c r="E16" s="231"/>
      <c r="F16" s="209">
        <f>ROUND(D16*$C16,0)</f>
        <v>12294280</v>
      </c>
      <c r="G16" s="135">
        <f>D16</f>
        <v>25.95</v>
      </c>
      <c r="H16" s="231"/>
      <c r="I16" s="209">
        <f>ROUND(G16*$C16,0)</f>
        <v>12294280</v>
      </c>
      <c r="J16" s="208"/>
      <c r="K16" s="196" t="s">
        <v>552</v>
      </c>
      <c r="L16" s="196"/>
      <c r="M16" s="68"/>
      <c r="N16" s="348"/>
      <c r="O16" s="86"/>
      <c r="P16" s="86"/>
      <c r="Q16" s="86"/>
      <c r="R16" s="86"/>
      <c r="S16" s="86"/>
      <c r="T16" s="86"/>
      <c r="U16" s="86"/>
      <c r="V16" s="86"/>
      <c r="X16" s="210"/>
    </row>
    <row r="17" spans="1:24" x14ac:dyDescent="0.25">
      <c r="A17" s="197" t="s">
        <v>26</v>
      </c>
      <c r="B17" s="191"/>
      <c r="C17" s="107">
        <f>SUM(C15:C16)</f>
        <v>1596239</v>
      </c>
      <c r="D17" s="137"/>
      <c r="E17" s="191"/>
      <c r="F17" s="125">
        <f>SUM(F15:F16)</f>
        <v>23754709</v>
      </c>
      <c r="G17" s="137"/>
      <c r="H17" s="191"/>
      <c r="I17" s="125">
        <f>SUM(I15:I16)</f>
        <v>23754709</v>
      </c>
      <c r="J17" s="208"/>
      <c r="K17" s="394"/>
      <c r="M17" s="362"/>
      <c r="N17" s="362"/>
      <c r="O17" s="86"/>
      <c r="P17" s="86"/>
      <c r="Q17" s="86"/>
      <c r="R17" s="86"/>
      <c r="S17" s="86"/>
      <c r="T17" s="86"/>
      <c r="U17" s="86"/>
      <c r="V17" s="86"/>
      <c r="X17" s="210"/>
    </row>
    <row r="18" spans="1:24" x14ac:dyDescent="0.25">
      <c r="A18" s="191" t="s">
        <v>75</v>
      </c>
      <c r="B18" s="191"/>
      <c r="C18" s="103"/>
      <c r="D18" s="137"/>
      <c r="E18" s="191"/>
      <c r="F18" s="199"/>
      <c r="G18" s="137"/>
      <c r="H18" s="191"/>
      <c r="I18" s="199"/>
      <c r="J18" s="208"/>
      <c r="K18" s="394"/>
      <c r="M18" s="362"/>
      <c r="N18" s="362"/>
      <c r="O18" s="86"/>
      <c r="P18" s="86"/>
      <c r="Q18" s="86"/>
      <c r="R18" s="86"/>
      <c r="S18" s="86"/>
      <c r="T18" s="86"/>
      <c r="U18" s="86"/>
      <c r="V18" s="86"/>
      <c r="X18" s="210"/>
    </row>
    <row r="19" spans="1:24" ht="15.75" customHeight="1" x14ac:dyDescent="0.25">
      <c r="A19" s="200" t="s">
        <v>73</v>
      </c>
      <c r="B19" s="191"/>
      <c r="C19" s="103">
        <v>1306150806</v>
      </c>
      <c r="D19" s="251">
        <f>'Exhibit No.__(BDJ-Tariff)'!D18</f>
        <v>9.4531000000000004E-2</v>
      </c>
      <c r="E19" s="191"/>
      <c r="F19" s="209">
        <f t="shared" ref="F19:F20" si="0">ROUND(D19*$C19,0)</f>
        <v>123471742</v>
      </c>
      <c r="G19" s="251">
        <f>ROUND(D19*(1+$I$34),6)+M2</f>
        <v>9.3921000000000004E-2</v>
      </c>
      <c r="H19" s="191"/>
      <c r="I19" s="209">
        <f t="shared" ref="I19:I20" si="1">ROUND(G19*$C19,0)</f>
        <v>122674990</v>
      </c>
      <c r="J19" s="208"/>
      <c r="K19" s="232" t="s">
        <v>557</v>
      </c>
      <c r="L19" s="196"/>
      <c r="M19" s="196"/>
      <c r="N19" s="361"/>
      <c r="O19" s="86"/>
      <c r="P19" s="86"/>
      <c r="Q19" s="86"/>
      <c r="R19" s="86"/>
      <c r="S19" s="86"/>
      <c r="T19" s="86"/>
      <c r="U19" s="86"/>
      <c r="V19" s="86"/>
      <c r="X19" s="210"/>
    </row>
    <row r="20" spans="1:24" x14ac:dyDescent="0.25">
      <c r="A20" s="134" t="s">
        <v>74</v>
      </c>
      <c r="B20" s="191"/>
      <c r="C20" s="103">
        <v>1288344238</v>
      </c>
      <c r="D20" s="251">
        <f>'Exhibit No.__(BDJ-Tariff)'!D19</f>
        <v>9.1261999999999996E-2</v>
      </c>
      <c r="E20" s="191"/>
      <c r="F20" s="209">
        <f t="shared" si="0"/>
        <v>117576872</v>
      </c>
      <c r="G20" s="251">
        <f>ROUND(D20*(1+$I$34),6)</f>
        <v>9.0673000000000004E-2</v>
      </c>
      <c r="H20" s="191"/>
      <c r="I20" s="209">
        <f t="shared" si="1"/>
        <v>116818037</v>
      </c>
      <c r="J20" s="208"/>
      <c r="K20" s="232" t="s">
        <v>557</v>
      </c>
      <c r="L20" s="196"/>
      <c r="M20" s="196"/>
      <c r="N20" s="361"/>
      <c r="O20" s="86"/>
      <c r="P20" s="86"/>
      <c r="Q20" s="86"/>
      <c r="R20" s="86"/>
      <c r="S20" s="86"/>
      <c r="T20" s="86"/>
      <c r="U20" s="86"/>
      <c r="V20" s="86"/>
      <c r="X20" s="210"/>
    </row>
    <row r="21" spans="1:24" x14ac:dyDescent="0.25">
      <c r="A21" s="197" t="s">
        <v>26</v>
      </c>
      <c r="B21" s="110"/>
      <c r="C21" s="107">
        <f>SUM(C19:C20)</f>
        <v>2594495044</v>
      </c>
      <c r="D21" s="233"/>
      <c r="E21" s="191"/>
      <c r="F21" s="125">
        <f>SUM(F19:F20)</f>
        <v>241048614</v>
      </c>
      <c r="G21" s="233"/>
      <c r="H21" s="191"/>
      <c r="I21" s="125">
        <f>SUM(I19:I20)</f>
        <v>239493027</v>
      </c>
      <c r="J21" s="208"/>
      <c r="K21" s="394"/>
      <c r="O21" s="86"/>
      <c r="P21" s="86"/>
      <c r="Q21" s="86"/>
      <c r="R21" s="86"/>
      <c r="S21" s="86"/>
      <c r="T21" s="86"/>
      <c r="U21" s="86"/>
      <c r="V21" s="86"/>
      <c r="X21" s="210"/>
    </row>
    <row r="22" spans="1:24" x14ac:dyDescent="0.25">
      <c r="A22" s="200" t="s">
        <v>76</v>
      </c>
      <c r="B22" s="110"/>
      <c r="C22" s="103">
        <v>10671125.019713968</v>
      </c>
      <c r="D22" s="251">
        <f>D19</f>
        <v>9.4531000000000004E-2</v>
      </c>
      <c r="E22" s="191"/>
      <c r="F22" s="209">
        <f t="shared" ref="F22:F23" si="2">ROUND(D22*$C22,0)</f>
        <v>1008752</v>
      </c>
      <c r="G22" s="251">
        <f>G19</f>
        <v>9.3921000000000004E-2</v>
      </c>
      <c r="H22" s="191"/>
      <c r="I22" s="209">
        <f t="shared" ref="I22:I23" si="3">ROUND(G22*$C22,0)</f>
        <v>1002243</v>
      </c>
      <c r="J22" s="208"/>
      <c r="K22" s="232" t="s">
        <v>558</v>
      </c>
      <c r="L22" s="196"/>
      <c r="M22" s="196"/>
      <c r="O22" s="86"/>
      <c r="P22" s="86"/>
      <c r="Q22" s="86"/>
      <c r="R22" s="86"/>
      <c r="S22" s="86"/>
      <c r="T22" s="86"/>
      <c r="U22" s="86"/>
      <c r="V22" s="86"/>
      <c r="X22" s="210"/>
    </row>
    <row r="23" spans="1:24" x14ac:dyDescent="0.25">
      <c r="A23" s="200" t="s">
        <v>77</v>
      </c>
      <c r="B23" s="110"/>
      <c r="C23" s="103">
        <v>-14686014.995333586</v>
      </c>
      <c r="D23" s="251">
        <f>D20</f>
        <v>9.1261999999999996E-2</v>
      </c>
      <c r="E23" s="251"/>
      <c r="F23" s="209">
        <f t="shared" si="2"/>
        <v>-1340275</v>
      </c>
      <c r="G23" s="251">
        <f>G20</f>
        <v>9.0673000000000004E-2</v>
      </c>
      <c r="H23" s="191"/>
      <c r="I23" s="209">
        <f t="shared" si="3"/>
        <v>-1331625</v>
      </c>
      <c r="J23" s="208"/>
      <c r="K23" s="232" t="s">
        <v>559</v>
      </c>
      <c r="L23" s="196"/>
      <c r="M23" s="196"/>
      <c r="O23" s="86"/>
      <c r="P23" s="86"/>
      <c r="Q23" s="86"/>
      <c r="R23" s="86"/>
      <c r="S23" s="86"/>
      <c r="T23" s="86"/>
      <c r="U23" s="86"/>
      <c r="V23" s="86"/>
      <c r="X23" s="210"/>
    </row>
    <row r="24" spans="1:24" ht="31.5" x14ac:dyDescent="0.25">
      <c r="A24" s="134" t="s">
        <v>71</v>
      </c>
      <c r="B24" s="209"/>
      <c r="C24" s="234">
        <v>68352949</v>
      </c>
      <c r="D24" s="251">
        <f>ROUND(F24/C24,6)</f>
        <v>0.102955</v>
      </c>
      <c r="E24" s="191"/>
      <c r="F24" s="209">
        <v>7037260</v>
      </c>
      <c r="G24" s="251">
        <f>ROUND(D24*(1+$I$34),6)+M2</f>
        <v>0.10229000000000001</v>
      </c>
      <c r="H24" s="191"/>
      <c r="I24" s="209">
        <f>ROUND(G24*$C24,0)-204</f>
        <v>6991619</v>
      </c>
      <c r="J24" s="208"/>
      <c r="K24" s="232" t="s">
        <v>573</v>
      </c>
      <c r="L24" s="196"/>
      <c r="M24" s="196"/>
      <c r="N24" s="362"/>
      <c r="O24" s="86"/>
      <c r="P24" s="86"/>
      <c r="Q24" s="86"/>
      <c r="R24" s="86"/>
      <c r="S24" s="86"/>
      <c r="T24" s="86"/>
      <c r="U24" s="86"/>
      <c r="V24" s="86"/>
      <c r="X24" s="210"/>
    </row>
    <row r="25" spans="1:24" x14ac:dyDescent="0.25">
      <c r="A25" s="197" t="s">
        <v>26</v>
      </c>
      <c r="B25" s="209"/>
      <c r="C25" s="198">
        <f>SUM(C21:C24)</f>
        <v>2658833103.0243802</v>
      </c>
      <c r="D25" s="191"/>
      <c r="E25" s="191"/>
      <c r="F25" s="125">
        <f>SUM(F21:F24)</f>
        <v>247754351</v>
      </c>
      <c r="G25" s="251"/>
      <c r="H25" s="191"/>
      <c r="I25" s="125">
        <f>SUM(I21:I24)</f>
        <v>246155264</v>
      </c>
      <c r="J25" s="208"/>
      <c r="K25" s="204"/>
      <c r="L25" s="196"/>
      <c r="M25" s="196"/>
      <c r="N25" s="362"/>
      <c r="O25" s="86"/>
      <c r="P25" s="86"/>
      <c r="Q25" s="86"/>
      <c r="R25" s="86"/>
      <c r="S25" s="86"/>
      <c r="T25" s="86"/>
      <c r="U25" s="86"/>
      <c r="V25" s="86"/>
      <c r="X25" s="210"/>
    </row>
    <row r="26" spans="1:24" ht="16.5" thickBot="1" x14ac:dyDescent="0.3">
      <c r="A26" s="191" t="s">
        <v>30</v>
      </c>
      <c r="B26" s="191"/>
      <c r="C26" s="191"/>
      <c r="D26" s="235"/>
      <c r="E26" s="216"/>
      <c r="F26" s="206">
        <f>SUM(F25,F17)</f>
        <v>271509060</v>
      </c>
      <c r="G26" s="235"/>
      <c r="H26" s="216"/>
      <c r="I26" s="206">
        <f>SUM(I25,I17)</f>
        <v>269909973</v>
      </c>
      <c r="J26" s="236"/>
      <c r="O26" s="86"/>
      <c r="P26" s="86"/>
      <c r="Q26" s="86"/>
      <c r="R26" s="86"/>
      <c r="S26" s="86"/>
      <c r="T26" s="86"/>
      <c r="U26" s="86"/>
      <c r="V26" s="86"/>
      <c r="X26" s="210"/>
    </row>
    <row r="27" spans="1:24" ht="16.5" thickTop="1" x14ac:dyDescent="0.25">
      <c r="A27" s="191"/>
      <c r="B27" s="191"/>
      <c r="C27" s="207"/>
      <c r="D27" s="235"/>
      <c r="E27" s="216"/>
      <c r="F27" s="208"/>
      <c r="G27" s="235"/>
      <c r="H27" s="216"/>
      <c r="I27" s="208"/>
      <c r="J27" s="208"/>
      <c r="N27" s="237"/>
      <c r="O27" s="86"/>
      <c r="P27" s="86"/>
      <c r="Q27" s="86"/>
      <c r="R27" s="86"/>
      <c r="S27" s="86"/>
      <c r="T27" s="86"/>
      <c r="U27" s="86"/>
      <c r="V27" s="86"/>
      <c r="X27" s="210"/>
    </row>
    <row r="28" spans="1:24" x14ac:dyDescent="0.25">
      <c r="A28" s="191"/>
      <c r="B28" s="191"/>
      <c r="C28" s="103"/>
      <c r="D28" s="238">
        <f>ROUND(SUM(F25)/SUM(C25),6)</f>
        <v>9.3182000000000001E-2</v>
      </c>
      <c r="E28" s="191"/>
      <c r="F28" s="203"/>
      <c r="G28" s="238">
        <f>ROUND(SUM(I25)/SUM(C25),6)</f>
        <v>9.2579999999999996E-2</v>
      </c>
      <c r="H28" s="191"/>
      <c r="I28" s="203" t="s">
        <v>0</v>
      </c>
      <c r="J28" s="203"/>
      <c r="K28" s="239"/>
      <c r="L28" s="10"/>
      <c r="M28" s="10"/>
      <c r="N28" s="229"/>
      <c r="O28" s="86"/>
      <c r="P28" s="86"/>
      <c r="Q28" s="86"/>
      <c r="R28" s="86"/>
      <c r="S28" s="86"/>
      <c r="T28" s="86"/>
      <c r="U28" s="86"/>
      <c r="V28" s="86"/>
    </row>
    <row r="29" spans="1:24" ht="16.5" thickBot="1" x14ac:dyDescent="0.3">
      <c r="A29" s="191"/>
      <c r="B29" s="191"/>
      <c r="C29" s="103"/>
      <c r="D29" s="238"/>
      <c r="E29" s="191"/>
      <c r="F29" s="203"/>
      <c r="G29" s="238"/>
      <c r="H29" s="191"/>
      <c r="I29" s="203"/>
      <c r="J29" s="203"/>
      <c r="K29" s="239"/>
      <c r="L29" s="10"/>
      <c r="M29" s="10"/>
      <c r="N29" s="229"/>
      <c r="O29" s="86"/>
      <c r="P29" s="86"/>
      <c r="Q29" s="86"/>
      <c r="R29" s="86"/>
      <c r="S29" s="86"/>
      <c r="T29" s="86"/>
      <c r="U29" s="86"/>
      <c r="V29" s="86"/>
    </row>
    <row r="30" spans="1:24" x14ac:dyDescent="0.25">
      <c r="A30" s="211" t="s">
        <v>34</v>
      </c>
      <c r="B30" s="240"/>
      <c r="C30" s="241"/>
      <c r="D30" s="242"/>
      <c r="E30" s="240"/>
      <c r="F30" s="213"/>
      <c r="G30" s="242"/>
      <c r="H30" s="240"/>
      <c r="I30" s="243">
        <f>'Exhibit No.__(BDJ-Rate Spread)'!K11*1000</f>
        <v>269909973.01575196</v>
      </c>
      <c r="K30" s="239"/>
      <c r="L30" s="10"/>
      <c r="M30" s="10"/>
      <c r="N30" s="229"/>
      <c r="O30" s="86"/>
      <c r="P30" s="86"/>
      <c r="Q30" s="86"/>
      <c r="R30" s="86"/>
      <c r="S30" s="86"/>
      <c r="T30" s="86"/>
      <c r="U30" s="86"/>
      <c r="V30" s="86"/>
    </row>
    <row r="31" spans="1:24" x14ac:dyDescent="0.25">
      <c r="A31" s="244" t="s">
        <v>518</v>
      </c>
      <c r="B31" s="216"/>
      <c r="C31" s="207"/>
      <c r="D31" s="245"/>
      <c r="E31" s="216"/>
      <c r="F31" s="208"/>
      <c r="G31" s="245"/>
      <c r="H31" s="216"/>
      <c r="I31" s="246">
        <f>I30-F26</f>
        <v>-1599086.9842480421</v>
      </c>
      <c r="J31" s="208"/>
      <c r="K31" s="239"/>
      <c r="L31" s="10"/>
      <c r="M31" s="10"/>
      <c r="N31" s="229"/>
      <c r="O31" s="86"/>
      <c r="P31" s="86"/>
      <c r="Q31" s="86"/>
      <c r="R31" s="86"/>
      <c r="S31" s="86"/>
      <c r="T31" s="86"/>
      <c r="U31" s="86"/>
      <c r="V31" s="86"/>
    </row>
    <row r="32" spans="1:24" x14ac:dyDescent="0.25">
      <c r="A32" s="215" t="s">
        <v>507</v>
      </c>
      <c r="B32" s="216"/>
      <c r="C32" s="207"/>
      <c r="D32" s="245"/>
      <c r="E32" s="216"/>
      <c r="F32" s="208"/>
      <c r="G32" s="245"/>
      <c r="H32" s="216"/>
      <c r="I32" s="349">
        <f>I30/F26-1</f>
        <v>-5.8896266085854965E-3</v>
      </c>
      <c r="J32" s="254"/>
      <c r="K32" s="239"/>
      <c r="L32" s="10"/>
      <c r="M32" s="10"/>
      <c r="N32" s="229"/>
      <c r="O32" s="86"/>
      <c r="P32" s="86"/>
      <c r="Q32" s="86"/>
      <c r="R32" s="86"/>
      <c r="S32" s="86"/>
      <c r="T32" s="86"/>
      <c r="U32" s="86"/>
      <c r="V32" s="86"/>
    </row>
    <row r="33" spans="1:22" x14ac:dyDescent="0.25">
      <c r="A33" s="215" t="s">
        <v>555</v>
      </c>
      <c r="B33" s="216"/>
      <c r="C33" s="207"/>
      <c r="D33" s="245"/>
      <c r="E33" s="216"/>
      <c r="F33" s="208"/>
      <c r="G33" s="245"/>
      <c r="H33" s="216"/>
      <c r="I33" s="217">
        <f>F25</f>
        <v>247754351</v>
      </c>
      <c r="J33" s="254"/>
      <c r="K33" s="239"/>
      <c r="L33" s="10"/>
      <c r="M33" s="10"/>
      <c r="N33" s="229"/>
      <c r="O33" s="86"/>
      <c r="P33" s="86"/>
      <c r="Q33" s="86"/>
      <c r="R33" s="86"/>
      <c r="S33" s="86"/>
      <c r="T33" s="86"/>
      <c r="U33" s="86"/>
      <c r="V33" s="86"/>
    </row>
    <row r="34" spans="1:22" x14ac:dyDescent="0.25">
      <c r="A34" s="215" t="s">
        <v>557</v>
      </c>
      <c r="B34" s="216"/>
      <c r="C34" s="207"/>
      <c r="D34" s="245"/>
      <c r="E34" s="216"/>
      <c r="F34" s="208"/>
      <c r="G34" s="245"/>
      <c r="H34" s="216"/>
      <c r="I34" s="349">
        <f>I31/I33</f>
        <v>-6.4543245266681197E-3</v>
      </c>
      <c r="J34" s="254"/>
      <c r="K34" s="239"/>
      <c r="L34" s="10"/>
      <c r="M34" s="10"/>
      <c r="N34" s="229"/>
      <c r="O34" s="86"/>
      <c r="P34" s="86"/>
      <c r="Q34" s="86"/>
      <c r="R34" s="86"/>
      <c r="S34" s="86"/>
      <c r="T34" s="86"/>
      <c r="U34" s="86"/>
      <c r="V34" s="86"/>
    </row>
    <row r="35" spans="1:22" x14ac:dyDescent="0.25">
      <c r="A35" s="215" t="s">
        <v>348</v>
      </c>
      <c r="B35" s="216"/>
      <c r="C35" s="207"/>
      <c r="D35" s="245"/>
      <c r="E35" s="216"/>
      <c r="F35" s="208"/>
      <c r="G35" s="245"/>
      <c r="H35" s="216"/>
      <c r="I35" s="246">
        <f>(I30-I26)</f>
        <v>1.5751957893371582E-2</v>
      </c>
      <c r="J35" s="254"/>
      <c r="K35" s="239"/>
      <c r="L35" s="10"/>
      <c r="M35" s="10"/>
      <c r="N35" s="229"/>
      <c r="O35" s="86"/>
      <c r="P35" s="86"/>
      <c r="Q35" s="86"/>
      <c r="R35" s="86"/>
      <c r="S35" s="86"/>
      <c r="T35" s="86"/>
      <c r="U35" s="86"/>
      <c r="V35" s="86"/>
    </row>
    <row r="36" spans="1:22" ht="16.5" thickBot="1" x14ac:dyDescent="0.3">
      <c r="A36" s="223" t="s">
        <v>347</v>
      </c>
      <c r="B36" s="247"/>
      <c r="C36" s="248"/>
      <c r="D36" s="249"/>
      <c r="E36" s="247"/>
      <c r="F36" s="225"/>
      <c r="G36" s="249"/>
      <c r="H36" s="247"/>
      <c r="I36" s="410">
        <f>(I30-I26)/C25</f>
        <v>5.9243876102843691E-12</v>
      </c>
      <c r="J36" s="254"/>
      <c r="K36" s="239"/>
      <c r="L36" s="10"/>
      <c r="M36" s="10"/>
      <c r="N36" s="229"/>
      <c r="O36" s="86"/>
      <c r="P36" s="86"/>
      <c r="Q36" s="86"/>
      <c r="R36" s="86"/>
      <c r="S36" s="86"/>
      <c r="T36" s="86"/>
      <c r="U36" s="86"/>
      <c r="V36" s="86"/>
    </row>
    <row r="37" spans="1:22" x14ac:dyDescent="0.25">
      <c r="J37" s="203"/>
      <c r="K37" s="239"/>
      <c r="L37" s="10"/>
      <c r="M37" s="10"/>
      <c r="N37" s="229"/>
      <c r="O37" s="86"/>
      <c r="P37" s="86"/>
      <c r="Q37" s="86"/>
      <c r="R37" s="86"/>
      <c r="S37" s="86"/>
      <c r="T37" s="86"/>
      <c r="U37" s="86"/>
      <c r="V37" s="86"/>
    </row>
    <row r="38" spans="1:22" x14ac:dyDescent="0.25">
      <c r="A38" s="332" t="s">
        <v>98</v>
      </c>
      <c r="B38" s="191"/>
      <c r="C38" s="103"/>
      <c r="D38" s="203"/>
      <c r="E38" s="191"/>
      <c r="F38" s="191"/>
      <c r="G38" s="203"/>
      <c r="H38" s="191"/>
      <c r="I38" s="203" t="s">
        <v>0</v>
      </c>
      <c r="J38" s="203"/>
      <c r="K38" s="86"/>
      <c r="L38" s="229"/>
      <c r="M38" s="229"/>
      <c r="N38" s="229"/>
      <c r="O38" s="86"/>
      <c r="P38" s="86"/>
      <c r="Q38" s="86"/>
      <c r="R38" s="86"/>
      <c r="S38" s="86"/>
      <c r="T38" s="86"/>
      <c r="U38" s="86"/>
      <c r="V38" s="86"/>
    </row>
    <row r="39" spans="1:22" x14ac:dyDescent="0.25">
      <c r="A39" s="190" t="s">
        <v>80</v>
      </c>
      <c r="B39" s="191"/>
      <c r="C39" s="191" t="s">
        <v>0</v>
      </c>
      <c r="D39" s="203"/>
      <c r="E39" s="191"/>
      <c r="F39" s="191"/>
      <c r="G39" s="203"/>
      <c r="H39" s="191"/>
      <c r="I39" s="191"/>
      <c r="J39" s="191"/>
      <c r="K39" s="86"/>
      <c r="L39" s="229"/>
      <c r="M39" s="229"/>
      <c r="N39" s="229"/>
      <c r="O39" s="86"/>
      <c r="P39" s="86"/>
      <c r="Q39" s="86"/>
      <c r="R39" s="86"/>
      <c r="S39" s="86"/>
      <c r="T39" s="86"/>
      <c r="U39" s="86"/>
      <c r="V39" s="86"/>
    </row>
    <row r="40" spans="1:22" x14ac:dyDescent="0.25">
      <c r="A40" s="191"/>
      <c r="B40" s="191"/>
      <c r="C40" s="191"/>
      <c r="D40" s="203"/>
      <c r="E40" s="191"/>
      <c r="F40" s="191"/>
      <c r="G40" s="203"/>
      <c r="H40" s="191"/>
      <c r="I40" s="191"/>
      <c r="J40" s="191"/>
      <c r="K40" s="86"/>
      <c r="L40" s="229"/>
      <c r="M40" s="229"/>
      <c r="N40" s="229"/>
      <c r="O40" s="86"/>
      <c r="P40" s="86"/>
      <c r="Q40" s="86"/>
      <c r="R40" s="86"/>
      <c r="S40" s="86"/>
      <c r="T40" s="86"/>
      <c r="U40" s="86"/>
      <c r="V40" s="86"/>
    </row>
    <row r="41" spans="1:22" x14ac:dyDescent="0.25">
      <c r="A41" s="191" t="s">
        <v>33</v>
      </c>
      <c r="B41" s="209"/>
      <c r="C41" s="201">
        <v>97294</v>
      </c>
      <c r="D41" s="135">
        <f>'Exhibit No.__(BDJ-Tariff)'!D22</f>
        <v>53.95</v>
      </c>
      <c r="E41" s="191"/>
      <c r="F41" s="203">
        <f>ROUND(D41*$C41,0)</f>
        <v>5249011</v>
      </c>
      <c r="G41" s="135">
        <f>D41</f>
        <v>53.95</v>
      </c>
      <c r="H41" s="191"/>
      <c r="I41" s="203">
        <f>ROUND(G41*$C41,0)</f>
        <v>5249011</v>
      </c>
      <c r="J41" s="203"/>
      <c r="K41" s="196" t="s">
        <v>552</v>
      </c>
      <c r="L41" s="196"/>
      <c r="M41" s="196"/>
      <c r="N41" s="348"/>
      <c r="O41" s="86"/>
      <c r="P41" s="86"/>
      <c r="Q41" s="86"/>
      <c r="R41" s="86"/>
      <c r="S41" s="86"/>
      <c r="T41" s="86"/>
      <c r="U41" s="86"/>
      <c r="V41" s="86"/>
    </row>
    <row r="42" spans="1:22" x14ac:dyDescent="0.25">
      <c r="A42" s="191" t="s">
        <v>36</v>
      </c>
      <c r="B42" s="372"/>
      <c r="C42" s="201"/>
      <c r="D42" s="250"/>
      <c r="E42" s="203"/>
      <c r="F42" s="203"/>
      <c r="G42" s="135"/>
      <c r="H42" s="203"/>
      <c r="I42" s="203"/>
      <c r="J42" s="203"/>
      <c r="K42" s="86"/>
      <c r="L42" s="229"/>
      <c r="M42" s="68"/>
      <c r="N42" s="348"/>
      <c r="O42" s="86"/>
      <c r="P42" s="86"/>
      <c r="Q42" s="86"/>
      <c r="R42" s="86"/>
      <c r="S42" s="86"/>
      <c r="T42" s="86"/>
      <c r="U42" s="86"/>
      <c r="V42" s="86"/>
    </row>
    <row r="43" spans="1:22" x14ac:dyDescent="0.25">
      <c r="A43" s="200" t="s">
        <v>82</v>
      </c>
      <c r="B43" s="209"/>
      <c r="C43" s="201">
        <v>763328132</v>
      </c>
      <c r="D43" s="251">
        <f>'Exhibit No.__(BDJ-Tariff)'!D24</f>
        <v>9.2719999999999997E-2</v>
      </c>
      <c r="E43" s="203"/>
      <c r="F43" s="203">
        <f>ROUND($C43*D43,0)</f>
        <v>70775784</v>
      </c>
      <c r="G43" s="251">
        <f>ROUND((1+$I$67)*(D43),6)</f>
        <v>9.2069999999999999E-2</v>
      </c>
      <c r="H43" s="203"/>
      <c r="I43" s="203">
        <f>ROUND($C43*G43,0)</f>
        <v>70279621</v>
      </c>
      <c r="J43" s="203"/>
      <c r="K43" s="395" t="s">
        <v>557</v>
      </c>
      <c r="L43" s="196"/>
      <c r="M43" s="196"/>
      <c r="O43" s="86"/>
      <c r="P43" s="86"/>
      <c r="Q43" s="86"/>
      <c r="R43" s="86"/>
      <c r="S43" s="86"/>
      <c r="T43" s="86"/>
      <c r="U43" s="86"/>
      <c r="V43" s="86"/>
    </row>
    <row r="44" spans="1:22" x14ac:dyDescent="0.25">
      <c r="A44" s="200" t="s">
        <v>81</v>
      </c>
      <c r="B44" s="209"/>
      <c r="C44" s="201">
        <v>718862613</v>
      </c>
      <c r="D44" s="251">
        <f>'Exhibit No.__(BDJ-Tariff)'!D25</f>
        <v>8.3563999999999999E-2</v>
      </c>
      <c r="E44" s="203"/>
      <c r="F44" s="203">
        <f t="shared" ref="F44:F47" si="4">ROUND($C44*D44,0)</f>
        <v>60071035</v>
      </c>
      <c r="G44" s="251">
        <f t="shared" ref="G44:G45" si="5">ROUND((1+$I$67)*(D44),6)</f>
        <v>8.2977999999999996E-2</v>
      </c>
      <c r="H44" s="203"/>
      <c r="I44" s="203">
        <f t="shared" ref="I44:I47" si="6">ROUND($C44*G44,0)</f>
        <v>59649782</v>
      </c>
      <c r="J44" s="203"/>
      <c r="K44" s="395" t="s">
        <v>557</v>
      </c>
      <c r="L44" s="196"/>
      <c r="M44" s="196"/>
      <c r="O44" s="86"/>
      <c r="P44" s="86"/>
      <c r="Q44" s="86"/>
      <c r="R44" s="86"/>
      <c r="S44" s="86"/>
      <c r="T44" s="86"/>
      <c r="U44" s="86"/>
      <c r="V44" s="86"/>
    </row>
    <row r="45" spans="1:22" x14ac:dyDescent="0.25">
      <c r="A45" s="200" t="s">
        <v>83</v>
      </c>
      <c r="B45" s="209"/>
      <c r="C45" s="201">
        <v>1302141069</v>
      </c>
      <c r="D45" s="251">
        <f>'Exhibit No.__(BDJ-Tariff)'!D26</f>
        <v>6.6092999999999999E-2</v>
      </c>
      <c r="E45" s="203"/>
      <c r="F45" s="203">
        <f t="shared" si="4"/>
        <v>86062410</v>
      </c>
      <c r="G45" s="251">
        <f t="shared" si="5"/>
        <v>6.5629999999999994E-2</v>
      </c>
      <c r="H45" s="203"/>
      <c r="I45" s="203">
        <f t="shared" si="6"/>
        <v>85459518</v>
      </c>
      <c r="J45" s="203"/>
      <c r="K45" s="395" t="s">
        <v>557</v>
      </c>
      <c r="L45" s="196"/>
      <c r="M45" s="196"/>
      <c r="O45" s="86"/>
      <c r="P45" s="86"/>
      <c r="Q45" s="86"/>
      <c r="R45" s="86"/>
      <c r="S45" s="86"/>
      <c r="T45" s="86"/>
      <c r="U45" s="86"/>
      <c r="V45" s="86"/>
    </row>
    <row r="46" spans="1:22" x14ac:dyDescent="0.25">
      <c r="A46" s="197" t="s">
        <v>26</v>
      </c>
      <c r="B46" s="372"/>
      <c r="C46" s="198">
        <f>SUM(C43:C45)</f>
        <v>2784331814</v>
      </c>
      <c r="D46" s="233"/>
      <c r="E46" s="191"/>
      <c r="F46" s="252">
        <f>SUM(F43:F45)</f>
        <v>216909229</v>
      </c>
      <c r="G46" s="233"/>
      <c r="H46" s="191"/>
      <c r="I46" s="252">
        <f>SUM(I43:I45)</f>
        <v>215388921</v>
      </c>
      <c r="J46" s="203"/>
      <c r="K46" s="86"/>
      <c r="L46" s="229"/>
      <c r="M46" s="229"/>
      <c r="O46" s="86"/>
      <c r="P46" s="86"/>
      <c r="Q46" s="86"/>
      <c r="R46" s="86"/>
      <c r="S46" s="86"/>
      <c r="T46" s="86"/>
      <c r="U46" s="86"/>
      <c r="V46" s="86"/>
    </row>
    <row r="47" spans="1:22" x14ac:dyDescent="0.25">
      <c r="A47" s="200" t="s">
        <v>69</v>
      </c>
      <c r="B47" s="209"/>
      <c r="C47" s="201">
        <v>-6814774.4155422319</v>
      </c>
      <c r="D47" s="251">
        <f>D45</f>
        <v>6.6092999999999999E-2</v>
      </c>
      <c r="E47" s="191"/>
      <c r="F47" s="203">
        <f t="shared" si="4"/>
        <v>-450409</v>
      </c>
      <c r="G47" s="251">
        <f>G45</f>
        <v>6.5629999999999994E-2</v>
      </c>
      <c r="H47" s="191"/>
      <c r="I47" s="203">
        <f t="shared" si="6"/>
        <v>-447254</v>
      </c>
      <c r="J47" s="203"/>
      <c r="K47" s="196" t="s">
        <v>560</v>
      </c>
      <c r="L47" s="196"/>
      <c r="M47" s="196"/>
      <c r="O47" s="86"/>
      <c r="P47" s="86"/>
      <c r="Q47" s="86"/>
      <c r="R47" s="86"/>
      <c r="S47" s="86"/>
      <c r="T47" s="86"/>
      <c r="U47" s="86"/>
      <c r="V47" s="86"/>
    </row>
    <row r="48" spans="1:22" ht="31.5" x14ac:dyDescent="0.25">
      <c r="A48" s="134" t="s">
        <v>71</v>
      </c>
      <c r="B48" s="209"/>
      <c r="C48" s="201">
        <v>78528793</v>
      </c>
      <c r="D48" s="251">
        <f>ROUND(F48/C48,6)</f>
        <v>9.2434000000000002E-2</v>
      </c>
      <c r="E48" s="191"/>
      <c r="F48" s="209">
        <v>7258722</v>
      </c>
      <c r="G48" s="251">
        <f t="shared" ref="G48" si="7">ROUND((1+$I$67)*(D48),6)</f>
        <v>9.1786000000000006E-2</v>
      </c>
      <c r="H48" s="191"/>
      <c r="I48" s="203">
        <f>ROUND($C48*G48,0)-268</f>
        <v>7207576</v>
      </c>
      <c r="J48" s="208"/>
      <c r="K48" s="232" t="s">
        <v>574</v>
      </c>
      <c r="L48" s="196"/>
      <c r="M48" s="196"/>
      <c r="O48" s="86"/>
      <c r="P48" s="86"/>
      <c r="Q48" s="86"/>
      <c r="R48" s="86"/>
      <c r="S48" s="86"/>
      <c r="T48" s="86"/>
      <c r="U48" s="86"/>
      <c r="V48" s="86"/>
    </row>
    <row r="49" spans="1:22" x14ac:dyDescent="0.25">
      <c r="A49" s="197" t="s">
        <v>26</v>
      </c>
      <c r="B49" s="209"/>
      <c r="C49" s="198">
        <f>SUM(C46:C48)</f>
        <v>2856045832.5844579</v>
      </c>
      <c r="D49" s="191"/>
      <c r="E49" s="191"/>
      <c r="F49" s="252">
        <f>SUM(F46:F48)</f>
        <v>223717542</v>
      </c>
      <c r="G49" s="191"/>
      <c r="H49" s="191"/>
      <c r="I49" s="252">
        <f>SUM(I46:I48)</f>
        <v>222149243</v>
      </c>
      <c r="J49" s="208"/>
      <c r="K49" s="237"/>
      <c r="L49" s="253"/>
      <c r="M49" s="229"/>
      <c r="O49" s="86"/>
      <c r="P49" s="86"/>
      <c r="Q49" s="86"/>
      <c r="R49" s="86"/>
      <c r="S49" s="86"/>
      <c r="T49" s="86"/>
      <c r="U49" s="86"/>
      <c r="V49" s="86"/>
    </row>
    <row r="50" spans="1:22" x14ac:dyDescent="0.25">
      <c r="A50" s="191" t="s">
        <v>35</v>
      </c>
      <c r="B50" s="209"/>
      <c r="C50" s="201"/>
      <c r="D50" s="137"/>
      <c r="E50" s="191"/>
      <c r="F50" s="203"/>
      <c r="G50" s="137"/>
      <c r="H50" s="191"/>
      <c r="I50" s="203"/>
      <c r="J50" s="203"/>
      <c r="K50" s="86"/>
      <c r="L50" s="229"/>
      <c r="M50" s="229"/>
      <c r="O50" s="86"/>
      <c r="P50" s="86"/>
      <c r="Q50" s="86"/>
      <c r="R50" s="86"/>
      <c r="S50" s="86"/>
      <c r="T50" s="86"/>
      <c r="U50" s="86"/>
      <c r="V50" s="86"/>
    </row>
    <row r="51" spans="1:22" x14ac:dyDescent="0.25">
      <c r="A51" s="200" t="s">
        <v>84</v>
      </c>
      <c r="B51" s="209"/>
      <c r="C51" s="201">
        <v>2180812</v>
      </c>
      <c r="D51" s="135">
        <f>'Exhibit No.__(BDJ-Tariff)'!D29</f>
        <v>10.119999999999999</v>
      </c>
      <c r="E51" s="191"/>
      <c r="F51" s="203">
        <f>ROUND(D51*$C51,0)</f>
        <v>22069817</v>
      </c>
      <c r="G51" s="135">
        <f>D51</f>
        <v>10.119999999999999</v>
      </c>
      <c r="H51" s="191"/>
      <c r="I51" s="203">
        <f>ROUND(G51*$C51,0)</f>
        <v>22069817</v>
      </c>
      <c r="J51" s="203"/>
      <c r="L51" s="196"/>
      <c r="M51" s="196"/>
      <c r="O51" s="86"/>
      <c r="P51" s="86"/>
      <c r="Q51" s="86"/>
      <c r="R51" s="86"/>
      <c r="S51" s="86"/>
      <c r="T51" s="86"/>
      <c r="U51" s="86"/>
      <c r="V51" s="86"/>
    </row>
    <row r="52" spans="1:22" x14ac:dyDescent="0.25">
      <c r="A52" s="200" t="s">
        <v>85</v>
      </c>
      <c r="B52" s="209"/>
      <c r="C52" s="201">
        <v>1992939</v>
      </c>
      <c r="D52" s="135">
        <f>'Exhibit No.__(BDJ-Tariff)'!D30</f>
        <v>6.75</v>
      </c>
      <c r="E52" s="191"/>
      <c r="F52" s="203">
        <f>ROUND(D52*$C52,0)</f>
        <v>13452338</v>
      </c>
      <c r="G52" s="135">
        <f>D52</f>
        <v>6.75</v>
      </c>
      <c r="H52" s="191"/>
      <c r="I52" s="203">
        <f>ROUND(G52*$C52,0)</f>
        <v>13452338</v>
      </c>
      <c r="J52" s="203"/>
      <c r="K52" s="196" t="s">
        <v>552</v>
      </c>
      <c r="L52" s="196"/>
      <c r="M52" s="196"/>
      <c r="O52" s="86"/>
      <c r="P52" s="86"/>
      <c r="Q52" s="86"/>
      <c r="R52" s="86"/>
      <c r="S52" s="86"/>
      <c r="T52" s="86"/>
      <c r="U52" s="86"/>
      <c r="V52" s="86"/>
    </row>
    <row r="53" spans="1:22" x14ac:dyDescent="0.25">
      <c r="A53" s="197" t="s">
        <v>26</v>
      </c>
      <c r="C53" s="198">
        <f>SUM(C51:C52)</f>
        <v>4173751</v>
      </c>
      <c r="D53" s="137"/>
      <c r="E53" s="191"/>
      <c r="F53" s="252">
        <f>SUM(F51:F52)</f>
        <v>35522155</v>
      </c>
      <c r="G53" s="137"/>
      <c r="H53" s="191"/>
      <c r="I53" s="252">
        <f>SUM(I51:I52)</f>
        <v>35522155</v>
      </c>
      <c r="J53" s="203"/>
      <c r="K53" s="86"/>
      <c r="L53" s="395"/>
      <c r="M53" s="372"/>
      <c r="N53" s="229"/>
      <c r="O53" s="86"/>
      <c r="P53" s="86"/>
      <c r="Q53" s="86"/>
      <c r="R53" s="86"/>
      <c r="S53" s="86"/>
      <c r="T53" s="86"/>
      <c r="U53" s="86"/>
      <c r="V53" s="86"/>
    </row>
    <row r="54" spans="1:22" x14ac:dyDescent="0.25">
      <c r="A54" s="191"/>
      <c r="B54" s="191"/>
      <c r="C54" s="235"/>
      <c r="D54" s="207"/>
      <c r="E54" s="191"/>
      <c r="F54" s="208"/>
      <c r="G54" s="207"/>
      <c r="H54" s="191"/>
      <c r="I54" s="208"/>
      <c r="J54" s="208"/>
      <c r="K54" s="237"/>
      <c r="L54" s="253"/>
      <c r="M54" s="229"/>
      <c r="N54" s="254"/>
      <c r="O54" s="86"/>
      <c r="P54" s="255"/>
      <c r="Q54" s="256"/>
      <c r="R54" s="86"/>
      <c r="S54" s="86"/>
      <c r="T54" s="86"/>
      <c r="U54" s="86"/>
      <c r="V54" s="86"/>
    </row>
    <row r="55" spans="1:22" x14ac:dyDescent="0.25">
      <c r="A55" s="191" t="s">
        <v>86</v>
      </c>
      <c r="B55" s="209"/>
      <c r="C55" s="201">
        <v>563802746</v>
      </c>
      <c r="D55" s="257">
        <f>'Exhibit No.__(BDJ-Tariff)'!D32</f>
        <v>3.1800000000000001E-3</v>
      </c>
      <c r="E55" s="191"/>
      <c r="F55" s="203">
        <f>ROUND(D55*$C55,0)</f>
        <v>1792893</v>
      </c>
      <c r="G55" s="257">
        <f>D55</f>
        <v>3.1800000000000001E-3</v>
      </c>
      <c r="H55" s="191"/>
      <c r="I55" s="203">
        <f>ROUND(G55*$C55,0)</f>
        <v>1792893</v>
      </c>
      <c r="J55" s="208"/>
      <c r="K55" s="196" t="s">
        <v>552</v>
      </c>
      <c r="L55" s="196"/>
      <c r="N55" s="254"/>
      <c r="O55" s="86"/>
      <c r="P55" s="255"/>
      <c r="Q55" s="256"/>
      <c r="R55" s="86"/>
      <c r="S55" s="86"/>
      <c r="T55" s="86"/>
      <c r="U55" s="86"/>
      <c r="V55" s="86"/>
    </row>
    <row r="56" spans="1:22" x14ac:dyDescent="0.25">
      <c r="A56" s="191"/>
      <c r="B56" s="191"/>
      <c r="C56" s="207"/>
      <c r="D56" s="207"/>
      <c r="E56" s="191"/>
      <c r="F56" s="208"/>
      <c r="G56" s="207"/>
      <c r="H56" s="191"/>
      <c r="I56" s="208"/>
      <c r="J56" s="208"/>
      <c r="M56" s="258"/>
      <c r="N56" s="229"/>
      <c r="O56" s="86"/>
      <c r="P56" s="86"/>
      <c r="Q56" s="86"/>
      <c r="R56" s="86"/>
      <c r="S56" s="86"/>
      <c r="T56" s="86"/>
      <c r="U56" s="86"/>
      <c r="V56" s="86"/>
    </row>
    <row r="57" spans="1:22" ht="16.5" thickBot="1" x14ac:dyDescent="0.3">
      <c r="A57" s="191" t="s">
        <v>30</v>
      </c>
      <c r="B57" s="191"/>
      <c r="C57" s="207"/>
      <c r="D57" s="207"/>
      <c r="E57" s="191"/>
      <c r="F57" s="236">
        <f>SUM(F41,F49,F53,F55)</f>
        <v>266281601</v>
      </c>
      <c r="G57" s="207"/>
      <c r="H57" s="191"/>
      <c r="I57" s="236">
        <f>SUM(I41,I49,I53,I55)</f>
        <v>264713302</v>
      </c>
      <c r="J57" s="208"/>
      <c r="K57" s="210"/>
      <c r="L57" s="68"/>
      <c r="M57" s="68"/>
      <c r="N57" s="229"/>
      <c r="O57" s="86"/>
      <c r="P57" s="86"/>
      <c r="Q57" s="86"/>
      <c r="R57" s="86"/>
      <c r="S57" s="86"/>
      <c r="T57" s="86"/>
      <c r="U57" s="86"/>
      <c r="V57" s="86"/>
    </row>
    <row r="58" spans="1:22" ht="16.5" thickTop="1" x14ac:dyDescent="0.25">
      <c r="A58" s="191"/>
      <c r="B58" s="259"/>
      <c r="C58" s="207"/>
      <c r="D58" s="207"/>
      <c r="E58" s="191"/>
      <c r="F58" s="203"/>
      <c r="G58" s="207"/>
      <c r="H58" s="191"/>
      <c r="I58" s="203"/>
      <c r="J58" s="203"/>
      <c r="L58" s="68"/>
      <c r="M58" s="68"/>
      <c r="N58" s="229"/>
      <c r="O58" s="86"/>
      <c r="P58" s="86"/>
      <c r="Q58" s="86"/>
      <c r="R58" s="86"/>
      <c r="S58" s="86"/>
      <c r="T58" s="86"/>
      <c r="U58" s="86"/>
      <c r="V58" s="86"/>
    </row>
    <row r="59" spans="1:22" x14ac:dyDescent="0.25">
      <c r="A59" s="260" t="s">
        <v>103</v>
      </c>
      <c r="B59" s="261"/>
      <c r="C59" s="262"/>
      <c r="D59" s="262"/>
      <c r="E59" s="263"/>
      <c r="F59" s="264"/>
      <c r="G59" s="262"/>
      <c r="H59" s="263"/>
      <c r="I59" s="265">
        <f>'Exhibit No.__(BDJ-Rate Spread)'!K12*1000</f>
        <v>266037468.74405548</v>
      </c>
      <c r="J59" s="203"/>
      <c r="K59" s="86"/>
      <c r="L59" s="116"/>
      <c r="M59" s="68"/>
      <c r="N59" s="229"/>
      <c r="O59" s="86"/>
      <c r="P59" s="86"/>
      <c r="Q59" s="86"/>
      <c r="R59" s="86"/>
      <c r="S59" s="86"/>
      <c r="T59" s="86"/>
      <c r="U59" s="86"/>
      <c r="V59" s="86"/>
    </row>
    <row r="60" spans="1:22" x14ac:dyDescent="0.25">
      <c r="A60" s="266" t="s">
        <v>29</v>
      </c>
      <c r="B60" s="267"/>
      <c r="C60" s="207"/>
      <c r="D60" s="207"/>
      <c r="E60" s="216"/>
      <c r="F60" s="208"/>
      <c r="G60" s="207"/>
      <c r="H60" s="216"/>
      <c r="I60" s="268">
        <f>I59-I166-I57</f>
        <v>-0.25594452023506165</v>
      </c>
      <c r="J60" s="203"/>
      <c r="K60" s="86"/>
      <c r="L60" s="116"/>
      <c r="M60" s="269"/>
      <c r="N60" s="229"/>
      <c r="O60" s="86"/>
      <c r="P60" s="86"/>
      <c r="Q60" s="86"/>
      <c r="R60" s="86"/>
      <c r="S60" s="86"/>
      <c r="T60" s="86"/>
      <c r="U60" s="86"/>
      <c r="V60" s="86"/>
    </row>
    <row r="61" spans="1:22" x14ac:dyDescent="0.25">
      <c r="A61" s="270" t="s">
        <v>507</v>
      </c>
      <c r="B61" s="271"/>
      <c r="C61" s="234"/>
      <c r="D61" s="234"/>
      <c r="E61" s="272"/>
      <c r="F61" s="273"/>
      <c r="G61" s="234"/>
      <c r="H61" s="272"/>
      <c r="I61" s="274">
        <f>I59/SUM(F166,F57)-1</f>
        <v>-5.8896266085856075E-3</v>
      </c>
      <c r="J61" s="203"/>
      <c r="K61" s="86"/>
      <c r="L61" s="116"/>
      <c r="M61" s="269"/>
      <c r="N61" s="229"/>
      <c r="O61" s="86"/>
      <c r="P61" s="86"/>
      <c r="Q61" s="86"/>
      <c r="R61" s="86"/>
      <c r="S61" s="86"/>
      <c r="T61" s="86"/>
      <c r="U61" s="86"/>
      <c r="V61" s="86"/>
    </row>
    <row r="62" spans="1:22" x14ac:dyDescent="0.25">
      <c r="A62" s="191"/>
      <c r="B62" s="259"/>
      <c r="C62" s="207"/>
      <c r="D62" s="207"/>
      <c r="E62" s="191"/>
      <c r="F62" s="203"/>
      <c r="G62" s="207"/>
      <c r="H62" s="191"/>
      <c r="I62" s="203"/>
      <c r="J62" s="203"/>
      <c r="K62" s="86"/>
      <c r="L62" s="116"/>
      <c r="M62" s="269"/>
      <c r="N62" s="229"/>
      <c r="O62" s="86"/>
      <c r="P62" s="86"/>
      <c r="Q62" s="86"/>
      <c r="R62" s="86"/>
      <c r="S62" s="86"/>
      <c r="T62" s="86"/>
      <c r="U62" s="86"/>
      <c r="V62" s="86"/>
    </row>
    <row r="63" spans="1:22" x14ac:dyDescent="0.25">
      <c r="A63" s="350" t="s">
        <v>519</v>
      </c>
      <c r="B63" s="261"/>
      <c r="C63" s="262"/>
      <c r="D63" s="262"/>
      <c r="E63" s="263"/>
      <c r="F63" s="264"/>
      <c r="G63" s="262"/>
      <c r="H63" s="263"/>
      <c r="I63" s="351">
        <f>'Exhibit No.__(BDJ-Rate Spread)'!M12</f>
        <v>-1576144.2559445007</v>
      </c>
      <c r="J63" s="228"/>
      <c r="K63" s="86"/>
      <c r="L63" s="116"/>
      <c r="M63" s="269"/>
      <c r="N63" s="229"/>
      <c r="O63" s="86"/>
      <c r="P63" s="86"/>
      <c r="Q63" s="86"/>
      <c r="R63" s="86"/>
      <c r="S63" s="86"/>
      <c r="T63" s="86"/>
      <c r="U63" s="86"/>
      <c r="V63" s="86"/>
    </row>
    <row r="64" spans="1:22" x14ac:dyDescent="0.25">
      <c r="A64" s="281" t="s">
        <v>520</v>
      </c>
      <c r="B64" s="267"/>
      <c r="C64" s="207"/>
      <c r="D64" s="207"/>
      <c r="E64" s="216"/>
      <c r="F64" s="208"/>
      <c r="G64" s="207"/>
      <c r="H64" s="216"/>
      <c r="I64" s="352">
        <f>I169</f>
        <v>-7845.0533181553319</v>
      </c>
      <c r="J64" s="228"/>
      <c r="K64" s="86"/>
      <c r="L64" s="116"/>
      <c r="M64" s="269"/>
      <c r="N64" s="229"/>
      <c r="O64" s="86"/>
      <c r="P64" s="86"/>
      <c r="Q64" s="86"/>
      <c r="R64" s="86"/>
      <c r="S64" s="86"/>
      <c r="T64" s="86"/>
      <c r="U64" s="86"/>
      <c r="V64" s="86"/>
    </row>
    <row r="65" spans="1:22" x14ac:dyDescent="0.25">
      <c r="A65" s="281" t="s">
        <v>521</v>
      </c>
      <c r="B65" s="267"/>
      <c r="C65" s="207"/>
      <c r="D65" s="207"/>
      <c r="E65" s="216"/>
      <c r="F65" s="208"/>
      <c r="G65" s="207"/>
      <c r="H65" s="216"/>
      <c r="I65" s="352">
        <f>+I63-I64</f>
        <v>-1568299.2026263454</v>
      </c>
      <c r="J65" s="228"/>
      <c r="K65" s="86"/>
      <c r="L65" s="116"/>
      <c r="M65" s="269"/>
      <c r="N65" s="229"/>
      <c r="O65" s="86"/>
      <c r="P65" s="86"/>
      <c r="Q65" s="86"/>
      <c r="R65" s="86"/>
      <c r="S65" s="86"/>
      <c r="T65" s="86"/>
      <c r="U65" s="86"/>
      <c r="V65" s="86"/>
    </row>
    <row r="66" spans="1:22" x14ac:dyDescent="0.25">
      <c r="A66" s="281" t="s">
        <v>561</v>
      </c>
      <c r="B66" s="267"/>
      <c r="C66" s="207"/>
      <c r="D66" s="207"/>
      <c r="E66" s="216"/>
      <c r="F66" s="208"/>
      <c r="G66" s="207"/>
      <c r="H66" s="216"/>
      <c r="I66" s="352">
        <f>F57-F55-F53-F41</f>
        <v>223717542</v>
      </c>
      <c r="J66" s="228"/>
      <c r="K66" s="86"/>
      <c r="L66" s="116"/>
      <c r="M66" s="269"/>
      <c r="N66" s="229"/>
      <c r="O66" s="86"/>
      <c r="P66" s="86"/>
      <c r="Q66" s="86"/>
      <c r="R66" s="86"/>
      <c r="S66" s="86"/>
      <c r="T66" s="86"/>
      <c r="U66" s="86"/>
      <c r="V66" s="86"/>
    </row>
    <row r="67" spans="1:22" x14ac:dyDescent="0.25">
      <c r="A67" s="281" t="s">
        <v>562</v>
      </c>
      <c r="B67" s="267"/>
      <c r="C67" s="207"/>
      <c r="D67" s="207"/>
      <c r="E67" s="216"/>
      <c r="F67" s="208"/>
      <c r="G67" s="207"/>
      <c r="H67" s="216"/>
      <c r="I67" s="364">
        <f>I65/I66</f>
        <v>-7.0101753693787025E-3</v>
      </c>
      <c r="J67" s="228"/>
      <c r="K67" s="86"/>
      <c r="L67" s="116"/>
      <c r="M67" s="269"/>
      <c r="N67" s="229"/>
      <c r="O67" s="86"/>
      <c r="P67" s="86"/>
      <c r="Q67" s="86"/>
      <c r="R67" s="86"/>
      <c r="S67" s="86"/>
      <c r="T67" s="86"/>
      <c r="U67" s="86"/>
      <c r="V67" s="86"/>
    </row>
    <row r="68" spans="1:22" x14ac:dyDescent="0.25">
      <c r="A68" s="281" t="s">
        <v>249</v>
      </c>
      <c r="B68" s="267"/>
      <c r="C68" s="207"/>
      <c r="D68" s="207"/>
      <c r="E68" s="216"/>
      <c r="F68" s="208"/>
      <c r="G68" s="207"/>
      <c r="H68" s="216"/>
      <c r="I68" s="268">
        <f>I57-F57-I65</f>
        <v>0.20262634544633329</v>
      </c>
      <c r="J68" s="228"/>
      <c r="K68" s="86"/>
      <c r="L68" s="116"/>
      <c r="M68" s="269"/>
      <c r="N68" s="229"/>
      <c r="O68" s="86"/>
      <c r="P68" s="86"/>
      <c r="Q68" s="86"/>
      <c r="R68" s="86"/>
      <c r="S68" s="86"/>
      <c r="T68" s="86"/>
      <c r="U68" s="86"/>
      <c r="V68" s="86"/>
    </row>
    <row r="69" spans="1:22" x14ac:dyDescent="0.25">
      <c r="A69" s="282" t="s">
        <v>281</v>
      </c>
      <c r="B69" s="283"/>
      <c r="C69" s="283"/>
      <c r="D69" s="284"/>
      <c r="E69" s="283"/>
      <c r="F69" s="283"/>
      <c r="G69" s="285"/>
      <c r="H69" s="283"/>
      <c r="I69" s="286">
        <f>I68/C49</f>
        <v>7.0946461409891016E-11</v>
      </c>
      <c r="J69" s="228"/>
      <c r="K69" s="86"/>
      <c r="L69" s="116"/>
      <c r="M69" s="269"/>
      <c r="N69" s="229"/>
      <c r="O69" s="86"/>
      <c r="P69" s="86"/>
      <c r="Q69" s="86"/>
      <c r="R69" s="86"/>
      <c r="S69" s="86"/>
      <c r="T69" s="86"/>
      <c r="U69" s="86"/>
      <c r="V69" s="86"/>
    </row>
    <row r="70" spans="1:22" x14ac:dyDescent="0.25">
      <c r="A70" s="395"/>
      <c r="B70" s="259"/>
      <c r="C70" s="207"/>
      <c r="D70" s="207"/>
      <c r="E70" s="191"/>
      <c r="F70" s="203"/>
      <c r="G70" s="207"/>
      <c r="H70" s="191"/>
      <c r="I70" s="203"/>
      <c r="J70" s="203"/>
      <c r="K70" s="86"/>
      <c r="L70" s="116"/>
      <c r="M70" s="269"/>
      <c r="N70" s="229"/>
      <c r="O70" s="86"/>
      <c r="P70" s="86"/>
      <c r="Q70" s="86"/>
      <c r="R70" s="86"/>
      <c r="S70" s="86"/>
      <c r="T70" s="86"/>
      <c r="U70" s="86"/>
      <c r="V70" s="86"/>
    </row>
    <row r="71" spans="1:22" x14ac:dyDescent="0.25">
      <c r="A71" s="353" t="s">
        <v>345</v>
      </c>
      <c r="B71" s="354"/>
      <c r="C71" s="354"/>
      <c r="D71" s="262"/>
      <c r="E71" s="263"/>
      <c r="F71" s="264"/>
      <c r="G71" s="279"/>
      <c r="H71" s="279"/>
      <c r="I71" s="355"/>
      <c r="J71" s="203"/>
      <c r="L71" s="68"/>
      <c r="M71" s="68"/>
      <c r="N71" s="229"/>
      <c r="O71" s="86"/>
      <c r="P71" s="86"/>
      <c r="Q71" s="86"/>
      <c r="R71" s="86"/>
      <c r="S71" s="86"/>
      <c r="T71" s="86"/>
      <c r="U71" s="86"/>
      <c r="V71" s="86"/>
    </row>
    <row r="72" spans="1:22" x14ac:dyDescent="0.25">
      <c r="A72" s="356" t="s">
        <v>274</v>
      </c>
      <c r="B72" s="86"/>
      <c r="C72" s="86"/>
      <c r="D72" s="276">
        <f>D43-D45</f>
        <v>2.6626999999999998E-2</v>
      </c>
      <c r="E72" s="86"/>
      <c r="F72" s="276"/>
      <c r="G72" s="276"/>
      <c r="H72" s="86"/>
      <c r="I72" s="357"/>
      <c r="L72" s="68"/>
      <c r="M72" s="68"/>
    </row>
    <row r="73" spans="1:22" x14ac:dyDescent="0.25">
      <c r="A73" s="356" t="s">
        <v>275</v>
      </c>
      <c r="B73" s="86"/>
      <c r="C73" s="86"/>
      <c r="D73" s="276">
        <f>D44-D45</f>
        <v>1.7471E-2</v>
      </c>
      <c r="E73" s="86"/>
      <c r="F73" s="276"/>
      <c r="G73" s="276"/>
      <c r="H73" s="86"/>
      <c r="I73" s="357"/>
      <c r="L73" s="68"/>
      <c r="M73" s="68"/>
    </row>
    <row r="74" spans="1:22" x14ac:dyDescent="0.25">
      <c r="A74" s="356" t="s">
        <v>272</v>
      </c>
      <c r="B74" s="86"/>
      <c r="C74" s="229">
        <f>C43</f>
        <v>763328132</v>
      </c>
      <c r="D74" s="276"/>
      <c r="E74" s="86"/>
      <c r="F74" s="86"/>
      <c r="G74" s="229"/>
      <c r="H74" s="86"/>
      <c r="I74" s="357"/>
      <c r="L74" s="68"/>
      <c r="M74" s="68"/>
    </row>
    <row r="75" spans="1:22" x14ac:dyDescent="0.25">
      <c r="A75" s="356" t="s">
        <v>273</v>
      </c>
      <c r="B75" s="86"/>
      <c r="C75" s="229">
        <f>C44</f>
        <v>718862613</v>
      </c>
      <c r="D75" s="276"/>
      <c r="E75" s="86"/>
      <c r="F75" s="86"/>
      <c r="G75" s="229"/>
      <c r="H75" s="86"/>
      <c r="I75" s="357"/>
      <c r="L75" s="68"/>
      <c r="M75" s="68"/>
    </row>
    <row r="76" spans="1:22" x14ac:dyDescent="0.25">
      <c r="A76" s="356" t="s">
        <v>271</v>
      </c>
      <c r="B76" s="86"/>
      <c r="C76" s="86"/>
      <c r="D76" s="229"/>
      <c r="E76" s="86"/>
      <c r="F76" s="277">
        <f>C74*D72+D73*C75</f>
        <v>32884386.882486999</v>
      </c>
      <c r="G76" s="86"/>
      <c r="H76" s="86"/>
      <c r="I76" s="352"/>
      <c r="L76" s="68"/>
      <c r="M76" s="68"/>
    </row>
    <row r="77" spans="1:22" x14ac:dyDescent="0.25">
      <c r="A77" s="356" t="s">
        <v>279</v>
      </c>
      <c r="B77" s="86"/>
      <c r="C77" s="86"/>
      <c r="D77" s="277"/>
      <c r="E77" s="86"/>
      <c r="F77" s="277">
        <f>SUM(F53,F55)</f>
        <v>37315048</v>
      </c>
      <c r="G77" s="86"/>
      <c r="H77" s="86"/>
      <c r="I77" s="352"/>
      <c r="L77" s="68"/>
      <c r="M77" s="68"/>
    </row>
    <row r="78" spans="1:22" x14ac:dyDescent="0.25">
      <c r="A78" s="356" t="s">
        <v>280</v>
      </c>
      <c r="B78" s="86"/>
      <c r="C78" s="86"/>
      <c r="D78" s="86"/>
      <c r="E78" s="86"/>
      <c r="F78" s="277">
        <f>SUM(F76:F77)</f>
        <v>70199434.882486999</v>
      </c>
      <c r="G78" s="86"/>
      <c r="H78" s="86"/>
      <c r="I78" s="352"/>
      <c r="L78" s="68"/>
      <c r="M78" s="68"/>
    </row>
    <row r="79" spans="1:22" x14ac:dyDescent="0.25">
      <c r="A79" s="266"/>
      <c r="B79" s="86"/>
      <c r="C79" s="86"/>
      <c r="D79" s="86"/>
      <c r="E79" s="86"/>
      <c r="F79" s="86"/>
      <c r="G79" s="277"/>
      <c r="H79" s="86"/>
      <c r="I79" s="357"/>
      <c r="L79" s="68"/>
      <c r="M79" s="68"/>
    </row>
    <row r="80" spans="1:22" x14ac:dyDescent="0.25">
      <c r="A80" s="356" t="s">
        <v>285</v>
      </c>
      <c r="B80" s="86"/>
      <c r="C80" s="277"/>
      <c r="D80" s="276">
        <f>ROUND(SUM(F43:F44)/SUM($C$43:$C$44),6)</f>
        <v>8.8278999999999996E-2</v>
      </c>
      <c r="E80" s="86"/>
      <c r="F80" s="86"/>
      <c r="G80" s="276">
        <f>ROUND(SUM(I43:I44)/SUM($C$43:$C$44),6)</f>
        <v>8.7660000000000002E-2</v>
      </c>
      <c r="H80" s="86"/>
      <c r="I80" s="357"/>
      <c r="L80" s="68"/>
      <c r="M80" s="68"/>
    </row>
    <row r="81" spans="1:14" x14ac:dyDescent="0.25">
      <c r="A81" s="358" t="s">
        <v>284</v>
      </c>
      <c r="B81" s="283"/>
      <c r="C81" s="359"/>
      <c r="D81" s="284">
        <f>ROUND(SUM(F53)/SUM($C$53),2)</f>
        <v>8.51</v>
      </c>
      <c r="E81" s="283"/>
      <c r="F81" s="283"/>
      <c r="G81" s="284">
        <f>ROUND(SUM(I53)/SUM($C$53),2)</f>
        <v>8.51</v>
      </c>
      <c r="H81" s="283"/>
      <c r="I81" s="360"/>
      <c r="K81" s="395"/>
      <c r="L81" s="337"/>
    </row>
    <row r="82" spans="1:14" x14ac:dyDescent="0.25">
      <c r="D82" s="86"/>
    </row>
    <row r="83" spans="1:14" x14ac:dyDescent="0.25">
      <c r="A83" s="332" t="s">
        <v>97</v>
      </c>
      <c r="B83" s="191"/>
      <c r="C83" s="103"/>
      <c r="D83" s="203"/>
      <c r="E83" s="191"/>
      <c r="F83" s="191"/>
      <c r="G83" s="203"/>
      <c r="H83" s="191"/>
      <c r="I83" s="203" t="s">
        <v>0</v>
      </c>
      <c r="J83" s="203"/>
      <c r="L83" s="68"/>
      <c r="M83" s="68"/>
    </row>
    <row r="84" spans="1:14" x14ac:dyDescent="0.25">
      <c r="A84" s="190" t="s">
        <v>89</v>
      </c>
      <c r="B84" s="191"/>
      <c r="C84" s="191" t="s">
        <v>0</v>
      </c>
      <c r="D84" s="203"/>
      <c r="E84" s="191"/>
      <c r="F84" s="191"/>
      <c r="G84" s="203"/>
      <c r="H84" s="191"/>
      <c r="I84" s="191"/>
      <c r="J84" s="191"/>
      <c r="L84" s="68"/>
      <c r="M84" s="68"/>
    </row>
    <row r="85" spans="1:14" x14ac:dyDescent="0.25">
      <c r="A85" s="191"/>
      <c r="B85" s="191"/>
      <c r="C85" s="191"/>
      <c r="D85" s="203"/>
      <c r="E85" s="191"/>
      <c r="F85" s="191"/>
      <c r="G85" s="203"/>
      <c r="H85" s="191"/>
      <c r="I85" s="191"/>
      <c r="J85" s="191"/>
      <c r="K85" s="86"/>
      <c r="L85" s="229"/>
      <c r="M85" s="229"/>
    </row>
    <row r="86" spans="1:14" x14ac:dyDescent="0.25">
      <c r="A86" s="191" t="s">
        <v>33</v>
      </c>
      <c r="B86" s="209"/>
      <c r="C86" s="103">
        <v>10079</v>
      </c>
      <c r="D86" s="135">
        <f>'Exhibit No.__(BDJ-Tariff)'!D35</f>
        <v>109.08</v>
      </c>
      <c r="E86" s="191"/>
      <c r="F86" s="203">
        <f>ROUND(D86*$C86,0)</f>
        <v>1099417</v>
      </c>
      <c r="G86" s="135">
        <f>D86</f>
        <v>109.08</v>
      </c>
      <c r="H86" s="191"/>
      <c r="I86" s="203">
        <f>ROUND(G86*$C86,0)</f>
        <v>1099417</v>
      </c>
      <c r="J86" s="203"/>
      <c r="K86" s="196" t="s">
        <v>552</v>
      </c>
      <c r="L86" s="196"/>
      <c r="M86" s="196"/>
      <c r="N86" s="348"/>
    </row>
    <row r="87" spans="1:14" x14ac:dyDescent="0.25">
      <c r="A87" s="191" t="s">
        <v>36</v>
      </c>
      <c r="B87" s="372"/>
      <c r="C87" s="103"/>
      <c r="D87" s="250"/>
      <c r="E87" s="203"/>
      <c r="F87" s="203"/>
      <c r="G87" s="250"/>
      <c r="H87" s="203"/>
      <c r="I87" s="203"/>
      <c r="J87" s="203"/>
      <c r="K87" s="86"/>
      <c r="L87" s="229"/>
      <c r="M87" s="68"/>
      <c r="N87" s="348"/>
    </row>
    <row r="88" spans="1:14" x14ac:dyDescent="0.25">
      <c r="A88" s="200" t="s">
        <v>41</v>
      </c>
      <c r="B88" s="209"/>
      <c r="C88" s="103">
        <v>1725734026</v>
      </c>
      <c r="D88" s="251">
        <f>'Exhibit No.__(BDJ-Tariff)'!D37</f>
        <v>5.9096000000000003E-2</v>
      </c>
      <c r="E88" s="203"/>
      <c r="F88" s="203">
        <f t="shared" ref="F88" si="8">ROUND($C88*D88,0)</f>
        <v>101983978</v>
      </c>
      <c r="G88" s="251">
        <f>ROUND(D88*(1+$I$107),6)</f>
        <v>5.8595000000000001E-2</v>
      </c>
      <c r="H88" s="203"/>
      <c r="I88" s="203">
        <f t="shared" ref="I88" si="9">ROUND($C88*G88,0)</f>
        <v>101119385</v>
      </c>
      <c r="J88" s="203"/>
      <c r="K88" s="395" t="s">
        <v>566</v>
      </c>
      <c r="L88" s="196"/>
      <c r="M88" s="196"/>
    </row>
    <row r="89" spans="1:14" x14ac:dyDescent="0.25">
      <c r="A89" s="197" t="s">
        <v>26</v>
      </c>
      <c r="B89" s="372"/>
      <c r="C89" s="107">
        <f>SUM(C88:C88)</f>
        <v>1725734026</v>
      </c>
      <c r="D89" s="233"/>
      <c r="E89" s="191"/>
      <c r="F89" s="252">
        <f>SUM(F88:F88)</f>
        <v>101983978</v>
      </c>
      <c r="G89" s="233"/>
      <c r="H89" s="191"/>
      <c r="I89" s="252">
        <f>SUM(I88:I88)</f>
        <v>101119385</v>
      </c>
      <c r="J89" s="203"/>
      <c r="K89" s="86"/>
      <c r="L89" s="229"/>
      <c r="M89" s="229"/>
    </row>
    <row r="90" spans="1:14" x14ac:dyDescent="0.25">
      <c r="A90" s="200" t="s">
        <v>69</v>
      </c>
      <c r="B90" s="372"/>
      <c r="C90" s="103">
        <v>-8381430.2384570576</v>
      </c>
      <c r="D90" s="251">
        <f>D88</f>
        <v>5.9096000000000003E-2</v>
      </c>
      <c r="E90" s="191"/>
      <c r="F90" s="203">
        <f t="shared" ref="F90" si="10">ROUND($C90*D90,0)</f>
        <v>-495309</v>
      </c>
      <c r="G90" s="251">
        <f>G88</f>
        <v>5.8595000000000001E-2</v>
      </c>
      <c r="H90" s="191"/>
      <c r="I90" s="203">
        <f t="shared" ref="I90" si="11">ROUND($C90*G90,0)</f>
        <v>-491110</v>
      </c>
      <c r="J90" s="203"/>
      <c r="K90" s="278"/>
      <c r="L90" s="229"/>
      <c r="M90" s="229"/>
    </row>
    <row r="91" spans="1:14" ht="31.5" x14ac:dyDescent="0.25">
      <c r="A91" s="134" t="s">
        <v>71</v>
      </c>
      <c r="B91" s="372"/>
      <c r="C91" s="103">
        <v>34440852</v>
      </c>
      <c r="D91" s="251">
        <f>ROUND(F91/C7:C91,6)</f>
        <v>8.5965E-2</v>
      </c>
      <c r="E91" s="191"/>
      <c r="F91" s="209">
        <v>2960719</v>
      </c>
      <c r="G91" s="251">
        <f>ROUND(D91*(1+$I$107),6)</f>
        <v>8.5236000000000006E-2</v>
      </c>
      <c r="H91" s="191"/>
      <c r="I91" s="203">
        <f>ROUND($C91*G91,0)-763</f>
        <v>2934837</v>
      </c>
      <c r="J91" s="208"/>
      <c r="K91" s="232" t="s">
        <v>575</v>
      </c>
      <c r="L91" s="196"/>
      <c r="M91" s="196"/>
    </row>
    <row r="92" spans="1:14" x14ac:dyDescent="0.25">
      <c r="A92" s="197" t="s">
        <v>26</v>
      </c>
      <c r="B92" s="209"/>
      <c r="C92" s="107">
        <f>SUM(C89:C91)</f>
        <v>1751793447.761543</v>
      </c>
      <c r="D92" s="191"/>
      <c r="E92" s="191"/>
      <c r="F92" s="252">
        <f>SUM(F89:F91)</f>
        <v>104449388</v>
      </c>
      <c r="G92" s="191"/>
      <c r="H92" s="191"/>
      <c r="I92" s="252">
        <f>SUM(I89:I91)</f>
        <v>103563112</v>
      </c>
      <c r="J92" s="208"/>
      <c r="K92" s="278"/>
      <c r="L92" s="229"/>
      <c r="M92" s="229"/>
    </row>
    <row r="93" spans="1:14" x14ac:dyDescent="0.25">
      <c r="A93" s="191" t="s">
        <v>35</v>
      </c>
      <c r="B93" s="209"/>
      <c r="C93" s="103"/>
      <c r="D93" s="137"/>
      <c r="E93" s="191"/>
      <c r="F93" s="203"/>
      <c r="G93" s="137"/>
      <c r="H93" s="191"/>
      <c r="I93" s="203"/>
      <c r="J93" s="203"/>
      <c r="K93" s="278"/>
      <c r="L93" s="253"/>
      <c r="M93" s="229"/>
    </row>
    <row r="94" spans="1:14" x14ac:dyDescent="0.25">
      <c r="A94" s="200" t="s">
        <v>90</v>
      </c>
      <c r="B94" s="209"/>
      <c r="C94" s="103">
        <v>2158263</v>
      </c>
      <c r="D94" s="135">
        <f>'Exhibit No.__(BDJ-Tariff)'!D39</f>
        <v>12.23</v>
      </c>
      <c r="E94" s="191"/>
      <c r="F94" s="203">
        <f>ROUND(D94*$C94,0)</f>
        <v>26395556</v>
      </c>
      <c r="G94" s="135">
        <f>D94</f>
        <v>12.23</v>
      </c>
      <c r="H94" s="191"/>
      <c r="I94" s="203">
        <f>ROUND(G94*$C94,0)</f>
        <v>26395556</v>
      </c>
      <c r="J94" s="203"/>
      <c r="K94" s="196" t="s">
        <v>552</v>
      </c>
      <c r="L94" s="196"/>
      <c r="M94" s="196"/>
    </row>
    <row r="95" spans="1:14" x14ac:dyDescent="0.25">
      <c r="A95" s="200" t="s">
        <v>91</v>
      </c>
      <c r="B95" s="209"/>
      <c r="C95" s="103">
        <v>2157451</v>
      </c>
      <c r="D95" s="135">
        <f>'Exhibit No.__(BDJ-Tariff)'!D42</f>
        <v>8.15</v>
      </c>
      <c r="E95" s="191"/>
      <c r="F95" s="203">
        <f>ROUND(D95*$C95,0)</f>
        <v>17583226</v>
      </c>
      <c r="G95" s="135">
        <f>D95</f>
        <v>8.15</v>
      </c>
      <c r="H95" s="191"/>
      <c r="I95" s="203">
        <f>ROUND(G95*$C95,0)</f>
        <v>17583226</v>
      </c>
      <c r="J95" s="203"/>
      <c r="K95" s="196" t="s">
        <v>552</v>
      </c>
      <c r="L95" s="196"/>
      <c r="M95" s="196"/>
    </row>
    <row r="96" spans="1:14" x14ac:dyDescent="0.25">
      <c r="A96" s="197" t="s">
        <v>26</v>
      </c>
      <c r="B96" s="372"/>
      <c r="C96" s="107">
        <f>SUM(C94:C95)</f>
        <v>4315714</v>
      </c>
      <c r="D96" s="137"/>
      <c r="E96" s="191"/>
      <c r="F96" s="252">
        <f>SUM(F94:F95)</f>
        <v>43978782</v>
      </c>
      <c r="G96" s="137"/>
      <c r="H96" s="191"/>
      <c r="I96" s="252">
        <f>SUM(I94:I95)</f>
        <v>43978782</v>
      </c>
      <c r="J96" s="203"/>
      <c r="K96" s="278"/>
      <c r="L96" s="395"/>
      <c r="M96" s="372"/>
    </row>
    <row r="97" spans="1:13" x14ac:dyDescent="0.25">
      <c r="A97" s="191"/>
      <c r="B97" s="209"/>
      <c r="C97" s="207"/>
      <c r="D97" s="207"/>
      <c r="E97" s="191"/>
      <c r="F97" s="208"/>
      <c r="G97" s="207"/>
      <c r="H97" s="191"/>
      <c r="I97" s="208"/>
      <c r="J97" s="208"/>
      <c r="K97" s="278"/>
      <c r="L97" s="229"/>
      <c r="M97" s="229"/>
    </row>
    <row r="98" spans="1:13" x14ac:dyDescent="0.25">
      <c r="A98" s="191" t="s">
        <v>86</v>
      </c>
      <c r="B98" s="209"/>
      <c r="C98" s="103">
        <v>731937743</v>
      </c>
      <c r="D98" s="257">
        <f>'Exhibit No.__(BDJ-Tariff)'!D46</f>
        <v>1.2999999999999999E-3</v>
      </c>
      <c r="E98" s="191"/>
      <c r="F98" s="203">
        <f>ROUND(D98*$C98,0)</f>
        <v>951519</v>
      </c>
      <c r="G98" s="257">
        <f>D98</f>
        <v>1.2999999999999999E-3</v>
      </c>
      <c r="H98" s="191"/>
      <c r="I98" s="203">
        <f>ROUND(G98*$C98,0)</f>
        <v>951519</v>
      </c>
      <c r="J98" s="208"/>
      <c r="K98" s="196" t="s">
        <v>552</v>
      </c>
      <c r="L98" s="196"/>
      <c r="M98" s="258"/>
    </row>
    <row r="99" spans="1:13" x14ac:dyDescent="0.25">
      <c r="A99" s="191"/>
      <c r="B99" s="191"/>
      <c r="C99" s="207"/>
      <c r="D99" s="207"/>
      <c r="E99" s="191"/>
      <c r="F99" s="208"/>
      <c r="G99" s="207"/>
      <c r="H99" s="191"/>
      <c r="I99" s="208"/>
      <c r="J99" s="208"/>
      <c r="K99" s="237"/>
      <c r="L99" s="253"/>
      <c r="M99" s="229"/>
    </row>
    <row r="100" spans="1:13" ht="16.5" thickBot="1" x14ac:dyDescent="0.3">
      <c r="A100" s="191" t="s">
        <v>30</v>
      </c>
      <c r="B100" s="191"/>
      <c r="C100" s="207"/>
      <c r="D100" s="207"/>
      <c r="E100" s="191"/>
      <c r="F100" s="236">
        <f>SUM(F86,F92,F96,F98)</f>
        <v>150479106</v>
      </c>
      <c r="G100" s="207"/>
      <c r="H100" s="191"/>
      <c r="I100" s="236">
        <f>SUM(I86,I92,I96,I98)</f>
        <v>149592830</v>
      </c>
      <c r="J100" s="208"/>
      <c r="L100" s="253"/>
      <c r="M100" s="229"/>
    </row>
    <row r="101" spans="1:13" ht="16.5" thickTop="1" x14ac:dyDescent="0.25">
      <c r="A101" s="191"/>
      <c r="B101" s="259"/>
      <c r="C101" s="207"/>
      <c r="D101" s="207"/>
      <c r="E101" s="191"/>
      <c r="F101" s="203"/>
      <c r="G101" s="207"/>
      <c r="H101" s="191"/>
      <c r="I101" s="203"/>
      <c r="J101" s="203"/>
      <c r="K101" s="237"/>
      <c r="L101" s="253"/>
      <c r="M101" s="229"/>
    </row>
    <row r="102" spans="1:13" x14ac:dyDescent="0.25">
      <c r="A102" s="228" t="str">
        <f>A81</f>
        <v>Avg Demand</v>
      </c>
      <c r="D102" s="255">
        <f>ROUND(SUM(F96)/SUM($C$96),2)</f>
        <v>10.19</v>
      </c>
      <c r="G102" s="255">
        <f>ROUND(SUM(I96)/SUM($C$96),2)</f>
        <v>10.19</v>
      </c>
      <c r="L102" s="68"/>
      <c r="M102" s="68"/>
    </row>
    <row r="103" spans="1:13" x14ac:dyDescent="0.25">
      <c r="A103" s="228"/>
      <c r="D103" s="255"/>
      <c r="G103" s="255"/>
      <c r="L103" s="68"/>
      <c r="M103" s="68"/>
    </row>
    <row r="104" spans="1:13" x14ac:dyDescent="0.25">
      <c r="A104" s="260" t="s">
        <v>104</v>
      </c>
      <c r="B104" s="279"/>
      <c r="C104" s="279"/>
      <c r="D104" s="280"/>
      <c r="E104" s="279"/>
      <c r="F104" s="279"/>
      <c r="G104" s="280"/>
      <c r="H104" s="279"/>
      <c r="I104" s="265">
        <f>'Exhibit No.__(BDJ-Rate Spread)'!K13*1000</f>
        <v>150429618.74252325</v>
      </c>
      <c r="L104" s="68"/>
      <c r="M104" s="68"/>
    </row>
    <row r="105" spans="1:13" x14ac:dyDescent="0.25">
      <c r="A105" s="266" t="s">
        <v>29</v>
      </c>
      <c r="B105" s="86"/>
      <c r="C105" s="86"/>
      <c r="D105" s="86"/>
      <c r="E105" s="86"/>
      <c r="F105" s="86"/>
      <c r="G105" s="86"/>
      <c r="H105" s="86"/>
      <c r="I105" s="268">
        <f>I104-F132-F100</f>
        <v>-891223.25747674704</v>
      </c>
      <c r="K105" s="363">
        <f>I100-F100+I132-F132-I105</f>
        <v>0.25747674703598022</v>
      </c>
      <c r="L105" s="68"/>
      <c r="M105" s="68"/>
    </row>
    <row r="106" spans="1:13" x14ac:dyDescent="0.25">
      <c r="A106" s="281" t="s">
        <v>522</v>
      </c>
      <c r="B106" s="86"/>
      <c r="C106" s="86"/>
      <c r="D106" s="255"/>
      <c r="E106" s="86"/>
      <c r="F106" s="86"/>
      <c r="G106" s="255"/>
      <c r="H106" s="86"/>
      <c r="I106" s="364">
        <f>I104/SUM(F132,F100)-1</f>
        <v>-5.8896266085853854E-3</v>
      </c>
      <c r="L106" s="68"/>
      <c r="M106" s="68"/>
    </row>
    <row r="107" spans="1:13" x14ac:dyDescent="0.25">
      <c r="A107" s="281" t="s">
        <v>565</v>
      </c>
      <c r="B107" s="86"/>
      <c r="C107" s="86"/>
      <c r="D107" s="255"/>
      <c r="E107" s="86"/>
      <c r="F107" s="86"/>
      <c r="G107" s="255"/>
      <c r="H107" s="86"/>
      <c r="I107" s="364">
        <f>I105/SUM(F121,F92)</f>
        <v>-8.4851973680117529E-3</v>
      </c>
      <c r="L107" s="68"/>
      <c r="M107" s="68"/>
    </row>
    <row r="108" spans="1:13" x14ac:dyDescent="0.25">
      <c r="A108" s="282" t="s">
        <v>281</v>
      </c>
      <c r="B108" s="283"/>
      <c r="C108" s="283"/>
      <c r="D108" s="284"/>
      <c r="E108" s="283"/>
      <c r="F108" s="283"/>
      <c r="G108" s="285"/>
      <c r="H108" s="283"/>
      <c r="I108" s="286">
        <f>(I100-F100+I132-F132-I105)/(C121+C92)</f>
        <v>1.4613492966236688E-10</v>
      </c>
      <c r="L108" s="68"/>
      <c r="M108" s="68"/>
    </row>
    <row r="109" spans="1:13" x14ac:dyDescent="0.25">
      <c r="B109" s="191"/>
      <c r="C109" s="103"/>
      <c r="D109" s="203"/>
      <c r="E109" s="191"/>
      <c r="F109" s="191"/>
      <c r="G109" s="203"/>
      <c r="H109" s="191"/>
      <c r="I109" s="203" t="s">
        <v>0</v>
      </c>
      <c r="J109" s="203"/>
      <c r="L109" s="68"/>
      <c r="M109" s="68"/>
    </row>
    <row r="110" spans="1:13" x14ac:dyDescent="0.25">
      <c r="A110" s="332" t="s">
        <v>92</v>
      </c>
      <c r="B110" s="191"/>
      <c r="C110" s="191" t="s">
        <v>0</v>
      </c>
      <c r="D110" s="203"/>
      <c r="E110" s="191"/>
      <c r="F110" s="191"/>
      <c r="G110" s="203"/>
      <c r="H110" s="191"/>
      <c r="I110" s="191"/>
      <c r="J110" s="191"/>
      <c r="L110" s="68"/>
      <c r="M110" s="68"/>
    </row>
    <row r="111" spans="1:13" x14ac:dyDescent="0.25">
      <c r="A111" s="190" t="s">
        <v>89</v>
      </c>
      <c r="B111" s="191"/>
      <c r="C111" s="191"/>
      <c r="D111" s="203"/>
      <c r="E111" s="191"/>
      <c r="F111" s="191"/>
      <c r="G111" s="203"/>
      <c r="H111" s="191"/>
      <c r="I111" s="191"/>
      <c r="J111" s="191"/>
      <c r="K111" s="86"/>
      <c r="L111" s="229"/>
      <c r="M111" s="229"/>
    </row>
    <row r="112" spans="1:13" x14ac:dyDescent="0.25">
      <c r="A112" s="191" t="s">
        <v>33</v>
      </c>
      <c r="C112" s="103">
        <v>24</v>
      </c>
      <c r="D112" s="135">
        <f>D86</f>
        <v>109.08</v>
      </c>
      <c r="E112" s="191"/>
      <c r="F112" s="203">
        <f>ROUND(D112*$C112,0)</f>
        <v>2618</v>
      </c>
      <c r="G112" s="135">
        <f>G86</f>
        <v>109.08</v>
      </c>
      <c r="H112" s="191"/>
      <c r="I112" s="203">
        <f>ROUND(G112*$C112,0)</f>
        <v>2618</v>
      </c>
      <c r="J112" s="203"/>
      <c r="K112" s="196" t="s">
        <v>552</v>
      </c>
      <c r="L112" s="196"/>
      <c r="M112" s="196"/>
    </row>
    <row r="113" spans="1:13" x14ac:dyDescent="0.25">
      <c r="A113" s="134" t="s">
        <v>93</v>
      </c>
      <c r="B113" s="191"/>
      <c r="C113" s="103">
        <f>C112</f>
        <v>24</v>
      </c>
      <c r="D113" s="135">
        <f>'Exhibit No.__(BDJ-Tariff)'!D49</f>
        <v>249.03000000000003</v>
      </c>
      <c r="E113" s="191"/>
      <c r="F113" s="203">
        <f t="shared" ref="F113" si="12">ROUND(D113*$C113,0)</f>
        <v>5977</v>
      </c>
      <c r="G113" s="135">
        <f>F135</f>
        <v>249.03000000000003</v>
      </c>
      <c r="H113" s="191"/>
      <c r="I113" s="203">
        <f>ROUND(G113*$C113,0)</f>
        <v>5977</v>
      </c>
      <c r="J113" s="203"/>
      <c r="K113" s="196" t="s">
        <v>552</v>
      </c>
      <c r="L113" s="196"/>
      <c r="M113" s="196"/>
    </row>
    <row r="114" spans="1:13" x14ac:dyDescent="0.25">
      <c r="A114" s="197" t="s">
        <v>26</v>
      </c>
      <c r="B114" s="191"/>
      <c r="C114" s="103"/>
      <c r="D114" s="135"/>
      <c r="E114" s="191"/>
      <c r="F114" s="252">
        <f>SUM(F112:F113)</f>
        <v>8595</v>
      </c>
      <c r="G114" s="135"/>
      <c r="H114" s="191"/>
      <c r="I114" s="252">
        <f>SUM(I112:I113)</f>
        <v>8595</v>
      </c>
      <c r="J114" s="203"/>
      <c r="K114" s="196" t="s">
        <v>113</v>
      </c>
      <c r="L114" s="196"/>
      <c r="M114" s="196"/>
    </row>
    <row r="115" spans="1:13" x14ac:dyDescent="0.25">
      <c r="A115" s="191" t="s">
        <v>36</v>
      </c>
      <c r="C115" s="103"/>
      <c r="D115" s="250"/>
      <c r="E115" s="203"/>
      <c r="F115" s="203"/>
      <c r="G115" s="250"/>
      <c r="H115" s="203"/>
      <c r="I115" s="203"/>
      <c r="J115" s="203"/>
      <c r="K115" s="278"/>
      <c r="L115" s="229"/>
      <c r="M115" s="229"/>
    </row>
    <row r="116" spans="1:13" x14ac:dyDescent="0.25">
      <c r="A116" s="200" t="s">
        <v>41</v>
      </c>
      <c r="C116" s="103">
        <v>10117600</v>
      </c>
      <c r="D116" s="251">
        <f>D88</f>
        <v>5.9096000000000003E-2</v>
      </c>
      <c r="E116" s="203"/>
      <c r="F116" s="203">
        <f t="shared" ref="F116:F117" si="13">ROUND($C116*D116,0)</f>
        <v>597910</v>
      </c>
      <c r="G116" s="251">
        <f>G88</f>
        <v>5.8595000000000001E-2</v>
      </c>
      <c r="H116" s="203"/>
      <c r="I116" s="203">
        <f t="shared" ref="I116:I117" si="14">ROUND($C116*G116,0)</f>
        <v>592841</v>
      </c>
      <c r="J116" s="203"/>
      <c r="K116" s="196" t="s">
        <v>94</v>
      </c>
      <c r="L116" s="196"/>
      <c r="M116" s="196"/>
    </row>
    <row r="117" spans="1:13" x14ac:dyDescent="0.25">
      <c r="A117" s="200" t="s">
        <v>95</v>
      </c>
      <c r="C117" s="103">
        <f>C116</f>
        <v>10117600</v>
      </c>
      <c r="D117" s="251">
        <f>'Exhibit No.__(BDJ-Tariff)'!D55-D116</f>
        <v>-1.4419999999999988E-3</v>
      </c>
      <c r="E117" s="203"/>
      <c r="F117" s="203">
        <f t="shared" si="13"/>
        <v>-14590</v>
      </c>
      <c r="G117" s="251">
        <f>-I137</f>
        <v>-1.4300000000000001E-3</v>
      </c>
      <c r="H117" s="203"/>
      <c r="I117" s="203">
        <f t="shared" si="14"/>
        <v>-14468</v>
      </c>
      <c r="J117" s="203"/>
      <c r="K117" s="196" t="s">
        <v>114</v>
      </c>
      <c r="L117" s="196"/>
      <c r="M117" s="196"/>
    </row>
    <row r="118" spans="1:13" x14ac:dyDescent="0.25">
      <c r="A118" s="197" t="s">
        <v>26</v>
      </c>
      <c r="B118" s="191"/>
      <c r="C118" s="107">
        <f>SUM(C116:C116)</f>
        <v>10117600</v>
      </c>
      <c r="D118" s="233"/>
      <c r="E118" s="191"/>
      <c r="F118" s="252">
        <f>SUM(F116:F117)</f>
        <v>583320</v>
      </c>
      <c r="G118" s="233"/>
      <c r="H118" s="191"/>
      <c r="I118" s="252">
        <f>SUM(I116:I117)</f>
        <v>578373</v>
      </c>
      <c r="J118" s="203"/>
      <c r="K118" s="363"/>
      <c r="L118" s="229"/>
      <c r="M118" s="229"/>
    </row>
    <row r="119" spans="1:13" x14ac:dyDescent="0.25">
      <c r="A119" s="200" t="s">
        <v>69</v>
      </c>
      <c r="C119" s="103">
        <v>0</v>
      </c>
      <c r="D119" s="251">
        <f>D116</f>
        <v>5.9096000000000003E-2</v>
      </c>
      <c r="E119" s="191"/>
      <c r="F119" s="203">
        <f t="shared" ref="F119:F120" si="15">ROUND($C119*D119,0)</f>
        <v>0</v>
      </c>
      <c r="G119" s="251"/>
      <c r="H119" s="191"/>
      <c r="I119" s="203">
        <f t="shared" ref="I119:I120" si="16">ROUND($C119*G119,0)</f>
        <v>0</v>
      </c>
      <c r="J119" s="203"/>
      <c r="K119" s="278"/>
      <c r="L119" s="229"/>
      <c r="M119" s="229"/>
    </row>
    <row r="120" spans="1:13" x14ac:dyDescent="0.25">
      <c r="A120" s="134" t="s">
        <v>71</v>
      </c>
      <c r="C120" s="207">
        <f>0</f>
        <v>0</v>
      </c>
      <c r="D120" s="251">
        <f>ROUND(SUM(F114,F118,F119,F126,F130)/SUM(C118:C119),6)</f>
        <v>8.3195000000000005E-2</v>
      </c>
      <c r="E120" s="191"/>
      <c r="F120" s="203">
        <f t="shared" si="15"/>
        <v>0</v>
      </c>
      <c r="G120" s="251">
        <f>ROUND(D120*(1+$I$107),6)</f>
        <v>8.2489000000000007E-2</v>
      </c>
      <c r="H120" s="191"/>
      <c r="I120" s="203">
        <f t="shared" si="16"/>
        <v>0</v>
      </c>
      <c r="J120" s="208"/>
      <c r="K120" s="86"/>
      <c r="L120" s="229"/>
      <c r="M120" s="229"/>
    </row>
    <row r="121" spans="1:13" x14ac:dyDescent="0.25">
      <c r="A121" s="197" t="s">
        <v>26</v>
      </c>
      <c r="B121" s="191"/>
      <c r="C121" s="107">
        <f>SUM(C118:C120)</f>
        <v>10117600</v>
      </c>
      <c r="D121" s="191"/>
      <c r="E121" s="191"/>
      <c r="F121" s="252">
        <f>SUM(F118:F120)</f>
        <v>583320</v>
      </c>
      <c r="G121" s="191"/>
      <c r="H121" s="191"/>
      <c r="I121" s="252">
        <f>SUM(I118:I120)</f>
        <v>578373</v>
      </c>
      <c r="J121" s="208"/>
      <c r="K121" s="278"/>
      <c r="L121" s="229"/>
      <c r="M121" s="229"/>
    </row>
    <row r="122" spans="1:13" x14ac:dyDescent="0.25">
      <c r="A122" s="191" t="s">
        <v>35</v>
      </c>
      <c r="B122" s="191"/>
      <c r="C122" s="103"/>
      <c r="D122" s="137"/>
      <c r="E122" s="191"/>
      <c r="F122" s="203"/>
      <c r="G122" s="137"/>
      <c r="H122" s="191"/>
      <c r="I122" s="203"/>
      <c r="J122" s="203"/>
      <c r="K122" s="278"/>
      <c r="L122" s="253"/>
      <c r="M122" s="229"/>
    </row>
    <row r="123" spans="1:13" x14ac:dyDescent="0.25">
      <c r="A123" s="200" t="s">
        <v>90</v>
      </c>
      <c r="B123" s="191"/>
      <c r="C123" s="103">
        <v>12863</v>
      </c>
      <c r="D123" s="135">
        <f>D94</f>
        <v>12.23</v>
      </c>
      <c r="E123" s="191"/>
      <c r="F123" s="203">
        <f>ROUND(D123*$C123,0)</f>
        <v>157314</v>
      </c>
      <c r="G123" s="135">
        <f>G94</f>
        <v>12.23</v>
      </c>
      <c r="H123" s="191"/>
      <c r="I123" s="203">
        <f>ROUND(G123*$C123,0)</f>
        <v>157314</v>
      </c>
      <c r="J123" s="203"/>
      <c r="K123" s="196" t="s">
        <v>94</v>
      </c>
      <c r="L123" s="196"/>
      <c r="M123" s="196"/>
    </row>
    <row r="124" spans="1:13" x14ac:dyDescent="0.25">
      <c r="A124" s="200" t="s">
        <v>91</v>
      </c>
      <c r="B124" s="191"/>
      <c r="C124" s="103">
        <v>11581</v>
      </c>
      <c r="D124" s="135">
        <f>D95</f>
        <v>8.15</v>
      </c>
      <c r="E124" s="191"/>
      <c r="F124" s="203">
        <f>ROUND(D124*$C124,0)</f>
        <v>94385</v>
      </c>
      <c r="G124" s="135">
        <f>G95</f>
        <v>8.15</v>
      </c>
      <c r="H124" s="191"/>
      <c r="I124" s="203">
        <f>ROUND(G124*$C124,0)</f>
        <v>94385</v>
      </c>
      <c r="J124" s="203"/>
      <c r="K124" s="196" t="s">
        <v>94</v>
      </c>
      <c r="L124" s="196"/>
      <c r="M124" s="196"/>
    </row>
    <row r="125" spans="1:13" x14ac:dyDescent="0.25">
      <c r="A125" s="200" t="s">
        <v>95</v>
      </c>
      <c r="C125" s="103">
        <f>C124+C123</f>
        <v>24444</v>
      </c>
      <c r="D125" s="135">
        <f>'Exhibit No.__(BDJ-Tariff)'!D50</f>
        <v>-0.25</v>
      </c>
      <c r="E125" s="191"/>
      <c r="F125" s="203">
        <f>ROUND(D125*$C125,0)</f>
        <v>-6111</v>
      </c>
      <c r="G125" s="135">
        <f>-I136</f>
        <v>-0.25</v>
      </c>
      <c r="H125" s="191"/>
      <c r="I125" s="203">
        <f>ROUND(G125*$C125,0)</f>
        <v>-6111</v>
      </c>
      <c r="J125" s="203"/>
      <c r="K125" s="196" t="s">
        <v>114</v>
      </c>
      <c r="L125" s="196"/>
      <c r="M125" s="196"/>
    </row>
    <row r="126" spans="1:13" x14ac:dyDescent="0.25">
      <c r="A126" s="197" t="s">
        <v>26</v>
      </c>
      <c r="C126" s="107">
        <f>SUM(C123:C124)</f>
        <v>24444</v>
      </c>
      <c r="D126" s="137"/>
      <c r="E126" s="191"/>
      <c r="F126" s="252">
        <f>SUM(F123:F125)</f>
        <v>245588</v>
      </c>
      <c r="G126" s="137"/>
      <c r="H126" s="191"/>
      <c r="I126" s="252">
        <f>SUM(I123:I125)</f>
        <v>245588</v>
      </c>
      <c r="J126" s="203"/>
      <c r="K126" s="278"/>
      <c r="L126" s="229"/>
      <c r="M126" s="229"/>
    </row>
    <row r="127" spans="1:13" x14ac:dyDescent="0.25">
      <c r="A127" s="191"/>
      <c r="C127" s="207"/>
      <c r="D127" s="207"/>
      <c r="E127" s="191"/>
      <c r="F127" s="208"/>
      <c r="G127" s="207"/>
      <c r="H127" s="191"/>
      <c r="I127" s="208"/>
      <c r="J127" s="208"/>
      <c r="K127" s="278"/>
      <c r="L127" s="229"/>
      <c r="M127" s="229"/>
    </row>
    <row r="128" spans="1:13" x14ac:dyDescent="0.25">
      <c r="A128" s="191" t="s">
        <v>86</v>
      </c>
      <c r="B128" s="191"/>
      <c r="C128" s="103">
        <v>3332777</v>
      </c>
      <c r="D128" s="257">
        <f>D98</f>
        <v>1.2999999999999999E-3</v>
      </c>
      <c r="E128" s="191"/>
      <c r="F128" s="203">
        <f>ROUND(D128*$C128,0)</f>
        <v>4333</v>
      </c>
      <c r="G128" s="257">
        <f>G98</f>
        <v>1.2999999999999999E-3</v>
      </c>
      <c r="H128" s="191"/>
      <c r="I128" s="203">
        <f>ROUND(G128*$C128,0)</f>
        <v>4333</v>
      </c>
      <c r="J128" s="208"/>
      <c r="K128" s="196" t="s">
        <v>94</v>
      </c>
      <c r="L128" s="196"/>
      <c r="M128" s="196"/>
    </row>
    <row r="129" spans="1:14" x14ac:dyDescent="0.25">
      <c r="A129" s="200" t="s">
        <v>95</v>
      </c>
      <c r="B129" s="191"/>
      <c r="C129" s="103">
        <f>C128+C127</f>
        <v>3332777</v>
      </c>
      <c r="D129" s="257">
        <f>'Exhibit No.__(BDJ-Tariff)'!D56-'Exhibit No.__(BDJ-SV RD)'!D128</f>
        <v>-3.0000000000000079E-5</v>
      </c>
      <c r="E129" s="191"/>
      <c r="F129" s="203">
        <f>ROUND(D129*$C129,0)</f>
        <v>-100</v>
      </c>
      <c r="G129" s="257">
        <f>-I138</f>
        <v>-3.0000000000000001E-5</v>
      </c>
      <c r="H129" s="191"/>
      <c r="I129" s="203">
        <f>ROUND(G129*$C129,0)</f>
        <v>-100</v>
      </c>
      <c r="J129" s="208"/>
      <c r="K129" s="196" t="s">
        <v>114</v>
      </c>
      <c r="L129" s="196"/>
      <c r="M129" s="196"/>
    </row>
    <row r="130" spans="1:14" x14ac:dyDescent="0.25">
      <c r="A130" s="197" t="s">
        <v>26</v>
      </c>
      <c r="B130" s="191"/>
      <c r="C130" s="103"/>
      <c r="D130" s="257"/>
      <c r="E130" s="191"/>
      <c r="F130" s="252">
        <f>SUM(F127:F129)</f>
        <v>4233</v>
      </c>
      <c r="G130" s="135"/>
      <c r="H130" s="191"/>
      <c r="I130" s="252">
        <f>SUM(I127:I129)</f>
        <v>4233</v>
      </c>
      <c r="J130" s="208"/>
      <c r="K130" s="278"/>
      <c r="L130" s="253"/>
      <c r="M130" s="229"/>
    </row>
    <row r="131" spans="1:14" x14ac:dyDescent="0.25">
      <c r="A131" s="191"/>
      <c r="B131" s="191"/>
      <c r="C131" s="207"/>
      <c r="D131" s="207"/>
      <c r="E131" s="191"/>
      <c r="F131" s="208"/>
      <c r="G131" s="207"/>
      <c r="H131" s="191"/>
      <c r="I131" s="208"/>
      <c r="J131" s="208"/>
      <c r="K131" s="278"/>
      <c r="L131" s="253"/>
      <c r="M131" s="229"/>
    </row>
    <row r="132" spans="1:14" ht="16.5" thickBot="1" x14ac:dyDescent="0.3">
      <c r="A132" s="191" t="s">
        <v>30</v>
      </c>
      <c r="B132" s="191"/>
      <c r="C132" s="207"/>
      <c r="D132" s="207"/>
      <c r="E132" s="191"/>
      <c r="F132" s="236">
        <f>SUM(F130,F126,F121,F114)</f>
        <v>841736</v>
      </c>
      <c r="G132" s="207"/>
      <c r="H132" s="191"/>
      <c r="I132" s="236">
        <f>SUM(I130,I126,I121,I114)</f>
        <v>836789</v>
      </c>
      <c r="J132" s="208"/>
      <c r="K132" s="278"/>
      <c r="L132" s="253"/>
      <c r="M132" s="229"/>
    </row>
    <row r="133" spans="1:14" ht="16.5" thickTop="1" x14ac:dyDescent="0.25">
      <c r="A133" s="191"/>
      <c r="B133" s="259"/>
      <c r="C133" s="207"/>
      <c r="D133" s="207"/>
      <c r="E133" s="191"/>
      <c r="F133" s="203"/>
      <c r="G133" s="207"/>
      <c r="H133" s="191"/>
      <c r="I133" s="203"/>
      <c r="J133" s="203"/>
      <c r="K133" s="237"/>
      <c r="L133" s="253"/>
      <c r="M133" s="229"/>
    </row>
    <row r="134" spans="1:14" x14ac:dyDescent="0.25">
      <c r="A134" s="375" t="s">
        <v>105</v>
      </c>
      <c r="B134" s="376"/>
      <c r="C134" s="376"/>
      <c r="D134" s="376"/>
      <c r="E134" s="376"/>
      <c r="F134" s="376"/>
      <c r="G134" s="376"/>
      <c r="H134" s="376"/>
      <c r="I134" s="377"/>
      <c r="L134" s="68"/>
      <c r="M134" s="68"/>
    </row>
    <row r="135" spans="1:14" x14ac:dyDescent="0.25">
      <c r="A135" s="403" t="s">
        <v>106</v>
      </c>
      <c r="B135" s="216"/>
      <c r="C135" s="207"/>
      <c r="D135" s="208"/>
      <c r="E135" s="216"/>
      <c r="F135" s="287">
        <f>'Exhibit No.__(BDJ-PV RD)'!G15-'Exhibit No.__(BDJ-SV RD)'!G86</f>
        <v>249.03000000000003</v>
      </c>
      <c r="G135" s="86"/>
      <c r="H135" s="216"/>
      <c r="I135" s="288"/>
      <c r="J135" s="203"/>
      <c r="L135" s="68"/>
      <c r="M135" s="68"/>
    </row>
    <row r="136" spans="1:14" x14ac:dyDescent="0.25">
      <c r="A136" s="403" t="s">
        <v>107</v>
      </c>
      <c r="B136" s="216"/>
      <c r="C136" s="216" t="s">
        <v>0</v>
      </c>
      <c r="D136" s="208"/>
      <c r="E136" s="216"/>
      <c r="F136" s="290">
        <f>'Exhibit No.__(BDJ-Tariff)'!D51</f>
        <v>2.4400000000000002E-2</v>
      </c>
      <c r="G136" s="86"/>
      <c r="H136" s="216"/>
      <c r="I136" s="289">
        <f>ROUND(+F136*(I96/C96),2)</f>
        <v>0.25</v>
      </c>
      <c r="J136" s="191"/>
      <c r="K136" s="395" t="s">
        <v>552</v>
      </c>
      <c r="L136" s="68"/>
      <c r="M136" s="68"/>
    </row>
    <row r="137" spans="1:14" x14ac:dyDescent="0.25">
      <c r="A137" s="403" t="s">
        <v>108</v>
      </c>
      <c r="B137" s="216"/>
      <c r="C137" s="216"/>
      <c r="D137" s="208"/>
      <c r="E137" s="216"/>
      <c r="F137" s="290">
        <f>+F136</f>
        <v>2.4400000000000002E-2</v>
      </c>
      <c r="G137" s="86"/>
      <c r="H137" s="216"/>
      <c r="I137" s="291">
        <f>ROUND(+F137*G88,6)</f>
        <v>1.4300000000000001E-3</v>
      </c>
      <c r="J137" s="191"/>
      <c r="L137" s="68"/>
      <c r="M137" s="68"/>
    </row>
    <row r="138" spans="1:14" x14ac:dyDescent="0.25">
      <c r="A138" s="292" t="s">
        <v>115</v>
      </c>
      <c r="B138" s="272"/>
      <c r="C138" s="272"/>
      <c r="D138" s="273"/>
      <c r="E138" s="272"/>
      <c r="F138" s="293">
        <f>+F137</f>
        <v>2.4400000000000002E-2</v>
      </c>
      <c r="G138" s="283"/>
      <c r="H138" s="272"/>
      <c r="I138" s="294">
        <f>ROUND(+F138*G98,5)</f>
        <v>3.0000000000000001E-5</v>
      </c>
      <c r="J138" s="191"/>
      <c r="K138" s="395" t="s">
        <v>552</v>
      </c>
      <c r="L138" s="68"/>
      <c r="M138" s="68"/>
    </row>
    <row r="139" spans="1:14" x14ac:dyDescent="0.25">
      <c r="A139" s="191"/>
      <c r="B139" s="191"/>
      <c r="C139" s="191"/>
      <c r="D139" s="203"/>
      <c r="E139" s="191"/>
      <c r="F139" s="191"/>
      <c r="G139" s="203"/>
      <c r="H139" s="191"/>
      <c r="I139" s="191"/>
      <c r="J139" s="191"/>
      <c r="K139" s="295"/>
      <c r="L139" s="290"/>
      <c r="M139" s="296"/>
    </row>
    <row r="140" spans="1:14" x14ac:dyDescent="0.25">
      <c r="A140" s="191"/>
      <c r="B140" s="191"/>
      <c r="C140" s="191"/>
      <c r="D140" s="203"/>
      <c r="E140" s="191"/>
      <c r="F140" s="191"/>
      <c r="G140" s="203"/>
      <c r="H140" s="191"/>
      <c r="I140" s="191"/>
      <c r="J140" s="191"/>
      <c r="K140" s="295"/>
      <c r="L140" s="290"/>
      <c r="M140" s="296"/>
    </row>
    <row r="141" spans="1:14" x14ac:dyDescent="0.25">
      <c r="A141" s="191"/>
      <c r="B141" s="191"/>
      <c r="C141" s="191"/>
      <c r="D141" s="203"/>
      <c r="E141" s="191"/>
      <c r="F141" s="191"/>
      <c r="G141" s="203"/>
      <c r="H141" s="191"/>
      <c r="I141" s="191"/>
      <c r="J141" s="191"/>
      <c r="K141" s="295"/>
      <c r="L141" s="290"/>
      <c r="M141" s="296"/>
    </row>
    <row r="142" spans="1:14" x14ac:dyDescent="0.25">
      <c r="A142" s="332" t="s">
        <v>99</v>
      </c>
      <c r="B142" s="191"/>
      <c r="C142" s="191"/>
      <c r="D142" s="203"/>
      <c r="E142" s="191"/>
      <c r="F142" s="191"/>
      <c r="G142" s="203"/>
      <c r="H142" s="191"/>
      <c r="I142" s="191"/>
      <c r="J142" s="191"/>
      <c r="K142" s="297"/>
      <c r="L142" s="180"/>
      <c r="M142" s="298"/>
    </row>
    <row r="143" spans="1:14" x14ac:dyDescent="0.25">
      <c r="A143" s="190" t="s">
        <v>100</v>
      </c>
      <c r="B143" s="191"/>
      <c r="C143" s="191"/>
      <c r="D143" s="203"/>
      <c r="E143" s="191"/>
      <c r="F143" s="191"/>
      <c r="G143" s="203"/>
      <c r="H143" s="191"/>
      <c r="I143" s="191"/>
      <c r="J143" s="191"/>
      <c r="K143" s="297"/>
      <c r="L143" s="180"/>
      <c r="M143" s="298"/>
    </row>
    <row r="144" spans="1:14" x14ac:dyDescent="0.25">
      <c r="A144" s="191"/>
      <c r="B144" s="191"/>
      <c r="C144" s="191"/>
      <c r="D144" s="203"/>
      <c r="E144" s="191"/>
      <c r="F144" s="191"/>
      <c r="G144" s="203"/>
      <c r="H144" s="191"/>
      <c r="I144" s="191"/>
      <c r="J144" s="191"/>
      <c r="K144" s="297"/>
      <c r="L144" s="180"/>
      <c r="M144" s="298"/>
      <c r="N144" s="22"/>
    </row>
    <row r="145" spans="1:13" x14ac:dyDescent="0.25">
      <c r="A145" s="191" t="s">
        <v>33</v>
      </c>
      <c r="B145" s="191"/>
      <c r="C145" s="103"/>
      <c r="D145" s="135"/>
      <c r="E145" s="191"/>
      <c r="F145" s="203"/>
      <c r="G145" s="135"/>
      <c r="H145" s="191"/>
      <c r="I145" s="203"/>
      <c r="J145" s="203"/>
      <c r="K145" s="86"/>
      <c r="L145" s="229"/>
      <c r="M145" s="229"/>
    </row>
    <row r="146" spans="1:13" x14ac:dyDescent="0.25">
      <c r="A146" s="191" t="s">
        <v>31</v>
      </c>
      <c r="B146" s="191"/>
      <c r="C146" s="103">
        <v>2385</v>
      </c>
      <c r="D146" s="135">
        <f>'Exhibit No.__(BDJ-Tariff)'!D59</f>
        <v>9.99</v>
      </c>
      <c r="E146" s="191"/>
      <c r="F146" s="203">
        <f t="shared" ref="F146:F147" si="17">ROUND(D146*$C146,0)</f>
        <v>23826</v>
      </c>
      <c r="G146" s="135">
        <f>D146</f>
        <v>9.99</v>
      </c>
      <c r="H146" s="191"/>
      <c r="I146" s="203">
        <f t="shared" ref="I146:I147" si="18">ROUND(G146*$C146,0)</f>
        <v>23826</v>
      </c>
      <c r="J146" s="203"/>
      <c r="K146" s="196" t="s">
        <v>552</v>
      </c>
      <c r="L146" s="196"/>
      <c r="M146" s="196"/>
    </row>
    <row r="147" spans="1:13" x14ac:dyDescent="0.25">
      <c r="A147" s="191" t="s">
        <v>32</v>
      </c>
      <c r="B147" s="191"/>
      <c r="C147" s="103">
        <v>5510</v>
      </c>
      <c r="D147" s="135">
        <f>'Exhibit No.__(BDJ-Tariff)'!D60</f>
        <v>25.36</v>
      </c>
      <c r="E147" s="191"/>
      <c r="F147" s="203">
        <f t="shared" si="17"/>
        <v>139734</v>
      </c>
      <c r="G147" s="135">
        <f>D147</f>
        <v>25.36</v>
      </c>
      <c r="H147" s="191"/>
      <c r="I147" s="203">
        <f t="shared" si="18"/>
        <v>139734</v>
      </c>
      <c r="J147" s="203"/>
      <c r="K147" s="196" t="s">
        <v>552</v>
      </c>
      <c r="L147" s="196"/>
      <c r="M147" s="196"/>
    </row>
    <row r="148" spans="1:13" x14ac:dyDescent="0.25">
      <c r="A148" s="197" t="s">
        <v>26</v>
      </c>
      <c r="B148" s="191"/>
      <c r="C148" s="107">
        <f>SUM(C146:C147)</f>
        <v>7895</v>
      </c>
      <c r="D148" s="135"/>
      <c r="E148" s="191"/>
      <c r="F148" s="252">
        <f>SUM(F146:F147)</f>
        <v>163560</v>
      </c>
      <c r="G148" s="135"/>
      <c r="H148" s="191"/>
      <c r="I148" s="252">
        <f>SUM(I146:I147)</f>
        <v>163560</v>
      </c>
      <c r="J148" s="203"/>
      <c r="K148" s="196"/>
      <c r="L148" s="196"/>
      <c r="M148" s="196"/>
    </row>
    <row r="149" spans="1:13" x14ac:dyDescent="0.25">
      <c r="A149" s="191" t="s">
        <v>36</v>
      </c>
      <c r="B149" s="191"/>
      <c r="C149" s="103"/>
      <c r="D149" s="250"/>
      <c r="E149" s="203"/>
      <c r="F149" s="203"/>
      <c r="G149" s="250"/>
      <c r="H149" s="203"/>
      <c r="I149" s="203"/>
      <c r="J149" s="203"/>
      <c r="K149" s="278"/>
      <c r="L149" s="229"/>
      <c r="M149" s="229"/>
    </row>
    <row r="150" spans="1:13" x14ac:dyDescent="0.25">
      <c r="A150" s="200" t="s">
        <v>82</v>
      </c>
      <c r="B150" s="191"/>
      <c r="C150" s="103">
        <v>2022096</v>
      </c>
      <c r="D150" s="251">
        <f>'Exhibit No.__(BDJ-Tariff)'!D62</f>
        <v>9.3538999999999997E-2</v>
      </c>
      <c r="E150" s="203"/>
      <c r="F150" s="203">
        <f>ROUND($C150*D150,0)</f>
        <v>189145</v>
      </c>
      <c r="G150" s="251">
        <f>ROUND(D150*(1+$I$170),6)</f>
        <v>9.2884999999999995E-2</v>
      </c>
      <c r="H150" s="203"/>
      <c r="I150" s="203">
        <f>ROUND($C150*G150,0)</f>
        <v>187822</v>
      </c>
      <c r="J150" s="203"/>
      <c r="K150" s="394" t="s">
        <v>557</v>
      </c>
      <c r="L150" s="394"/>
      <c r="M150" s="394"/>
    </row>
    <row r="151" spans="1:13" x14ac:dyDescent="0.25">
      <c r="A151" s="200" t="s">
        <v>102</v>
      </c>
      <c r="B151" s="191"/>
      <c r="C151" s="103">
        <v>213792</v>
      </c>
      <c r="D151" s="251">
        <f>'Exhibit No.__(BDJ-Tariff)'!D63</f>
        <v>7.1040000000000006E-2</v>
      </c>
      <c r="E151" s="203"/>
      <c r="F151" s="203">
        <f>ROUND($C151*D151,0)</f>
        <v>15188</v>
      </c>
      <c r="G151" s="251">
        <f t="shared" ref="G151:G153" si="19">ROUND(D151*(1+$I$170),6)</f>
        <v>7.0542999999999995E-2</v>
      </c>
      <c r="H151" s="203"/>
      <c r="I151" s="203">
        <f>ROUND($C151*G151,0)</f>
        <v>15082</v>
      </c>
      <c r="J151" s="203"/>
      <c r="K151" s="394" t="s">
        <v>557</v>
      </c>
      <c r="L151" s="394"/>
      <c r="M151" s="394"/>
    </row>
    <row r="152" spans="1:13" x14ac:dyDescent="0.25">
      <c r="A152" s="200" t="s">
        <v>81</v>
      </c>
      <c r="B152" s="191"/>
      <c r="C152" s="103">
        <v>10475078</v>
      </c>
      <c r="D152" s="251">
        <f>'Exhibit No.__(BDJ-Tariff)'!D64</f>
        <v>6.4817E-2</v>
      </c>
      <c r="E152" s="203"/>
      <c r="F152" s="203">
        <f t="shared" ref="F152:F153" si="20">ROUND($C152*D152,0)</f>
        <v>678963</v>
      </c>
      <c r="G152" s="251">
        <f t="shared" si="19"/>
        <v>6.4364000000000005E-2</v>
      </c>
      <c r="H152" s="203"/>
      <c r="I152" s="203">
        <f t="shared" ref="I152:I153" si="21">ROUND($C152*G152,0)</f>
        <v>674218</v>
      </c>
      <c r="J152" s="203"/>
      <c r="K152" s="394" t="s">
        <v>557</v>
      </c>
      <c r="L152" s="394"/>
      <c r="M152" s="394"/>
    </row>
    <row r="153" spans="1:13" x14ac:dyDescent="0.25">
      <c r="A153" s="200" t="s">
        <v>101</v>
      </c>
      <c r="B153" s="191"/>
      <c r="C153" s="103">
        <v>778943</v>
      </c>
      <c r="D153" s="251">
        <f>'Exhibit No.__(BDJ-Tariff)'!D65</f>
        <v>5.5537000000000003E-2</v>
      </c>
      <c r="E153" s="203"/>
      <c r="F153" s="203">
        <f t="shared" si="20"/>
        <v>43260</v>
      </c>
      <c r="G153" s="251">
        <f t="shared" si="19"/>
        <v>5.5148999999999997E-2</v>
      </c>
      <c r="H153" s="203"/>
      <c r="I153" s="203">
        <f t="shared" si="21"/>
        <v>42958</v>
      </c>
      <c r="J153" s="203"/>
      <c r="K153" s="394" t="s">
        <v>557</v>
      </c>
      <c r="L153" s="394"/>
      <c r="M153" s="394"/>
    </row>
    <row r="154" spans="1:13" x14ac:dyDescent="0.25">
      <c r="A154" s="197" t="s">
        <v>26</v>
      </c>
      <c r="B154" s="191"/>
      <c r="C154" s="107">
        <f>SUM(C150:C153)</f>
        <v>13489909</v>
      </c>
      <c r="D154" s="233"/>
      <c r="E154" s="191"/>
      <c r="F154" s="252">
        <f>SUM(F150:F153)</f>
        <v>926556</v>
      </c>
      <c r="G154" s="233"/>
      <c r="H154" s="191"/>
      <c r="I154" s="252">
        <f>SUM(I150:I153)</f>
        <v>920080</v>
      </c>
      <c r="J154" s="203"/>
      <c r="K154" s="299"/>
      <c r="L154" s="229"/>
      <c r="M154" s="229"/>
    </row>
    <row r="155" spans="1:13" x14ac:dyDescent="0.25">
      <c r="A155" s="200" t="s">
        <v>76</v>
      </c>
      <c r="B155" s="191"/>
      <c r="C155" s="103">
        <v>0</v>
      </c>
      <c r="D155" s="251">
        <f>D151</f>
        <v>7.1040000000000006E-2</v>
      </c>
      <c r="E155" s="191"/>
      <c r="F155" s="203">
        <f t="shared" ref="F155:F156" si="22">ROUND($C155*D155,0)</f>
        <v>0</v>
      </c>
      <c r="G155" s="251">
        <f>G151</f>
        <v>7.0542999999999995E-2</v>
      </c>
      <c r="H155" s="191"/>
      <c r="I155" s="203">
        <f t="shared" ref="I155:I156" si="23">ROUND($C155*G155,0)</f>
        <v>0</v>
      </c>
      <c r="J155" s="203"/>
      <c r="K155" s="278" t="s">
        <v>558</v>
      </c>
      <c r="L155" s="229"/>
      <c r="M155" s="229"/>
    </row>
    <row r="156" spans="1:13" x14ac:dyDescent="0.25">
      <c r="A156" s="200" t="s">
        <v>77</v>
      </c>
      <c r="B156" s="191"/>
      <c r="C156" s="103">
        <v>0</v>
      </c>
      <c r="D156" s="251">
        <f>D153</f>
        <v>5.5537000000000003E-2</v>
      </c>
      <c r="E156" s="191"/>
      <c r="F156" s="203">
        <f t="shared" si="22"/>
        <v>0</v>
      </c>
      <c r="G156" s="251">
        <f>G153</f>
        <v>5.5148999999999997E-2</v>
      </c>
      <c r="H156" s="191"/>
      <c r="I156" s="203">
        <f t="shared" si="23"/>
        <v>0</v>
      </c>
      <c r="J156" s="203"/>
      <c r="K156" s="86" t="s">
        <v>559</v>
      </c>
      <c r="L156" s="229"/>
      <c r="M156" s="229"/>
    </row>
    <row r="157" spans="1:13" ht="31.5" x14ac:dyDescent="0.25">
      <c r="A157" s="134" t="s">
        <v>71</v>
      </c>
      <c r="B157" s="191"/>
      <c r="C157" s="207">
        <v>1803819</v>
      </c>
      <c r="D157" s="251">
        <f>ROUND(F157/C157,6)</f>
        <v>0.108526</v>
      </c>
      <c r="E157" s="191"/>
      <c r="F157" s="203">
        <v>195762</v>
      </c>
      <c r="G157" s="251">
        <f>ROUND(D157*(1+$I$170),6)</f>
        <v>0.107767</v>
      </c>
      <c r="H157" s="191"/>
      <c r="I157" s="203">
        <f>ROUND($C157*G157,0)+1</f>
        <v>194393</v>
      </c>
      <c r="J157" s="208"/>
      <c r="K157" s="93" t="s">
        <v>576</v>
      </c>
      <c r="L157" s="94"/>
      <c r="M157" s="94"/>
    </row>
    <row r="158" spans="1:13" x14ac:dyDescent="0.25">
      <c r="A158" s="197" t="s">
        <v>26</v>
      </c>
      <c r="B158" s="191"/>
      <c r="C158" s="107">
        <f>SUM(C154:C157)</f>
        <v>15293728</v>
      </c>
      <c r="D158" s="191"/>
      <c r="E158" s="191"/>
      <c r="F158" s="252">
        <f>SUM(F154:F157)</f>
        <v>1122318</v>
      </c>
      <c r="G158" s="191"/>
      <c r="H158" s="191"/>
      <c r="I158" s="252">
        <f>SUM(I154:I157)</f>
        <v>1114473</v>
      </c>
      <c r="J158" s="208"/>
      <c r="K158" s="299"/>
      <c r="L158" s="229"/>
      <c r="M158" s="229"/>
    </row>
    <row r="159" spans="1:13" x14ac:dyDescent="0.25">
      <c r="A159" s="191" t="s">
        <v>35</v>
      </c>
      <c r="B159" s="191"/>
      <c r="C159" s="103"/>
      <c r="D159" s="137"/>
      <c r="E159" s="191"/>
      <c r="F159" s="203"/>
      <c r="G159" s="137"/>
      <c r="H159" s="191"/>
      <c r="I159" s="203"/>
      <c r="J159" s="203"/>
      <c r="K159" s="278"/>
      <c r="L159" s="253"/>
      <c r="M159" s="229"/>
    </row>
    <row r="160" spans="1:13" x14ac:dyDescent="0.25">
      <c r="A160" s="200" t="s">
        <v>84</v>
      </c>
      <c r="B160" s="191"/>
      <c r="C160" s="103">
        <v>2736</v>
      </c>
      <c r="D160" s="135">
        <f>'Exhibit No.__(BDJ-Tariff)'!D68</f>
        <v>9.2200000000000006</v>
      </c>
      <c r="E160" s="191"/>
      <c r="F160" s="203">
        <f>ROUND(D160*$C160,0)</f>
        <v>25226</v>
      </c>
      <c r="G160" s="135">
        <f>D160</f>
        <v>9.2200000000000006</v>
      </c>
      <c r="H160" s="191"/>
      <c r="I160" s="203">
        <f>ROUND(G160*$C160,0)</f>
        <v>25226</v>
      </c>
      <c r="J160" s="203"/>
      <c r="K160" s="196" t="s">
        <v>552</v>
      </c>
      <c r="L160" s="196"/>
      <c r="M160" s="196"/>
    </row>
    <row r="161" spans="1:13" x14ac:dyDescent="0.25">
      <c r="A161" s="200" t="s">
        <v>85</v>
      </c>
      <c r="B161" s="191"/>
      <c r="C161" s="103">
        <v>4347</v>
      </c>
      <c r="D161" s="135">
        <f>'Exhibit No.__(BDJ-Tariff)'!D69</f>
        <v>4.54</v>
      </c>
      <c r="E161" s="191"/>
      <c r="F161" s="203">
        <f>ROUND(D161*$C161,0)</f>
        <v>19735</v>
      </c>
      <c r="G161" s="135">
        <f>D161</f>
        <v>4.54</v>
      </c>
      <c r="H161" s="191"/>
      <c r="I161" s="203">
        <f>ROUND(G161*$C161,0)</f>
        <v>19735</v>
      </c>
      <c r="J161" s="203"/>
      <c r="K161" s="196" t="s">
        <v>552</v>
      </c>
      <c r="L161" s="196"/>
      <c r="M161" s="196"/>
    </row>
    <row r="162" spans="1:13" x14ac:dyDescent="0.25">
      <c r="A162" s="197" t="s">
        <v>26</v>
      </c>
      <c r="B162" s="191"/>
      <c r="C162" s="107">
        <f>SUM(C160:C161)</f>
        <v>7083</v>
      </c>
      <c r="D162" s="137"/>
      <c r="E162" s="191"/>
      <c r="F162" s="252">
        <f>SUM(F160:F161)</f>
        <v>44961</v>
      </c>
      <c r="G162" s="137"/>
      <c r="H162" s="191"/>
      <c r="I162" s="252">
        <f>SUM(I160:I161)</f>
        <v>44961</v>
      </c>
      <c r="J162" s="203"/>
      <c r="K162" s="278"/>
      <c r="L162" s="229"/>
      <c r="M162" s="229"/>
    </row>
    <row r="163" spans="1:13" x14ac:dyDescent="0.25">
      <c r="A163" s="191"/>
      <c r="B163" s="191"/>
      <c r="C163" s="207"/>
      <c r="D163" s="207"/>
      <c r="E163" s="191"/>
      <c r="F163" s="208"/>
      <c r="G163" s="207"/>
      <c r="H163" s="191"/>
      <c r="I163" s="208"/>
      <c r="J163" s="208"/>
      <c r="K163" s="278"/>
      <c r="L163" s="229"/>
      <c r="M163" s="229"/>
    </row>
    <row r="164" spans="1:13" x14ac:dyDescent="0.25">
      <c r="A164" s="191" t="s">
        <v>86</v>
      </c>
      <c r="B164" s="191"/>
      <c r="C164" s="103">
        <v>400210</v>
      </c>
      <c r="D164" s="257">
        <f>'Exhibit No.__(BDJ-Tariff)'!D71</f>
        <v>2.9299999999999999E-3</v>
      </c>
      <c r="E164" s="191"/>
      <c r="F164" s="203">
        <f>ROUND(D164*$C164,0)</f>
        <v>1173</v>
      </c>
      <c r="G164" s="257">
        <f>D164</f>
        <v>2.9299999999999999E-3</v>
      </c>
      <c r="H164" s="191"/>
      <c r="I164" s="203">
        <f>ROUND(G164*$C164,0)</f>
        <v>1173</v>
      </c>
      <c r="J164" s="208"/>
      <c r="K164" s="196" t="s">
        <v>552</v>
      </c>
      <c r="L164" s="196"/>
      <c r="M164" s="196"/>
    </row>
    <row r="165" spans="1:13" x14ac:dyDescent="0.25">
      <c r="A165" s="191"/>
      <c r="B165" s="191"/>
      <c r="C165" s="207"/>
      <c r="D165" s="207"/>
      <c r="E165" s="191"/>
      <c r="F165" s="208"/>
      <c r="G165" s="207"/>
      <c r="H165" s="191"/>
      <c r="I165" s="208"/>
      <c r="J165" s="208"/>
      <c r="K165" s="237"/>
      <c r="L165" s="253"/>
      <c r="M165" s="229"/>
    </row>
    <row r="166" spans="1:13" ht="16.5" thickBot="1" x14ac:dyDescent="0.3">
      <c r="A166" s="191" t="s">
        <v>30</v>
      </c>
      <c r="B166" s="191"/>
      <c r="C166" s="207"/>
      <c r="D166" s="207"/>
      <c r="E166" s="191"/>
      <c r="F166" s="236">
        <f>SUM(F148,F158,F162,F164)</f>
        <v>1332012</v>
      </c>
      <c r="G166" s="207"/>
      <c r="H166" s="191"/>
      <c r="I166" s="236">
        <f>SUM(I148,I158,I162,I164)</f>
        <v>1324167</v>
      </c>
      <c r="J166" s="208"/>
      <c r="K166" s="363"/>
      <c r="L166" s="253"/>
      <c r="M166" s="229"/>
    </row>
    <row r="167" spans="1:13" ht="16.5" thickTop="1" x14ac:dyDescent="0.25">
      <c r="A167" s="191"/>
      <c r="B167" s="259"/>
      <c r="C167" s="207"/>
      <c r="D167" s="207"/>
      <c r="E167" s="191"/>
      <c r="F167" s="203"/>
      <c r="G167" s="207"/>
      <c r="H167" s="191"/>
      <c r="I167" s="203"/>
      <c r="J167" s="203"/>
      <c r="K167" s="237"/>
      <c r="L167" s="253"/>
      <c r="M167" s="229"/>
    </row>
    <row r="168" spans="1:13" x14ac:dyDescent="0.25">
      <c r="A168" s="68" t="s">
        <v>523</v>
      </c>
      <c r="I168" s="362">
        <f>I61</f>
        <v>-5.8896266085856075E-3</v>
      </c>
      <c r="K168" s="237"/>
      <c r="L168" s="253"/>
      <c r="M168" s="229"/>
    </row>
    <row r="169" spans="1:13" x14ac:dyDescent="0.25">
      <c r="A169" s="68" t="s">
        <v>524</v>
      </c>
      <c r="I169" s="210">
        <f>I168*F166</f>
        <v>-7845.0533181553319</v>
      </c>
      <c r="K169" s="116">
        <f>I166-F166-I169</f>
        <v>5.3318155331908201E-2</v>
      </c>
      <c r="L169" s="253"/>
      <c r="M169" s="229"/>
    </row>
    <row r="170" spans="1:13" x14ac:dyDescent="0.25">
      <c r="A170" s="68" t="s">
        <v>563</v>
      </c>
      <c r="I170" s="362">
        <f>I169/F158</f>
        <v>-6.99004499451611E-3</v>
      </c>
    </row>
    <row r="172" spans="1:13" x14ac:dyDescent="0.25">
      <c r="A172" s="275" t="s">
        <v>285</v>
      </c>
      <c r="C172" s="277"/>
      <c r="D172" s="276">
        <f>ROUND(SUM(F150,F152)/SUM($C$150,$C$152),6)</f>
        <v>6.9463999999999998E-2</v>
      </c>
      <c r="G172" s="276">
        <f>ROUND(SUM(I150,I152)/SUM($C$150,$C$152),6)</f>
        <v>6.8978999999999999E-2</v>
      </c>
    </row>
    <row r="173" spans="1:13" x14ac:dyDescent="0.25">
      <c r="A173" s="275" t="s">
        <v>286</v>
      </c>
      <c r="C173" s="277"/>
      <c r="D173" s="276">
        <f>ROUND(SUM(F151,F153)/SUM($C$151,$C$153),6)</f>
        <v>5.8875999999999998E-2</v>
      </c>
      <c r="G173" s="276">
        <f>ROUND(SUM(I151,I153)/SUM($C$151,$C$153),6)</f>
        <v>5.8465000000000003E-2</v>
      </c>
    </row>
    <row r="174" spans="1:13" x14ac:dyDescent="0.25">
      <c r="A174" s="275" t="s">
        <v>284</v>
      </c>
      <c r="C174" s="277"/>
      <c r="D174" s="255">
        <f>ROUND(SUM(F162)/SUM($C$162),2)</f>
        <v>6.35</v>
      </c>
      <c r="G174" s="255">
        <f>ROUND(SUM(I162)/SUM($C$162),2)</f>
        <v>6.35</v>
      </c>
    </row>
    <row r="177" spans="1:7" x14ac:dyDescent="0.25">
      <c r="A177" s="300"/>
      <c r="D177" s="348"/>
      <c r="G177" s="348"/>
    </row>
    <row r="178" spans="1:7" x14ac:dyDescent="0.25">
      <c r="D178" s="348"/>
      <c r="G178" s="348"/>
    </row>
    <row r="179" spans="1:7" x14ac:dyDescent="0.25">
      <c r="D179" s="348"/>
      <c r="G179" s="348"/>
    </row>
    <row r="180" spans="1:7" x14ac:dyDescent="0.25">
      <c r="D180" s="348"/>
      <c r="G180" s="348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47" fitToHeight="5" orientation="landscape" r:id="rId1"/>
  <headerFooter alignWithMargins="0">
    <oddFooter>&amp;L&amp;A</oddFooter>
  </headerFooter>
  <rowBreaks count="3" manualBreakCount="3">
    <brk id="37" max="10" man="1"/>
    <brk id="82" max="10" man="1"/>
    <brk id="141" max="10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220066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0C33DAE-168C-4864-8744-A74E62D419B1}">
  <ds:schemaRefs>
    <ds:schemaRef ds:uri="dc463f71-b30c-4ab2-9473-d307f9d3588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0E915A-E83B-420B-9E56-2112CE3C5999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30DA43-CFE2-4331-AC16-A0374E2E83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25</vt:i4>
      </vt:variant>
    </vt:vector>
  </HeadingPairs>
  <TitlesOfParts>
    <vt:vector size="39" baseType="lpstr">
      <vt:lpstr>Exhibit No.__(BDJ-Tariff)</vt:lpstr>
      <vt:lpstr>Exhibit No.__(BDJ-Rate Spread)</vt:lpstr>
      <vt:lpstr>Exhibit No.__(BDJ-Rate Des Sum)</vt:lpstr>
      <vt:lpstr>Exhibit No.__(BDJ-Prof-Prop)</vt:lpstr>
      <vt:lpstr>Exhibit No.__(BDJ-MYRP-SUM)</vt:lpstr>
      <vt:lpstr>Exhibit No.__(BDJ-MYRP)</vt:lpstr>
      <vt:lpstr>Exhibit No.__(BDJ-141C)</vt:lpstr>
      <vt:lpstr>Exhibit No.__(BDJ-Res RD)</vt:lpstr>
      <vt:lpstr>Exhibit No.__(BDJ-SV RD)</vt:lpstr>
      <vt:lpstr>Exhibit No.__(BDJ-PV RD)</vt:lpstr>
      <vt:lpstr>Exhibit No.__(BDJ-CONJ  DEM)</vt:lpstr>
      <vt:lpstr>Exhibit No.__(BDJ-HV RD)</vt:lpstr>
      <vt:lpstr>Exhibit No.__(BDJ-TRANSP RD)</vt:lpstr>
      <vt:lpstr>Exhibit No.__(BDJ-LIGHT RD) </vt:lpstr>
      <vt:lpstr>'Exhibit No.__(BDJ-141C)'!Print_Area</vt:lpstr>
      <vt:lpstr>'Exhibit No.__(BDJ-CONJ  DEM)'!Print_Area</vt:lpstr>
      <vt:lpstr>'Exhibit No.__(BDJ-HV RD)'!Print_Area</vt:lpstr>
      <vt:lpstr>'Exhibit No.__(BDJ-LIGHT RD) '!Print_Area</vt:lpstr>
      <vt:lpstr>'Exhibit No.__(BDJ-MYRP)'!Print_Area</vt:lpstr>
      <vt:lpstr>'Exhibit No.__(BDJ-MYRP-SUM)'!Print_Area</vt:lpstr>
      <vt:lpstr>'Exhibit No.__(BDJ-Prof-Prop)'!Print_Area</vt:lpstr>
      <vt:lpstr>'Exhibit No.__(BDJ-PV RD)'!Print_Area</vt:lpstr>
      <vt:lpstr>'Exhibit No.__(BDJ-Rate Des Sum)'!Print_Area</vt:lpstr>
      <vt:lpstr>'Exhibit No.__(BDJ-Rate Spread)'!Print_Area</vt:lpstr>
      <vt:lpstr>'Exhibit No.__(BDJ-Res RD)'!Print_Area</vt:lpstr>
      <vt:lpstr>'Exhibit No.__(BDJ-SV RD)'!Print_Area</vt:lpstr>
      <vt:lpstr>'Exhibit No.__(BDJ-Tariff)'!Print_Area</vt:lpstr>
      <vt:lpstr>'Exhibit No.__(BDJ-TRANSP RD)'!Print_Area</vt:lpstr>
      <vt:lpstr>'Exhibit No.__(BDJ-141C)'!Print_Titles</vt:lpstr>
      <vt:lpstr>'Exhibit No.__(BDJ-HV RD)'!Print_Titles</vt:lpstr>
      <vt:lpstr>'Exhibit No.__(BDJ-LIGHT RD) '!Print_Titles</vt:lpstr>
      <vt:lpstr>'Exhibit No.__(BDJ-MYRP)'!Print_Titles</vt:lpstr>
      <vt:lpstr>'Exhibit No.__(BDJ-MYRP-SUM)'!Print_Titles</vt:lpstr>
      <vt:lpstr>'Exhibit No.__(BDJ-PV RD)'!Print_Titles</vt:lpstr>
      <vt:lpstr>'Exhibit No.__(BDJ-Rate Spread)'!Print_Titles</vt:lpstr>
      <vt:lpstr>'Exhibit No.__(BDJ-Res RD)'!Print_Titles</vt:lpstr>
      <vt:lpstr>'Exhibit No.__(BDJ-SV RD)'!Print_Titles</vt:lpstr>
      <vt:lpstr>'Exhibit No.__(BDJ-Tariff)'!Print_Titles</vt:lpstr>
      <vt:lpstr>'Exhibit No.__(BDJ-TRANSP RD)'!Print_Titles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Pam Rasanen</cp:lastModifiedBy>
  <cp:lastPrinted>2022-01-24T18:44:07Z</cp:lastPrinted>
  <dcterms:created xsi:type="dcterms:W3CDTF">2016-04-04T22:09:28Z</dcterms:created>
  <dcterms:modified xsi:type="dcterms:W3CDTF">2022-01-24T18:53:55Z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