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12" windowWidth="26880" windowHeight="10860" activeTab="8"/>
  </bookViews>
  <sheets>
    <sheet name="RevReq" sheetId="1" r:id="rId1"/>
    <sheet name="Summary" sheetId="2" r:id="rId2"/>
    <sheet name="LTIP" sheetId="7" r:id="rId3"/>
    <sheet name="Labor" sheetId="8" r:id="rId4"/>
    <sheet name="Ins" sheetId="9" r:id="rId5"/>
    <sheet name="PropTax" sheetId="6" r:id="rId6"/>
    <sheet name="EOP_PIS" sheetId="3" r:id="rId7"/>
    <sheet name="RTD" sheetId="4" r:id="rId8"/>
    <sheet name="PlantAdds" sheetId="5" r:id="rId9"/>
  </sheets>
  <definedNames>
    <definedName name="OLE_LINK1" localSheetId="0">RevReq!$G$1</definedName>
  </definedNames>
  <calcPr calcId="145621"/>
</workbook>
</file>

<file path=xl/calcChain.xml><?xml version="1.0" encoding="utf-8"?>
<calcChain xmlns="http://schemas.openxmlformats.org/spreadsheetml/2006/main">
  <c r="M37" i="2" l="1"/>
  <c r="I17" i="9"/>
  <c r="I19" i="9" s="1"/>
  <c r="I16" i="9"/>
  <c r="M34" i="2"/>
  <c r="I15" i="8"/>
  <c r="G15" i="8"/>
  <c r="I14" i="8"/>
  <c r="I17" i="8" s="1"/>
  <c r="G14" i="8"/>
  <c r="G17" i="8" s="1"/>
  <c r="I23" i="9" l="1"/>
  <c r="I25" i="9" s="1"/>
  <c r="I21" i="8"/>
  <c r="I23" i="8" s="1"/>
  <c r="G21" i="8"/>
  <c r="G23" i="8" s="1"/>
  <c r="M29" i="2" l="1"/>
  <c r="Q29" i="2" s="1"/>
  <c r="U29" i="2" s="1"/>
  <c r="K23" i="7"/>
  <c r="K21" i="7"/>
  <c r="K17" i="7"/>
  <c r="I17" i="7"/>
  <c r="G23" i="7"/>
  <c r="G21" i="7"/>
  <c r="G17" i="7"/>
  <c r="K13" i="7"/>
  <c r="I21" i="7" l="1"/>
  <c r="I23" i="7" s="1"/>
  <c r="M38" i="2"/>
  <c r="I15" i="6"/>
  <c r="I17" i="6" s="1"/>
  <c r="G15" i="6"/>
  <c r="G17" i="6" s="1"/>
  <c r="G34" i="5" l="1"/>
  <c r="O44" i="2" s="1"/>
  <c r="G25" i="5"/>
  <c r="G23" i="5"/>
  <c r="G16" i="5"/>
  <c r="G18" i="5" s="1"/>
  <c r="G30" i="5" l="1"/>
  <c r="G28" i="5"/>
  <c r="G29" i="5" l="1"/>
  <c r="G31" i="5" s="1"/>
  <c r="M44" i="2" s="1"/>
  <c r="O43" i="2" l="1"/>
  <c r="M43" i="2"/>
  <c r="Q43" i="2" l="1"/>
  <c r="U43" i="2" s="1"/>
  <c r="F19" i="4"/>
  <c r="F21" i="4" s="1"/>
  <c r="F23" i="4" s="1"/>
  <c r="F25" i="4" s="1"/>
  <c r="I45" i="3"/>
  <c r="I21" i="3" s="1"/>
  <c r="G43" i="3"/>
  <c r="I43" i="3"/>
  <c r="K42" i="3"/>
  <c r="K41" i="3"/>
  <c r="K43" i="3" s="1"/>
  <c r="K40" i="3"/>
  <c r="K39" i="3"/>
  <c r="G36" i="3"/>
  <c r="G45" i="3" s="1"/>
  <c r="I36" i="3"/>
  <c r="K35" i="3"/>
  <c r="K34" i="3"/>
  <c r="K33" i="3"/>
  <c r="K36" i="3" s="1"/>
  <c r="K32" i="3"/>
  <c r="G29" i="3"/>
  <c r="I29" i="3"/>
  <c r="K28" i="3"/>
  <c r="K27" i="3"/>
  <c r="K29" i="3" s="1"/>
  <c r="K45" i="3" s="1"/>
  <c r="K26" i="3"/>
  <c r="K25" i="3"/>
  <c r="I17" i="3"/>
  <c r="I19" i="3" s="1"/>
  <c r="K18" i="3"/>
  <c r="G17" i="3"/>
  <c r="G19" i="3" s="1"/>
  <c r="K16" i="3"/>
  <c r="K15" i="3"/>
  <c r="K14" i="3"/>
  <c r="K13" i="3"/>
  <c r="K17" i="3" s="1"/>
  <c r="I22" i="3" l="1"/>
  <c r="I20" i="3"/>
  <c r="O41" i="2"/>
  <c r="G21" i="3"/>
  <c r="G20" i="3"/>
  <c r="G22" i="3" s="1"/>
  <c r="M41" i="2" s="1"/>
  <c r="K19" i="3"/>
  <c r="K21" i="3"/>
  <c r="K20" i="3" l="1"/>
  <c r="K22" i="3"/>
  <c r="Q49" i="2" l="1"/>
  <c r="Q45" i="2"/>
  <c r="Q44" i="2"/>
  <c r="Q42" i="2"/>
  <c r="Q41" i="2"/>
  <c r="K49" i="2"/>
  <c r="K48" i="2"/>
  <c r="K47" i="2"/>
  <c r="K46" i="2"/>
  <c r="K45" i="2"/>
  <c r="K44" i="2"/>
  <c r="K42" i="2"/>
  <c r="K41" i="2"/>
  <c r="K40" i="2"/>
  <c r="K39" i="2"/>
  <c r="K38" i="2"/>
  <c r="K37" i="2"/>
  <c r="K36" i="2"/>
  <c r="K35" i="2"/>
  <c r="K34" i="2"/>
  <c r="K30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3" i="2"/>
  <c r="K12" i="2"/>
  <c r="K11" i="2"/>
  <c r="K10" i="2"/>
  <c r="G20" i="1"/>
  <c r="U44" i="2" l="1"/>
  <c r="U42" i="2"/>
  <c r="U41" i="2"/>
  <c r="M13" i="2"/>
  <c r="O48" i="2"/>
  <c r="M48" i="2"/>
  <c r="Q48" i="2" s="1"/>
  <c r="O47" i="2"/>
  <c r="Q47" i="2" s="1"/>
  <c r="O46" i="2"/>
  <c r="M46" i="2"/>
  <c r="O40" i="2"/>
  <c r="M40" i="2"/>
  <c r="Q40" i="2" s="1"/>
  <c r="O39" i="2"/>
  <c r="O38" i="2"/>
  <c r="Q38" i="2" s="1"/>
  <c r="U38" i="2" s="1"/>
  <c r="O37" i="2"/>
  <c r="Q37" i="2"/>
  <c r="U37" i="2" s="1"/>
  <c r="O36" i="2"/>
  <c r="M36" i="2"/>
  <c r="O35" i="2"/>
  <c r="M35" i="2"/>
  <c r="Q35" i="2" s="1"/>
  <c r="O34" i="2"/>
  <c r="Q34" i="2" s="1"/>
  <c r="U34" i="2" s="1"/>
  <c r="O13" i="2"/>
  <c r="Q13" i="2" l="1"/>
  <c r="Q36" i="2"/>
  <c r="Q46" i="2"/>
  <c r="Q39" i="2"/>
  <c r="U39" i="2" s="1"/>
  <c r="O30" i="2"/>
  <c r="M30" i="2"/>
  <c r="O28" i="2"/>
  <c r="Q28" i="2" s="1"/>
  <c r="M28" i="2"/>
  <c r="O27" i="2"/>
  <c r="M27" i="2"/>
  <c r="O26" i="2"/>
  <c r="Q26" i="2" s="1"/>
  <c r="M26" i="2"/>
  <c r="O25" i="2"/>
  <c r="M25" i="2"/>
  <c r="O24" i="2"/>
  <c r="Q24" i="2" s="1"/>
  <c r="M24" i="2"/>
  <c r="O23" i="2"/>
  <c r="M23" i="2"/>
  <c r="O22" i="2"/>
  <c r="Q22" i="2" s="1"/>
  <c r="M22" i="2"/>
  <c r="O21" i="2"/>
  <c r="M21" i="2"/>
  <c r="O20" i="2"/>
  <c r="Q20" i="2" s="1"/>
  <c r="M20" i="2"/>
  <c r="O19" i="2"/>
  <c r="M19" i="2"/>
  <c r="O18" i="2"/>
  <c r="Q18" i="2" s="1"/>
  <c r="M18" i="2"/>
  <c r="O17" i="2"/>
  <c r="M17" i="2"/>
  <c r="O16" i="2"/>
  <c r="Q16" i="2" s="1"/>
  <c r="M16" i="2"/>
  <c r="M10" i="2"/>
  <c r="O10" i="2"/>
  <c r="Q10" i="2" s="1"/>
  <c r="M11" i="2"/>
  <c r="O11" i="2"/>
  <c r="M12" i="2"/>
  <c r="O12" i="2"/>
  <c r="Q12" i="2" s="1"/>
  <c r="I14" i="2"/>
  <c r="I32" i="2" s="1"/>
  <c r="I51" i="2" s="1"/>
  <c r="E10" i="1" s="1"/>
  <c r="E14" i="1" s="1"/>
  <c r="G14" i="2"/>
  <c r="G32" i="2" s="1"/>
  <c r="G51" i="2" s="1"/>
  <c r="E16" i="1" s="1"/>
  <c r="Q17" i="2" l="1"/>
  <c r="Q19" i="2"/>
  <c r="Q21" i="2"/>
  <c r="Q23" i="2"/>
  <c r="Q25" i="2"/>
  <c r="Q27" i="2"/>
  <c r="Q30" i="2"/>
  <c r="Q11" i="2"/>
  <c r="U47" i="2"/>
  <c r="U49" i="2"/>
  <c r="U45" i="2"/>
  <c r="O14" i="2"/>
  <c r="O32" i="2" s="1"/>
  <c r="O51" i="2" s="1"/>
  <c r="G10" i="1" s="1"/>
  <c r="G14" i="1" s="1"/>
  <c r="M14" i="2"/>
  <c r="M32" i="2" s="1"/>
  <c r="M51" i="2" s="1"/>
  <c r="G16" i="1" s="1"/>
  <c r="K14" i="2"/>
  <c r="K32" i="2" s="1"/>
  <c r="K51" i="2" s="1"/>
  <c r="E18" i="1"/>
  <c r="E22" i="1" s="1"/>
  <c r="U51" i="2" l="1"/>
  <c r="G18" i="1"/>
  <c r="G22" i="1" s="1"/>
  <c r="Q14" i="2"/>
  <c r="Q32" i="2" s="1"/>
  <c r="Q51" i="2" s="1"/>
</calcChain>
</file>

<file path=xl/sharedStrings.xml><?xml version="1.0" encoding="utf-8"?>
<sst xmlns="http://schemas.openxmlformats.org/spreadsheetml/2006/main" count="366" uniqueCount="216">
  <si>
    <t>AVISTA CORPORATION</t>
  </si>
  <si>
    <t>CALCULATION OF GENERAL REVENUE REQUIREMENT</t>
  </si>
  <si>
    <t>TEST YEAR ENDED SEPTEMBER 30, 2014</t>
  </si>
  <si>
    <t>Line</t>
  </si>
  <si>
    <t>No.</t>
  </si>
  <si>
    <t>Description</t>
  </si>
  <si>
    <t>Rate Base</t>
  </si>
  <si>
    <t>Rate of Return, per Settlement</t>
  </si>
  <si>
    <t>Net Operating Income Requirement</t>
  </si>
  <si>
    <t>Adjusted Net Operating Income</t>
  </si>
  <si>
    <t>Adjusted Rate Base</t>
  </si>
  <si>
    <t>Net Operating Income Deficiency/(Sufficiency)</t>
  </si>
  <si>
    <t>Revenue Conversion Factor</t>
  </si>
  <si>
    <t>Revenue Requirement</t>
  </si>
  <si>
    <t>Amount</t>
  </si>
  <si>
    <t>Per Company</t>
  </si>
  <si>
    <t>Per PC</t>
  </si>
  <si>
    <t>(000s of Dollars)</t>
  </si>
  <si>
    <t>SUMMARY OF ADJUSTMENTS</t>
  </si>
  <si>
    <t>Schedule No. 1</t>
  </si>
  <si>
    <t xml:space="preserve">     Restated Total</t>
  </si>
  <si>
    <t xml:space="preserve">    Pro Forma Total</t>
  </si>
  <si>
    <t>Results of Operations</t>
  </si>
  <si>
    <t>Deferred FIT Rate Base</t>
  </si>
  <si>
    <t>Deferred Debits and Credits</t>
  </si>
  <si>
    <t>Working Capital</t>
  </si>
  <si>
    <t>Eliminate B &amp; O Taxes</t>
  </si>
  <si>
    <t>Restate Property Tax</t>
  </si>
  <si>
    <t>Regulatory Expense</t>
  </si>
  <si>
    <t>Injuries and Damages</t>
  </si>
  <si>
    <t>Restate Excise Taxes</t>
  </si>
  <si>
    <t>Eliminate Adder Schedules</t>
  </si>
  <si>
    <t>Restate Debt Interest</t>
  </si>
  <si>
    <t>Pro Forma Labor Non-Exec</t>
  </si>
  <si>
    <t>Pro Forma Labor Exec</t>
  </si>
  <si>
    <t>Pro Forma Employee Benefits</t>
  </si>
  <si>
    <t>Pro Forma Property Tax</t>
  </si>
  <si>
    <t>Pro Forma Information Tech/Serv Exp</t>
  </si>
  <si>
    <t>Pro Forma Revenue Normalization</t>
  </si>
  <si>
    <t>Planned Capital Add 2015 EOP</t>
  </si>
  <si>
    <t>Planned Capital Add 2016 AMA</t>
  </si>
  <si>
    <t>O&amp;M Offsets</t>
  </si>
  <si>
    <t>Reconcile Pro Forma To Attrition</t>
  </si>
  <si>
    <t>Avista</t>
  </si>
  <si>
    <t>Adj. #</t>
  </si>
  <si>
    <t>Public</t>
  </si>
  <si>
    <t>Counsel</t>
  </si>
  <si>
    <t>Adjustment Description</t>
  </si>
  <si>
    <t xml:space="preserve">NOI   </t>
  </si>
  <si>
    <t>Rev Req</t>
  </si>
  <si>
    <t>Avista Adjustments - As Revised</t>
  </si>
  <si>
    <t xml:space="preserve">  Subtotal</t>
  </si>
  <si>
    <t>Public Counsel</t>
  </si>
  <si>
    <t>Position on Avista's</t>
  </si>
  <si>
    <t>Revised Position</t>
  </si>
  <si>
    <t>Rev. Req.</t>
  </si>
  <si>
    <t>Impact of</t>
  </si>
  <si>
    <t>Differences</t>
  </si>
  <si>
    <t>PC Neutral in Direct</t>
  </si>
  <si>
    <t>PC Modified</t>
  </si>
  <si>
    <t>PC Opposes</t>
  </si>
  <si>
    <t>Exhibit No. DMR-3</t>
  </si>
  <si>
    <t>3.07U</t>
  </si>
  <si>
    <t>Uncollectible Expense</t>
  </si>
  <si>
    <t>FIT / DFIT Expense</t>
  </si>
  <si>
    <t>Office Space Charges to Subs</t>
  </si>
  <si>
    <t>Net Gains/Losses</t>
  </si>
  <si>
    <t>Weather Normalization / Gas Cost Adjust</t>
  </si>
  <si>
    <t>Misc Restating Adjustments</t>
  </si>
  <si>
    <t>Restating Incentive Adjustment</t>
  </si>
  <si>
    <t>Pro Forma Insurance</t>
  </si>
  <si>
    <t>Planned Capital Add-Dec '14 EOP-Update</t>
  </si>
  <si>
    <t>Pro Forma Atmospheric Testing</t>
  </si>
  <si>
    <t>Public Counsel Adjustments</t>
  </si>
  <si>
    <t>and/or PC Neutral in Direct</t>
  </si>
  <si>
    <t>Source/Notes:</t>
  </si>
  <si>
    <t>Avista Adjustments - Revised from response to Staff - 131, Staff_DR_131 - Attachment C - Revised Natural Pro Forma Study.</t>
  </si>
  <si>
    <t>Schedule No. 2</t>
  </si>
  <si>
    <t>Project Compass Deferral, Regulatory Amort.</t>
  </si>
  <si>
    <t>Depreciation/Amortization Expense</t>
  </si>
  <si>
    <t>Intangible</t>
  </si>
  <si>
    <t>Distribution</t>
  </si>
  <si>
    <t>General</t>
  </si>
  <si>
    <t>Net Operating Income Before FIT</t>
  </si>
  <si>
    <t>FIT Benefit of Depreciation/Amortization</t>
  </si>
  <si>
    <t xml:space="preserve">   Net Operating Income</t>
  </si>
  <si>
    <t>Plant Cost</t>
  </si>
  <si>
    <t>Total Plant Cost</t>
  </si>
  <si>
    <t xml:space="preserve">Accumulated Depreciation </t>
  </si>
  <si>
    <t>Total Accumulated Depreciation</t>
  </si>
  <si>
    <t>Accumulated DFIT</t>
  </si>
  <si>
    <t>Total Accumulated DFIT</t>
  </si>
  <si>
    <t xml:space="preserve">   Net Rate Base</t>
  </si>
  <si>
    <t>ADJUSTMENT TO REFLECT SEPTEMBER 2014 EOP CAPITAL ADDS</t>
  </si>
  <si>
    <t>EOP 9/30/14</t>
  </si>
  <si>
    <t xml:space="preserve"> - exclude new</t>
  </si>
  <si>
    <t>revenue</t>
  </si>
  <si>
    <t>EOP 12/31/14</t>
  </si>
  <si>
    <t>Per Avista</t>
  </si>
  <si>
    <t>Adjustment</t>
  </si>
  <si>
    <t>U/G Storage</t>
  </si>
  <si>
    <t>Total Expenses</t>
  </si>
  <si>
    <t>Transportation Expense</t>
  </si>
  <si>
    <t>FIT Benefit of Debt Interest</t>
  </si>
  <si>
    <t>PC-G.3.07</t>
  </si>
  <si>
    <t>PC-G.3.07U</t>
  </si>
  <si>
    <t>Company Workpapers G-CAP14</t>
  </si>
  <si>
    <t>(A)</t>
  </si>
  <si>
    <t>(B)</t>
  </si>
  <si>
    <t>(C)=(A) - (B)</t>
  </si>
  <si>
    <t>expense based on End of Test Year 9/30/14 plant balances instead of End Of Period 12/31/14</t>
  </si>
  <si>
    <t>projected balances incorporated in Company filing.</t>
  </si>
  <si>
    <t>Planned Cap Add Dec 2014 EOP (a)</t>
  </si>
  <si>
    <t>(a)  PC adjustment reflects Capital Additions at September 2014 EOP (i.e., end of test year) instead of December 2014 EOP proposed by Avista.</t>
  </si>
  <si>
    <t>REFLECT UPDATED REPAIRS TAX DEDUCTION - ADFIT</t>
  </si>
  <si>
    <t>Impact of Repairs Tax Deduction on ADFIT in Adjusted</t>
  </si>
  <si>
    <t>Increase in ADFIT Offset to Rate Base for Impact of Repairs</t>
  </si>
  <si>
    <t xml:space="preserve">    Tax Deduction, per PC</t>
  </si>
  <si>
    <t>Per PC Reduction to Rate Base</t>
  </si>
  <si>
    <t>Impact on Federal Income Tax for Debt Interest</t>
  </si>
  <si>
    <t>Per PC Reduction in Net Operating Income</t>
  </si>
  <si>
    <t>Source:</t>
  </si>
  <si>
    <t>Line 1:  Response to PC-051</t>
  </si>
  <si>
    <t>Line 2:  Response to PC-049</t>
  </si>
  <si>
    <t>Line 5:  -Line 4 x 2.68% weighted cost of debt x 35% FIT rate</t>
  </si>
  <si>
    <t xml:space="preserve">    Test Year 12/31/14 EOP Basis After Update, per Company</t>
  </si>
  <si>
    <t>Impact of Repairs Tax Deduction on ADFIT in in Adjusted</t>
  </si>
  <si>
    <t xml:space="preserve">    Test Year 12/31/14 EOP Basis Before Update, per Company</t>
  </si>
  <si>
    <t xml:space="preserve">The above adjustment results in plant in service, accumulated depreciation, ADFIT and depreciation </t>
  </si>
  <si>
    <t>PC-G.3.08</t>
  </si>
  <si>
    <t>Reflect Updated Repairs Tax Deduction</t>
  </si>
  <si>
    <t>PC Recommendation</t>
  </si>
  <si>
    <t>PRO FORMA MAJOR PLANT ADDITIONS</t>
  </si>
  <si>
    <t>Aldyl - A Pipe Replacement  - Actual Pro Forma Additions</t>
  </si>
  <si>
    <t>Actual Additions to Plant in Service Oct 2014 - Dec 2014</t>
  </si>
  <si>
    <t>Depreciation Rate, per Company</t>
  </si>
  <si>
    <t>Reference</t>
  </si>
  <si>
    <t>Staff_DR_143 Attachment A REVISED</t>
  </si>
  <si>
    <t>Staff_DR_143 Attachment B REVISED</t>
  </si>
  <si>
    <t>PC_DR-032 Attachment A</t>
  </si>
  <si>
    <t>Depreciation Expense</t>
  </si>
  <si>
    <t>Actual Additions to Plant in Service October 2014 - April 2015</t>
  </si>
  <si>
    <t>Net Rate Base Impact (PIS less ADFIT)</t>
  </si>
  <si>
    <t xml:space="preserve">Depreciation Expense, per Company </t>
  </si>
  <si>
    <t>Net Operating Income Impact of Major Pro Forma Plant Additions:</t>
  </si>
  <si>
    <t>Lines 5 and 9</t>
  </si>
  <si>
    <t>Rate Base Impact of Major Pro Forma Plant Additions:</t>
  </si>
  <si>
    <t>Net Rate Base Impact</t>
  </si>
  <si>
    <t>Lines 3 and 8</t>
  </si>
  <si>
    <t>Line 14 x 2.68% wtd cost of debt x 35%</t>
  </si>
  <si>
    <t>Line 10 x 35%</t>
  </si>
  <si>
    <t>PC-G.4.01</t>
  </si>
  <si>
    <t>Accumulated Deferred Federal Income Tax</t>
  </si>
  <si>
    <t>Actual Additions to Plant in Service Jan 2015 - May 2015</t>
  </si>
  <si>
    <t>PRO FORMA PROPERTY TAX EXPENSE</t>
  </si>
  <si>
    <t>Pro Forma Property Tax Expense Adjustment</t>
  </si>
  <si>
    <t>Federal Income Tax Rate</t>
  </si>
  <si>
    <t>Reduction in Federal Income Tax Expense</t>
  </si>
  <si>
    <t>Adjustment to Net Operating Income</t>
  </si>
  <si>
    <t>Per PC Adjustment calculated using the Company's electronic Property Tax workpapers.</t>
  </si>
  <si>
    <t xml:space="preserve">The per PC amounts removed the Company's projected escalation in the property tax rates </t>
  </si>
  <si>
    <t>(used actual 2014 effective rates from Company workpaper) and limited the amount to the</t>
  </si>
  <si>
    <t>PC-G.3.04</t>
  </si>
  <si>
    <t>Per Avista Adjustment from Exhibit No.__(JSS-3), page 8 of 10.</t>
  </si>
  <si>
    <t>PC-G2.15</t>
  </si>
  <si>
    <t>PC-G.2.15</t>
  </si>
  <si>
    <t>REMOVE LONG TERM INCENTIVE PLAN EXPENSE</t>
  </si>
  <si>
    <t>Remove Long Term Incentive Plan Exp.</t>
  </si>
  <si>
    <t>WA-Electric</t>
  </si>
  <si>
    <t>WA-Gas</t>
  </si>
  <si>
    <t>Total WA</t>
  </si>
  <si>
    <t>LTIP Expense to Income in Test Year, per Company</t>
  </si>
  <si>
    <t>LTIP Expense to Include in Test Year, per PC</t>
  </si>
  <si>
    <t>Reduction to Expenses to Remove LTIP</t>
  </si>
  <si>
    <t>Line 1:  Per response to ICNU-031.</t>
  </si>
  <si>
    <t>NON-EXECUTIVE LABOR ADJUSTMENT</t>
  </si>
  <si>
    <t>Total Non-Exec. Labor Adjustment, per Company</t>
  </si>
  <si>
    <t>Remove Projected 2016 Wage Increases</t>
  </si>
  <si>
    <t>Total Non-Exec. Labor Adjustment, per PC</t>
  </si>
  <si>
    <t>Adjustment to Net Operating Income, per PC</t>
  </si>
  <si>
    <t>Lines 2 - 3:  Company Labor Adjustment Workpapers</t>
  </si>
  <si>
    <t xml:space="preserve">Line 1:  Exhibit__(JSS-3), page 8 of 10 and Company Labor Adjustment Workpapers </t>
  </si>
  <si>
    <t>PC-G.3.00</t>
  </si>
  <si>
    <t>PC-G.3.03</t>
  </si>
  <si>
    <t>INSURANCE EXPENSE ADJUSTMENT</t>
  </si>
  <si>
    <t>Actual Test Period D&amp;O Insurance Expense, per Company</t>
  </si>
  <si>
    <t>Removal Percentage, per Company</t>
  </si>
  <si>
    <t>Adjustment to Test Year Insurance Expense, per PC</t>
  </si>
  <si>
    <t>Reduction to Test Year Insurance Expense - WA Electric Basis</t>
  </si>
  <si>
    <t>Increase in Federal Income Tax Expense</t>
  </si>
  <si>
    <t>Lines 1, 2, and 4:  Company Pro Forma Insurance Expense Workpapers</t>
  </si>
  <si>
    <t>Portion Allocated To Washington Gas, per Company</t>
  </si>
  <si>
    <t>NATURAL GAS DOCKET NO. UG-150205</t>
  </si>
  <si>
    <t>Page 1 of 9</t>
  </si>
  <si>
    <t>Page 2 of 9</t>
  </si>
  <si>
    <t>Page 3 of 9</t>
  </si>
  <si>
    <t>Schedule No. 3</t>
  </si>
  <si>
    <t>Page 4 of 9</t>
  </si>
  <si>
    <t>Schedule No. 4</t>
  </si>
  <si>
    <t>Page 5 of 9</t>
  </si>
  <si>
    <t>Schedule No. 5</t>
  </si>
  <si>
    <t>Page 9 of 9</t>
  </si>
  <si>
    <t>Schedule No. 6</t>
  </si>
  <si>
    <t>Page 6 of 9</t>
  </si>
  <si>
    <t>Page 7 of 9</t>
  </si>
  <si>
    <t>Schedule No. 9</t>
  </si>
  <si>
    <t>Schedule No. 7</t>
  </si>
  <si>
    <t>Page 8 of 9</t>
  </si>
  <si>
    <t>Schedule No. 8</t>
  </si>
  <si>
    <t>projected 2015 property tax accrual year based on the per Company 2014 plant book value</t>
  </si>
  <si>
    <t>excluding the tax rate escalation.  Per Company amount based on escalated tax rates and</t>
  </si>
  <si>
    <t>projected 2016 property tax accrual year based on Company projected 2014 plant book values.</t>
  </si>
  <si>
    <t>Aldyl - A Pipe Replacement Capital Additions:</t>
  </si>
  <si>
    <t>Customer Information System Replacement (Proj. Compass) Capital Additions:</t>
  </si>
  <si>
    <t>Remove Avista's Project Compass Adjustment</t>
  </si>
  <si>
    <t>Dockets UE-150204 &amp; UG-150205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</si>
</sst>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_(* #,##0.00000_);_(* \(#,##0.00000\);_(* &quot;-&quot;??_);_(@_)"/>
    <numFmt numFmtId="166" formatCode="_(* #,###_);_(* \(#,##0\);_(* &quot;-&quot;_);_(@_)"/>
    <numFmt numFmtId="167" formatCode="_(* #,##0.0000_);_(* \(#,##0.0000\);_(* &quot;-&quot;??_);_(@_)"/>
  </numFmts>
  <fonts count="4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u/>
      <sz val="12"/>
      <color theme="1"/>
      <name val="Times New Roman"/>
      <family val="2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0" fontId="0" fillId="0" borderId="0" xfId="2" applyNumberFormat="1" applyFont="1"/>
    <xf numFmtId="10" fontId="0" fillId="0" borderId="1" xfId="2" applyNumberFormat="1" applyFont="1" applyBorder="1"/>
    <xf numFmtId="0" fontId="0" fillId="0" borderId="0" xfId="0" quotePrefix="1"/>
    <xf numFmtId="164" fontId="0" fillId="0" borderId="0" xfId="1" applyNumberFormat="1" applyFont="1"/>
    <xf numFmtId="164" fontId="0" fillId="0" borderId="0" xfId="0" applyNumberFormat="1"/>
    <xf numFmtId="164" fontId="0" fillId="0" borderId="1" xfId="0" applyNumberFormat="1" applyBorder="1"/>
    <xf numFmtId="165" fontId="0" fillId="0" borderId="1" xfId="0" applyNumberFormat="1" applyBorder="1"/>
    <xf numFmtId="164" fontId="0" fillId="0" borderId="2" xfId="0" applyNumberFormat="1" applyBorder="1"/>
    <xf numFmtId="0" fontId="0" fillId="0" borderId="0" xfId="0" applyAlignment="1">
      <alignment horizontal="right"/>
    </xf>
    <xf numFmtId="2" fontId="0" fillId="0" borderId="0" xfId="0" applyNumberFormat="1"/>
    <xf numFmtId="3" fontId="0" fillId="0" borderId="0" xfId="0" applyNumberFormat="1"/>
    <xf numFmtId="5" fontId="0" fillId="0" borderId="0" xfId="0" applyNumberFormat="1"/>
    <xf numFmtId="37" fontId="0" fillId="0" borderId="0" xfId="0" applyNumberFormat="1"/>
    <xf numFmtId="6" fontId="0" fillId="0" borderId="0" xfId="0" applyNumberFormat="1"/>
    <xf numFmtId="0" fontId="0" fillId="0" borderId="1" xfId="0" applyBorder="1" applyAlignment="1">
      <alignment horizontal="centerContinuous"/>
    </xf>
    <xf numFmtId="37" fontId="0" fillId="0" borderId="1" xfId="0" applyNumberFormat="1" applyBorder="1"/>
    <xf numFmtId="2" fontId="0" fillId="0" borderId="0" xfId="0" applyNumberFormat="1" applyAlignment="1">
      <alignment horizontal="right"/>
    </xf>
    <xf numFmtId="0" fontId="0" fillId="0" borderId="0" xfId="0" applyFill="1" applyBorder="1" applyAlignment="1">
      <alignment horizontal="center"/>
    </xf>
    <xf numFmtId="164" fontId="0" fillId="0" borderId="1" xfId="1" applyNumberFormat="1" applyFont="1" applyBorder="1"/>
    <xf numFmtId="37" fontId="0" fillId="0" borderId="0" xfId="1" applyNumberFormat="1" applyFont="1"/>
    <xf numFmtId="37" fontId="0" fillId="0" borderId="1" xfId="1" applyNumberFormat="1" applyFont="1" applyBorder="1"/>
    <xf numFmtId="0" fontId="0" fillId="0" borderId="0" xfId="0" applyBorder="1" applyAlignment="1">
      <alignment horizontal="centerContinuous"/>
    </xf>
    <xf numFmtId="0" fontId="2" fillId="0" borderId="0" xfId="0" applyFont="1"/>
    <xf numFmtId="0" fontId="0" fillId="0" borderId="0" xfId="0" quotePrefix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quotePrefix="1" applyBorder="1" applyAlignment="1">
      <alignment horizontal="center"/>
    </xf>
    <xf numFmtId="166" fontId="0" fillId="0" borderId="0" xfId="1" applyNumberFormat="1" applyFont="1" applyFill="1" applyBorder="1"/>
    <xf numFmtId="164" fontId="0" fillId="0" borderId="0" xfId="1" applyNumberFormat="1" applyFont="1" applyFill="1"/>
    <xf numFmtId="164" fontId="0" fillId="0" borderId="3" xfId="1" applyNumberFormat="1" applyFont="1" applyFill="1" applyBorder="1"/>
    <xf numFmtId="164" fontId="0" fillId="0" borderId="0" xfId="1" applyNumberFormat="1" applyFont="1" applyFill="1" applyBorder="1"/>
    <xf numFmtId="164" fontId="0" fillId="0" borderId="5" xfId="1" applyNumberFormat="1" applyFont="1" applyFill="1" applyBorder="1"/>
    <xf numFmtId="164" fontId="0" fillId="0" borderId="4" xfId="1" applyNumberFormat="1" applyFont="1" applyFill="1" applyBorder="1"/>
    <xf numFmtId="0" fontId="0" fillId="0" borderId="0" xfId="0" applyBorder="1"/>
    <xf numFmtId="0" fontId="2" fillId="0" borderId="0" xfId="0" applyFont="1" applyBorder="1"/>
    <xf numFmtId="0" fontId="0" fillId="0" borderId="0" xfId="0" applyFill="1" applyBorder="1"/>
    <xf numFmtId="0" fontId="2" fillId="0" borderId="0" xfId="0" applyFont="1" applyFill="1" applyBorder="1"/>
    <xf numFmtId="164" fontId="0" fillId="0" borderId="0" xfId="0" applyNumberFormat="1" applyBorder="1"/>
    <xf numFmtId="0" fontId="0" fillId="0" borderId="1" xfId="0" applyBorder="1" applyAlignment="1">
      <alignment horizontal="left"/>
    </xf>
    <xf numFmtId="164" fontId="0" fillId="0" borderId="3" xfId="1" applyNumberFormat="1" applyFont="1" applyBorder="1"/>
    <xf numFmtId="164" fontId="0" fillId="0" borderId="2" xfId="1" applyNumberFormat="1" applyFont="1" applyBorder="1"/>
    <xf numFmtId="9" fontId="0" fillId="0" borderId="1" xfId="2" applyFont="1" applyBorder="1"/>
    <xf numFmtId="37" fontId="0" fillId="0" borderId="0" xfId="0" applyNumberFormat="1" applyFill="1"/>
    <xf numFmtId="164" fontId="0" fillId="0" borderId="0" xfId="1" applyNumberFormat="1" applyFont="1" applyBorder="1"/>
    <xf numFmtId="167" fontId="0" fillId="0" borderId="1" xfId="1" applyNumberFormat="1" applyFont="1" applyBorder="1"/>
    <xf numFmtId="9" fontId="0" fillId="0" borderId="0" xfId="2" applyFont="1" applyBorder="1"/>
    <xf numFmtId="37" fontId="0" fillId="0" borderId="2" xfId="0" applyNumberFormat="1" applyBorder="1"/>
    <xf numFmtId="0" fontId="3" fillId="0" borderId="0" xfId="0" applyFont="1" applyAlignment="1">
      <alignment horizontal="righ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workbookViewId="0">
      <selection activeCell="G1" sqref="G1"/>
    </sheetView>
  </sheetViews>
  <sheetFormatPr defaultRowHeight="15.6" x14ac:dyDescent="0.3"/>
  <cols>
    <col min="1" max="1" width="4.3984375" customWidth="1"/>
    <col min="2" max="2" width="1.5" customWidth="1"/>
    <col min="3" max="3" width="42.59765625" customWidth="1"/>
    <col min="4" max="4" width="1.5" customWidth="1"/>
    <col min="5" max="5" width="11.69921875" customWidth="1"/>
    <col min="6" max="6" width="1.59765625" customWidth="1"/>
    <col min="7" max="7" width="11.8984375" customWidth="1"/>
  </cols>
  <sheetData>
    <row r="1" spans="1:7" x14ac:dyDescent="0.3">
      <c r="A1" t="s">
        <v>0</v>
      </c>
      <c r="G1" s="51" t="s">
        <v>215</v>
      </c>
    </row>
    <row r="2" spans="1:7" x14ac:dyDescent="0.3">
      <c r="A2" t="s">
        <v>192</v>
      </c>
      <c r="G2" s="12" t="s">
        <v>61</v>
      </c>
    </row>
    <row r="3" spans="1:7" x14ac:dyDescent="0.3">
      <c r="A3" t="s">
        <v>1</v>
      </c>
      <c r="G3" s="12" t="s">
        <v>193</v>
      </c>
    </row>
    <row r="4" spans="1:7" x14ac:dyDescent="0.3">
      <c r="A4" t="s">
        <v>2</v>
      </c>
      <c r="G4" s="12" t="s">
        <v>19</v>
      </c>
    </row>
    <row r="5" spans="1:7" x14ac:dyDescent="0.3">
      <c r="A5" s="6" t="s">
        <v>17</v>
      </c>
    </row>
    <row r="7" spans="1:7" x14ac:dyDescent="0.3">
      <c r="A7" t="s">
        <v>3</v>
      </c>
      <c r="E7" s="2" t="s">
        <v>14</v>
      </c>
      <c r="G7" s="2" t="s">
        <v>14</v>
      </c>
    </row>
    <row r="8" spans="1:7" x14ac:dyDescent="0.3">
      <c r="A8" s="1" t="s">
        <v>4</v>
      </c>
      <c r="C8" s="1" t="s">
        <v>5</v>
      </c>
      <c r="E8" s="3" t="s">
        <v>15</v>
      </c>
      <c r="G8" s="3" t="s">
        <v>16</v>
      </c>
    </row>
    <row r="10" spans="1:7" x14ac:dyDescent="0.3">
      <c r="A10">
        <v>1</v>
      </c>
      <c r="C10" t="s">
        <v>10</v>
      </c>
      <c r="E10" s="7">
        <f>Summary!I51</f>
        <v>282471</v>
      </c>
      <c r="F10" s="7"/>
      <c r="G10" s="7">
        <f>Summary!O51</f>
        <v>252365</v>
      </c>
    </row>
    <row r="12" spans="1:7" x14ac:dyDescent="0.3">
      <c r="A12">
        <v>2</v>
      </c>
      <c r="C12" t="s">
        <v>7</v>
      </c>
      <c r="E12" s="5">
        <v>7.2900000000000006E-2</v>
      </c>
      <c r="F12" s="4"/>
      <c r="G12" s="5">
        <v>7.2900000000000006E-2</v>
      </c>
    </row>
    <row r="14" spans="1:7" x14ac:dyDescent="0.3">
      <c r="A14">
        <v>3</v>
      </c>
      <c r="C14" t="s">
        <v>8</v>
      </c>
      <c r="E14" s="8">
        <f>E10*E12</f>
        <v>20592.135900000001</v>
      </c>
      <c r="G14" s="8">
        <f>G10*G12</f>
        <v>18397.408500000001</v>
      </c>
    </row>
    <row r="16" spans="1:7" x14ac:dyDescent="0.3">
      <c r="A16">
        <v>4</v>
      </c>
      <c r="C16" t="s">
        <v>9</v>
      </c>
      <c r="E16" s="9">
        <f>Summary!G51</f>
        <v>14568.493980000005</v>
      </c>
      <c r="F16" s="8"/>
      <c r="G16" s="9">
        <f>Summary!M51</f>
        <v>16328.287130000001</v>
      </c>
    </row>
    <row r="17" spans="1:7" x14ac:dyDescent="0.3">
      <c r="E17" s="8"/>
      <c r="F17" s="8"/>
      <c r="G17" s="8"/>
    </row>
    <row r="18" spans="1:7" x14ac:dyDescent="0.3">
      <c r="A18">
        <v>5</v>
      </c>
      <c r="C18" t="s">
        <v>11</v>
      </c>
      <c r="E18" s="8">
        <f>E14-E16</f>
        <v>6023.6419199999964</v>
      </c>
      <c r="F18" s="8"/>
      <c r="G18" s="8">
        <f>G14-G16</f>
        <v>2069.1213700000008</v>
      </c>
    </row>
    <row r="19" spans="1:7" x14ac:dyDescent="0.3">
      <c r="E19" s="8"/>
      <c r="F19" s="8"/>
      <c r="G19" s="8"/>
    </row>
    <row r="20" spans="1:7" x14ac:dyDescent="0.3">
      <c r="A20">
        <v>6</v>
      </c>
      <c r="C20" t="s">
        <v>12</v>
      </c>
      <c r="E20" s="10">
        <v>0.62014000000000002</v>
      </c>
      <c r="F20" s="8"/>
      <c r="G20" s="10">
        <f>E20</f>
        <v>0.62014000000000002</v>
      </c>
    </row>
    <row r="21" spans="1:7" x14ac:dyDescent="0.3">
      <c r="E21" s="8"/>
      <c r="F21" s="8"/>
      <c r="G21" s="8"/>
    </row>
    <row r="22" spans="1:7" ht="16.2" thickBot="1" x14ac:dyDescent="0.35">
      <c r="A22">
        <v>7</v>
      </c>
      <c r="C22" t="s">
        <v>13</v>
      </c>
      <c r="E22" s="11">
        <f>E18/E20</f>
        <v>9713.3581449350077</v>
      </c>
      <c r="F22" s="8"/>
      <c r="G22" s="11">
        <f>G18/G20</f>
        <v>3336.5391201986658</v>
      </c>
    </row>
    <row r="23" spans="1:7" ht="16.2" thickTop="1" x14ac:dyDescent="0.3">
      <c r="E23" s="8"/>
      <c r="F23" s="8"/>
      <c r="G23" s="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5"/>
  <sheetViews>
    <sheetView topLeftCell="D1" workbookViewId="0">
      <selection activeCell="U1" sqref="U1"/>
    </sheetView>
  </sheetViews>
  <sheetFormatPr defaultRowHeight="15.6" x14ac:dyDescent="0.3"/>
  <cols>
    <col min="1" max="1" width="5.3984375" customWidth="1"/>
    <col min="2" max="2" width="0.5" customWidth="1"/>
    <col min="3" max="3" width="9.19921875" customWidth="1"/>
    <col min="4" max="4" width="0.69921875" customWidth="1"/>
    <col min="5" max="5" width="33.5" customWidth="1"/>
    <col min="6" max="6" width="1.69921875" customWidth="1"/>
    <col min="7" max="7" width="7.59765625" customWidth="1"/>
    <col min="8" max="8" width="1.19921875" customWidth="1"/>
    <col min="9" max="9" width="8.59765625" customWidth="1"/>
    <col min="10" max="10" width="0.59765625" customWidth="1"/>
    <col min="11" max="11" width="8" customWidth="1"/>
    <col min="12" max="12" width="1.59765625" customWidth="1"/>
    <col min="13" max="13" width="7.09765625" customWidth="1"/>
    <col min="14" max="14" width="0.59765625" customWidth="1"/>
    <col min="15" max="15" width="8.09765625" customWidth="1"/>
    <col min="16" max="16" width="0.5" customWidth="1"/>
    <col min="17" max="17" width="7.8984375" customWidth="1"/>
    <col min="18" max="18" width="0.5" customWidth="1"/>
    <col min="19" max="19" width="16.09765625" customWidth="1"/>
    <col min="20" max="20" width="0.69921875" customWidth="1"/>
    <col min="21" max="21" width="8.69921875" customWidth="1"/>
  </cols>
  <sheetData>
    <row r="1" spans="1:21" x14ac:dyDescent="0.3">
      <c r="A1" t="s">
        <v>0</v>
      </c>
      <c r="U1" s="51" t="s">
        <v>215</v>
      </c>
    </row>
    <row r="2" spans="1:21" x14ac:dyDescent="0.3">
      <c r="A2" t="s">
        <v>192</v>
      </c>
      <c r="U2" s="12" t="s">
        <v>61</v>
      </c>
    </row>
    <row r="3" spans="1:21" x14ac:dyDescent="0.3">
      <c r="A3" t="s">
        <v>18</v>
      </c>
      <c r="U3" s="12" t="s">
        <v>194</v>
      </c>
    </row>
    <row r="4" spans="1:21" x14ac:dyDescent="0.3">
      <c r="A4" t="s">
        <v>2</v>
      </c>
      <c r="U4" s="12" t="s">
        <v>77</v>
      </c>
    </row>
    <row r="5" spans="1:21" x14ac:dyDescent="0.3">
      <c r="A5" s="6" t="s">
        <v>17</v>
      </c>
      <c r="B5" s="6"/>
      <c r="C5" s="6"/>
      <c r="D5" s="6"/>
    </row>
    <row r="6" spans="1:21" x14ac:dyDescent="0.3">
      <c r="A6" s="6"/>
      <c r="B6" s="6"/>
      <c r="C6" s="6"/>
      <c r="D6" s="6"/>
    </row>
    <row r="7" spans="1:21" x14ac:dyDescent="0.3">
      <c r="C7" s="2" t="s">
        <v>45</v>
      </c>
      <c r="M7" s="25" t="s">
        <v>73</v>
      </c>
      <c r="N7" s="25"/>
      <c r="O7" s="25"/>
      <c r="P7" s="25"/>
      <c r="Q7" s="25"/>
      <c r="S7" s="2" t="s">
        <v>52</v>
      </c>
      <c r="U7" s="2" t="s">
        <v>55</v>
      </c>
    </row>
    <row r="8" spans="1:21" x14ac:dyDescent="0.3">
      <c r="A8" s="2" t="s">
        <v>43</v>
      </c>
      <c r="C8" s="2" t="s">
        <v>46</v>
      </c>
      <c r="G8" s="18" t="s">
        <v>50</v>
      </c>
      <c r="H8" s="18"/>
      <c r="I8" s="18"/>
      <c r="J8" s="18"/>
      <c r="K8" s="18"/>
      <c r="M8" s="18" t="s">
        <v>74</v>
      </c>
      <c r="N8" s="18"/>
      <c r="O8" s="18"/>
      <c r="P8" s="18"/>
      <c r="Q8" s="18"/>
      <c r="S8" s="2" t="s">
        <v>53</v>
      </c>
      <c r="U8" s="2" t="s">
        <v>56</v>
      </c>
    </row>
    <row r="9" spans="1:21" x14ac:dyDescent="0.3">
      <c r="A9" s="3" t="s">
        <v>44</v>
      </c>
      <c r="B9" s="13"/>
      <c r="C9" s="3" t="s">
        <v>44</v>
      </c>
      <c r="D9" s="13"/>
      <c r="E9" s="1" t="s">
        <v>47</v>
      </c>
      <c r="G9" s="3" t="s">
        <v>48</v>
      </c>
      <c r="H9" s="2"/>
      <c r="I9" s="3" t="s">
        <v>6</v>
      </c>
      <c r="K9" s="3" t="s">
        <v>49</v>
      </c>
      <c r="M9" s="3" t="s">
        <v>48</v>
      </c>
      <c r="N9" s="2"/>
      <c r="O9" s="3" t="s">
        <v>6</v>
      </c>
      <c r="Q9" s="3" t="s">
        <v>49</v>
      </c>
      <c r="S9" s="3" t="s">
        <v>54</v>
      </c>
      <c r="U9" s="3" t="s">
        <v>57</v>
      </c>
    </row>
    <row r="10" spans="1:21" x14ac:dyDescent="0.3">
      <c r="A10" s="13">
        <v>1</v>
      </c>
      <c r="B10" s="13"/>
      <c r="C10" s="13"/>
      <c r="D10" s="13"/>
      <c r="E10" s="14" t="s">
        <v>22</v>
      </c>
      <c r="G10" s="7">
        <v>15002</v>
      </c>
      <c r="H10" s="7"/>
      <c r="I10" s="7">
        <v>233475</v>
      </c>
      <c r="K10" s="16">
        <f>((I10*0.0729)-G10)/0.62014</f>
        <v>3254.6320185764553</v>
      </c>
      <c r="M10" s="16">
        <f>G10</f>
        <v>15002</v>
      </c>
      <c r="O10" s="16">
        <f>I10</f>
        <v>233475</v>
      </c>
      <c r="Q10" s="16">
        <f>((O10*0.0729)-M10)/0.62014</f>
        <v>3254.6320185764553</v>
      </c>
    </row>
    <row r="11" spans="1:21" x14ac:dyDescent="0.3">
      <c r="A11" s="13">
        <v>1.01</v>
      </c>
      <c r="B11" s="13"/>
      <c r="C11" s="13"/>
      <c r="D11" s="13"/>
      <c r="E11" s="14" t="s">
        <v>23</v>
      </c>
      <c r="G11" s="23">
        <v>-28.440159999999995</v>
      </c>
      <c r="H11" s="7"/>
      <c r="I11" s="7">
        <v>-3032</v>
      </c>
      <c r="K11" s="16">
        <f>((I11*0.0729)-G11)/0.62014</f>
        <v>-310.56316315670659</v>
      </c>
      <c r="M11" s="16">
        <f t="shared" ref="M11:M12" si="0">G11</f>
        <v>-28.440159999999995</v>
      </c>
      <c r="O11" s="16">
        <f t="shared" ref="O11:O12" si="1">I11</f>
        <v>-3032</v>
      </c>
      <c r="Q11" s="16">
        <f>((O11*0.0729)-M11)/0.62014</f>
        <v>-310.56316315670659</v>
      </c>
      <c r="S11" s="21" t="s">
        <v>58</v>
      </c>
      <c r="U11" s="16"/>
    </row>
    <row r="12" spans="1:21" x14ac:dyDescent="0.3">
      <c r="A12" s="13">
        <v>1.02</v>
      </c>
      <c r="B12" s="13"/>
      <c r="C12" s="13"/>
      <c r="D12" s="13"/>
      <c r="E12" s="14" t="s">
        <v>24</v>
      </c>
      <c r="G12" s="23">
        <v>-0.65</v>
      </c>
      <c r="H12" s="7"/>
      <c r="I12" s="7">
        <v>0</v>
      </c>
      <c r="K12" s="16">
        <f>((I12*0.0729)-G12)/0.62014</f>
        <v>1.048150417647628</v>
      </c>
      <c r="M12" s="16">
        <f t="shared" si="0"/>
        <v>-0.65</v>
      </c>
      <c r="O12" s="16">
        <f t="shared" si="1"/>
        <v>0</v>
      </c>
      <c r="Q12" s="16">
        <f>((O12*0.0729)-M12)/0.62014</f>
        <v>1.048150417647628</v>
      </c>
      <c r="S12" s="21" t="s">
        <v>58</v>
      </c>
      <c r="U12" s="16"/>
    </row>
    <row r="13" spans="1:21" x14ac:dyDescent="0.3">
      <c r="A13" s="13">
        <v>1.03</v>
      </c>
      <c r="B13" s="13"/>
      <c r="C13" s="13"/>
      <c r="D13" s="13"/>
      <c r="E13" s="14" t="s">
        <v>25</v>
      </c>
      <c r="G13" s="24">
        <v>97.279980000000009</v>
      </c>
      <c r="H13" s="7"/>
      <c r="I13" s="22">
        <v>10371</v>
      </c>
      <c r="K13" s="19">
        <f>((I13*0.0729)-G13)/0.62014</f>
        <v>1062.2858064308059</v>
      </c>
      <c r="M13" s="19">
        <f>G13</f>
        <v>97.279980000000009</v>
      </c>
      <c r="N13" s="16"/>
      <c r="O13" s="19">
        <f>I13</f>
        <v>10371</v>
      </c>
      <c r="Q13" s="19">
        <f>((O13*0.0729)-M13)/0.62014</f>
        <v>1062.2858064308059</v>
      </c>
      <c r="S13" s="21" t="s">
        <v>58</v>
      </c>
      <c r="U13" s="16"/>
    </row>
    <row r="14" spans="1:21" x14ac:dyDescent="0.3">
      <c r="A14" s="13"/>
      <c r="B14" s="13"/>
      <c r="C14" s="13"/>
      <c r="D14" s="13"/>
      <c r="E14" t="s">
        <v>51</v>
      </c>
      <c r="G14" s="7">
        <f>SUM(G10:G13)</f>
        <v>15070.18982</v>
      </c>
      <c r="H14" s="7"/>
      <c r="I14" s="7">
        <f>SUM(I10:I13)</f>
        <v>240814</v>
      </c>
      <c r="K14" s="16">
        <f>SUM(K10:K13)</f>
        <v>4007.4028122682021</v>
      </c>
      <c r="M14" s="16">
        <f>SUM(M10:M13)</f>
        <v>15070.18982</v>
      </c>
      <c r="N14" s="16"/>
      <c r="O14" s="16">
        <f>SUM(O10:O13)</f>
        <v>240814</v>
      </c>
      <c r="Q14" s="16">
        <f>SUM(Q10:Q13)</f>
        <v>4007.4028122682021</v>
      </c>
    </row>
    <row r="15" spans="1:21" x14ac:dyDescent="0.3">
      <c r="A15" s="13"/>
      <c r="B15" s="13"/>
      <c r="C15" s="13"/>
      <c r="D15" s="13"/>
      <c r="G15" s="7"/>
      <c r="H15" s="7"/>
      <c r="I15" s="7"/>
    </row>
    <row r="16" spans="1:21" x14ac:dyDescent="0.3">
      <c r="A16" s="13">
        <v>2.0099999999999998</v>
      </c>
      <c r="B16" s="13"/>
      <c r="C16" s="13"/>
      <c r="D16" s="13"/>
      <c r="E16" s="14" t="s">
        <v>26</v>
      </c>
      <c r="G16" s="23">
        <v>-7.15</v>
      </c>
      <c r="H16" s="7"/>
      <c r="I16" s="7">
        <v>0</v>
      </c>
      <c r="K16" s="16">
        <f>((I16*0.0729)-G16)/0.62014</f>
        <v>11.529654594123908</v>
      </c>
      <c r="M16" s="16">
        <f t="shared" ref="M16:M30" si="2">G16</f>
        <v>-7.15</v>
      </c>
      <c r="O16" s="7">
        <f t="shared" ref="O16:O30" si="3">I16</f>
        <v>0</v>
      </c>
      <c r="Q16" s="16">
        <f>((O16*0.0729)-M16)/0.62014</f>
        <v>11.529654594123908</v>
      </c>
      <c r="S16" s="21" t="s">
        <v>58</v>
      </c>
      <c r="U16" s="16"/>
    </row>
    <row r="17" spans="1:21" x14ac:dyDescent="0.3">
      <c r="A17" s="13">
        <v>2.0199999999999996</v>
      </c>
      <c r="B17" s="13"/>
      <c r="C17" s="13"/>
      <c r="D17" s="13"/>
      <c r="E17" s="14" t="s">
        <v>27</v>
      </c>
      <c r="G17" s="23">
        <v>-52</v>
      </c>
      <c r="H17" s="7"/>
      <c r="I17" s="7">
        <v>0</v>
      </c>
      <c r="K17" s="16">
        <f t="shared" ref="K17:K30" si="4">((I17*0.0729)-G17)/0.62014</f>
        <v>83.85203341181024</v>
      </c>
      <c r="M17" s="16">
        <f t="shared" si="2"/>
        <v>-52</v>
      </c>
      <c r="O17" s="7">
        <f t="shared" si="3"/>
        <v>0</v>
      </c>
      <c r="Q17" s="16">
        <f t="shared" ref="Q17:Q30" si="5">((O17*0.0729)-M17)/0.62014</f>
        <v>83.85203341181024</v>
      </c>
      <c r="S17" s="21" t="s">
        <v>58</v>
      </c>
      <c r="U17" s="16"/>
    </row>
    <row r="18" spans="1:21" x14ac:dyDescent="0.3">
      <c r="A18" s="13">
        <v>2.0299999999999994</v>
      </c>
      <c r="B18" s="13"/>
      <c r="C18" s="13"/>
      <c r="D18" s="13"/>
      <c r="E18" s="14" t="s">
        <v>63</v>
      </c>
      <c r="G18" s="23">
        <v>97.5</v>
      </c>
      <c r="H18" s="7"/>
      <c r="I18" s="7">
        <v>0</v>
      </c>
      <c r="K18" s="16">
        <f t="shared" si="4"/>
        <v>-157.22256264714417</v>
      </c>
      <c r="M18" s="16">
        <f t="shared" si="2"/>
        <v>97.5</v>
      </c>
      <c r="O18" s="7">
        <f t="shared" si="3"/>
        <v>0</v>
      </c>
      <c r="Q18" s="16">
        <f t="shared" si="5"/>
        <v>-157.22256264714417</v>
      </c>
      <c r="S18" s="21" t="s">
        <v>58</v>
      </c>
      <c r="U18" s="16"/>
    </row>
    <row r="19" spans="1:21" x14ac:dyDescent="0.3">
      <c r="A19" s="13">
        <v>2.0399999999999991</v>
      </c>
      <c r="B19" s="13"/>
      <c r="C19" s="13"/>
      <c r="D19" s="13"/>
      <c r="E19" s="14" t="s">
        <v>28</v>
      </c>
      <c r="G19" s="23">
        <v>-20.8</v>
      </c>
      <c r="H19" s="7"/>
      <c r="I19" s="7">
        <v>0</v>
      </c>
      <c r="K19" s="16">
        <f t="shared" si="4"/>
        <v>33.540813364724094</v>
      </c>
      <c r="M19" s="16">
        <f t="shared" si="2"/>
        <v>-20.8</v>
      </c>
      <c r="O19" s="7">
        <f t="shared" si="3"/>
        <v>0</v>
      </c>
      <c r="Q19" s="16">
        <f t="shared" si="5"/>
        <v>33.540813364724094</v>
      </c>
      <c r="S19" s="21" t="s">
        <v>58</v>
      </c>
      <c r="U19" s="16"/>
    </row>
    <row r="20" spans="1:21" x14ac:dyDescent="0.3">
      <c r="A20" s="13">
        <v>2.0499999999999989</v>
      </c>
      <c r="B20" s="13"/>
      <c r="C20" s="13"/>
      <c r="D20" s="13"/>
      <c r="E20" s="14" t="s">
        <v>29</v>
      </c>
      <c r="G20" s="23">
        <v>-182</v>
      </c>
      <c r="H20" s="7"/>
      <c r="I20" s="7">
        <v>0</v>
      </c>
      <c r="K20" s="16">
        <f t="shared" si="4"/>
        <v>293.48211694133579</v>
      </c>
      <c r="M20" s="46">
        <f t="shared" si="2"/>
        <v>-182</v>
      </c>
      <c r="O20" s="7">
        <f t="shared" si="3"/>
        <v>0</v>
      </c>
      <c r="Q20" s="16">
        <f t="shared" si="5"/>
        <v>293.48211694133579</v>
      </c>
      <c r="S20" s="21" t="s">
        <v>58</v>
      </c>
      <c r="U20" s="16"/>
    </row>
    <row r="21" spans="1:21" x14ac:dyDescent="0.3">
      <c r="A21" s="13">
        <v>2.0599999999999987</v>
      </c>
      <c r="B21" s="13"/>
      <c r="C21" s="13"/>
      <c r="D21" s="13"/>
      <c r="E21" s="14" t="s">
        <v>64</v>
      </c>
      <c r="G21" s="23">
        <v>0</v>
      </c>
      <c r="H21" s="7"/>
      <c r="I21" s="7">
        <v>0</v>
      </c>
      <c r="K21" s="16">
        <f t="shared" si="4"/>
        <v>0</v>
      </c>
      <c r="M21" s="16">
        <f t="shared" si="2"/>
        <v>0</v>
      </c>
      <c r="O21" s="7">
        <f t="shared" si="3"/>
        <v>0</v>
      </c>
      <c r="Q21" s="16">
        <f t="shared" si="5"/>
        <v>0</v>
      </c>
      <c r="S21" s="21" t="s">
        <v>58</v>
      </c>
      <c r="U21" s="16"/>
    </row>
    <row r="22" spans="1:21" x14ac:dyDescent="0.3">
      <c r="A22" s="13">
        <v>2.0699999999999985</v>
      </c>
      <c r="B22" s="13"/>
      <c r="C22" s="13"/>
      <c r="D22" s="13"/>
      <c r="E22" s="14" t="s">
        <v>65</v>
      </c>
      <c r="G22" s="23">
        <v>1.3</v>
      </c>
      <c r="H22" s="7"/>
      <c r="I22" s="7">
        <v>0</v>
      </c>
      <c r="K22" s="16">
        <f t="shared" si="4"/>
        <v>-2.0963008352952559</v>
      </c>
      <c r="M22" s="16">
        <f t="shared" si="2"/>
        <v>1.3</v>
      </c>
      <c r="O22" s="7">
        <f t="shared" si="3"/>
        <v>0</v>
      </c>
      <c r="Q22" s="16">
        <f t="shared" si="5"/>
        <v>-2.0963008352952559</v>
      </c>
      <c r="S22" s="21" t="s">
        <v>58</v>
      </c>
      <c r="U22" s="16"/>
    </row>
    <row r="23" spans="1:21" x14ac:dyDescent="0.3">
      <c r="A23" s="13">
        <v>2.0799999999999983</v>
      </c>
      <c r="B23" s="13"/>
      <c r="C23" s="13"/>
      <c r="D23" s="13"/>
      <c r="E23" s="14" t="s">
        <v>30</v>
      </c>
      <c r="G23" s="23">
        <v>-213.2</v>
      </c>
      <c r="H23" s="7"/>
      <c r="I23" s="7">
        <v>0</v>
      </c>
      <c r="K23" s="16">
        <f t="shared" si="4"/>
        <v>343.79333698842191</v>
      </c>
      <c r="M23" s="16">
        <f t="shared" si="2"/>
        <v>-213.2</v>
      </c>
      <c r="O23" s="7">
        <f t="shared" si="3"/>
        <v>0</v>
      </c>
      <c r="Q23" s="16">
        <f t="shared" si="5"/>
        <v>343.79333698842191</v>
      </c>
      <c r="S23" s="21" t="s">
        <v>58</v>
      </c>
      <c r="U23" s="16"/>
    </row>
    <row r="24" spans="1:21" x14ac:dyDescent="0.3">
      <c r="A24" s="13">
        <v>2.0899999999999981</v>
      </c>
      <c r="B24" s="13"/>
      <c r="C24" s="13"/>
      <c r="D24" s="13"/>
      <c r="E24" s="14" t="s">
        <v>66</v>
      </c>
      <c r="G24" s="23">
        <v>3.25</v>
      </c>
      <c r="H24" s="7"/>
      <c r="I24" s="7">
        <v>0</v>
      </c>
      <c r="K24" s="16">
        <f t="shared" si="4"/>
        <v>-5.24075208823814</v>
      </c>
      <c r="M24" s="16">
        <f t="shared" si="2"/>
        <v>3.25</v>
      </c>
      <c r="O24" s="7">
        <f t="shared" si="3"/>
        <v>0</v>
      </c>
      <c r="Q24" s="16">
        <f t="shared" si="5"/>
        <v>-5.24075208823814</v>
      </c>
      <c r="S24" s="21" t="s">
        <v>58</v>
      </c>
      <c r="U24" s="16"/>
    </row>
    <row r="25" spans="1:21" x14ac:dyDescent="0.3">
      <c r="A25" s="13">
        <v>2.0999999999999979</v>
      </c>
      <c r="B25" s="13"/>
      <c r="C25" s="13"/>
      <c r="D25" s="13"/>
      <c r="E25" s="14" t="s">
        <v>67</v>
      </c>
      <c r="G25" s="23">
        <v>-496.6</v>
      </c>
      <c r="H25" s="7"/>
      <c r="I25" s="7">
        <v>0</v>
      </c>
      <c r="K25" s="16">
        <f t="shared" si="4"/>
        <v>800.78691908278779</v>
      </c>
      <c r="M25" s="16">
        <f t="shared" si="2"/>
        <v>-496.6</v>
      </c>
      <c r="O25" s="7">
        <f t="shared" si="3"/>
        <v>0</v>
      </c>
      <c r="Q25" s="16">
        <f t="shared" si="5"/>
        <v>800.78691908278779</v>
      </c>
      <c r="S25" s="21" t="s">
        <v>58</v>
      </c>
      <c r="U25" s="16"/>
    </row>
    <row r="26" spans="1:21" x14ac:dyDescent="0.3">
      <c r="A26" s="13">
        <v>2.1099999999999977</v>
      </c>
      <c r="B26" s="13"/>
      <c r="C26" s="13"/>
      <c r="D26" s="13"/>
      <c r="E26" s="14" t="s">
        <v>31</v>
      </c>
      <c r="G26" s="23">
        <v>0</v>
      </c>
      <c r="H26" s="7"/>
      <c r="I26" s="7">
        <v>0</v>
      </c>
      <c r="K26" s="16">
        <f t="shared" si="4"/>
        <v>0</v>
      </c>
      <c r="M26" s="16">
        <f t="shared" si="2"/>
        <v>0</v>
      </c>
      <c r="O26" s="7">
        <f t="shared" si="3"/>
        <v>0</v>
      </c>
      <c r="Q26" s="16">
        <f t="shared" si="5"/>
        <v>0</v>
      </c>
      <c r="S26" s="21" t="s">
        <v>58</v>
      </c>
      <c r="U26" s="16"/>
    </row>
    <row r="27" spans="1:21" x14ac:dyDescent="0.3">
      <c r="A27" s="13">
        <v>2.1199999999999974</v>
      </c>
      <c r="B27" s="13"/>
      <c r="C27" s="13"/>
      <c r="D27" s="13"/>
      <c r="E27" s="14" t="s">
        <v>68</v>
      </c>
      <c r="G27" s="23">
        <v>-3.25</v>
      </c>
      <c r="H27" s="7"/>
      <c r="I27" s="7">
        <v>0</v>
      </c>
      <c r="K27" s="16">
        <f t="shared" si="4"/>
        <v>5.24075208823814</v>
      </c>
      <c r="M27" s="16">
        <f t="shared" si="2"/>
        <v>-3.25</v>
      </c>
      <c r="O27" s="7">
        <f t="shared" si="3"/>
        <v>0</v>
      </c>
      <c r="Q27" s="16">
        <f t="shared" si="5"/>
        <v>5.24075208823814</v>
      </c>
      <c r="S27" s="21" t="s">
        <v>58</v>
      </c>
      <c r="U27" s="16"/>
    </row>
    <row r="28" spans="1:21" x14ac:dyDescent="0.3">
      <c r="A28" s="13">
        <v>2.1299999999999972</v>
      </c>
      <c r="B28" s="13"/>
      <c r="C28" s="13"/>
      <c r="D28" s="13"/>
      <c r="E28" s="14" t="s">
        <v>69</v>
      </c>
      <c r="G28" s="23">
        <v>216.45</v>
      </c>
      <c r="H28" s="7"/>
      <c r="I28" s="7">
        <v>0</v>
      </c>
      <c r="K28" s="16">
        <f t="shared" si="4"/>
        <v>-349.03408907666005</v>
      </c>
      <c r="M28" s="46">
        <f t="shared" si="2"/>
        <v>216.45</v>
      </c>
      <c r="O28" s="7">
        <f t="shared" si="3"/>
        <v>0</v>
      </c>
      <c r="Q28" s="16">
        <f t="shared" si="5"/>
        <v>-349.03408907666005</v>
      </c>
      <c r="S28" s="21" t="s">
        <v>58</v>
      </c>
      <c r="U28" s="16"/>
    </row>
    <row r="29" spans="1:21" x14ac:dyDescent="0.3">
      <c r="A29" s="13"/>
      <c r="B29" s="13"/>
      <c r="C29" s="13" t="s">
        <v>164</v>
      </c>
      <c r="D29" s="13"/>
      <c r="E29" s="14" t="s">
        <v>167</v>
      </c>
      <c r="G29" s="23"/>
      <c r="H29" s="7"/>
      <c r="I29" s="7"/>
      <c r="K29" s="16"/>
      <c r="M29" s="46">
        <f>ROUND(LTIP!I23/1000,0)</f>
        <v>46</v>
      </c>
      <c r="O29" s="7"/>
      <c r="Q29" s="16">
        <f t="shared" si="5"/>
        <v>-74.176798787370586</v>
      </c>
      <c r="S29" s="21" t="s">
        <v>131</v>
      </c>
      <c r="U29" s="16">
        <f t="shared" ref="U29" si="6">Q29-K29</f>
        <v>-74.176798787370586</v>
      </c>
    </row>
    <row r="30" spans="1:21" x14ac:dyDescent="0.3">
      <c r="A30" s="13">
        <v>2.14</v>
      </c>
      <c r="B30" s="13"/>
      <c r="C30" s="13"/>
      <c r="D30" s="13"/>
      <c r="E30" s="14" t="s">
        <v>32</v>
      </c>
      <c r="G30" s="24">
        <v>-161</v>
      </c>
      <c r="H30" s="7"/>
      <c r="I30" s="7">
        <v>0</v>
      </c>
      <c r="K30" s="19">
        <f t="shared" si="4"/>
        <v>259.61879575579707</v>
      </c>
      <c r="M30" s="19">
        <f t="shared" si="2"/>
        <v>-161</v>
      </c>
      <c r="N30" s="16"/>
      <c r="O30" s="22">
        <f t="shared" si="3"/>
        <v>0</v>
      </c>
      <c r="Q30" s="19">
        <f t="shared" si="5"/>
        <v>259.61879575579707</v>
      </c>
      <c r="S30" s="21" t="s">
        <v>58</v>
      </c>
      <c r="U30" s="16"/>
    </row>
    <row r="31" spans="1:21" x14ac:dyDescent="0.3">
      <c r="A31" s="13"/>
      <c r="B31" s="13"/>
      <c r="C31" s="13"/>
      <c r="D31" s="13"/>
      <c r="E31" s="14"/>
      <c r="G31" s="16"/>
      <c r="H31" s="16"/>
      <c r="I31" s="16"/>
    </row>
    <row r="32" spans="1:21" x14ac:dyDescent="0.3">
      <c r="A32" s="13"/>
      <c r="B32" s="13"/>
      <c r="C32" s="13"/>
      <c r="D32" s="13"/>
      <c r="E32" t="s">
        <v>20</v>
      </c>
      <c r="G32" s="16">
        <f>SUM(G14:G30)</f>
        <v>14252.68982</v>
      </c>
      <c r="H32" s="16"/>
      <c r="I32" s="16">
        <f>SUM(I14:I30)</f>
        <v>240814</v>
      </c>
      <c r="J32" s="16"/>
      <c r="K32" s="16">
        <f>SUM(K14:K30)</f>
        <v>5325.6535298481031</v>
      </c>
      <c r="M32" s="16">
        <f>SUM(M14:M30)</f>
        <v>14298.68982</v>
      </c>
      <c r="N32" s="16"/>
      <c r="O32" s="16">
        <f>SUM(O14:O30)</f>
        <v>240814</v>
      </c>
      <c r="P32" s="16"/>
      <c r="Q32" s="16">
        <f>SUM(Q14:Q30)</f>
        <v>5251.4767310607322</v>
      </c>
    </row>
    <row r="33" spans="1:21" x14ac:dyDescent="0.3">
      <c r="A33" s="13"/>
      <c r="B33" s="13"/>
      <c r="C33" s="13"/>
      <c r="D33" s="13"/>
      <c r="G33" s="17"/>
      <c r="H33" s="17"/>
      <c r="I33" s="15"/>
    </row>
    <row r="34" spans="1:21" x14ac:dyDescent="0.3">
      <c r="A34" s="13">
        <v>3</v>
      </c>
      <c r="B34" s="13"/>
      <c r="C34" s="13" t="s">
        <v>182</v>
      </c>
      <c r="D34" s="13"/>
      <c r="E34" s="14" t="s">
        <v>33</v>
      </c>
      <c r="G34" s="23">
        <v>-749.79774999999995</v>
      </c>
      <c r="H34" s="7"/>
      <c r="I34" s="7">
        <v>0</v>
      </c>
      <c r="K34" s="16">
        <f>((I34*0.0729)-G34)/0.62014</f>
        <v>1209.0781920211564</v>
      </c>
      <c r="M34" s="46">
        <f>ROUND(Labor!I23/1000,0)</f>
        <v>-320</v>
      </c>
      <c r="O34" s="7">
        <f t="shared" ref="O34:O48" si="7">I34</f>
        <v>0</v>
      </c>
      <c r="Q34" s="16">
        <f>((O34*0.0729)-M34)/0.62014</f>
        <v>516.01251330344758</v>
      </c>
      <c r="S34" t="s">
        <v>59</v>
      </c>
      <c r="U34" s="16">
        <f t="shared" ref="U34:U44" si="8">Q34-K34</f>
        <v>-693.06567871770881</v>
      </c>
    </row>
    <row r="35" spans="1:21" x14ac:dyDescent="0.3">
      <c r="A35" s="13">
        <v>3.01</v>
      </c>
      <c r="B35" s="13"/>
      <c r="C35" s="13"/>
      <c r="D35" s="13"/>
      <c r="E35" s="14" t="s">
        <v>34</v>
      </c>
      <c r="G35" s="23">
        <v>-32.475300000000004</v>
      </c>
      <c r="H35" s="7"/>
      <c r="I35" s="7">
        <v>0</v>
      </c>
      <c r="K35" s="16">
        <f t="shared" ref="K35:K49" si="9">((I35*0.0729)-G35)/0.62014</f>
        <v>52.367691166510795</v>
      </c>
      <c r="M35" s="46">
        <f t="shared" ref="M35:M48" si="10">G35</f>
        <v>-32.475300000000004</v>
      </c>
      <c r="O35" s="7">
        <f t="shared" si="7"/>
        <v>0</v>
      </c>
      <c r="Q35" s="16">
        <f>((O35*0.0729)-M35)/0.62014</f>
        <v>52.367691166510795</v>
      </c>
      <c r="S35" t="s">
        <v>58</v>
      </c>
      <c r="U35" s="16"/>
    </row>
    <row r="36" spans="1:21" x14ac:dyDescent="0.3">
      <c r="A36" s="13">
        <v>3.0199999999999996</v>
      </c>
      <c r="B36" s="13"/>
      <c r="C36" s="13"/>
      <c r="D36" s="13"/>
      <c r="E36" s="14" t="s">
        <v>35</v>
      </c>
      <c r="G36" s="23">
        <v>-636.86545000000001</v>
      </c>
      <c r="H36" s="7"/>
      <c r="I36" s="7">
        <v>0</v>
      </c>
      <c r="K36" s="16">
        <f t="shared" si="9"/>
        <v>1026.9704421582223</v>
      </c>
      <c r="M36" s="46">
        <f t="shared" si="10"/>
        <v>-636.86545000000001</v>
      </c>
      <c r="O36" s="7">
        <f t="shared" si="7"/>
        <v>0</v>
      </c>
      <c r="Q36" s="16">
        <f t="shared" ref="Q36:Q49" si="11">((O36*0.0729)-M36)/0.62014</f>
        <v>1026.9704421582223</v>
      </c>
      <c r="S36" t="s">
        <v>58</v>
      </c>
      <c r="U36" s="16"/>
    </row>
    <row r="37" spans="1:21" x14ac:dyDescent="0.3">
      <c r="A37" s="13">
        <v>3.0299999999999994</v>
      </c>
      <c r="B37" s="13"/>
      <c r="C37" s="13" t="s">
        <v>183</v>
      </c>
      <c r="D37" s="13"/>
      <c r="E37" s="14" t="s">
        <v>70</v>
      </c>
      <c r="G37" s="23">
        <v>-50.05</v>
      </c>
      <c r="H37" s="7"/>
      <c r="I37" s="7">
        <v>0</v>
      </c>
      <c r="K37" s="16">
        <f t="shared" si="9"/>
        <v>80.707582158867339</v>
      </c>
      <c r="M37" s="46">
        <f>ROUND(Ins!I25/1000,0)</f>
        <v>10</v>
      </c>
      <c r="O37" s="7">
        <f t="shared" si="7"/>
        <v>0</v>
      </c>
      <c r="Q37" s="16">
        <f t="shared" si="11"/>
        <v>-16.125391040732737</v>
      </c>
      <c r="S37" t="s">
        <v>59</v>
      </c>
      <c r="U37" s="16">
        <f t="shared" si="8"/>
        <v>-96.832973199600076</v>
      </c>
    </row>
    <row r="38" spans="1:21" x14ac:dyDescent="0.3">
      <c r="A38" s="13">
        <v>3.0399999999999991</v>
      </c>
      <c r="B38" s="13"/>
      <c r="C38" s="13" t="s">
        <v>162</v>
      </c>
      <c r="D38" s="13"/>
      <c r="E38" s="14" t="s">
        <v>36</v>
      </c>
      <c r="G38" s="23">
        <v>-329.55</v>
      </c>
      <c r="H38" s="7"/>
      <c r="I38" s="7">
        <v>0</v>
      </c>
      <c r="K38" s="16">
        <f t="shared" si="9"/>
        <v>531.41226174734732</v>
      </c>
      <c r="M38" s="16">
        <f>PropTax!G17</f>
        <v>-131</v>
      </c>
      <c r="O38" s="7">
        <f t="shared" si="7"/>
        <v>0</v>
      </c>
      <c r="Q38" s="16">
        <f t="shared" si="11"/>
        <v>211.24262263359887</v>
      </c>
      <c r="S38" t="s">
        <v>59</v>
      </c>
      <c r="U38" s="16">
        <f t="shared" si="8"/>
        <v>-320.16963911374842</v>
      </c>
    </row>
    <row r="39" spans="1:21" x14ac:dyDescent="0.3">
      <c r="A39" s="13">
        <v>3.0499999999999989</v>
      </c>
      <c r="B39" s="13"/>
      <c r="C39" s="13"/>
      <c r="D39" s="13"/>
      <c r="E39" s="14" t="s">
        <v>37</v>
      </c>
      <c r="G39" s="23">
        <v>-267.8</v>
      </c>
      <c r="H39" s="7"/>
      <c r="I39" s="7">
        <v>0</v>
      </c>
      <c r="K39" s="16">
        <f t="shared" si="9"/>
        <v>431.83797207082273</v>
      </c>
      <c r="M39" s="46">
        <v>0</v>
      </c>
      <c r="O39" s="7">
        <f t="shared" si="7"/>
        <v>0</v>
      </c>
      <c r="Q39" s="16">
        <f t="shared" si="11"/>
        <v>0</v>
      </c>
      <c r="S39" t="s">
        <v>60</v>
      </c>
      <c r="U39" s="16">
        <f t="shared" si="8"/>
        <v>-431.83797207082273</v>
      </c>
    </row>
    <row r="40" spans="1:21" x14ac:dyDescent="0.3">
      <c r="A40" s="13">
        <v>3.0599999999999987</v>
      </c>
      <c r="B40" s="13"/>
      <c r="C40" s="13"/>
      <c r="D40" s="13"/>
      <c r="E40" s="14" t="s">
        <v>38</v>
      </c>
      <c r="G40" s="23">
        <v>5541.25</v>
      </c>
      <c r="H40" s="7"/>
      <c r="I40" s="7">
        <v>0</v>
      </c>
      <c r="K40" s="16">
        <f t="shared" si="9"/>
        <v>-8935.4823104460284</v>
      </c>
      <c r="M40" s="16">
        <f t="shared" si="10"/>
        <v>5541.25</v>
      </c>
      <c r="O40" s="7">
        <f t="shared" si="7"/>
        <v>0</v>
      </c>
      <c r="Q40" s="16">
        <f t="shared" si="11"/>
        <v>-8935.4823104460284</v>
      </c>
      <c r="S40" t="s">
        <v>58</v>
      </c>
      <c r="U40" s="16"/>
    </row>
    <row r="41" spans="1:21" x14ac:dyDescent="0.3">
      <c r="A41" s="13">
        <v>3.0699999999999985</v>
      </c>
      <c r="B41" s="13"/>
      <c r="C41" s="13" t="s">
        <v>104</v>
      </c>
      <c r="D41" s="13"/>
      <c r="E41" s="14" t="s">
        <v>112</v>
      </c>
      <c r="G41" s="23">
        <v>-700.88520000000005</v>
      </c>
      <c r="H41" s="7"/>
      <c r="I41" s="16">
        <v>2960</v>
      </c>
      <c r="K41" s="16">
        <f t="shared" si="9"/>
        <v>1478.1649304995647</v>
      </c>
      <c r="M41" s="16">
        <f>EOP_PIS!G22</f>
        <v>-538.54999999999995</v>
      </c>
      <c r="O41" s="16">
        <f>EOP_PIS!G45</f>
        <v>-1524</v>
      </c>
      <c r="Q41" s="16">
        <f t="shared" si="11"/>
        <v>689.28048505176241</v>
      </c>
      <c r="S41" t="s">
        <v>59</v>
      </c>
      <c r="U41" s="16">
        <f t="shared" si="8"/>
        <v>-788.88444544780225</v>
      </c>
    </row>
    <row r="42" spans="1:21" x14ac:dyDescent="0.3">
      <c r="A42" s="20" t="s">
        <v>62</v>
      </c>
      <c r="B42" s="13"/>
      <c r="D42" s="13"/>
      <c r="E42" s="14" t="s">
        <v>71</v>
      </c>
      <c r="G42" s="23">
        <v>589.01463999999999</v>
      </c>
      <c r="H42" s="7"/>
      <c r="I42" s="16">
        <v>428</v>
      </c>
      <c r="K42" s="16">
        <f t="shared" si="9"/>
        <v>-899.49598477763084</v>
      </c>
      <c r="M42" s="16">
        <v>0</v>
      </c>
      <c r="O42" s="16">
        <v>0</v>
      </c>
      <c r="Q42" s="16">
        <f t="shared" si="11"/>
        <v>0</v>
      </c>
      <c r="S42" t="s">
        <v>60</v>
      </c>
      <c r="U42" s="16">
        <f t="shared" si="8"/>
        <v>899.49598477763084</v>
      </c>
    </row>
    <row r="43" spans="1:21" x14ac:dyDescent="0.3">
      <c r="A43" s="20"/>
      <c r="B43" s="13"/>
      <c r="C43" s="13" t="s">
        <v>129</v>
      </c>
      <c r="D43" s="13"/>
      <c r="E43" s="14" t="s">
        <v>130</v>
      </c>
      <c r="G43" s="23"/>
      <c r="H43" s="7"/>
      <c r="I43" s="16"/>
      <c r="K43" s="16"/>
      <c r="M43" s="16">
        <f>RTD!F25</f>
        <v>-28.261939999999999</v>
      </c>
      <c r="O43" s="16">
        <f>RTD!F21</f>
        <v>-3013</v>
      </c>
      <c r="Q43" s="16">
        <f t="shared" ref="Q43" si="12">((O43*0.0729)-M43)/0.62014</f>
        <v>-308.61702196278259</v>
      </c>
      <c r="S43" t="s">
        <v>131</v>
      </c>
      <c r="U43" s="16">
        <f t="shared" si="8"/>
        <v>-308.61702196278259</v>
      </c>
    </row>
    <row r="44" spans="1:21" x14ac:dyDescent="0.3">
      <c r="A44" s="13">
        <v>4.01</v>
      </c>
      <c r="B44" s="13"/>
      <c r="C44" s="13" t="s">
        <v>151</v>
      </c>
      <c r="D44" s="13"/>
      <c r="E44" s="14" t="s">
        <v>39</v>
      </c>
      <c r="G44" s="23">
        <v>-1540.8512000000001</v>
      </c>
      <c r="H44" s="7"/>
      <c r="I44" s="16">
        <v>29760</v>
      </c>
      <c r="K44" s="16">
        <f t="shared" si="9"/>
        <v>5983.0928500016125</v>
      </c>
      <c r="M44" s="16">
        <f>ROUND(PlantAdds!G31/1000,0)</f>
        <v>-632</v>
      </c>
      <c r="O44" s="16">
        <f>ROUND(PlantAdds!G34/1000,0)</f>
        <v>16088</v>
      </c>
      <c r="Q44" s="16">
        <f t="shared" si="11"/>
        <v>2910.3350856258262</v>
      </c>
      <c r="S44" t="s">
        <v>59</v>
      </c>
      <c r="U44" s="16">
        <f t="shared" si="8"/>
        <v>-3072.7577643757863</v>
      </c>
    </row>
    <row r="45" spans="1:21" x14ac:dyDescent="0.3">
      <c r="A45" s="13">
        <v>4.0199999999999996</v>
      </c>
      <c r="B45" s="13"/>
      <c r="C45" s="13"/>
      <c r="D45" s="13"/>
      <c r="E45" s="14" t="s">
        <v>40</v>
      </c>
      <c r="G45" s="23">
        <v>-531.79074000000003</v>
      </c>
      <c r="H45" s="7"/>
      <c r="I45" s="16">
        <v>6227</v>
      </c>
      <c r="K45" s="16">
        <f t="shared" si="9"/>
        <v>1589.542748411649</v>
      </c>
      <c r="M45" s="16">
        <v>0</v>
      </c>
      <c r="O45" s="16">
        <v>0</v>
      </c>
      <c r="Q45" s="16">
        <f t="shared" si="11"/>
        <v>0</v>
      </c>
      <c r="S45" t="s">
        <v>60</v>
      </c>
      <c r="U45" s="16">
        <f t="shared" ref="U45:U49" si="13">Q45-K45</f>
        <v>-1589.542748411649</v>
      </c>
    </row>
    <row r="46" spans="1:21" x14ac:dyDescent="0.3">
      <c r="A46" s="13">
        <v>4.0299999999999994</v>
      </c>
      <c r="B46" s="13"/>
      <c r="C46" s="13"/>
      <c r="D46" s="13"/>
      <c r="E46" s="14" t="s">
        <v>78</v>
      </c>
      <c r="G46" s="23">
        <v>-742.95</v>
      </c>
      <c r="H46" s="7"/>
      <c r="I46" s="16">
        <v>0</v>
      </c>
      <c r="K46" s="16">
        <f t="shared" si="9"/>
        <v>1198.0359273712388</v>
      </c>
      <c r="M46" s="46">
        <f t="shared" si="10"/>
        <v>-742.95</v>
      </c>
      <c r="O46" s="16">
        <f t="shared" si="7"/>
        <v>0</v>
      </c>
      <c r="Q46" s="16">
        <f t="shared" si="11"/>
        <v>1198.0359273712388</v>
      </c>
      <c r="S46" t="s">
        <v>58</v>
      </c>
      <c r="U46" s="16"/>
    </row>
    <row r="47" spans="1:21" x14ac:dyDescent="0.3">
      <c r="A47" s="13">
        <v>4.0399999999999991</v>
      </c>
      <c r="B47" s="13"/>
      <c r="C47" s="13"/>
      <c r="D47" s="13"/>
      <c r="E47" s="14" t="s">
        <v>41</v>
      </c>
      <c r="G47" s="23">
        <v>50.7</v>
      </c>
      <c r="H47" s="7"/>
      <c r="I47" s="16">
        <v>0</v>
      </c>
      <c r="K47" s="16">
        <f t="shared" si="9"/>
        <v>-81.755732576514987</v>
      </c>
      <c r="M47" s="16">
        <v>0</v>
      </c>
      <c r="O47" s="16">
        <f t="shared" si="7"/>
        <v>0</v>
      </c>
      <c r="Q47" s="16">
        <f t="shared" si="11"/>
        <v>0</v>
      </c>
      <c r="S47" t="s">
        <v>60</v>
      </c>
      <c r="U47" s="16">
        <f t="shared" si="13"/>
        <v>81.755732576514987</v>
      </c>
    </row>
    <row r="48" spans="1:21" x14ac:dyDescent="0.3">
      <c r="A48" s="13">
        <v>4.0499999999999989</v>
      </c>
      <c r="B48" s="13"/>
      <c r="C48" s="13"/>
      <c r="D48" s="13"/>
      <c r="E48" s="14" t="s">
        <v>72</v>
      </c>
      <c r="G48" s="23">
        <v>-459.55</v>
      </c>
      <c r="H48" s="7"/>
      <c r="I48" s="16">
        <v>0</v>
      </c>
      <c r="K48" s="16">
        <f t="shared" si="9"/>
        <v>741.04234527687299</v>
      </c>
      <c r="M48" s="16">
        <f t="shared" si="10"/>
        <v>-459.55</v>
      </c>
      <c r="O48" s="16">
        <f t="shared" si="7"/>
        <v>0</v>
      </c>
      <c r="Q48" s="16">
        <f t="shared" si="11"/>
        <v>741.04234527687299</v>
      </c>
      <c r="S48" t="s">
        <v>58</v>
      </c>
      <c r="U48" s="16"/>
    </row>
    <row r="49" spans="1:21" x14ac:dyDescent="0.3">
      <c r="A49" s="13">
        <v>4.0599999999999996</v>
      </c>
      <c r="B49" s="13"/>
      <c r="C49" s="13"/>
      <c r="D49" s="13"/>
      <c r="E49" s="14" t="s">
        <v>42</v>
      </c>
      <c r="G49" s="24">
        <v>177.40516</v>
      </c>
      <c r="H49" s="7"/>
      <c r="I49" s="19">
        <v>2282</v>
      </c>
      <c r="K49" s="19">
        <f t="shared" si="9"/>
        <v>-17.814299996774871</v>
      </c>
      <c r="M49" s="19">
        <v>0</v>
      </c>
      <c r="O49" s="19">
        <v>0</v>
      </c>
      <c r="Q49" s="19">
        <f t="shared" si="11"/>
        <v>0</v>
      </c>
      <c r="S49" t="s">
        <v>60</v>
      </c>
      <c r="U49" s="19">
        <f t="shared" si="13"/>
        <v>17.814299996774871</v>
      </c>
    </row>
    <row r="50" spans="1:21" x14ac:dyDescent="0.3">
      <c r="B50" s="13"/>
      <c r="C50" s="13"/>
      <c r="D50" s="13"/>
      <c r="G50" s="16"/>
      <c r="H50" s="16"/>
      <c r="I50" s="16"/>
    </row>
    <row r="51" spans="1:21" ht="16.2" thickBot="1" x14ac:dyDescent="0.35">
      <c r="B51" s="13"/>
      <c r="C51" s="13"/>
      <c r="D51" s="13"/>
      <c r="E51" t="s">
        <v>21</v>
      </c>
      <c r="G51" s="50">
        <f>SUM(G32:G49)</f>
        <v>14568.493980000005</v>
      </c>
      <c r="H51" s="16"/>
      <c r="I51" s="50">
        <f>SUM(I32:I49)</f>
        <v>282471</v>
      </c>
      <c r="J51" s="16"/>
      <c r="K51" s="50">
        <f>SUM(K32:K49)</f>
        <v>9713.3581449350186</v>
      </c>
      <c r="M51" s="50">
        <f>SUM(M32:M49)</f>
        <v>16328.287130000001</v>
      </c>
      <c r="N51" s="16"/>
      <c r="O51" s="50">
        <f>SUM(O32:O49)</f>
        <v>252365</v>
      </c>
      <c r="P51" s="16"/>
      <c r="Q51" s="50">
        <f>SUM(Q32:Q49)</f>
        <v>3336.5391201986686</v>
      </c>
      <c r="U51" s="50">
        <f>SUM(U11:U49)</f>
        <v>-6376.81902473635</v>
      </c>
    </row>
    <row r="52" spans="1:21" ht="16.2" thickTop="1" x14ac:dyDescent="0.3">
      <c r="B52" s="13"/>
      <c r="C52" s="13"/>
      <c r="D52" s="13"/>
    </row>
    <row r="53" spans="1:21" x14ac:dyDescent="0.3">
      <c r="A53" s="13"/>
      <c r="B53" s="13"/>
      <c r="C53" s="26" t="s">
        <v>75</v>
      </c>
      <c r="D53" s="13"/>
    </row>
    <row r="54" spans="1:21" x14ac:dyDescent="0.3">
      <c r="A54" s="13"/>
      <c r="B54" s="13"/>
      <c r="C54" t="s">
        <v>76</v>
      </c>
      <c r="D54" s="13"/>
    </row>
    <row r="55" spans="1:21" x14ac:dyDescent="0.3">
      <c r="C55" s="6" t="s">
        <v>113</v>
      </c>
    </row>
  </sheetData>
  <pageMargins left="0.7" right="0.7" top="0.75" bottom="0.75" header="0.3" footer="0.3"/>
  <pageSetup scale="61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workbookViewId="0">
      <selection activeCell="K1" sqref="K1"/>
    </sheetView>
  </sheetViews>
  <sheetFormatPr defaultRowHeight="15.6" x14ac:dyDescent="0.3"/>
  <cols>
    <col min="1" max="1" width="4.09765625" customWidth="1"/>
    <col min="2" max="2" width="1.59765625" customWidth="1"/>
    <col min="3" max="3" width="35" customWidth="1"/>
    <col min="4" max="4" width="2" customWidth="1"/>
    <col min="5" max="6" width="4.09765625" customWidth="1"/>
    <col min="7" max="7" width="10.3984375" customWidth="1"/>
    <col min="8" max="8" width="0.8984375" customWidth="1"/>
    <col min="9" max="9" width="10.09765625" customWidth="1"/>
    <col min="10" max="10" width="0.69921875" customWidth="1"/>
    <col min="11" max="11" width="10.3984375" customWidth="1"/>
  </cols>
  <sheetData>
    <row r="1" spans="1:11" x14ac:dyDescent="0.3">
      <c r="A1" t="s">
        <v>0</v>
      </c>
      <c r="K1" s="51" t="s">
        <v>215</v>
      </c>
    </row>
    <row r="2" spans="1:11" x14ac:dyDescent="0.3">
      <c r="A2" t="s">
        <v>192</v>
      </c>
      <c r="K2" s="12" t="s">
        <v>61</v>
      </c>
    </row>
    <row r="3" spans="1:11" x14ac:dyDescent="0.3">
      <c r="A3" t="s">
        <v>166</v>
      </c>
      <c r="K3" s="12" t="s">
        <v>195</v>
      </c>
    </row>
    <row r="4" spans="1:11" x14ac:dyDescent="0.3">
      <c r="A4" t="s">
        <v>2</v>
      </c>
      <c r="K4" s="12" t="s">
        <v>196</v>
      </c>
    </row>
    <row r="5" spans="1:11" x14ac:dyDescent="0.3">
      <c r="A5" s="6"/>
      <c r="K5" s="12" t="s">
        <v>165</v>
      </c>
    </row>
    <row r="10" spans="1:11" x14ac:dyDescent="0.3">
      <c r="A10" t="s">
        <v>3</v>
      </c>
    </row>
    <row r="11" spans="1:11" x14ac:dyDescent="0.3">
      <c r="A11" s="1" t="s">
        <v>4</v>
      </c>
      <c r="C11" s="1" t="s">
        <v>5</v>
      </c>
      <c r="G11" s="3" t="s">
        <v>168</v>
      </c>
      <c r="H11" s="2"/>
      <c r="I11" s="3" t="s">
        <v>169</v>
      </c>
      <c r="J11" s="2"/>
      <c r="K11" s="3" t="s">
        <v>170</v>
      </c>
    </row>
    <row r="13" spans="1:11" x14ac:dyDescent="0.3">
      <c r="A13">
        <v>1</v>
      </c>
      <c r="C13" t="s">
        <v>171</v>
      </c>
      <c r="G13" s="7">
        <v>238529</v>
      </c>
      <c r="H13" s="7"/>
      <c r="I13" s="7">
        <v>70758</v>
      </c>
      <c r="J13" s="7"/>
      <c r="K13" s="7">
        <f>SUM(G13:I13)</f>
        <v>309287</v>
      </c>
    </row>
    <row r="14" spans="1:11" x14ac:dyDescent="0.3">
      <c r="G14" s="7"/>
      <c r="H14" s="7"/>
      <c r="I14" s="7"/>
      <c r="J14" s="7"/>
      <c r="K14" s="7"/>
    </row>
    <row r="15" spans="1:11" x14ac:dyDescent="0.3">
      <c r="A15">
        <v>2</v>
      </c>
      <c r="C15" t="s">
        <v>172</v>
      </c>
      <c r="G15" s="22">
        <v>0</v>
      </c>
      <c r="H15" s="7"/>
      <c r="I15" s="22">
        <v>0</v>
      </c>
      <c r="J15" s="7"/>
      <c r="K15" s="22">
        <v>0</v>
      </c>
    </row>
    <row r="16" spans="1:11" x14ac:dyDescent="0.3">
      <c r="G16" s="7"/>
      <c r="H16" s="7"/>
      <c r="I16" s="7"/>
      <c r="J16" s="7"/>
      <c r="K16" s="7"/>
    </row>
    <row r="17" spans="1:11" x14ac:dyDescent="0.3">
      <c r="A17">
        <v>3</v>
      </c>
      <c r="C17" t="s">
        <v>173</v>
      </c>
      <c r="G17" s="7">
        <f>G15-G13</f>
        <v>-238529</v>
      </c>
      <c r="H17" s="7"/>
      <c r="I17" s="7">
        <f>I15-I13</f>
        <v>-70758</v>
      </c>
      <c r="J17" s="7"/>
      <c r="K17" s="7">
        <f>SUM(G17:I17)</f>
        <v>-309287</v>
      </c>
    </row>
    <row r="18" spans="1:11" x14ac:dyDescent="0.3">
      <c r="G18" s="7"/>
      <c r="H18" s="7"/>
      <c r="I18" s="7"/>
      <c r="J18" s="7"/>
      <c r="K18" s="7"/>
    </row>
    <row r="19" spans="1:11" x14ac:dyDescent="0.3">
      <c r="A19">
        <v>4</v>
      </c>
      <c r="C19" t="s">
        <v>156</v>
      </c>
      <c r="G19" s="45">
        <v>0.35</v>
      </c>
      <c r="H19" s="7"/>
      <c r="I19" s="45">
        <v>0.35</v>
      </c>
      <c r="J19" s="7"/>
      <c r="K19" s="45">
        <v>0.35</v>
      </c>
    </row>
    <row r="20" spans="1:11" x14ac:dyDescent="0.3">
      <c r="H20" s="7"/>
      <c r="J20" s="7"/>
    </row>
    <row r="21" spans="1:11" x14ac:dyDescent="0.3">
      <c r="A21">
        <v>5</v>
      </c>
      <c r="C21" t="s">
        <v>157</v>
      </c>
      <c r="G21" s="22">
        <f>ROUND(G17*-G19,0)</f>
        <v>83485</v>
      </c>
      <c r="H21" s="7"/>
      <c r="I21" s="22">
        <f>ROUND(I17*-I19,0)</f>
        <v>24765</v>
      </c>
      <c r="J21" s="7"/>
      <c r="K21" s="22">
        <f>ROUND(K17*-K19,0)</f>
        <v>108250</v>
      </c>
    </row>
    <row r="22" spans="1:11" x14ac:dyDescent="0.3">
      <c r="G22" s="7"/>
      <c r="H22" s="7"/>
      <c r="I22" s="7"/>
      <c r="J22" s="7"/>
      <c r="K22" s="7"/>
    </row>
    <row r="23" spans="1:11" ht="16.2" thickBot="1" x14ac:dyDescent="0.35">
      <c r="A23">
        <v>6</v>
      </c>
      <c r="C23" t="s">
        <v>158</v>
      </c>
      <c r="G23" s="44">
        <f>-G17-G21</f>
        <v>155044</v>
      </c>
      <c r="H23" s="7"/>
      <c r="I23" s="44">
        <f>-I17-I21</f>
        <v>45993</v>
      </c>
      <c r="J23" s="7"/>
      <c r="K23" s="44">
        <f>-K17-K21</f>
        <v>201037</v>
      </c>
    </row>
    <row r="24" spans="1:11" ht="16.2" thickTop="1" x14ac:dyDescent="0.3">
      <c r="G24" s="7"/>
      <c r="H24" s="7"/>
      <c r="I24" s="7"/>
      <c r="J24" s="7"/>
      <c r="K24" s="7"/>
    </row>
    <row r="25" spans="1:11" x14ac:dyDescent="0.3">
      <c r="G25" s="7"/>
      <c r="H25" s="7"/>
      <c r="I25" s="7"/>
      <c r="J25" s="7"/>
      <c r="K25" s="7"/>
    </row>
    <row r="26" spans="1:11" x14ac:dyDescent="0.3">
      <c r="C26" s="26" t="s">
        <v>75</v>
      </c>
      <c r="G26" s="7"/>
      <c r="H26" s="7"/>
      <c r="I26" s="7"/>
      <c r="J26" s="7"/>
      <c r="K26" s="7"/>
    </row>
    <row r="27" spans="1:11" x14ac:dyDescent="0.3">
      <c r="C27" t="s">
        <v>174</v>
      </c>
      <c r="G27" s="7"/>
      <c r="H27" s="7"/>
      <c r="I27" s="7"/>
      <c r="J27" s="7"/>
      <c r="K27" s="7"/>
    </row>
    <row r="28" spans="1:11" x14ac:dyDescent="0.3">
      <c r="G28" s="7"/>
      <c r="H28" s="7"/>
      <c r="I28" s="7"/>
      <c r="J28" s="7"/>
      <c r="K28" s="7"/>
    </row>
    <row r="29" spans="1:11" x14ac:dyDescent="0.3">
      <c r="G29" s="7"/>
      <c r="H29" s="7"/>
      <c r="I29" s="7"/>
      <c r="J29" s="7"/>
      <c r="K29" s="7"/>
    </row>
    <row r="30" spans="1:11" x14ac:dyDescent="0.3">
      <c r="G30" s="7"/>
      <c r="H30" s="7"/>
      <c r="I30" s="7"/>
      <c r="J30" s="7"/>
      <c r="K30" s="7"/>
    </row>
    <row r="31" spans="1:11" x14ac:dyDescent="0.3">
      <c r="G31" s="7"/>
      <c r="H31" s="7"/>
      <c r="I31" s="7"/>
      <c r="J31" s="7"/>
      <c r="K31" s="7"/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workbookViewId="0">
      <selection activeCell="I1" sqref="I1"/>
    </sheetView>
  </sheetViews>
  <sheetFormatPr defaultRowHeight="15.6" x14ac:dyDescent="0.3"/>
  <cols>
    <col min="1" max="1" width="4.09765625" customWidth="1"/>
    <col min="2" max="2" width="1.59765625" customWidth="1"/>
    <col min="3" max="3" width="38.5" customWidth="1"/>
    <col min="4" max="4" width="2" customWidth="1"/>
    <col min="5" max="6" width="4.09765625" customWidth="1"/>
    <col min="7" max="7" width="11.69921875" customWidth="1"/>
    <col min="8" max="8" width="0.8984375" customWidth="1"/>
    <col min="9" max="9" width="11.8984375" customWidth="1"/>
  </cols>
  <sheetData>
    <row r="1" spans="1:9" x14ac:dyDescent="0.3">
      <c r="A1" t="s">
        <v>0</v>
      </c>
      <c r="I1" s="51" t="s">
        <v>215</v>
      </c>
    </row>
    <row r="2" spans="1:9" x14ac:dyDescent="0.3">
      <c r="A2" t="s">
        <v>192</v>
      </c>
      <c r="I2" s="12" t="s">
        <v>61</v>
      </c>
    </row>
    <row r="3" spans="1:9" x14ac:dyDescent="0.3">
      <c r="A3" t="s">
        <v>175</v>
      </c>
      <c r="I3" s="12" t="s">
        <v>197</v>
      </c>
    </row>
    <row r="4" spans="1:9" x14ac:dyDescent="0.3">
      <c r="A4" t="s">
        <v>2</v>
      </c>
      <c r="I4" s="12" t="s">
        <v>198</v>
      </c>
    </row>
    <row r="5" spans="1:9" x14ac:dyDescent="0.3">
      <c r="A5" s="6"/>
      <c r="I5" s="12" t="s">
        <v>182</v>
      </c>
    </row>
    <row r="10" spans="1:9" x14ac:dyDescent="0.3">
      <c r="A10" t="s">
        <v>3</v>
      </c>
    </row>
    <row r="11" spans="1:9" x14ac:dyDescent="0.3">
      <c r="A11" s="1" t="s">
        <v>4</v>
      </c>
      <c r="C11" s="1" t="s">
        <v>5</v>
      </c>
      <c r="G11" s="3" t="s">
        <v>168</v>
      </c>
      <c r="H11" s="2"/>
      <c r="I11" s="3" t="s">
        <v>169</v>
      </c>
    </row>
    <row r="13" spans="1:9" x14ac:dyDescent="0.3">
      <c r="A13">
        <v>1</v>
      </c>
      <c r="C13" t="s">
        <v>176</v>
      </c>
      <c r="G13" s="7">
        <v>3850480</v>
      </c>
      <c r="H13" s="7"/>
      <c r="I13" s="7">
        <v>1153135</v>
      </c>
    </row>
    <row r="14" spans="1:9" x14ac:dyDescent="0.3">
      <c r="A14">
        <v>2</v>
      </c>
      <c r="C14" t="s">
        <v>177</v>
      </c>
      <c r="G14" s="7">
        <f>-939682</f>
        <v>-939682</v>
      </c>
      <c r="H14" s="7"/>
      <c r="I14" s="7">
        <f>-281739</f>
        <v>-281739</v>
      </c>
    </row>
    <row r="15" spans="1:9" x14ac:dyDescent="0.3">
      <c r="A15">
        <v>3</v>
      </c>
      <c r="C15" t="s">
        <v>214</v>
      </c>
      <c r="G15" s="22">
        <f>-1278548</f>
        <v>-1278548</v>
      </c>
      <c r="H15" s="7"/>
      <c r="I15" s="22">
        <f>-379177</f>
        <v>-379177</v>
      </c>
    </row>
    <row r="17" spans="1:9" x14ac:dyDescent="0.3">
      <c r="A17">
        <v>4</v>
      </c>
      <c r="C17" t="s">
        <v>178</v>
      </c>
      <c r="G17" s="7">
        <f>SUM(G13:G16)</f>
        <v>1632250</v>
      </c>
      <c r="H17" s="7"/>
      <c r="I17" s="7">
        <f>SUM(I13:I16)</f>
        <v>492219</v>
      </c>
    </row>
    <row r="18" spans="1:9" x14ac:dyDescent="0.3">
      <c r="G18" s="7"/>
      <c r="H18" s="7"/>
      <c r="I18" s="7"/>
    </row>
    <row r="19" spans="1:9" x14ac:dyDescent="0.3">
      <c r="A19">
        <v>5</v>
      </c>
      <c r="C19" t="s">
        <v>156</v>
      </c>
      <c r="G19" s="45">
        <v>0.35</v>
      </c>
      <c r="H19" s="7"/>
      <c r="I19" s="45">
        <v>0.35</v>
      </c>
    </row>
    <row r="20" spans="1:9" x14ac:dyDescent="0.3">
      <c r="H20" s="7"/>
    </row>
    <row r="21" spans="1:9" x14ac:dyDescent="0.3">
      <c r="A21">
        <v>6</v>
      </c>
      <c r="C21" t="s">
        <v>157</v>
      </c>
      <c r="G21" s="22">
        <f>ROUND(G17*-G19,0)</f>
        <v>-571288</v>
      </c>
      <c r="H21" s="7"/>
      <c r="I21" s="22">
        <f>ROUND(I17*-I19,0)</f>
        <v>-172277</v>
      </c>
    </row>
    <row r="22" spans="1:9" x14ac:dyDescent="0.3">
      <c r="G22" s="7"/>
      <c r="H22" s="7"/>
      <c r="I22" s="7"/>
    </row>
    <row r="23" spans="1:9" ht="16.2" thickBot="1" x14ac:dyDescent="0.35">
      <c r="A23">
        <v>7</v>
      </c>
      <c r="C23" t="s">
        <v>179</v>
      </c>
      <c r="G23" s="44">
        <f>-G17-G21</f>
        <v>-1060962</v>
      </c>
      <c r="H23" s="7"/>
      <c r="I23" s="44">
        <f>-I17-I21</f>
        <v>-319942</v>
      </c>
    </row>
    <row r="24" spans="1:9" ht="16.2" thickTop="1" x14ac:dyDescent="0.3">
      <c r="G24" s="7"/>
      <c r="H24" s="7"/>
      <c r="I24" s="7"/>
    </row>
    <row r="25" spans="1:9" x14ac:dyDescent="0.3">
      <c r="G25" s="7"/>
      <c r="H25" s="7"/>
      <c r="I25" s="7"/>
    </row>
    <row r="26" spans="1:9" x14ac:dyDescent="0.3">
      <c r="C26" s="26" t="s">
        <v>75</v>
      </c>
      <c r="G26" s="7"/>
      <c r="H26" s="7"/>
      <c r="I26" s="7"/>
    </row>
    <row r="27" spans="1:9" x14ac:dyDescent="0.3">
      <c r="C27" t="s">
        <v>181</v>
      </c>
      <c r="G27" s="7"/>
      <c r="H27" s="7"/>
      <c r="I27" s="7"/>
    </row>
    <row r="28" spans="1:9" x14ac:dyDescent="0.3">
      <c r="C28" t="s">
        <v>180</v>
      </c>
      <c r="G28" s="7"/>
      <c r="H28" s="7"/>
      <c r="I28" s="7"/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workbookViewId="0">
      <selection activeCell="I1" sqref="I1"/>
    </sheetView>
  </sheetViews>
  <sheetFormatPr defaultRowHeight="15.6" x14ac:dyDescent="0.3"/>
  <cols>
    <col min="1" max="1" width="4.09765625" customWidth="1"/>
    <col min="2" max="2" width="1.59765625" customWidth="1"/>
    <col min="3" max="3" width="38.5" customWidth="1"/>
    <col min="4" max="4" width="2" customWidth="1"/>
    <col min="5" max="6" width="4.09765625" customWidth="1"/>
    <col min="7" max="7" width="6.59765625" customWidth="1"/>
    <col min="8" max="8" width="0.8984375" customWidth="1"/>
    <col min="9" max="9" width="11.8984375" customWidth="1"/>
  </cols>
  <sheetData>
    <row r="1" spans="1:9" x14ac:dyDescent="0.3">
      <c r="A1" t="s">
        <v>0</v>
      </c>
      <c r="I1" s="51" t="s">
        <v>215</v>
      </c>
    </row>
    <row r="2" spans="1:9" x14ac:dyDescent="0.3">
      <c r="A2" t="s">
        <v>192</v>
      </c>
      <c r="I2" s="12" t="s">
        <v>61</v>
      </c>
    </row>
    <row r="3" spans="1:9" x14ac:dyDescent="0.3">
      <c r="A3" t="s">
        <v>184</v>
      </c>
      <c r="I3" s="12" t="s">
        <v>199</v>
      </c>
    </row>
    <row r="4" spans="1:9" x14ac:dyDescent="0.3">
      <c r="A4" t="s">
        <v>2</v>
      </c>
      <c r="I4" s="12" t="s">
        <v>200</v>
      </c>
    </row>
    <row r="5" spans="1:9" x14ac:dyDescent="0.3">
      <c r="A5" s="6"/>
      <c r="I5" s="12" t="s">
        <v>183</v>
      </c>
    </row>
    <row r="10" spans="1:9" x14ac:dyDescent="0.3">
      <c r="A10" t="s">
        <v>3</v>
      </c>
    </row>
    <row r="11" spans="1:9" x14ac:dyDescent="0.3">
      <c r="A11" s="1" t="s">
        <v>4</v>
      </c>
      <c r="C11" s="1" t="s">
        <v>5</v>
      </c>
      <c r="G11" s="29"/>
      <c r="H11" s="2"/>
      <c r="I11" s="3" t="s">
        <v>14</v>
      </c>
    </row>
    <row r="12" spans="1:9" x14ac:dyDescent="0.3">
      <c r="G12" s="37"/>
    </row>
    <row r="13" spans="1:9" x14ac:dyDescent="0.3">
      <c r="A13">
        <v>1</v>
      </c>
      <c r="C13" t="s">
        <v>185</v>
      </c>
      <c r="G13" s="47"/>
      <c r="H13" s="7"/>
      <c r="I13" s="7">
        <v>1118004</v>
      </c>
    </row>
    <row r="14" spans="1:9" x14ac:dyDescent="0.3">
      <c r="A14">
        <v>2</v>
      </c>
      <c r="C14" t="s">
        <v>186</v>
      </c>
      <c r="I14" s="45">
        <v>0.1</v>
      </c>
    </row>
    <row r="16" spans="1:9" x14ac:dyDescent="0.3">
      <c r="A16">
        <v>3</v>
      </c>
      <c r="C16" t="s">
        <v>187</v>
      </c>
      <c r="G16" s="47"/>
      <c r="H16" s="7"/>
      <c r="I16" s="47">
        <f>1118004*-0.1</f>
        <v>-111800.40000000001</v>
      </c>
    </row>
    <row r="17" spans="1:9" x14ac:dyDescent="0.3">
      <c r="A17">
        <v>4</v>
      </c>
      <c r="C17" t="s">
        <v>191</v>
      </c>
      <c r="G17" s="47"/>
      <c r="H17" s="7"/>
      <c r="I17" s="48">
        <f>0.19822*0.72185</f>
        <v>0.14308510700000002</v>
      </c>
    </row>
    <row r="19" spans="1:9" x14ac:dyDescent="0.3">
      <c r="A19">
        <v>5</v>
      </c>
      <c r="C19" t="s">
        <v>188</v>
      </c>
      <c r="I19" s="47">
        <f>ROUND(I16*I17,0)</f>
        <v>-15997</v>
      </c>
    </row>
    <row r="20" spans="1:9" x14ac:dyDescent="0.3">
      <c r="I20" s="47"/>
    </row>
    <row r="21" spans="1:9" x14ac:dyDescent="0.3">
      <c r="A21">
        <v>6</v>
      </c>
      <c r="C21" t="s">
        <v>156</v>
      </c>
      <c r="G21" s="49"/>
      <c r="H21" s="7"/>
      <c r="I21" s="45">
        <v>0.35</v>
      </c>
    </row>
    <row r="22" spans="1:9" x14ac:dyDescent="0.3">
      <c r="G22" s="37"/>
      <c r="H22" s="7"/>
    </row>
    <row r="23" spans="1:9" x14ac:dyDescent="0.3">
      <c r="A23">
        <v>7</v>
      </c>
      <c r="C23" t="s">
        <v>189</v>
      </c>
      <c r="G23" s="47"/>
      <c r="H23" s="7"/>
      <c r="I23" s="22">
        <f>ROUND(I19*-I21,0)</f>
        <v>5599</v>
      </c>
    </row>
    <row r="24" spans="1:9" x14ac:dyDescent="0.3">
      <c r="G24" s="47"/>
      <c r="H24" s="7"/>
      <c r="I24" s="7"/>
    </row>
    <row r="25" spans="1:9" ht="16.2" thickBot="1" x14ac:dyDescent="0.35">
      <c r="A25">
        <v>8</v>
      </c>
      <c r="C25" t="s">
        <v>179</v>
      </c>
      <c r="G25" s="47"/>
      <c r="H25" s="7"/>
      <c r="I25" s="44">
        <f>-I19-I23</f>
        <v>10398</v>
      </c>
    </row>
    <row r="26" spans="1:9" ht="16.2" thickTop="1" x14ac:dyDescent="0.3">
      <c r="G26" s="47"/>
      <c r="H26" s="7"/>
      <c r="I26" s="7"/>
    </row>
    <row r="27" spans="1:9" x14ac:dyDescent="0.3">
      <c r="G27" s="47"/>
      <c r="H27" s="7"/>
      <c r="I27" s="7"/>
    </row>
    <row r="28" spans="1:9" x14ac:dyDescent="0.3">
      <c r="C28" s="26" t="s">
        <v>75</v>
      </c>
      <c r="G28" s="47"/>
      <c r="H28" s="7"/>
      <c r="I28" s="7"/>
    </row>
    <row r="29" spans="1:9" x14ac:dyDescent="0.3">
      <c r="C29" t="s">
        <v>190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workbookViewId="0">
      <selection activeCell="I1" sqref="I1"/>
    </sheetView>
  </sheetViews>
  <sheetFormatPr defaultRowHeight="15.6" x14ac:dyDescent="0.3"/>
  <cols>
    <col min="1" max="1" width="4.09765625" customWidth="1"/>
    <col min="2" max="2" width="1.59765625" customWidth="1"/>
    <col min="3" max="3" width="40.69921875" customWidth="1"/>
    <col min="4" max="4" width="4.69921875" customWidth="1"/>
    <col min="5" max="5" width="4.09765625" customWidth="1"/>
    <col min="6" max="6" width="2.8984375" customWidth="1"/>
    <col min="7" max="7" width="11.69921875" customWidth="1"/>
    <col min="8" max="8" width="0.8984375" customWidth="1"/>
    <col min="9" max="9" width="10.19921875" customWidth="1"/>
  </cols>
  <sheetData>
    <row r="1" spans="1:9" x14ac:dyDescent="0.3">
      <c r="A1" t="s">
        <v>0</v>
      </c>
      <c r="I1" s="51" t="s">
        <v>215</v>
      </c>
    </row>
    <row r="2" spans="1:9" x14ac:dyDescent="0.3">
      <c r="A2" t="s">
        <v>192</v>
      </c>
      <c r="I2" s="12" t="s">
        <v>61</v>
      </c>
    </row>
    <row r="3" spans="1:9" x14ac:dyDescent="0.3">
      <c r="A3" t="s">
        <v>154</v>
      </c>
      <c r="I3" s="12" t="s">
        <v>203</v>
      </c>
    </row>
    <row r="4" spans="1:9" x14ac:dyDescent="0.3">
      <c r="A4" t="s">
        <v>2</v>
      </c>
      <c r="I4" s="12" t="s">
        <v>202</v>
      </c>
    </row>
    <row r="5" spans="1:9" x14ac:dyDescent="0.3">
      <c r="A5" s="6" t="s">
        <v>17</v>
      </c>
      <c r="I5" s="12" t="s">
        <v>162</v>
      </c>
    </row>
    <row r="8" spans="1:9" x14ac:dyDescent="0.3">
      <c r="A8" t="s">
        <v>3</v>
      </c>
      <c r="G8" s="2" t="s">
        <v>16</v>
      </c>
      <c r="H8" s="2"/>
      <c r="I8" s="2" t="s">
        <v>98</v>
      </c>
    </row>
    <row r="9" spans="1:9" x14ac:dyDescent="0.3">
      <c r="A9" s="1" t="s">
        <v>4</v>
      </c>
      <c r="C9" s="1" t="s">
        <v>5</v>
      </c>
      <c r="G9" s="3" t="s">
        <v>99</v>
      </c>
      <c r="H9" s="2"/>
      <c r="I9" s="3" t="s">
        <v>99</v>
      </c>
    </row>
    <row r="11" spans="1:9" x14ac:dyDescent="0.3">
      <c r="A11">
        <v>1</v>
      </c>
      <c r="C11" t="s">
        <v>155</v>
      </c>
      <c r="G11" s="7">
        <v>202</v>
      </c>
      <c r="H11" s="7"/>
      <c r="I11" s="7">
        <v>507</v>
      </c>
    </row>
    <row r="13" spans="1:9" x14ac:dyDescent="0.3">
      <c r="A13">
        <v>2</v>
      </c>
      <c r="C13" t="s">
        <v>156</v>
      </c>
      <c r="G13" s="45">
        <v>0.35</v>
      </c>
      <c r="I13" s="45">
        <v>0.35</v>
      </c>
    </row>
    <row r="15" spans="1:9" x14ac:dyDescent="0.3">
      <c r="A15">
        <v>3</v>
      </c>
      <c r="C15" t="s">
        <v>157</v>
      </c>
      <c r="G15" s="22">
        <f>ROUND(G11*-G13,0)</f>
        <v>-71</v>
      </c>
      <c r="I15" s="22">
        <f>ROUND(I11*-I13,0)</f>
        <v>-177</v>
      </c>
    </row>
    <row r="16" spans="1:9" x14ac:dyDescent="0.3">
      <c r="G16" s="7"/>
      <c r="I16" s="7"/>
    </row>
    <row r="17" spans="1:9" ht="16.2" thickBot="1" x14ac:dyDescent="0.35">
      <c r="A17">
        <v>4</v>
      </c>
      <c r="C17" t="s">
        <v>158</v>
      </c>
      <c r="G17" s="44">
        <f>-G11-G15</f>
        <v>-131</v>
      </c>
      <c r="I17" s="44">
        <f>-I11-I15</f>
        <v>-330</v>
      </c>
    </row>
    <row r="18" spans="1:9" ht="16.2" thickTop="1" x14ac:dyDescent="0.3"/>
    <row r="24" spans="1:9" x14ac:dyDescent="0.3">
      <c r="C24" s="26" t="s">
        <v>75</v>
      </c>
    </row>
    <row r="25" spans="1:9" x14ac:dyDescent="0.3">
      <c r="C25" t="s">
        <v>163</v>
      </c>
    </row>
    <row r="26" spans="1:9" x14ac:dyDescent="0.3">
      <c r="C26" t="s">
        <v>159</v>
      </c>
    </row>
    <row r="27" spans="1:9" x14ac:dyDescent="0.3">
      <c r="C27" t="s">
        <v>160</v>
      </c>
    </row>
    <row r="28" spans="1:9" x14ac:dyDescent="0.3">
      <c r="C28" s="6" t="s">
        <v>161</v>
      </c>
    </row>
    <row r="29" spans="1:9" x14ac:dyDescent="0.3">
      <c r="C29" t="s">
        <v>209</v>
      </c>
    </row>
    <row r="30" spans="1:9" x14ac:dyDescent="0.3">
      <c r="C30" t="s">
        <v>210</v>
      </c>
    </row>
    <row r="31" spans="1:9" x14ac:dyDescent="0.3">
      <c r="C31" t="s">
        <v>211</v>
      </c>
    </row>
  </sheetData>
  <pageMargins left="0.7" right="0.7" top="0.75" bottom="0.75" header="0.3" footer="0.3"/>
  <pageSetup scale="94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workbookViewId="0">
      <selection activeCell="K1" sqref="K1"/>
    </sheetView>
  </sheetViews>
  <sheetFormatPr defaultRowHeight="15.6" x14ac:dyDescent="0.3"/>
  <cols>
    <col min="1" max="1" width="4.09765625" customWidth="1"/>
    <col min="2" max="2" width="1.59765625" customWidth="1"/>
    <col min="3" max="3" width="29.3984375" customWidth="1"/>
    <col min="4" max="4" width="4.69921875" customWidth="1"/>
    <col min="5" max="6" width="4.09765625" customWidth="1"/>
    <col min="7" max="7" width="12.19921875" customWidth="1"/>
    <col min="8" max="8" width="0.8984375" customWidth="1"/>
    <col min="9" max="9" width="12.09765625" customWidth="1"/>
    <col min="10" max="10" width="0.69921875" customWidth="1"/>
    <col min="11" max="11" width="11.59765625" customWidth="1"/>
  </cols>
  <sheetData>
    <row r="1" spans="1:11" x14ac:dyDescent="0.3">
      <c r="A1" t="s">
        <v>0</v>
      </c>
      <c r="K1" s="51" t="s">
        <v>215</v>
      </c>
    </row>
    <row r="2" spans="1:11" x14ac:dyDescent="0.3">
      <c r="A2" t="s">
        <v>192</v>
      </c>
      <c r="K2" s="12" t="s">
        <v>61</v>
      </c>
    </row>
    <row r="3" spans="1:11" x14ac:dyDescent="0.3">
      <c r="A3" t="s">
        <v>93</v>
      </c>
      <c r="K3" s="12" t="s">
        <v>204</v>
      </c>
    </row>
    <row r="4" spans="1:11" x14ac:dyDescent="0.3">
      <c r="A4" t="s">
        <v>2</v>
      </c>
      <c r="K4" s="12" t="s">
        <v>206</v>
      </c>
    </row>
    <row r="5" spans="1:11" x14ac:dyDescent="0.3">
      <c r="A5" s="6" t="s">
        <v>17</v>
      </c>
      <c r="K5" s="12" t="s">
        <v>104</v>
      </c>
    </row>
    <row r="7" spans="1:11" x14ac:dyDescent="0.3">
      <c r="G7" s="2" t="s">
        <v>16</v>
      </c>
      <c r="H7" s="2"/>
      <c r="I7" s="2" t="s">
        <v>98</v>
      </c>
    </row>
    <row r="8" spans="1:11" x14ac:dyDescent="0.3">
      <c r="G8" s="2" t="s">
        <v>94</v>
      </c>
      <c r="I8" s="2" t="s">
        <v>97</v>
      </c>
    </row>
    <row r="9" spans="1:11" x14ac:dyDescent="0.3">
      <c r="A9" t="s">
        <v>3</v>
      </c>
      <c r="G9" s="27" t="s">
        <v>95</v>
      </c>
      <c r="I9" s="27" t="s">
        <v>95</v>
      </c>
      <c r="K9" s="29" t="s">
        <v>16</v>
      </c>
    </row>
    <row r="10" spans="1:11" x14ac:dyDescent="0.3">
      <c r="A10" s="1" t="s">
        <v>4</v>
      </c>
      <c r="C10" s="1" t="s">
        <v>5</v>
      </c>
      <c r="G10" s="28" t="s">
        <v>96</v>
      </c>
      <c r="I10" s="28" t="s">
        <v>96</v>
      </c>
      <c r="K10" s="3" t="s">
        <v>99</v>
      </c>
    </row>
    <row r="11" spans="1:11" x14ac:dyDescent="0.3">
      <c r="G11" s="30" t="s">
        <v>107</v>
      </c>
      <c r="I11" s="30" t="s">
        <v>108</v>
      </c>
      <c r="K11" s="30" t="s">
        <v>109</v>
      </c>
    </row>
    <row r="12" spans="1:11" x14ac:dyDescent="0.3">
      <c r="A12" s="37"/>
      <c r="B12" s="37"/>
      <c r="C12" s="38" t="s">
        <v>79</v>
      </c>
      <c r="D12" s="37"/>
      <c r="E12" s="37"/>
      <c r="F12" s="37"/>
      <c r="G12" s="37"/>
      <c r="H12" s="37"/>
      <c r="I12" s="37"/>
      <c r="J12" s="37"/>
      <c r="K12" s="37"/>
    </row>
    <row r="13" spans="1:11" x14ac:dyDescent="0.3">
      <c r="A13" s="37">
        <v>1</v>
      </c>
      <c r="B13" s="37"/>
      <c r="C13" s="37" t="s">
        <v>80</v>
      </c>
      <c r="D13" s="37"/>
      <c r="E13" s="37"/>
      <c r="F13" s="37"/>
      <c r="G13" s="32">
        <v>353</v>
      </c>
      <c r="H13" s="37"/>
      <c r="I13" s="32">
        <v>546.07859000000008</v>
      </c>
      <c r="J13" s="37"/>
      <c r="K13" s="32">
        <f>G13-I13</f>
        <v>-193.07859000000008</v>
      </c>
    </row>
    <row r="14" spans="1:11" x14ac:dyDescent="0.3">
      <c r="A14" s="37">
        <v>2</v>
      </c>
      <c r="B14" s="37"/>
      <c r="C14" s="37" t="s">
        <v>100</v>
      </c>
      <c r="D14" s="37"/>
      <c r="E14" s="37"/>
      <c r="F14" s="37"/>
      <c r="G14" s="32">
        <v>12</v>
      </c>
      <c r="H14" s="37"/>
      <c r="I14" s="32">
        <v>14</v>
      </c>
      <c r="J14" s="37"/>
      <c r="K14" s="32">
        <f t="shared" ref="K14:K21" si="0">G14-I14</f>
        <v>-2</v>
      </c>
    </row>
    <row r="15" spans="1:11" x14ac:dyDescent="0.3">
      <c r="A15" s="37">
        <v>3</v>
      </c>
      <c r="B15" s="37"/>
      <c r="C15" s="37" t="s">
        <v>81</v>
      </c>
      <c r="D15" s="37"/>
      <c r="E15" s="37"/>
      <c r="F15" s="37"/>
      <c r="G15" s="32">
        <v>285</v>
      </c>
      <c r="H15" s="37"/>
      <c r="I15" s="32">
        <v>399.34399999999999</v>
      </c>
      <c r="J15" s="37"/>
      <c r="K15" s="32">
        <f t="shared" si="0"/>
        <v>-114.34399999999999</v>
      </c>
    </row>
    <row r="16" spans="1:11" x14ac:dyDescent="0.3">
      <c r="A16" s="39">
        <v>4</v>
      </c>
      <c r="B16" s="37"/>
      <c r="C16" s="37" t="s">
        <v>82</v>
      </c>
      <c r="D16" s="37"/>
      <c r="E16" s="37"/>
      <c r="F16" s="37"/>
      <c r="G16" s="32">
        <v>156</v>
      </c>
      <c r="H16" s="31"/>
      <c r="I16" s="32">
        <v>162.20699999999999</v>
      </c>
      <c r="J16" s="37"/>
      <c r="K16" s="32">
        <f t="shared" si="0"/>
        <v>-6.2069999999999936</v>
      </c>
    </row>
    <row r="17" spans="1:11" x14ac:dyDescent="0.3">
      <c r="A17" s="39">
        <v>5</v>
      </c>
      <c r="B17" s="37"/>
      <c r="C17" s="37" t="s">
        <v>101</v>
      </c>
      <c r="D17" s="37"/>
      <c r="E17" s="37"/>
      <c r="F17" s="37"/>
      <c r="G17" s="33">
        <f>SUM(G13:G16)</f>
        <v>806</v>
      </c>
      <c r="H17" s="31"/>
      <c r="I17" s="33">
        <f>SUM(I13:I16)-1</f>
        <v>1120.62959</v>
      </c>
      <c r="J17" s="37"/>
      <c r="K17" s="33">
        <f>SUM(K13:K16)</f>
        <v>-315.62959000000006</v>
      </c>
    </row>
    <row r="18" spans="1:11" x14ac:dyDescent="0.3">
      <c r="A18" s="39">
        <v>6</v>
      </c>
      <c r="B18" s="37"/>
      <c r="C18" s="37" t="s">
        <v>102</v>
      </c>
      <c r="D18" s="37"/>
      <c r="E18" s="37"/>
      <c r="F18" s="37"/>
      <c r="G18" s="33">
        <v>1</v>
      </c>
      <c r="H18" s="31"/>
      <c r="I18" s="33"/>
      <c r="J18" s="37"/>
      <c r="K18" s="33">
        <f t="shared" si="0"/>
        <v>1</v>
      </c>
    </row>
    <row r="19" spans="1:11" x14ac:dyDescent="0.3">
      <c r="A19" s="39">
        <v>7</v>
      </c>
      <c r="B19" s="37"/>
      <c r="C19" s="37" t="s">
        <v>83</v>
      </c>
      <c r="D19" s="37"/>
      <c r="E19" s="37"/>
      <c r="F19" s="37"/>
      <c r="G19" s="32">
        <f>-SUM(G17:G18)</f>
        <v>-807</v>
      </c>
      <c r="H19" s="31"/>
      <c r="I19" s="32">
        <f>-SUM(I17:I18)</f>
        <v>-1120.62959</v>
      </c>
      <c r="J19" s="37"/>
      <c r="K19" s="32">
        <f t="shared" si="0"/>
        <v>313.62959000000001</v>
      </c>
    </row>
    <row r="20" spans="1:11" x14ac:dyDescent="0.3">
      <c r="A20" s="39">
        <v>8</v>
      </c>
      <c r="B20" s="37"/>
      <c r="C20" s="37" t="s">
        <v>84</v>
      </c>
      <c r="D20" s="37"/>
      <c r="E20" s="37"/>
      <c r="F20" s="37"/>
      <c r="G20" s="34">
        <f>-G19*-0.35</f>
        <v>-282.45</v>
      </c>
      <c r="H20" s="31"/>
      <c r="I20" s="34">
        <f>-I19*-0.35</f>
        <v>-392.22035649999998</v>
      </c>
      <c r="J20" s="37"/>
      <c r="K20" s="32">
        <f t="shared" si="0"/>
        <v>109.77035649999999</v>
      </c>
    </row>
    <row r="21" spans="1:11" x14ac:dyDescent="0.3">
      <c r="A21" s="39">
        <v>9</v>
      </c>
      <c r="B21" s="37"/>
      <c r="C21" s="39" t="s">
        <v>103</v>
      </c>
      <c r="D21" s="37"/>
      <c r="E21" s="37"/>
      <c r="F21" s="37"/>
      <c r="G21" s="34">
        <f>ROUND(-G45*0.0268*0.35,0)</f>
        <v>14</v>
      </c>
      <c r="H21" s="31"/>
      <c r="I21" s="34">
        <f>ROUND(-I45*0.0268*0.35,0)</f>
        <v>-28</v>
      </c>
      <c r="J21" s="37"/>
      <c r="K21" s="32">
        <f t="shared" si="0"/>
        <v>42</v>
      </c>
    </row>
    <row r="22" spans="1:11" ht="16.2" thickBot="1" x14ac:dyDescent="0.35">
      <c r="A22" s="39">
        <v>10</v>
      </c>
      <c r="B22" s="37"/>
      <c r="C22" s="37" t="s">
        <v>85</v>
      </c>
      <c r="D22" s="37"/>
      <c r="E22" s="37"/>
      <c r="F22" s="37"/>
      <c r="G22" s="36">
        <f>G19-G20-G21</f>
        <v>-538.54999999999995</v>
      </c>
      <c r="H22" s="31"/>
      <c r="I22" s="36">
        <f>I19-I20-I21-1</f>
        <v>-701.40923350000003</v>
      </c>
      <c r="J22" s="37"/>
      <c r="K22" s="36">
        <f>K19-K20-K21-1</f>
        <v>160.85923350000002</v>
      </c>
    </row>
    <row r="23" spans="1:11" x14ac:dyDescent="0.3">
      <c r="A23" s="37"/>
      <c r="B23" s="37"/>
      <c r="C23" s="37"/>
      <c r="D23" s="37"/>
      <c r="E23" s="37"/>
      <c r="F23" s="37"/>
      <c r="G23" s="32"/>
      <c r="H23" s="31"/>
      <c r="I23" s="32"/>
      <c r="J23" s="37"/>
      <c r="K23" s="32"/>
    </row>
    <row r="24" spans="1:11" x14ac:dyDescent="0.3">
      <c r="A24" s="37"/>
      <c r="B24" s="37"/>
      <c r="C24" s="38" t="s">
        <v>86</v>
      </c>
      <c r="D24" s="37"/>
      <c r="E24" s="37"/>
      <c r="F24" s="37"/>
      <c r="G24" s="32"/>
      <c r="H24" s="34"/>
      <c r="I24" s="32"/>
      <c r="J24" s="37"/>
      <c r="K24" s="32"/>
    </row>
    <row r="25" spans="1:11" x14ac:dyDescent="0.3">
      <c r="A25" s="39">
        <v>11</v>
      </c>
      <c r="B25" s="37"/>
      <c r="C25" s="37" t="s">
        <v>80</v>
      </c>
      <c r="D25" s="37"/>
      <c r="E25" s="37"/>
      <c r="F25" s="37"/>
      <c r="G25" s="32">
        <v>1298</v>
      </c>
      <c r="H25" s="34"/>
      <c r="I25" s="32">
        <v>2163.951180477336</v>
      </c>
      <c r="J25" s="37"/>
      <c r="K25" s="32">
        <f t="shared" ref="K25:K28" si="1">G25-I25</f>
        <v>-865.95118047733604</v>
      </c>
    </row>
    <row r="26" spans="1:11" x14ac:dyDescent="0.3">
      <c r="A26" s="39">
        <v>12</v>
      </c>
      <c r="B26" s="37"/>
      <c r="C26" s="37" t="s">
        <v>100</v>
      </c>
      <c r="D26" s="37"/>
      <c r="E26" s="37"/>
      <c r="F26" s="37"/>
      <c r="G26" s="32">
        <v>171</v>
      </c>
      <c r="H26" s="34"/>
      <c r="I26" s="32">
        <v>287.48481100679999</v>
      </c>
      <c r="J26" s="37"/>
      <c r="K26" s="32">
        <f t="shared" si="1"/>
        <v>-116.48481100679999</v>
      </c>
    </row>
    <row r="27" spans="1:11" x14ac:dyDescent="0.3">
      <c r="A27" s="39">
        <v>13</v>
      </c>
      <c r="B27" s="37"/>
      <c r="C27" s="37" t="s">
        <v>81</v>
      </c>
      <c r="D27" s="37"/>
      <c r="E27" s="37"/>
      <c r="F27" s="37"/>
      <c r="G27" s="32">
        <v>7238</v>
      </c>
      <c r="H27" s="34"/>
      <c r="I27" s="32">
        <v>11785.430688522079</v>
      </c>
      <c r="J27" s="37"/>
      <c r="K27" s="32">
        <f t="shared" si="1"/>
        <v>-4547.4306885220794</v>
      </c>
    </row>
    <row r="28" spans="1:11" x14ac:dyDescent="0.3">
      <c r="A28" s="39">
        <v>14</v>
      </c>
      <c r="B28" s="37"/>
      <c r="C28" s="37" t="s">
        <v>82</v>
      </c>
      <c r="D28" s="37"/>
      <c r="E28" s="37"/>
      <c r="F28" s="37"/>
      <c r="G28" s="32">
        <v>2402</v>
      </c>
      <c r="H28" s="34"/>
      <c r="I28" s="32">
        <v>2213.150195958146</v>
      </c>
      <c r="J28" s="37"/>
      <c r="K28" s="32">
        <f t="shared" si="1"/>
        <v>188.84980404185399</v>
      </c>
    </row>
    <row r="29" spans="1:11" x14ac:dyDescent="0.3">
      <c r="A29" s="39">
        <v>15</v>
      </c>
      <c r="B29" s="37"/>
      <c r="C29" s="37" t="s">
        <v>87</v>
      </c>
      <c r="D29" s="37"/>
      <c r="E29" s="37"/>
      <c r="F29" s="37"/>
      <c r="G29" s="33">
        <f>SUM(G25:G28)</f>
        <v>11109</v>
      </c>
      <c r="H29" s="34"/>
      <c r="I29" s="33">
        <f>SUM(I25:I28)</f>
        <v>16450.016875964364</v>
      </c>
      <c r="J29" s="37"/>
      <c r="K29" s="33">
        <f>SUM(K25:K28)</f>
        <v>-5341.016875964362</v>
      </c>
    </row>
    <row r="30" spans="1:11" x14ac:dyDescent="0.3">
      <c r="A30" s="37"/>
      <c r="B30" s="37"/>
      <c r="C30" s="37"/>
      <c r="D30" s="37"/>
      <c r="E30" s="37"/>
      <c r="F30" s="37"/>
      <c r="G30" s="34"/>
      <c r="H30" s="34"/>
      <c r="I30" s="34"/>
      <c r="J30" s="37"/>
      <c r="K30" s="34"/>
    </row>
    <row r="31" spans="1:11" x14ac:dyDescent="0.3">
      <c r="A31" s="37"/>
      <c r="B31" s="37"/>
      <c r="C31" s="38" t="s">
        <v>88</v>
      </c>
      <c r="D31" s="37"/>
      <c r="E31" s="37"/>
      <c r="F31" s="37"/>
      <c r="G31" s="32"/>
      <c r="H31" s="34"/>
      <c r="I31" s="32"/>
      <c r="J31" s="37"/>
      <c r="K31" s="32"/>
    </row>
    <row r="32" spans="1:11" x14ac:dyDescent="0.3">
      <c r="A32" s="39">
        <v>16</v>
      </c>
      <c r="B32" s="37"/>
      <c r="C32" s="37" t="s">
        <v>80</v>
      </c>
      <c r="D32" s="37"/>
      <c r="E32" s="37"/>
      <c r="F32" s="37"/>
      <c r="G32" s="32">
        <v>-699</v>
      </c>
      <c r="H32" s="34"/>
      <c r="I32" s="32">
        <v>-844.38315261492801</v>
      </c>
      <c r="J32" s="37"/>
      <c r="K32" s="32">
        <f t="shared" ref="K32:K35" si="2">G32-I32</f>
        <v>145.38315261492801</v>
      </c>
    </row>
    <row r="33" spans="1:11" x14ac:dyDescent="0.3">
      <c r="A33" s="39">
        <v>17</v>
      </c>
      <c r="B33" s="37"/>
      <c r="C33" s="37" t="s">
        <v>100</v>
      </c>
      <c r="D33" s="37"/>
      <c r="E33" s="37"/>
      <c r="F33" s="37"/>
      <c r="G33" s="32">
        <v>-198</v>
      </c>
      <c r="H33" s="34"/>
      <c r="I33" s="32">
        <v>-299.38448992845179</v>
      </c>
      <c r="J33" s="37"/>
      <c r="K33" s="32">
        <f t="shared" si="2"/>
        <v>101.38448992845179</v>
      </c>
    </row>
    <row r="34" spans="1:11" x14ac:dyDescent="0.3">
      <c r="A34" s="39">
        <v>18</v>
      </c>
      <c r="B34" s="37"/>
      <c r="C34" s="37" t="s">
        <v>81</v>
      </c>
      <c r="D34" s="37"/>
      <c r="E34" s="37"/>
      <c r="F34" s="37"/>
      <c r="G34" s="32">
        <v>-2800.5</v>
      </c>
      <c r="H34" s="34"/>
      <c r="I34" s="32">
        <v>-4158.5681650915885</v>
      </c>
      <c r="J34" s="37"/>
      <c r="K34" s="32">
        <f t="shared" si="2"/>
        <v>1358.0681650915885</v>
      </c>
    </row>
    <row r="35" spans="1:11" x14ac:dyDescent="0.3">
      <c r="A35" s="39">
        <v>19</v>
      </c>
      <c r="B35" s="37"/>
      <c r="C35" s="37" t="s">
        <v>82</v>
      </c>
      <c r="D35" s="37"/>
      <c r="E35" s="37"/>
      <c r="F35" s="37"/>
      <c r="G35" s="32">
        <v>-1432</v>
      </c>
      <c r="H35" s="34"/>
      <c r="I35" s="32">
        <v>-839.66235724120838</v>
      </c>
      <c r="J35" s="37"/>
      <c r="K35" s="32">
        <f t="shared" si="2"/>
        <v>-592.33764275879162</v>
      </c>
    </row>
    <row r="36" spans="1:11" x14ac:dyDescent="0.3">
      <c r="A36" s="39">
        <v>20</v>
      </c>
      <c r="B36" s="37"/>
      <c r="C36" s="37" t="s">
        <v>89</v>
      </c>
      <c r="D36" s="37"/>
      <c r="E36" s="37"/>
      <c r="F36" s="37"/>
      <c r="G36" s="33">
        <f>SUM(G32:G35)</f>
        <v>-5129.5</v>
      </c>
      <c r="H36" s="34"/>
      <c r="I36" s="33">
        <f>SUM(I32:I35)</f>
        <v>-6141.9981648761768</v>
      </c>
      <c r="J36" s="37"/>
      <c r="K36" s="33">
        <f>SUM(K32:K35)</f>
        <v>1012.4981648761766</v>
      </c>
    </row>
    <row r="37" spans="1:11" x14ac:dyDescent="0.3">
      <c r="A37" s="37"/>
      <c r="B37" s="37"/>
      <c r="C37" s="37"/>
      <c r="D37" s="37"/>
      <c r="E37" s="37"/>
      <c r="F37" s="37"/>
      <c r="G37" s="34"/>
      <c r="H37" s="34"/>
      <c r="I37" s="34"/>
      <c r="J37" s="37"/>
      <c r="K37" s="34"/>
    </row>
    <row r="38" spans="1:11" x14ac:dyDescent="0.3">
      <c r="B38" s="37"/>
      <c r="C38" s="38" t="s">
        <v>90</v>
      </c>
      <c r="D38" s="37"/>
      <c r="E38" s="37"/>
      <c r="F38" s="37"/>
      <c r="G38" s="32"/>
      <c r="H38" s="34"/>
      <c r="I38" s="32"/>
      <c r="J38" s="37"/>
      <c r="K38" s="32"/>
    </row>
    <row r="39" spans="1:11" x14ac:dyDescent="0.3">
      <c r="A39" s="39">
        <v>21</v>
      </c>
      <c r="B39" s="37"/>
      <c r="C39" s="37" t="s">
        <v>80</v>
      </c>
      <c r="D39" s="37"/>
      <c r="E39" s="37"/>
      <c r="F39" s="37"/>
      <c r="G39" s="32">
        <v>-839</v>
      </c>
      <c r="H39" s="34"/>
      <c r="I39" s="32">
        <v>-799</v>
      </c>
      <c r="J39" s="37"/>
      <c r="K39" s="32">
        <f t="shared" ref="K39:K42" si="3">G39-I39</f>
        <v>-40</v>
      </c>
    </row>
    <row r="40" spans="1:11" x14ac:dyDescent="0.3">
      <c r="A40" s="39">
        <v>22</v>
      </c>
      <c r="B40" s="37"/>
      <c r="C40" s="37" t="s">
        <v>100</v>
      </c>
      <c r="D40" s="37"/>
      <c r="E40" s="37"/>
      <c r="F40" s="37"/>
      <c r="G40" s="32">
        <v>-142</v>
      </c>
      <c r="H40" s="34"/>
      <c r="I40" s="32">
        <v>-148</v>
      </c>
      <c r="J40" s="37"/>
      <c r="K40" s="32">
        <f t="shared" si="3"/>
        <v>6</v>
      </c>
    </row>
    <row r="41" spans="1:11" x14ac:dyDescent="0.3">
      <c r="A41" s="39">
        <v>23</v>
      </c>
      <c r="B41" s="37"/>
      <c r="C41" s="37" t="s">
        <v>81</v>
      </c>
      <c r="D41" s="37"/>
      <c r="E41" s="37"/>
      <c r="F41" s="37"/>
      <c r="G41" s="32">
        <v>-3178.5</v>
      </c>
      <c r="H41" s="34"/>
      <c r="I41" s="32">
        <v>-3241.5</v>
      </c>
      <c r="J41" s="37"/>
      <c r="K41" s="32">
        <f t="shared" si="3"/>
        <v>63</v>
      </c>
    </row>
    <row r="42" spans="1:11" x14ac:dyDescent="0.3">
      <c r="A42" s="39">
        <v>24</v>
      </c>
      <c r="B42" s="37"/>
      <c r="C42" s="37" t="s">
        <v>82</v>
      </c>
      <c r="D42" s="37"/>
      <c r="E42" s="37"/>
      <c r="F42" s="37"/>
      <c r="G42" s="32">
        <v>-3344</v>
      </c>
      <c r="H42" s="34"/>
      <c r="I42" s="32">
        <v>-3160</v>
      </c>
      <c r="J42" s="37"/>
      <c r="K42" s="32">
        <f t="shared" si="3"/>
        <v>-184</v>
      </c>
    </row>
    <row r="43" spans="1:11" x14ac:dyDescent="0.3">
      <c r="A43" s="39">
        <v>25</v>
      </c>
      <c r="B43" s="37"/>
      <c r="C43" s="37" t="s">
        <v>91</v>
      </c>
      <c r="D43" s="37"/>
      <c r="E43" s="37"/>
      <c r="F43" s="37"/>
      <c r="G43" s="33">
        <f>SUM(G39:G42)</f>
        <v>-7503.5</v>
      </c>
      <c r="H43" s="34"/>
      <c r="I43" s="33">
        <f>SUM(I39:I42)</f>
        <v>-7348.5</v>
      </c>
      <c r="J43" s="37"/>
      <c r="K43" s="33">
        <f>SUM(K39:K42)</f>
        <v>-155</v>
      </c>
    </row>
    <row r="44" spans="1:11" x14ac:dyDescent="0.3">
      <c r="A44" s="37"/>
      <c r="B44" s="37"/>
      <c r="C44" s="37"/>
      <c r="D44" s="37"/>
      <c r="E44" s="37"/>
      <c r="F44" s="37"/>
      <c r="G44" s="35"/>
      <c r="H44" s="34"/>
      <c r="I44" s="35"/>
      <c r="J44" s="37"/>
      <c r="K44" s="35"/>
    </row>
    <row r="45" spans="1:11" ht="16.2" thickBot="1" x14ac:dyDescent="0.35">
      <c r="A45" s="39">
        <v>26</v>
      </c>
      <c r="B45" s="37"/>
      <c r="C45" s="37" t="s">
        <v>92</v>
      </c>
      <c r="D45" s="37"/>
      <c r="E45" s="37"/>
      <c r="F45" s="37"/>
      <c r="G45" s="36">
        <f>G29+G36+G43</f>
        <v>-1524</v>
      </c>
      <c r="H45" s="34"/>
      <c r="I45" s="36">
        <f>I29+I36+I43</f>
        <v>2959.518711088187</v>
      </c>
      <c r="J45" s="37"/>
      <c r="K45" s="36">
        <f>K29+K36+K43</f>
        <v>-4483.5187110881852</v>
      </c>
    </row>
    <row r="46" spans="1:11" x14ac:dyDescent="0.3">
      <c r="A46" s="37"/>
      <c r="B46" s="37"/>
      <c r="C46" s="37"/>
      <c r="D46" s="37"/>
      <c r="E46" s="37"/>
      <c r="F46" s="37"/>
      <c r="G46" s="34"/>
      <c r="H46" s="34"/>
      <c r="I46" s="34"/>
      <c r="J46" s="37"/>
      <c r="K46" s="34"/>
    </row>
    <row r="47" spans="1:11" x14ac:dyDescent="0.3">
      <c r="A47" s="37"/>
      <c r="B47" s="37"/>
      <c r="C47" s="40" t="s">
        <v>75</v>
      </c>
      <c r="D47" s="37"/>
      <c r="E47" s="37"/>
      <c r="F47" s="37"/>
      <c r="G47" s="34"/>
      <c r="H47" s="34"/>
      <c r="I47" s="34"/>
      <c r="J47" s="37"/>
      <c r="K47" s="34"/>
    </row>
    <row r="48" spans="1:11" x14ac:dyDescent="0.3">
      <c r="A48" s="37"/>
      <c r="B48" s="37"/>
      <c r="C48" s="39" t="s">
        <v>106</v>
      </c>
      <c r="D48" s="37"/>
      <c r="E48" s="37"/>
      <c r="F48" s="37"/>
      <c r="G48" s="34"/>
      <c r="H48" s="34"/>
      <c r="I48" s="34"/>
      <c r="J48" s="37"/>
      <c r="K48" s="34"/>
    </row>
    <row r="49" spans="1:11" x14ac:dyDescent="0.3">
      <c r="A49" s="37"/>
      <c r="B49" s="37"/>
      <c r="C49" s="39" t="s">
        <v>128</v>
      </c>
      <c r="D49" s="37"/>
      <c r="E49" s="37"/>
      <c r="F49" s="37"/>
      <c r="G49" s="34"/>
      <c r="H49" s="34"/>
      <c r="I49" s="34"/>
      <c r="J49" s="37"/>
      <c r="K49" s="34"/>
    </row>
    <row r="50" spans="1:11" x14ac:dyDescent="0.3">
      <c r="A50" s="37"/>
      <c r="B50" s="37"/>
      <c r="C50" s="39" t="s">
        <v>110</v>
      </c>
      <c r="D50" s="37"/>
      <c r="E50" s="37"/>
      <c r="F50" s="37"/>
      <c r="G50" s="37"/>
      <c r="H50" s="37"/>
      <c r="I50" s="37"/>
      <c r="J50" s="37"/>
      <c r="K50" s="37"/>
    </row>
    <row r="51" spans="1:11" x14ac:dyDescent="0.3">
      <c r="A51" s="37"/>
      <c r="B51" s="37"/>
      <c r="C51" s="39" t="s">
        <v>111</v>
      </c>
      <c r="D51" s="37"/>
      <c r="E51" s="37"/>
      <c r="F51" s="37"/>
      <c r="G51" s="37"/>
      <c r="H51" s="37"/>
      <c r="I51" s="37"/>
      <c r="J51" s="37"/>
      <c r="K51" s="37"/>
    </row>
    <row r="52" spans="1:11" x14ac:dyDescent="0.3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</row>
    <row r="53" spans="1:11" x14ac:dyDescent="0.3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</row>
    <row r="54" spans="1:11" x14ac:dyDescent="0.3">
      <c r="H54" s="37"/>
    </row>
    <row r="55" spans="1:11" x14ac:dyDescent="0.3">
      <c r="H55" s="37"/>
    </row>
    <row r="56" spans="1:11" x14ac:dyDescent="0.3">
      <c r="H56" s="37"/>
    </row>
    <row r="57" spans="1:11" x14ac:dyDescent="0.3">
      <c r="H57" s="37"/>
    </row>
    <row r="58" spans="1:11" x14ac:dyDescent="0.3">
      <c r="H58" s="37"/>
    </row>
    <row r="59" spans="1:11" x14ac:dyDescent="0.3">
      <c r="H59" s="37"/>
    </row>
    <row r="60" spans="1:11" x14ac:dyDescent="0.3">
      <c r="H60" s="37"/>
    </row>
  </sheetData>
  <pageMargins left="0.7" right="0.7" top="0.75" bottom="0.75" header="0.3" footer="0.3"/>
  <pageSetup scale="88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workbookViewId="0">
      <selection activeCell="F1" sqref="F1"/>
    </sheetView>
  </sheetViews>
  <sheetFormatPr defaultRowHeight="15.6" x14ac:dyDescent="0.3"/>
  <cols>
    <col min="1" max="1" width="5.09765625" customWidth="1"/>
    <col min="2" max="2" width="1.19921875" customWidth="1"/>
    <col min="3" max="3" width="46.3984375" customWidth="1"/>
    <col min="4" max="4" width="5.09765625" customWidth="1"/>
    <col min="5" max="5" width="1.3984375" customWidth="1"/>
    <col min="6" max="6" width="12.69921875" customWidth="1"/>
  </cols>
  <sheetData>
    <row r="1" spans="1:6" x14ac:dyDescent="0.3">
      <c r="A1" t="s">
        <v>0</v>
      </c>
      <c r="F1" s="51" t="s">
        <v>215</v>
      </c>
    </row>
    <row r="2" spans="1:6" x14ac:dyDescent="0.3">
      <c r="A2" t="s">
        <v>192</v>
      </c>
      <c r="F2" s="12" t="s">
        <v>61</v>
      </c>
    </row>
    <row r="3" spans="1:6" x14ac:dyDescent="0.3">
      <c r="A3" t="s">
        <v>114</v>
      </c>
      <c r="F3" s="12" t="s">
        <v>207</v>
      </c>
    </row>
    <row r="4" spans="1:6" x14ac:dyDescent="0.3">
      <c r="A4" t="s">
        <v>2</v>
      </c>
      <c r="F4" s="12" t="s">
        <v>208</v>
      </c>
    </row>
    <row r="5" spans="1:6" x14ac:dyDescent="0.3">
      <c r="A5" s="6" t="s">
        <v>17</v>
      </c>
      <c r="F5" s="12" t="s">
        <v>105</v>
      </c>
    </row>
    <row r="9" spans="1:6" x14ac:dyDescent="0.3">
      <c r="A9" t="s">
        <v>3</v>
      </c>
    </row>
    <row r="10" spans="1:6" x14ac:dyDescent="0.3">
      <c r="A10" s="1" t="s">
        <v>4</v>
      </c>
      <c r="C10" s="1" t="s">
        <v>5</v>
      </c>
      <c r="F10" s="3" t="s">
        <v>14</v>
      </c>
    </row>
    <row r="12" spans="1:6" x14ac:dyDescent="0.3">
      <c r="A12">
        <v>1</v>
      </c>
      <c r="C12" t="s">
        <v>115</v>
      </c>
    </row>
    <row r="13" spans="1:6" x14ac:dyDescent="0.3">
      <c r="C13" t="s">
        <v>125</v>
      </c>
      <c r="F13" s="7">
        <v>6590</v>
      </c>
    </row>
    <row r="14" spans="1:6" x14ac:dyDescent="0.3">
      <c r="F14" s="7"/>
    </row>
    <row r="15" spans="1:6" x14ac:dyDescent="0.3">
      <c r="A15">
        <v>2</v>
      </c>
      <c r="C15" t="s">
        <v>126</v>
      </c>
      <c r="F15" s="7"/>
    </row>
    <row r="16" spans="1:6" x14ac:dyDescent="0.3">
      <c r="C16" t="s">
        <v>127</v>
      </c>
      <c r="F16" s="22">
        <v>3577</v>
      </c>
    </row>
    <row r="17" spans="1:6" x14ac:dyDescent="0.3">
      <c r="F17" s="7"/>
    </row>
    <row r="18" spans="1:6" x14ac:dyDescent="0.3">
      <c r="A18">
        <v>3</v>
      </c>
      <c r="C18" t="s">
        <v>116</v>
      </c>
      <c r="F18" s="7"/>
    </row>
    <row r="19" spans="1:6" x14ac:dyDescent="0.3">
      <c r="C19" t="s">
        <v>117</v>
      </c>
      <c r="F19" s="22">
        <f>F13-F16</f>
        <v>3013</v>
      </c>
    </row>
    <row r="20" spans="1:6" x14ac:dyDescent="0.3">
      <c r="F20" s="7"/>
    </row>
    <row r="21" spans="1:6" ht="16.2" thickBot="1" x14ac:dyDescent="0.35">
      <c r="A21">
        <v>4</v>
      </c>
      <c r="C21" t="s">
        <v>118</v>
      </c>
      <c r="F21" s="11">
        <f>-F19</f>
        <v>-3013</v>
      </c>
    </row>
    <row r="22" spans="1:6" ht="16.2" thickTop="1" x14ac:dyDescent="0.3"/>
    <row r="23" spans="1:6" x14ac:dyDescent="0.3">
      <c r="A23">
        <v>5</v>
      </c>
      <c r="C23" t="s">
        <v>119</v>
      </c>
      <c r="F23" s="22">
        <f>-F21*0.0268*0.35</f>
        <v>28.261939999999999</v>
      </c>
    </row>
    <row r="24" spans="1:6" x14ac:dyDescent="0.3">
      <c r="F24" s="7"/>
    </row>
    <row r="25" spans="1:6" ht="16.2" thickBot="1" x14ac:dyDescent="0.35">
      <c r="A25">
        <v>6</v>
      </c>
      <c r="C25" t="s">
        <v>120</v>
      </c>
      <c r="F25" s="11">
        <f>-F23</f>
        <v>-28.261939999999999</v>
      </c>
    </row>
    <row r="26" spans="1:6" ht="16.2" thickTop="1" x14ac:dyDescent="0.3"/>
    <row r="27" spans="1:6" x14ac:dyDescent="0.3">
      <c r="C27" s="26" t="s">
        <v>121</v>
      </c>
    </row>
    <row r="28" spans="1:6" x14ac:dyDescent="0.3">
      <c r="C28" t="s">
        <v>122</v>
      </c>
    </row>
    <row r="29" spans="1:6" x14ac:dyDescent="0.3">
      <c r="C29" t="s">
        <v>123</v>
      </c>
    </row>
    <row r="30" spans="1:6" x14ac:dyDescent="0.3">
      <c r="C30" t="s">
        <v>124</v>
      </c>
    </row>
  </sheetData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abSelected="1" workbookViewId="0">
      <selection activeCell="C7" sqref="C7"/>
    </sheetView>
  </sheetViews>
  <sheetFormatPr defaultRowHeight="15.6" x14ac:dyDescent="0.3"/>
  <cols>
    <col min="1" max="1" width="4.09765625" customWidth="1"/>
    <col min="2" max="2" width="1.59765625" customWidth="1"/>
    <col min="3" max="3" width="46.5" customWidth="1"/>
    <col min="4" max="4" width="3" customWidth="1"/>
    <col min="5" max="5" width="4.09765625" customWidth="1"/>
    <col min="6" max="6" width="2.5" customWidth="1"/>
    <col min="7" max="7" width="11.5" customWidth="1"/>
    <col min="8" max="8" width="0.8984375" customWidth="1"/>
    <col min="9" max="9" width="32.69921875" customWidth="1"/>
    <col min="10" max="10" width="0.69921875" customWidth="1"/>
    <col min="11" max="11" width="11.59765625" customWidth="1"/>
  </cols>
  <sheetData>
    <row r="1" spans="1:9" x14ac:dyDescent="0.3">
      <c r="A1" t="s">
        <v>0</v>
      </c>
      <c r="I1" s="51" t="s">
        <v>215</v>
      </c>
    </row>
    <row r="2" spans="1:9" x14ac:dyDescent="0.3">
      <c r="A2" t="s">
        <v>192</v>
      </c>
      <c r="I2" s="12" t="s">
        <v>61</v>
      </c>
    </row>
    <row r="3" spans="1:9" x14ac:dyDescent="0.3">
      <c r="A3" t="s">
        <v>132</v>
      </c>
      <c r="I3" s="12" t="s">
        <v>201</v>
      </c>
    </row>
    <row r="4" spans="1:9" x14ac:dyDescent="0.3">
      <c r="A4" t="s">
        <v>2</v>
      </c>
      <c r="I4" s="12" t="s">
        <v>205</v>
      </c>
    </row>
    <row r="5" spans="1:9" x14ac:dyDescent="0.3">
      <c r="A5" s="6" t="s">
        <v>17</v>
      </c>
      <c r="I5" s="12" t="s">
        <v>151</v>
      </c>
    </row>
    <row r="9" spans="1:9" x14ac:dyDescent="0.3">
      <c r="A9" t="s">
        <v>3</v>
      </c>
    </row>
    <row r="10" spans="1:9" x14ac:dyDescent="0.3">
      <c r="A10" s="1" t="s">
        <v>4</v>
      </c>
      <c r="C10" s="1" t="s">
        <v>5</v>
      </c>
      <c r="G10" s="3" t="s">
        <v>14</v>
      </c>
      <c r="I10" s="42" t="s">
        <v>136</v>
      </c>
    </row>
    <row r="11" spans="1:9" x14ac:dyDescent="0.3">
      <c r="I11" s="37"/>
    </row>
    <row r="12" spans="1:9" x14ac:dyDescent="0.3">
      <c r="C12" s="26" t="s">
        <v>212</v>
      </c>
      <c r="I12" s="37"/>
    </row>
    <row r="13" spans="1:9" x14ac:dyDescent="0.3">
      <c r="A13">
        <v>1</v>
      </c>
      <c r="C13" t="s">
        <v>134</v>
      </c>
      <c r="E13" s="7"/>
      <c r="F13" s="7"/>
      <c r="G13" s="7">
        <v>2447284</v>
      </c>
      <c r="I13" s="37" t="s">
        <v>137</v>
      </c>
    </row>
    <row r="14" spans="1:9" x14ac:dyDescent="0.3">
      <c r="A14">
        <v>2</v>
      </c>
      <c r="C14" t="s">
        <v>153</v>
      </c>
      <c r="E14" s="7"/>
      <c r="F14" s="7"/>
      <c r="G14" s="22">
        <v>1609821</v>
      </c>
      <c r="I14" s="37" t="s">
        <v>138</v>
      </c>
    </row>
    <row r="15" spans="1:9" x14ac:dyDescent="0.3">
      <c r="E15" s="7"/>
      <c r="F15" s="7"/>
      <c r="G15" s="7"/>
      <c r="I15" s="37"/>
    </row>
    <row r="16" spans="1:9" x14ac:dyDescent="0.3">
      <c r="A16">
        <v>3</v>
      </c>
      <c r="C16" t="s">
        <v>133</v>
      </c>
      <c r="E16" s="7"/>
      <c r="F16" s="7"/>
      <c r="G16" s="7">
        <f>SUM(G13:G15)</f>
        <v>4057105</v>
      </c>
      <c r="I16" s="41"/>
    </row>
    <row r="17" spans="1:9" x14ac:dyDescent="0.3">
      <c r="A17">
        <v>4</v>
      </c>
      <c r="C17" t="s">
        <v>135</v>
      </c>
      <c r="E17" s="7"/>
      <c r="F17" s="7"/>
      <c r="G17" s="5">
        <v>2.52E-2</v>
      </c>
      <c r="I17" t="s">
        <v>139</v>
      </c>
    </row>
    <row r="18" spans="1:9" x14ac:dyDescent="0.3">
      <c r="A18">
        <v>5</v>
      </c>
      <c r="C18" t="s">
        <v>140</v>
      </c>
      <c r="E18" s="7"/>
      <c r="F18" s="7"/>
      <c r="G18" s="43">
        <f>ROUND(G16*G17,0)</f>
        <v>102239</v>
      </c>
    </row>
    <row r="19" spans="1:9" x14ac:dyDescent="0.3">
      <c r="E19" s="7"/>
      <c r="F19" s="7"/>
      <c r="G19" s="7"/>
    </row>
    <row r="20" spans="1:9" x14ac:dyDescent="0.3">
      <c r="C20" s="26" t="s">
        <v>213</v>
      </c>
      <c r="E20" s="7"/>
      <c r="F20" s="7"/>
      <c r="G20" s="7"/>
    </row>
    <row r="21" spans="1:9" x14ac:dyDescent="0.3">
      <c r="A21">
        <v>6</v>
      </c>
      <c r="C21" t="s">
        <v>141</v>
      </c>
      <c r="E21" s="7"/>
      <c r="F21" s="7"/>
      <c r="G21" s="7">
        <v>13182547</v>
      </c>
      <c r="I21" t="s">
        <v>139</v>
      </c>
    </row>
    <row r="22" spans="1:9" x14ac:dyDescent="0.3">
      <c r="A22">
        <v>7</v>
      </c>
      <c r="C22" t="s">
        <v>152</v>
      </c>
      <c r="E22" s="7"/>
      <c r="F22" s="7"/>
      <c r="G22" s="22">
        <v>-1151904</v>
      </c>
      <c r="I22" t="s">
        <v>139</v>
      </c>
    </row>
    <row r="23" spans="1:9" x14ac:dyDescent="0.3">
      <c r="A23">
        <v>8</v>
      </c>
      <c r="C23" t="s">
        <v>142</v>
      </c>
      <c r="E23" s="7"/>
      <c r="F23" s="7"/>
      <c r="G23" s="43">
        <f>SUM(G21:G22)</f>
        <v>12030643</v>
      </c>
    </row>
    <row r="24" spans="1:9" x14ac:dyDescent="0.3">
      <c r="E24" s="7"/>
      <c r="F24" s="7"/>
      <c r="G24" s="7"/>
    </row>
    <row r="25" spans="1:9" x14ac:dyDescent="0.3">
      <c r="A25">
        <v>9</v>
      </c>
      <c r="C25" t="s">
        <v>143</v>
      </c>
      <c r="E25" s="7"/>
      <c r="F25" s="7"/>
      <c r="G25" s="22">
        <f>1102588</f>
        <v>1102588</v>
      </c>
      <c r="I25" t="s">
        <v>139</v>
      </c>
    </row>
    <row r="26" spans="1:9" x14ac:dyDescent="0.3">
      <c r="E26" s="7"/>
      <c r="F26" s="7"/>
      <c r="G26" s="7"/>
    </row>
    <row r="27" spans="1:9" x14ac:dyDescent="0.3">
      <c r="C27" s="26" t="s">
        <v>144</v>
      </c>
      <c r="E27" s="7"/>
      <c r="F27" s="7"/>
      <c r="G27" s="7"/>
    </row>
    <row r="28" spans="1:9" x14ac:dyDescent="0.3">
      <c r="A28">
        <v>10</v>
      </c>
      <c r="C28" t="s">
        <v>140</v>
      </c>
      <c r="E28" s="7"/>
      <c r="F28" s="7"/>
      <c r="G28" s="7">
        <f>G18+G25</f>
        <v>1204827</v>
      </c>
      <c r="I28" t="s">
        <v>145</v>
      </c>
    </row>
    <row r="29" spans="1:9" x14ac:dyDescent="0.3">
      <c r="A29">
        <v>11</v>
      </c>
      <c r="C29" s="37" t="s">
        <v>84</v>
      </c>
      <c r="D29" s="37"/>
      <c r="E29" s="37"/>
      <c r="F29" s="37"/>
      <c r="G29" s="34">
        <f>G28*-0.35</f>
        <v>-421689.44999999995</v>
      </c>
      <c r="I29" t="s">
        <v>150</v>
      </c>
    </row>
    <row r="30" spans="1:9" x14ac:dyDescent="0.3">
      <c r="A30">
        <v>12</v>
      </c>
      <c r="C30" s="39" t="s">
        <v>103</v>
      </c>
      <c r="D30" s="37"/>
      <c r="E30" s="37"/>
      <c r="F30" s="37"/>
      <c r="G30" s="34">
        <f>ROUND(-G34*0.0268*0.35,0)</f>
        <v>-150903</v>
      </c>
      <c r="I30" t="s">
        <v>149</v>
      </c>
    </row>
    <row r="31" spans="1:9" ht="16.2" thickBot="1" x14ac:dyDescent="0.35">
      <c r="A31">
        <v>13</v>
      </c>
      <c r="C31" s="37" t="s">
        <v>85</v>
      </c>
      <c r="D31" s="37"/>
      <c r="E31" s="37"/>
      <c r="F31" s="37"/>
      <c r="G31" s="36">
        <f>-SUM(G28:G30)</f>
        <v>-632234.55000000005</v>
      </c>
    </row>
    <row r="32" spans="1:9" x14ac:dyDescent="0.3">
      <c r="E32" s="7"/>
      <c r="F32" s="7"/>
      <c r="G32" s="7"/>
    </row>
    <row r="33" spans="1:9" x14ac:dyDescent="0.3">
      <c r="C33" s="26" t="s">
        <v>146</v>
      </c>
      <c r="E33" s="7"/>
      <c r="F33" s="7"/>
      <c r="G33" s="7"/>
    </row>
    <row r="34" spans="1:9" ht="16.2" thickBot="1" x14ac:dyDescent="0.35">
      <c r="A34">
        <v>14</v>
      </c>
      <c r="C34" t="s">
        <v>147</v>
      </c>
      <c r="E34" s="7"/>
      <c r="F34" s="7"/>
      <c r="G34" s="44">
        <f>G23+G16</f>
        <v>16087748</v>
      </c>
      <c r="I34" t="s">
        <v>148</v>
      </c>
    </row>
    <row r="35" spans="1:9" ht="16.2" thickTop="1" x14ac:dyDescent="0.3">
      <c r="E35" s="7"/>
      <c r="F35" s="7"/>
      <c r="G35" s="7"/>
    </row>
    <row r="36" spans="1:9" x14ac:dyDescent="0.3">
      <c r="E36" s="7"/>
      <c r="F36" s="7"/>
      <c r="G36" s="7"/>
    </row>
    <row r="37" spans="1:9" x14ac:dyDescent="0.3">
      <c r="E37" s="7"/>
      <c r="F37" s="7"/>
      <c r="G37" s="7"/>
    </row>
    <row r="38" spans="1:9" x14ac:dyDescent="0.3">
      <c r="E38" s="7"/>
      <c r="F38" s="7"/>
      <c r="G38" s="7"/>
    </row>
    <row r="39" spans="1:9" x14ac:dyDescent="0.3">
      <c r="E39" s="7"/>
      <c r="F39" s="7"/>
      <c r="G39" s="7"/>
    </row>
  </sheetData>
  <pageMargins left="0.7" right="0.7" top="0.75" bottom="0.75" header="0.3" footer="0.3"/>
  <pageSetup scale="7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7FA5D4F63E4AB4AAE35AF92A0E8AE17" ma:contentTypeVersion="119" ma:contentTypeDescription="" ma:contentTypeScope="" ma:versionID="a36623e24926dd0089eeb1dc00071bb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2015-02-09T08:00:00+00:00</OpenedDate>
    <Date1 xmlns="dc463f71-b30c-4ab2-9473-d307f9d35888">2015-07-27T07:00:00+00:00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150204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6F2A413B-6157-4F6B-A695-B09C53DAA911}"/>
</file>

<file path=customXml/itemProps2.xml><?xml version="1.0" encoding="utf-8"?>
<ds:datastoreItem xmlns:ds="http://schemas.openxmlformats.org/officeDocument/2006/customXml" ds:itemID="{1F72ED8B-C6AB-4EAB-BC10-148A2C7020F8}"/>
</file>

<file path=customXml/itemProps3.xml><?xml version="1.0" encoding="utf-8"?>
<ds:datastoreItem xmlns:ds="http://schemas.openxmlformats.org/officeDocument/2006/customXml" ds:itemID="{D00FF7F1-1041-4CAF-8BAA-0111A603E514}"/>
</file>

<file path=customXml/itemProps4.xml><?xml version="1.0" encoding="utf-8"?>
<ds:datastoreItem xmlns:ds="http://schemas.openxmlformats.org/officeDocument/2006/customXml" ds:itemID="{77F9D7DA-56EB-432F-BFDC-63B76840D0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RevReq</vt:lpstr>
      <vt:lpstr>Summary</vt:lpstr>
      <vt:lpstr>LTIP</vt:lpstr>
      <vt:lpstr>Labor</vt:lpstr>
      <vt:lpstr>Ins</vt:lpstr>
      <vt:lpstr>PropTax</vt:lpstr>
      <vt:lpstr>EOP_PIS</vt:lpstr>
      <vt:lpstr>RTD</vt:lpstr>
      <vt:lpstr>PlantAdds</vt:lpstr>
      <vt:lpstr>RevReq!OLE_LINK1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</dc:creator>
  <cp:lastModifiedBy>Mak, Chanda (ATG)</cp:lastModifiedBy>
  <cp:lastPrinted>2015-07-09T16:34:52Z</cp:lastPrinted>
  <dcterms:created xsi:type="dcterms:W3CDTF">2015-07-06T17:53:07Z</dcterms:created>
  <dcterms:modified xsi:type="dcterms:W3CDTF">2015-07-17T18:09:56Z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0x0101006E56B4D1795A2E4DB2F0B01679ED314A0097FA5D4F63E4AB4AAE35AF92A0E8AE17</vt:lpwstr>
  </property>
  <property fmtid="{D5CDD505-2E9C-101B-9397-08002B2CF9AE}" pid="3" name="_docset_NoMedatataSyncRequired">
    <vt:lpwstr>False</vt:lpwstr>
  </property>
</Properties>
</file>