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4.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Tariffs\1. Open Advices\2019-30 Electric Schedules 91, 92 - Cogeneration Production (UE-19xxxx) (Eff. 11-9-19)\Workpapers\"/>
    </mc:Choice>
  </mc:AlternateContent>
  <bookViews>
    <workbookView xWindow="-12" yWindow="4560" windowWidth="12060" windowHeight="1176" tabRatio="797" firstSheet="11" activeTab="14"/>
  </bookViews>
  <sheets>
    <sheet name="Output - Summary" sheetId="45" r:id="rId1"/>
    <sheet name="Output - 5yr Baseload" sheetId="42" r:id="rId2"/>
    <sheet name="Output - 10yr Baseload" sheetId="39" r:id="rId3"/>
    <sheet name="Output - 15yr Baseload" sheetId="13" r:id="rId4"/>
    <sheet name="Output - 10yr Wind" sheetId="40" r:id="rId5"/>
    <sheet name="Output - 15yr Wind" sheetId="26" r:id="rId6"/>
    <sheet name="Output - 10yr Solar" sheetId="41" r:id="rId7"/>
    <sheet name="Output - 15yr Solar" sheetId="27" r:id="rId8"/>
    <sheet name="Electric EES CE Std Energy" sheetId="5" r:id="rId9"/>
    <sheet name="FlatLoadShapeEnergy_perMWh" sheetId="9" r:id="rId10"/>
    <sheet name="Baseload Avoided Capacity Calcs" sheetId="7" r:id="rId11"/>
    <sheet name="Wind Avoided Capacity Calcs" sheetId="43" r:id="rId12"/>
    <sheet name="Solar Avoided Capacity Calcs" sheetId="44" r:id="rId13"/>
    <sheet name="Inputs-----&gt;" sheetId="38" r:id="rId14"/>
    <sheet name="Energy Prices" sheetId="22" r:id="rId15"/>
    <sheet name="Capacity Delivered" sheetId="23" r:id="rId16"/>
    <sheet name="Cost of Capital" sheetId="37" r:id="rId17"/>
  </sheets>
  <externalReferences>
    <externalReference r:id="rId18"/>
    <externalReference r:id="rId19"/>
  </externalReferences>
  <definedNames>
    <definedName name="_ftn1" localSheetId="10">'Baseload Avoided Capacity Calcs'!#REF!</definedName>
    <definedName name="_ftn1" localSheetId="12">'Solar Avoided Capacity Calcs'!#REF!</definedName>
    <definedName name="_ftn1" localSheetId="11">'Wind Avoided Capacity Calcs'!#REF!</definedName>
    <definedName name="_ftnref1" localSheetId="10">'Baseload Avoided Capacity Calcs'!#REF!</definedName>
    <definedName name="_ftnref1" localSheetId="12">'Solar Avoided Capacity Calcs'!#REF!</definedName>
    <definedName name="_ftnref1" localSheetId="11">'Wind Avoided Capacity Calcs'!#REF!</definedName>
    <definedName name="CaseDescription">[1]Assumptions!$A$2</definedName>
    <definedName name="MeasureList" localSheetId="2">#REF!</definedName>
    <definedName name="MeasureList" localSheetId="6">#REF!</definedName>
    <definedName name="MeasureList" localSheetId="4">#REF!</definedName>
    <definedName name="MeasureList" localSheetId="7">#REF!</definedName>
    <definedName name="MeasureList" localSheetId="5">#REF!</definedName>
    <definedName name="MeasureList" localSheetId="1">#REF!</definedName>
    <definedName name="MeasureList" localSheetId="0">#REF!</definedName>
    <definedName name="MeasureList" localSheetId="12">#REF!</definedName>
    <definedName name="MeasureList" localSheetId="11">#REF!</definedName>
    <definedName name="MeasureList">#REF!</definedName>
    <definedName name="PreTaxWACC">[2]Assumptions!$O$24</definedName>
    <definedName name="_xlnm.Print_Area" localSheetId="10">'Baseload Avoided Capacity Calcs'!$B$4:$K$30</definedName>
    <definedName name="_xlnm.Print_Area" localSheetId="15">'Capacity Delivered'!$B$3:$T$28</definedName>
    <definedName name="_xlnm.Print_Area" localSheetId="8">'Electric EES CE Std Energy'!$B$2:$F$29</definedName>
    <definedName name="_xlnm.Print_Area" localSheetId="9">FlatLoadShapeEnergy_perMWh!$B$4:$P$33</definedName>
    <definedName name="_xlnm.Print_Area" localSheetId="2">'Output - 10yr Baseload'!$B$2:$AC$35</definedName>
    <definedName name="_xlnm.Print_Area" localSheetId="6">'Output - 10yr Solar'!$B$2:$AC$35</definedName>
    <definedName name="_xlnm.Print_Area" localSheetId="4">'Output - 10yr Wind'!$B$2:$AC$35</definedName>
    <definedName name="_xlnm.Print_Area" localSheetId="3">'Output - 15yr Baseload'!$B$2:$AD$35</definedName>
    <definedName name="_xlnm.Print_Area" localSheetId="7">'Output - 15yr Solar'!$B$2:$AD$35</definedName>
    <definedName name="_xlnm.Print_Area" localSheetId="5">'Output - 15yr Wind'!$B$2:$AD$35</definedName>
    <definedName name="_xlnm.Print_Area" localSheetId="1">'Output - 5yr Baseload'!$B$2:$AC$35</definedName>
    <definedName name="_xlnm.Print_Area" localSheetId="0">'Output - Summary'!$B$2:$AB$10</definedName>
    <definedName name="_xlnm.Print_Area" localSheetId="12">'Solar Avoided Capacity Calcs'!$B$4:$K$30</definedName>
    <definedName name="_xlnm.Print_Area" localSheetId="11">'Wind Avoided Capacity Calcs'!$B$4:$K$30</definedName>
    <definedName name="Rate_of_Return">'Cost of Capital'!$F$16</definedName>
    <definedName name="solver_typ" localSheetId="8" hidden="1">2</definedName>
    <definedName name="solver_typ" localSheetId="4" hidden="1">2</definedName>
    <definedName name="solver_typ" localSheetId="5" hidden="1">2</definedName>
    <definedName name="solver_ver" localSheetId="8" hidden="1">10</definedName>
    <definedName name="solver_ver" localSheetId="4" hidden="1">17</definedName>
    <definedName name="solver_ver" localSheetId="5" hidden="1">17</definedName>
    <definedName name="Title">[1]Assumptions!$A$1</definedName>
    <definedName name="wrn.Customer._.Counts._.Electric." localSheetId="13"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3" hidden="1">{#N/A,#N/A,FALSE,"Pg 6b CustCount_Gas";#N/A,#N/A,FALSE,"QA";#N/A,#N/A,FALSE,"Report";#N/A,#N/A,FALSE,"forecast"}</definedName>
    <definedName name="wrn.Customer._.Counts._.Gas." hidden="1">{#N/A,#N/A,FALSE,"Pg 6b CustCount_Gas";#N/A,#N/A,FALSE,"QA";#N/A,#N/A,FALSE,"Report";#N/A,#N/A,FALSE,"forecast"}</definedName>
    <definedName name="wrn.Incentive._.Overhead." localSheetId="13" hidden="1">{#N/A,#N/A,FALSE,"Coversheet";#N/A,#N/A,FALSE,"QA"}</definedName>
    <definedName name="wrn.Incentive._.Overhead." hidden="1">{#N/A,#N/A,FALSE,"Coversheet";#N/A,#N/A,FALSE,"QA"}</definedName>
    <definedName name="wrn.MARGIN_WO_QTR." localSheetId="13" hidden="1">{#N/A,#N/A,FALSE,"Month ";#N/A,#N/A,FALSE,"YTD";#N/A,#N/A,FALSE,"12 mo ended"}</definedName>
    <definedName name="wrn.MARGIN_WO_QTR." hidden="1">{#N/A,#N/A,FALSE,"Month ";#N/A,#N/A,FALSE,"YTD";#N/A,#N/A,FALSE,"12 mo ended"}</definedName>
    <definedName name="wrn.Municipal._.Reports." localSheetId="1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localSheetId="13" hidden="1">{#N/A,#N/A,FALSE,"2002 Small Tool OH";#N/A,#N/A,FALSE,"QA"}</definedName>
    <definedName name="wrn.Small._.Tools._.Overhead." hidden="1">{#N/A,#N/A,FALSE,"2002 Small Tool OH";#N/A,#N/A,FALSE,"QA"}</definedName>
  </definedNames>
  <calcPr calcId="162913"/>
</workbook>
</file>

<file path=xl/calcChain.xml><?xml version="1.0" encoding="utf-8"?>
<calcChain xmlns="http://schemas.openxmlformats.org/spreadsheetml/2006/main">
  <c r="L16" i="7" l="1"/>
  <c r="K16" i="7"/>
  <c r="J16" i="7"/>
  <c r="I16" i="7"/>
  <c r="H16" i="7"/>
  <c r="I5" i="26"/>
  <c r="J32" i="44" l="1"/>
  <c r="L7" i="44"/>
  <c r="H7" i="44"/>
  <c r="V12" i="23"/>
  <c r="F41" i="45" l="1"/>
  <c r="G41" i="45" s="1"/>
  <c r="H41" i="45" s="1"/>
  <c r="I41" i="45" s="1"/>
  <c r="J41" i="45" s="1"/>
  <c r="K41" i="45" s="1"/>
  <c r="L41" i="45" s="1"/>
  <c r="M41" i="45" s="1"/>
  <c r="N41" i="45" s="1"/>
  <c r="O41" i="45" s="1"/>
  <c r="P41" i="45" s="1"/>
  <c r="Q41" i="45" s="1"/>
  <c r="R41" i="45" s="1"/>
  <c r="S41" i="45" s="1"/>
  <c r="T41" i="45" s="1"/>
  <c r="U41" i="45" s="1"/>
  <c r="V41" i="45" s="1"/>
  <c r="F35" i="45"/>
  <c r="G35" i="45" s="1"/>
  <c r="H35" i="45" s="1"/>
  <c r="I35" i="45" s="1"/>
  <c r="J35" i="45" s="1"/>
  <c r="K35" i="45" s="1"/>
  <c r="L35" i="45" s="1"/>
  <c r="M35" i="45" s="1"/>
  <c r="N35" i="45" s="1"/>
  <c r="O35" i="45" s="1"/>
  <c r="P35" i="45" s="1"/>
  <c r="Q35" i="45" s="1"/>
  <c r="R35" i="45" s="1"/>
  <c r="S35" i="45" s="1"/>
  <c r="T35" i="45" s="1"/>
  <c r="U35" i="45" s="1"/>
  <c r="V35" i="45" s="1"/>
  <c r="F28" i="45"/>
  <c r="G28" i="45" s="1"/>
  <c r="H28" i="45" s="1"/>
  <c r="I28" i="45" s="1"/>
  <c r="J28" i="45" s="1"/>
  <c r="K28" i="45" s="1"/>
  <c r="L28" i="45" s="1"/>
  <c r="M28" i="45" s="1"/>
  <c r="N28" i="45" s="1"/>
  <c r="O28" i="45" s="1"/>
  <c r="P28" i="45" s="1"/>
  <c r="Q28" i="45" s="1"/>
  <c r="R28" i="45" s="1"/>
  <c r="S28" i="45" s="1"/>
  <c r="T28" i="45" s="1"/>
  <c r="U28" i="45" s="1"/>
  <c r="V28" i="45" s="1"/>
  <c r="H8" i="44"/>
  <c r="H9" i="44"/>
  <c r="H10" i="44"/>
  <c r="H11" i="44"/>
  <c r="I11" i="44" s="1"/>
  <c r="H12" i="44"/>
  <c r="H13" i="44"/>
  <c r="H14" i="44"/>
  <c r="H15" i="44"/>
  <c r="I15" i="44" s="1"/>
  <c r="H16" i="44"/>
  <c r="H17" i="44"/>
  <c r="H18" i="44"/>
  <c r="H19" i="44"/>
  <c r="I19" i="44" s="1"/>
  <c r="H20" i="44"/>
  <c r="H21" i="44"/>
  <c r="H22" i="44"/>
  <c r="H23" i="44"/>
  <c r="I23" i="44" s="1"/>
  <c r="H24" i="44"/>
  <c r="H25" i="44"/>
  <c r="H26" i="44"/>
  <c r="H27" i="44"/>
  <c r="I25" i="44"/>
  <c r="I21" i="44"/>
  <c r="C13" i="44"/>
  <c r="I12" i="44"/>
  <c r="D12" i="44"/>
  <c r="C11" i="44"/>
  <c r="I9" i="44"/>
  <c r="F8" i="44"/>
  <c r="F9" i="44" s="1"/>
  <c r="F10" i="44" s="1"/>
  <c r="F11" i="44" s="1"/>
  <c r="F12" i="44" s="1"/>
  <c r="F13" i="44" s="1"/>
  <c r="F14" i="44" s="1"/>
  <c r="F15" i="44" s="1"/>
  <c r="F16" i="44" s="1"/>
  <c r="F17" i="44" s="1"/>
  <c r="F18" i="44" s="1"/>
  <c r="F19" i="44" s="1"/>
  <c r="F20" i="44" s="1"/>
  <c r="F21" i="44" s="1"/>
  <c r="F22" i="44" s="1"/>
  <c r="F23" i="44" s="1"/>
  <c r="F24" i="44" s="1"/>
  <c r="F25" i="44" s="1"/>
  <c r="F26" i="44" s="1"/>
  <c r="F27" i="44" s="1"/>
  <c r="D8" i="44"/>
  <c r="I27" i="44" s="1"/>
  <c r="H7" i="43"/>
  <c r="H8" i="43"/>
  <c r="H9" i="43"/>
  <c r="H10" i="43"/>
  <c r="H11" i="43"/>
  <c r="H12" i="43"/>
  <c r="H13" i="43"/>
  <c r="H14" i="43"/>
  <c r="H15" i="43"/>
  <c r="H16" i="43"/>
  <c r="H17" i="43"/>
  <c r="H18" i="43"/>
  <c r="H19" i="43"/>
  <c r="H20" i="43"/>
  <c r="H21" i="43"/>
  <c r="H22" i="43"/>
  <c r="H23" i="43"/>
  <c r="H24" i="43"/>
  <c r="H25" i="43"/>
  <c r="H26" i="43"/>
  <c r="H27" i="43"/>
  <c r="C13" i="43"/>
  <c r="D12" i="43"/>
  <c r="C11" i="43"/>
  <c r="F8" i="43"/>
  <c r="F9" i="43" s="1"/>
  <c r="F10" i="43" s="1"/>
  <c r="F11" i="43" s="1"/>
  <c r="F12" i="43" s="1"/>
  <c r="F13" i="43" s="1"/>
  <c r="F14" i="43" s="1"/>
  <c r="F15" i="43" s="1"/>
  <c r="F16" i="43" s="1"/>
  <c r="F17" i="43" s="1"/>
  <c r="F18" i="43" s="1"/>
  <c r="F19" i="43" s="1"/>
  <c r="F20" i="43" s="1"/>
  <c r="F21" i="43" s="1"/>
  <c r="F22" i="43" s="1"/>
  <c r="F23" i="43" s="1"/>
  <c r="F24" i="43" s="1"/>
  <c r="F25" i="43" s="1"/>
  <c r="F26" i="43" s="1"/>
  <c r="F27" i="43" s="1"/>
  <c r="D8" i="43"/>
  <c r="I17" i="43" s="1"/>
  <c r="H7" i="7"/>
  <c r="I7" i="44" l="1"/>
  <c r="J7" i="44" s="1"/>
  <c r="I13" i="44"/>
  <c r="I17" i="44"/>
  <c r="D13" i="44"/>
  <c r="O7" i="44" s="1"/>
  <c r="D13" i="43"/>
  <c r="O7" i="43" s="1"/>
  <c r="O8" i="43" s="1"/>
  <c r="P7" i="44"/>
  <c r="Q7" i="44" s="1"/>
  <c r="R7" i="44" s="1"/>
  <c r="I21" i="43"/>
  <c r="K7" i="44"/>
  <c r="I9" i="43"/>
  <c r="I25" i="43"/>
  <c r="I12" i="43"/>
  <c r="I13" i="43"/>
  <c r="I7" i="43"/>
  <c r="J7" i="43" s="1"/>
  <c r="I27" i="43"/>
  <c r="I23" i="43"/>
  <c r="I19" i="43"/>
  <c r="I15" i="43"/>
  <c r="I8" i="44"/>
  <c r="I10" i="44"/>
  <c r="I14" i="44"/>
  <c r="I16" i="44"/>
  <c r="I18" i="44"/>
  <c r="I20" i="44"/>
  <c r="I22" i="44"/>
  <c r="I24" i="44"/>
  <c r="I26" i="44"/>
  <c r="P7" i="43"/>
  <c r="Q7" i="43" s="1"/>
  <c r="R7" i="43" s="1"/>
  <c r="K7" i="43"/>
  <c r="I11" i="43"/>
  <c r="I8" i="43"/>
  <c r="I10" i="43"/>
  <c r="I14" i="43"/>
  <c r="I16" i="43"/>
  <c r="I18" i="43"/>
  <c r="I20" i="43"/>
  <c r="I22" i="43"/>
  <c r="I24" i="43"/>
  <c r="I26" i="43"/>
  <c r="O8" i="44" l="1"/>
  <c r="P8" i="44" s="1"/>
  <c r="J8" i="43"/>
  <c r="J8" i="44"/>
  <c r="J9" i="44" s="1"/>
  <c r="S7" i="44"/>
  <c r="T7" i="44" s="1"/>
  <c r="U7" i="44" s="1"/>
  <c r="K8" i="44"/>
  <c r="L7" i="43"/>
  <c r="J9" i="43"/>
  <c r="K8" i="43"/>
  <c r="O9" i="43"/>
  <c r="P8" i="43"/>
  <c r="Q8" i="43" s="1"/>
  <c r="R8" i="43" s="1"/>
  <c r="S7" i="43"/>
  <c r="T7" i="43" s="1"/>
  <c r="U7" i="43" s="1"/>
  <c r="O8" i="23"/>
  <c r="O9" i="23"/>
  <c r="O10" i="23"/>
  <c r="O11" i="23"/>
  <c r="O12" i="23"/>
  <c r="O13" i="23"/>
  <c r="O14" i="23"/>
  <c r="O15" i="23"/>
  <c r="O16" i="23"/>
  <c r="O17" i="23"/>
  <c r="O18" i="23"/>
  <c r="O19" i="23"/>
  <c r="O20" i="23"/>
  <c r="O21" i="23"/>
  <c r="O22" i="23"/>
  <c r="O23" i="23"/>
  <c r="O24" i="23"/>
  <c r="O25" i="23"/>
  <c r="O26" i="23"/>
  <c r="O27" i="23"/>
  <c r="O28" i="23"/>
  <c r="O7" i="23"/>
  <c r="S8" i="23"/>
  <c r="S9" i="23"/>
  <c r="S10" i="23"/>
  <c r="S11" i="23"/>
  <c r="S12" i="23"/>
  <c r="S13" i="23"/>
  <c r="S14" i="23"/>
  <c r="S15" i="23"/>
  <c r="S16" i="23"/>
  <c r="S17" i="23"/>
  <c r="S18" i="23"/>
  <c r="S19" i="23"/>
  <c r="S20" i="23"/>
  <c r="S21" i="23"/>
  <c r="S22" i="23"/>
  <c r="S23" i="23"/>
  <c r="S24" i="23"/>
  <c r="S25" i="23"/>
  <c r="S26" i="23"/>
  <c r="S27" i="23"/>
  <c r="S28" i="23"/>
  <c r="S7" i="23"/>
  <c r="Q8" i="23"/>
  <c r="Q9" i="23"/>
  <c r="Q10" i="23"/>
  <c r="Q11" i="23"/>
  <c r="Q12" i="23"/>
  <c r="Q13" i="23"/>
  <c r="Q14" i="23"/>
  <c r="Q15" i="23"/>
  <c r="Q16" i="23"/>
  <c r="Q17" i="23"/>
  <c r="Q18" i="23"/>
  <c r="Q19" i="23"/>
  <c r="Q20" i="23"/>
  <c r="Q21" i="23"/>
  <c r="Q22" i="23"/>
  <c r="Q23" i="23"/>
  <c r="Q24" i="23"/>
  <c r="Q25" i="23"/>
  <c r="Q26" i="23"/>
  <c r="Q27" i="23"/>
  <c r="Q28" i="23"/>
  <c r="Q7" i="23"/>
  <c r="Q8" i="44" l="1"/>
  <c r="R8" i="44" s="1"/>
  <c r="S8" i="44" s="1"/>
  <c r="T8" i="44" s="1"/>
  <c r="U8" i="44" s="1"/>
  <c r="O9" i="44"/>
  <c r="W7" i="44"/>
  <c r="X7" i="44" s="1"/>
  <c r="L8" i="44"/>
  <c r="M7" i="44"/>
  <c r="M7" i="43"/>
  <c r="W7" i="43"/>
  <c r="X7" i="43" s="1"/>
  <c r="J10" i="44"/>
  <c r="K9" i="44"/>
  <c r="L8" i="43"/>
  <c r="M8" i="43" s="1"/>
  <c r="S8" i="43"/>
  <c r="T8" i="43" s="1"/>
  <c r="U8" i="43" s="1"/>
  <c r="O10" i="43"/>
  <c r="P9" i="43"/>
  <c r="Q9" i="43" s="1"/>
  <c r="R9" i="43" s="1"/>
  <c r="J10" i="43"/>
  <c r="K9" i="43"/>
  <c r="J7" i="23"/>
  <c r="I7" i="23"/>
  <c r="H7" i="23"/>
  <c r="P7" i="23" s="1"/>
  <c r="P9" i="44" l="1"/>
  <c r="Q9" i="44" s="1"/>
  <c r="R9" i="44" s="1"/>
  <c r="S9" i="44" s="1"/>
  <c r="T9" i="44" s="1"/>
  <c r="U9" i="44" s="1"/>
  <c r="O10" i="44"/>
  <c r="W8" i="44"/>
  <c r="X8" i="44" s="1"/>
  <c r="M8" i="44"/>
  <c r="L9" i="44"/>
  <c r="W8" i="43"/>
  <c r="X8" i="43" s="1"/>
  <c r="J11" i="44"/>
  <c r="K10" i="44"/>
  <c r="L9" i="43"/>
  <c r="O11" i="44"/>
  <c r="P10" i="44"/>
  <c r="Q10" i="44" s="1"/>
  <c r="S9" i="43"/>
  <c r="T9" i="43" s="1"/>
  <c r="U9" i="43" s="1"/>
  <c r="O11" i="43"/>
  <c r="P10" i="43"/>
  <c r="Q10" i="43" s="1"/>
  <c r="R10" i="43" s="1"/>
  <c r="J11" i="43"/>
  <c r="K10" i="43"/>
  <c r="R7" i="23"/>
  <c r="W7" i="23"/>
  <c r="T7" i="23"/>
  <c r="X7" i="23" s="1"/>
  <c r="V7" i="23"/>
  <c r="Q7" i="22"/>
  <c r="R10" i="44" l="1"/>
  <c r="W9" i="44"/>
  <c r="X9" i="44" s="1"/>
  <c r="L10" i="44"/>
  <c r="M9" i="44"/>
  <c r="M9" i="43"/>
  <c r="W9" i="43"/>
  <c r="X9" i="43" s="1"/>
  <c r="S10" i="44"/>
  <c r="T10" i="44" s="1"/>
  <c r="U10" i="44" s="1"/>
  <c r="O12" i="44"/>
  <c r="P11" i="44"/>
  <c r="Q11" i="44" s="1"/>
  <c r="R11" i="44" s="1"/>
  <c r="J12" i="44"/>
  <c r="K11" i="44"/>
  <c r="L10" i="43"/>
  <c r="M10" i="43" s="1"/>
  <c r="S10" i="43"/>
  <c r="T10" i="43" s="1"/>
  <c r="U10" i="43" s="1"/>
  <c r="O12" i="43"/>
  <c r="P11" i="43"/>
  <c r="Q11" i="43" s="1"/>
  <c r="R11" i="43" s="1"/>
  <c r="J12" i="43"/>
  <c r="K11" i="43"/>
  <c r="G19" i="42"/>
  <c r="F12" i="42"/>
  <c r="G12" i="42" s="1"/>
  <c r="H12" i="42" s="1"/>
  <c r="I12" i="42" s="1"/>
  <c r="J12" i="42" s="1"/>
  <c r="K12" i="42" s="1"/>
  <c r="L12" i="42" s="1"/>
  <c r="F12" i="27"/>
  <c r="F12" i="41"/>
  <c r="F12" i="26"/>
  <c r="F12" i="40"/>
  <c r="F12" i="13"/>
  <c r="F12" i="39"/>
  <c r="I27" i="9"/>
  <c r="J27" i="9" s="1"/>
  <c r="K27" i="9"/>
  <c r="I8" i="9"/>
  <c r="I7" i="9"/>
  <c r="G8" i="9"/>
  <c r="G9" i="9" s="1"/>
  <c r="G10" i="9" s="1"/>
  <c r="G11" i="9" s="1"/>
  <c r="G12" i="9" s="1"/>
  <c r="G13" i="9" s="1"/>
  <c r="G14" i="9" s="1"/>
  <c r="G15" i="9" s="1"/>
  <c r="G16" i="9" s="1"/>
  <c r="G17" i="9" s="1"/>
  <c r="G18" i="9" s="1"/>
  <c r="G19" i="9" s="1"/>
  <c r="G20" i="9" s="1"/>
  <c r="G21" i="9" s="1"/>
  <c r="G22" i="9" s="1"/>
  <c r="G23" i="9" s="1"/>
  <c r="G24" i="9" s="1"/>
  <c r="G25" i="9" s="1"/>
  <c r="G26" i="9" s="1"/>
  <c r="G27" i="9" s="1"/>
  <c r="F8" i="7"/>
  <c r="F9" i="7" s="1"/>
  <c r="F10" i="7" s="1"/>
  <c r="F11" i="7" s="1"/>
  <c r="F12" i="7" s="1"/>
  <c r="F13" i="7" s="1"/>
  <c r="F14" i="7" s="1"/>
  <c r="F15" i="7" s="1"/>
  <c r="F16" i="7" s="1"/>
  <c r="F17" i="7" s="1"/>
  <c r="F18" i="7" s="1"/>
  <c r="F19" i="7" s="1"/>
  <c r="F20" i="7" s="1"/>
  <c r="F21" i="7" s="1"/>
  <c r="F22" i="7" s="1"/>
  <c r="F23" i="7" s="1"/>
  <c r="F24" i="7" s="1"/>
  <c r="F25" i="7" s="1"/>
  <c r="F26" i="7" s="1"/>
  <c r="F27" i="7" s="1"/>
  <c r="L11" i="44" l="1"/>
  <c r="W10" i="44"/>
  <c r="X10" i="44" s="1"/>
  <c r="M10" i="44"/>
  <c r="W10" i="43"/>
  <c r="X10" i="43" s="1"/>
  <c r="S11" i="44"/>
  <c r="T11" i="44" s="1"/>
  <c r="U11" i="44" s="1"/>
  <c r="O13" i="44"/>
  <c r="P12" i="44"/>
  <c r="Q12" i="44" s="1"/>
  <c r="R12" i="44" s="1"/>
  <c r="J13" i="44"/>
  <c r="K12" i="44"/>
  <c r="L11" i="43"/>
  <c r="S11" i="43"/>
  <c r="T11" i="43" s="1"/>
  <c r="U11" i="43" s="1"/>
  <c r="O13" i="43"/>
  <c r="P12" i="43"/>
  <c r="Q12" i="43" s="1"/>
  <c r="R12" i="43" s="1"/>
  <c r="J13" i="43"/>
  <c r="K12" i="43"/>
  <c r="J7" i="9"/>
  <c r="H19" i="42"/>
  <c r="I19" i="9"/>
  <c r="J19" i="9" s="1"/>
  <c r="F28" i="23"/>
  <c r="E28" i="23"/>
  <c r="J13" i="23"/>
  <c r="G19" i="41"/>
  <c r="H19" i="41" s="1"/>
  <c r="I19" i="41" s="1"/>
  <c r="G12" i="41"/>
  <c r="H12" i="41" s="1"/>
  <c r="I12" i="41" s="1"/>
  <c r="J12" i="41" s="1"/>
  <c r="K12" i="41" s="1"/>
  <c r="L12" i="41" s="1"/>
  <c r="M12" i="41" s="1"/>
  <c r="N12" i="41" s="1"/>
  <c r="O12" i="41" s="1"/>
  <c r="P12" i="41" s="1"/>
  <c r="Q12" i="41" s="1"/>
  <c r="G19" i="40"/>
  <c r="H19" i="40" s="1"/>
  <c r="G12" i="40"/>
  <c r="H12" i="40" s="1"/>
  <c r="I12" i="40" s="1"/>
  <c r="J12" i="40" s="1"/>
  <c r="K12" i="40" s="1"/>
  <c r="L12" i="40" s="1"/>
  <c r="M12" i="40" s="1"/>
  <c r="N12" i="40" s="1"/>
  <c r="O12" i="40" s="1"/>
  <c r="P12" i="40" s="1"/>
  <c r="Q12" i="40" s="1"/>
  <c r="G19" i="39"/>
  <c r="G12" i="39"/>
  <c r="H12" i="39" s="1"/>
  <c r="I12" i="39" s="1"/>
  <c r="J12" i="39" s="1"/>
  <c r="K12" i="39" s="1"/>
  <c r="L12" i="39" s="1"/>
  <c r="M12" i="39" s="1"/>
  <c r="N12" i="39" s="1"/>
  <c r="O12" i="39" s="1"/>
  <c r="P12" i="39" s="1"/>
  <c r="Q12" i="39" s="1"/>
  <c r="W11" i="44" l="1"/>
  <c r="X11" i="44" s="1"/>
  <c r="L12" i="44"/>
  <c r="M12" i="44" s="1"/>
  <c r="M11" i="44"/>
  <c r="W11" i="43"/>
  <c r="X11" i="43" s="1"/>
  <c r="M11" i="43"/>
  <c r="S12" i="44"/>
  <c r="T12" i="44" s="1"/>
  <c r="U12" i="44" s="1"/>
  <c r="O14" i="44"/>
  <c r="P13" i="44"/>
  <c r="Q13" i="44" s="1"/>
  <c r="R13" i="44" s="1"/>
  <c r="L12" i="43"/>
  <c r="J14" i="44"/>
  <c r="K13" i="44"/>
  <c r="S12" i="43"/>
  <c r="T12" i="43" s="1"/>
  <c r="U12" i="43" s="1"/>
  <c r="O14" i="43"/>
  <c r="P13" i="43"/>
  <c r="Q13" i="43" s="1"/>
  <c r="R13" i="43" s="1"/>
  <c r="J14" i="43"/>
  <c r="K13" i="43"/>
  <c r="T13" i="23"/>
  <c r="X13" i="23" s="1"/>
  <c r="I19" i="42"/>
  <c r="J19" i="41"/>
  <c r="I19" i="40"/>
  <c r="H19" i="39"/>
  <c r="L13" i="44" l="1"/>
  <c r="W12" i="44"/>
  <c r="X12" i="44" s="1"/>
  <c r="M12" i="43"/>
  <c r="W12" i="43"/>
  <c r="X12" i="43" s="1"/>
  <c r="S13" i="44"/>
  <c r="T13" i="44" s="1"/>
  <c r="U13" i="44" s="1"/>
  <c r="J15" i="44"/>
  <c r="K14" i="44"/>
  <c r="O15" i="44"/>
  <c r="P14" i="44"/>
  <c r="Q14" i="44" s="1"/>
  <c r="R14" i="44" s="1"/>
  <c r="L13" i="43"/>
  <c r="M13" i="43" s="1"/>
  <c r="S13" i="43"/>
  <c r="T13" i="43" s="1"/>
  <c r="U13" i="43" s="1"/>
  <c r="O15" i="43"/>
  <c r="P14" i="43"/>
  <c r="Q14" i="43" s="1"/>
  <c r="R14" i="43" s="1"/>
  <c r="J15" i="43"/>
  <c r="K14" i="43"/>
  <c r="J19" i="42"/>
  <c r="K19" i="41"/>
  <c r="J19" i="40"/>
  <c r="I19" i="39"/>
  <c r="L14" i="44" l="1"/>
  <c r="W13" i="44"/>
  <c r="X13" i="44" s="1"/>
  <c r="M13" i="44"/>
  <c r="W13" i="43"/>
  <c r="X13" i="43" s="1"/>
  <c r="S14" i="44"/>
  <c r="T14" i="44" s="1"/>
  <c r="U14" i="44" s="1"/>
  <c r="J16" i="44"/>
  <c r="K15" i="44"/>
  <c r="L14" i="43"/>
  <c r="O16" i="44"/>
  <c r="P15" i="44"/>
  <c r="Q15" i="44" s="1"/>
  <c r="R15" i="44" s="1"/>
  <c r="S14" i="43"/>
  <c r="T14" i="43" s="1"/>
  <c r="U14" i="43" s="1"/>
  <c r="O16" i="43"/>
  <c r="P15" i="43"/>
  <c r="Q15" i="43" s="1"/>
  <c r="R15" i="43" s="1"/>
  <c r="J16" i="43"/>
  <c r="K15" i="43"/>
  <c r="L19" i="41"/>
  <c r="K19" i="40"/>
  <c r="J19" i="39"/>
  <c r="R32" i="44" l="1"/>
  <c r="L15" i="44"/>
  <c r="W14" i="44"/>
  <c r="X14" i="44" s="1"/>
  <c r="M14" i="44"/>
  <c r="M14" i="43"/>
  <c r="W14" i="43"/>
  <c r="X14" i="43" s="1"/>
  <c r="S15" i="44"/>
  <c r="T15" i="44" s="1"/>
  <c r="U15" i="44" s="1"/>
  <c r="O17" i="44"/>
  <c r="P16" i="44"/>
  <c r="Q16" i="44" s="1"/>
  <c r="R16" i="44" s="1"/>
  <c r="S16" i="44" s="1"/>
  <c r="T16" i="44" s="1"/>
  <c r="W16" i="44" s="1"/>
  <c r="J17" i="44"/>
  <c r="K16" i="44"/>
  <c r="L15" i="43"/>
  <c r="M15" i="43" s="1"/>
  <c r="S15" i="43"/>
  <c r="T15" i="43" s="1"/>
  <c r="U15" i="43" s="1"/>
  <c r="O17" i="43"/>
  <c r="P16" i="43"/>
  <c r="Q16" i="43" s="1"/>
  <c r="R16" i="43" s="1"/>
  <c r="J17" i="43"/>
  <c r="K16" i="43"/>
  <c r="M19" i="41"/>
  <c r="L19" i="40"/>
  <c r="K19" i="39"/>
  <c r="L16" i="44" l="1"/>
  <c r="W15" i="44"/>
  <c r="X15" i="44" s="1"/>
  <c r="M15" i="44"/>
  <c r="W15" i="43"/>
  <c r="X15" i="43" s="1"/>
  <c r="U16" i="44"/>
  <c r="O18" i="44"/>
  <c r="P17" i="44"/>
  <c r="Q17" i="44" s="1"/>
  <c r="R17" i="44" s="1"/>
  <c r="L16" i="43"/>
  <c r="J18" i="44"/>
  <c r="K17" i="44"/>
  <c r="S16" i="43"/>
  <c r="O18" i="43"/>
  <c r="P17" i="43"/>
  <c r="Q17" i="43" s="1"/>
  <c r="R17" i="43" s="1"/>
  <c r="J18" i="43"/>
  <c r="K17" i="43"/>
  <c r="N19" i="41"/>
  <c r="M19" i="40"/>
  <c r="L19" i="39"/>
  <c r="T16" i="43" l="1"/>
  <c r="W16" i="43" s="1"/>
  <c r="X16" i="43" s="1"/>
  <c r="I5" i="40" s="1"/>
  <c r="L17" i="44"/>
  <c r="X16" i="44"/>
  <c r="I5" i="41" s="1"/>
  <c r="M16" i="44"/>
  <c r="M16" i="43"/>
  <c r="S17" i="44"/>
  <c r="T17" i="44" s="1"/>
  <c r="U17" i="44" s="1"/>
  <c r="J19" i="44"/>
  <c r="K18" i="44"/>
  <c r="O19" i="44"/>
  <c r="P18" i="44"/>
  <c r="Q18" i="44" s="1"/>
  <c r="R18" i="44" s="1"/>
  <c r="L17" i="43"/>
  <c r="M17" i="43" s="1"/>
  <c r="S17" i="43"/>
  <c r="T17" i="43" s="1"/>
  <c r="U17" i="43" s="1"/>
  <c r="O19" i="43"/>
  <c r="P18" i="43"/>
  <c r="Q18" i="43" s="1"/>
  <c r="R18" i="43" s="1"/>
  <c r="J19" i="43"/>
  <c r="K18" i="43"/>
  <c r="O19" i="41"/>
  <c r="N19" i="40"/>
  <c r="M19" i="39"/>
  <c r="U16" i="43" l="1"/>
  <c r="W17" i="44"/>
  <c r="X17" i="44" s="1"/>
  <c r="L18" i="44"/>
  <c r="M17" i="44"/>
  <c r="W17" i="43"/>
  <c r="X17" i="43" s="1"/>
  <c r="S18" i="44"/>
  <c r="T18" i="44" s="1"/>
  <c r="U18" i="44" s="1"/>
  <c r="J20" i="44"/>
  <c r="K19" i="44"/>
  <c r="L18" i="43"/>
  <c r="O20" i="44"/>
  <c r="P19" i="44"/>
  <c r="Q19" i="44" s="1"/>
  <c r="R19" i="44" s="1"/>
  <c r="S18" i="43"/>
  <c r="T18" i="43" s="1"/>
  <c r="U18" i="43" s="1"/>
  <c r="O20" i="43"/>
  <c r="P19" i="43"/>
  <c r="Q19" i="43" s="1"/>
  <c r="R19" i="43" s="1"/>
  <c r="J20" i="43"/>
  <c r="K19" i="43"/>
  <c r="O19" i="40"/>
  <c r="N19" i="39"/>
  <c r="L19" i="44" l="1"/>
  <c r="W18" i="44"/>
  <c r="X18" i="44" s="1"/>
  <c r="M18" i="44"/>
  <c r="M18" i="43"/>
  <c r="W18" i="43"/>
  <c r="X18" i="43" s="1"/>
  <c r="S19" i="44"/>
  <c r="T19" i="44" s="1"/>
  <c r="U19" i="44" s="1"/>
  <c r="O21" i="44"/>
  <c r="P20" i="44"/>
  <c r="Q20" i="44" s="1"/>
  <c r="R20" i="44" s="1"/>
  <c r="J21" i="44"/>
  <c r="K20" i="44"/>
  <c r="L19" i="43"/>
  <c r="M19" i="43" s="1"/>
  <c r="S19" i="43"/>
  <c r="T19" i="43" s="1"/>
  <c r="U19" i="43" s="1"/>
  <c r="J21" i="43"/>
  <c r="K20" i="43"/>
  <c r="O21" i="43"/>
  <c r="P20" i="43"/>
  <c r="Q20" i="43" s="1"/>
  <c r="R20" i="43" s="1"/>
  <c r="O19" i="39"/>
  <c r="L20" i="44" l="1"/>
  <c r="W19" i="44"/>
  <c r="X19" i="44" s="1"/>
  <c r="M19" i="44"/>
  <c r="W19" i="43"/>
  <c r="X19" i="43" s="1"/>
  <c r="S20" i="44"/>
  <c r="T20" i="44" s="1"/>
  <c r="U20" i="44" s="1"/>
  <c r="L20" i="43"/>
  <c r="O22" i="44"/>
  <c r="P21" i="44"/>
  <c r="Q21" i="44" s="1"/>
  <c r="R21" i="44" s="1"/>
  <c r="J22" i="44"/>
  <c r="K21" i="44"/>
  <c r="S20" i="43"/>
  <c r="T20" i="43" s="1"/>
  <c r="U20" i="43" s="1"/>
  <c r="J22" i="43"/>
  <c r="K21" i="43"/>
  <c r="O22" i="43"/>
  <c r="P21" i="43"/>
  <c r="Q21" i="43" s="1"/>
  <c r="R21" i="43" s="1"/>
  <c r="G12" i="13"/>
  <c r="H12" i="13" s="1"/>
  <c r="I12" i="13" s="1"/>
  <c r="J12" i="13" s="1"/>
  <c r="K12" i="13" s="1"/>
  <c r="L12" i="13" s="1"/>
  <c r="M12" i="13" s="1"/>
  <c r="N12" i="13" s="1"/>
  <c r="O12" i="13" s="1"/>
  <c r="P12" i="13" s="1"/>
  <c r="Q12" i="13" s="1"/>
  <c r="R12" i="13" s="1"/>
  <c r="S12" i="13" s="1"/>
  <c r="T12" i="13" s="1"/>
  <c r="U12" i="13" s="1"/>
  <c r="V12" i="13" s="1"/>
  <c r="G12" i="26"/>
  <c r="H12" i="26" s="1"/>
  <c r="I12" i="26" s="1"/>
  <c r="J12" i="26" s="1"/>
  <c r="K12" i="26" s="1"/>
  <c r="L12" i="26" s="1"/>
  <c r="M12" i="26" s="1"/>
  <c r="N12" i="26" s="1"/>
  <c r="O12" i="26" s="1"/>
  <c r="P12" i="26" s="1"/>
  <c r="Q12" i="26" s="1"/>
  <c r="R12" i="26" s="1"/>
  <c r="S12" i="26" s="1"/>
  <c r="T12" i="26" s="1"/>
  <c r="U12" i="26" s="1"/>
  <c r="V12" i="26" s="1"/>
  <c r="G12" i="27"/>
  <c r="H12" i="27" s="1"/>
  <c r="I12" i="27" s="1"/>
  <c r="J12" i="27" s="1"/>
  <c r="K12" i="27" s="1"/>
  <c r="L12" i="27" s="1"/>
  <c r="M12" i="27" s="1"/>
  <c r="N12" i="27" s="1"/>
  <c r="O12" i="27" s="1"/>
  <c r="P12" i="27" s="1"/>
  <c r="Q12" i="27" s="1"/>
  <c r="R12" i="27" s="1"/>
  <c r="S12" i="27" s="1"/>
  <c r="T12" i="27" s="1"/>
  <c r="U12" i="27" s="1"/>
  <c r="V12" i="27" s="1"/>
  <c r="K26" i="9"/>
  <c r="I9" i="9"/>
  <c r="I10" i="9"/>
  <c r="I11" i="9"/>
  <c r="I12" i="9"/>
  <c r="I13" i="9"/>
  <c r="I14" i="9"/>
  <c r="I15" i="9"/>
  <c r="I16" i="9"/>
  <c r="I17" i="9"/>
  <c r="I18" i="9"/>
  <c r="I20" i="9"/>
  <c r="I21" i="9"/>
  <c r="I22" i="9"/>
  <c r="I23" i="9"/>
  <c r="I24" i="9"/>
  <c r="I25" i="9"/>
  <c r="I26" i="9"/>
  <c r="J26" i="9" s="1"/>
  <c r="L21" i="44" l="1"/>
  <c r="W20" i="44"/>
  <c r="X20" i="44" s="1"/>
  <c r="M20" i="44"/>
  <c r="M20" i="43"/>
  <c r="W20" i="43"/>
  <c r="X20" i="43" s="1"/>
  <c r="S21" i="44"/>
  <c r="T21" i="44" s="1"/>
  <c r="U21" i="44" s="1"/>
  <c r="L21" i="43"/>
  <c r="M21" i="43" s="1"/>
  <c r="J23" i="44"/>
  <c r="K22" i="44"/>
  <c r="O23" i="44"/>
  <c r="P22" i="44"/>
  <c r="Q22" i="44" s="1"/>
  <c r="R22" i="44" s="1"/>
  <c r="S21" i="43"/>
  <c r="T21" i="43" s="1"/>
  <c r="U21" i="43" s="1"/>
  <c r="K22" i="43"/>
  <c r="J23" i="43"/>
  <c r="P22" i="43"/>
  <c r="Q22" i="43" s="1"/>
  <c r="R22" i="43" s="1"/>
  <c r="O23" i="43"/>
  <c r="E18" i="37"/>
  <c r="F18" i="37" s="1"/>
  <c r="L22" i="44" l="1"/>
  <c r="W21" i="44"/>
  <c r="X21" i="44" s="1"/>
  <c r="I5" i="27" s="1"/>
  <c r="M21" i="44"/>
  <c r="W21" i="43"/>
  <c r="X21" i="43" s="1"/>
  <c r="S22" i="44"/>
  <c r="T22" i="44" s="1"/>
  <c r="U22" i="44" s="1"/>
  <c r="O24" i="44"/>
  <c r="P23" i="44"/>
  <c r="Q23" i="44" s="1"/>
  <c r="R23" i="44" s="1"/>
  <c r="L22" i="43"/>
  <c r="J24" i="44"/>
  <c r="K23" i="44"/>
  <c r="S22" i="43"/>
  <c r="T22" i="43" s="1"/>
  <c r="U22" i="43" s="1"/>
  <c r="O24" i="43"/>
  <c r="P23" i="43"/>
  <c r="Q23" i="43" s="1"/>
  <c r="R23" i="43" s="1"/>
  <c r="J24" i="43"/>
  <c r="K23" i="43"/>
  <c r="C11" i="7"/>
  <c r="D12" i="7"/>
  <c r="L23" i="44" l="1"/>
  <c r="W22" i="44"/>
  <c r="X22" i="44" s="1"/>
  <c r="M22" i="44"/>
  <c r="M22" i="43"/>
  <c r="W22" i="43"/>
  <c r="X22" i="43" s="1"/>
  <c r="S23" i="44"/>
  <c r="T23" i="44" s="1"/>
  <c r="U23" i="44" s="1"/>
  <c r="J25" i="44"/>
  <c r="K24" i="44"/>
  <c r="O25" i="44"/>
  <c r="P24" i="44"/>
  <c r="Q24" i="44" s="1"/>
  <c r="R24" i="44" s="1"/>
  <c r="L23" i="43"/>
  <c r="M23" i="43" s="1"/>
  <c r="S23" i="43"/>
  <c r="T23" i="43" s="1"/>
  <c r="U23" i="43" s="1"/>
  <c r="O25" i="43"/>
  <c r="P24" i="43"/>
  <c r="Q24" i="43" s="1"/>
  <c r="R24" i="43" s="1"/>
  <c r="J25" i="43"/>
  <c r="K24" i="43"/>
  <c r="C9" i="23"/>
  <c r="C10" i="23" s="1"/>
  <c r="C11" i="23" s="1"/>
  <c r="C12" i="23" s="1"/>
  <c r="C13" i="23" s="1"/>
  <c r="C14" i="23" s="1"/>
  <c r="C15" i="23" s="1"/>
  <c r="C16" i="23" s="1"/>
  <c r="C17" i="23" s="1"/>
  <c r="C18" i="23" s="1"/>
  <c r="C19" i="23" s="1"/>
  <c r="C20" i="23" s="1"/>
  <c r="C21" i="23" s="1"/>
  <c r="C22" i="23" s="1"/>
  <c r="C23" i="23" s="1"/>
  <c r="C24" i="23" s="1"/>
  <c r="C25" i="23" s="1"/>
  <c r="C26" i="23" s="1"/>
  <c r="C13" i="7"/>
  <c r="D13" i="7" s="1"/>
  <c r="O7" i="7" s="1"/>
  <c r="D4" i="5"/>
  <c r="F19" i="37"/>
  <c r="F20" i="37"/>
  <c r="F15" i="37"/>
  <c r="F14" i="37"/>
  <c r="F16" i="37" s="1"/>
  <c r="W23" i="44" l="1"/>
  <c r="X23" i="44" s="1"/>
  <c r="L24" i="44"/>
  <c r="M23" i="44"/>
  <c r="W23" i="43"/>
  <c r="X23" i="43" s="1"/>
  <c r="S24" i="44"/>
  <c r="T24" i="44" s="1"/>
  <c r="U24" i="44" s="1"/>
  <c r="J26" i="44"/>
  <c r="K25" i="44"/>
  <c r="L24" i="43"/>
  <c r="O26" i="44"/>
  <c r="P25" i="44"/>
  <c r="Q25" i="44" s="1"/>
  <c r="R25" i="44" s="1"/>
  <c r="S24" i="43"/>
  <c r="T24" i="43" s="1"/>
  <c r="U24" i="43" s="1"/>
  <c r="O26" i="43"/>
  <c r="P25" i="43"/>
  <c r="Q25" i="43" s="1"/>
  <c r="R25" i="43" s="1"/>
  <c r="J26" i="43"/>
  <c r="K25" i="43"/>
  <c r="P7" i="7"/>
  <c r="O8" i="7"/>
  <c r="O9" i="7" s="1"/>
  <c r="O10" i="7" s="1"/>
  <c r="O11" i="7" s="1"/>
  <c r="O12" i="7" s="1"/>
  <c r="O13" i="7" s="1"/>
  <c r="O14" i="7" s="1"/>
  <c r="O15" i="7" s="1"/>
  <c r="O16" i="7" s="1"/>
  <c r="O17" i="7" s="1"/>
  <c r="O18" i="7" s="1"/>
  <c r="O19" i="7" s="1"/>
  <c r="O20" i="7" s="1"/>
  <c r="O21" i="7" s="1"/>
  <c r="O22" i="7" s="1"/>
  <c r="O23" i="7" s="1"/>
  <c r="O24" i="7" s="1"/>
  <c r="O25" i="7" s="1"/>
  <c r="O26" i="7" s="1"/>
  <c r="O27" i="7" s="1"/>
  <c r="X19" i="40"/>
  <c r="Y19" i="40" s="1"/>
  <c r="X19" i="39"/>
  <c r="Y19" i="39" s="1"/>
  <c r="X19" i="41"/>
  <c r="Y19" i="41" s="1"/>
  <c r="X19" i="42"/>
  <c r="Y19" i="42" s="1"/>
  <c r="P28" i="22"/>
  <c r="W24" i="44" l="1"/>
  <c r="X24" i="44" s="1"/>
  <c r="M24" i="44"/>
  <c r="L25" i="44"/>
  <c r="M24" i="43"/>
  <c r="W24" i="43"/>
  <c r="X24" i="43" s="1"/>
  <c r="S25" i="44"/>
  <c r="T25" i="44" s="1"/>
  <c r="U25" i="44" s="1"/>
  <c r="O27" i="44"/>
  <c r="P26" i="44"/>
  <c r="Q26" i="44" s="1"/>
  <c r="R26" i="44" s="1"/>
  <c r="J27" i="44"/>
  <c r="K27" i="44" s="1"/>
  <c r="K26" i="44"/>
  <c r="L25" i="43"/>
  <c r="M25" i="43" s="1"/>
  <c r="S25" i="43"/>
  <c r="T25" i="43" s="1"/>
  <c r="U25" i="43" s="1"/>
  <c r="O27" i="43"/>
  <c r="P26" i="43"/>
  <c r="Q26" i="43" s="1"/>
  <c r="R26" i="43" s="1"/>
  <c r="K26" i="43"/>
  <c r="J27" i="43"/>
  <c r="K27" i="43" s="1"/>
  <c r="F20" i="42"/>
  <c r="J20" i="42"/>
  <c r="G20" i="42"/>
  <c r="H20" i="42"/>
  <c r="I20" i="42"/>
  <c r="I20" i="41"/>
  <c r="M20" i="41"/>
  <c r="F20" i="41"/>
  <c r="J20" i="41"/>
  <c r="N20" i="41"/>
  <c r="G20" i="41"/>
  <c r="K20" i="41"/>
  <c r="O20" i="41"/>
  <c r="L20" i="41"/>
  <c r="H20" i="41"/>
  <c r="I20" i="39"/>
  <c r="M20" i="39"/>
  <c r="F20" i="39"/>
  <c r="J20" i="39"/>
  <c r="N20" i="39"/>
  <c r="G20" i="39"/>
  <c r="K20" i="39"/>
  <c r="O20" i="39"/>
  <c r="H20" i="39"/>
  <c r="L20" i="39"/>
  <c r="H20" i="40"/>
  <c r="L20" i="40"/>
  <c r="I20" i="40"/>
  <c r="M20" i="40"/>
  <c r="F20" i="40"/>
  <c r="J20" i="40"/>
  <c r="N20" i="40"/>
  <c r="G20" i="40"/>
  <c r="K20" i="40"/>
  <c r="O20" i="40"/>
  <c r="H12" i="23"/>
  <c r="W25" i="44" l="1"/>
  <c r="X25" i="44" s="1"/>
  <c r="M25" i="44"/>
  <c r="L26" i="44"/>
  <c r="L27" i="44"/>
  <c r="M27" i="44" s="1"/>
  <c r="W25" i="43"/>
  <c r="X25" i="43" s="1"/>
  <c r="S26" i="44"/>
  <c r="T26" i="44" s="1"/>
  <c r="U26" i="44" s="1"/>
  <c r="P27" i="44"/>
  <c r="Q27" i="44" s="1"/>
  <c r="R27" i="44" s="1"/>
  <c r="S27" i="44" s="1"/>
  <c r="T27" i="44" s="1"/>
  <c r="U27" i="44" s="1"/>
  <c r="L27" i="43"/>
  <c r="L26" i="43"/>
  <c r="S26" i="43"/>
  <c r="T26" i="43" s="1"/>
  <c r="U26" i="43" s="1"/>
  <c r="X20" i="41"/>
  <c r="Y20" i="41" s="1"/>
  <c r="P27" i="43"/>
  <c r="Q27" i="43" s="1"/>
  <c r="R27" i="43" s="1"/>
  <c r="S27" i="43" s="1"/>
  <c r="T27" i="43" s="1"/>
  <c r="U27" i="43" s="1"/>
  <c r="P12" i="23"/>
  <c r="X20" i="39"/>
  <c r="Y20" i="39" s="1"/>
  <c r="X20" i="40"/>
  <c r="Y20" i="40" s="1"/>
  <c r="X20" i="42"/>
  <c r="Y20" i="42" s="1"/>
  <c r="H11" i="7"/>
  <c r="P11" i="7" s="1"/>
  <c r="P29" i="22"/>
  <c r="H8" i="23"/>
  <c r="H9" i="23"/>
  <c r="H10" i="23"/>
  <c r="P10" i="23" s="1"/>
  <c r="V10" i="23" s="1"/>
  <c r="H11" i="23"/>
  <c r="H13" i="23"/>
  <c r="H14" i="23"/>
  <c r="H15" i="23"/>
  <c r="H16" i="23"/>
  <c r="H17" i="23"/>
  <c r="H18" i="23"/>
  <c r="P18" i="23" s="1"/>
  <c r="V18" i="23" s="1"/>
  <c r="H19" i="23"/>
  <c r="H20" i="23"/>
  <c r="H21" i="23"/>
  <c r="H22" i="23"/>
  <c r="P22" i="23" s="1"/>
  <c r="V22" i="23" s="1"/>
  <c r="H23" i="23"/>
  <c r="H24" i="23"/>
  <c r="H25" i="23"/>
  <c r="H26" i="23"/>
  <c r="P26" i="23" s="1"/>
  <c r="V26" i="23" s="1"/>
  <c r="H27" i="23"/>
  <c r="J8" i="23"/>
  <c r="J9" i="23"/>
  <c r="J10" i="23"/>
  <c r="J11" i="23"/>
  <c r="J12" i="23"/>
  <c r="J14" i="23"/>
  <c r="J15" i="23"/>
  <c r="J16" i="23"/>
  <c r="J17" i="23"/>
  <c r="J18" i="23"/>
  <c r="J19" i="23"/>
  <c r="J20" i="23"/>
  <c r="J21" i="23"/>
  <c r="J22" i="23"/>
  <c r="J23" i="23"/>
  <c r="J24" i="23"/>
  <c r="J25" i="23"/>
  <c r="J26" i="23"/>
  <c r="J27" i="23"/>
  <c r="I9" i="23"/>
  <c r="I10" i="23"/>
  <c r="I11" i="23"/>
  <c r="I12" i="23"/>
  <c r="I13" i="23"/>
  <c r="I14" i="23"/>
  <c r="I15" i="23"/>
  <c r="I16" i="23"/>
  <c r="I17" i="23"/>
  <c r="I18" i="23"/>
  <c r="I19" i="23"/>
  <c r="I20" i="23"/>
  <c r="I21" i="23"/>
  <c r="I22" i="23"/>
  <c r="I23" i="23"/>
  <c r="I24" i="23"/>
  <c r="I25" i="23"/>
  <c r="I26" i="23"/>
  <c r="I27" i="23"/>
  <c r="I8" i="23"/>
  <c r="W26" i="44" l="1"/>
  <c r="X26" i="44" s="1"/>
  <c r="M26" i="44"/>
  <c r="W27" i="44"/>
  <c r="X27" i="44" s="1"/>
  <c r="M27" i="43"/>
  <c r="W27" i="43"/>
  <c r="X27" i="43" s="1"/>
  <c r="W26" i="43"/>
  <c r="X26" i="43" s="1"/>
  <c r="M26" i="43"/>
  <c r="R19" i="23"/>
  <c r="W19" i="23" s="1"/>
  <c r="T26" i="23"/>
  <c r="X26" i="23" s="1"/>
  <c r="T14" i="23"/>
  <c r="X14" i="23" s="1"/>
  <c r="P13" i="23"/>
  <c r="V13" i="23" s="1"/>
  <c r="R26" i="23"/>
  <c r="W26" i="23" s="1"/>
  <c r="R18" i="23"/>
  <c r="W18" i="23" s="1"/>
  <c r="R10" i="23"/>
  <c r="W10" i="23" s="1"/>
  <c r="T21" i="23"/>
  <c r="X21" i="23" s="1"/>
  <c r="T17" i="23"/>
  <c r="X17" i="23" s="1"/>
  <c r="T12" i="23"/>
  <c r="X12" i="23" s="1"/>
  <c r="T8" i="23"/>
  <c r="X8" i="23" s="1"/>
  <c r="P24" i="23"/>
  <c r="V24" i="23" s="1"/>
  <c r="P20" i="23"/>
  <c r="V20" i="23" s="1"/>
  <c r="P16" i="23"/>
  <c r="V16" i="23" s="1"/>
  <c r="P11" i="23"/>
  <c r="V11" i="23" s="1"/>
  <c r="R23" i="23"/>
  <c r="W23" i="23" s="1"/>
  <c r="R11" i="23"/>
  <c r="W11" i="23" s="1"/>
  <c r="T18" i="23"/>
  <c r="X18" i="23" s="1"/>
  <c r="P25" i="23"/>
  <c r="V25" i="23" s="1"/>
  <c r="P17" i="23"/>
  <c r="V17" i="23" s="1"/>
  <c r="R22" i="23"/>
  <c r="W22" i="23" s="1"/>
  <c r="R14" i="23"/>
  <c r="W14" i="23" s="1"/>
  <c r="T25" i="23"/>
  <c r="X25" i="23" s="1"/>
  <c r="R25" i="23"/>
  <c r="W25" i="23" s="1"/>
  <c r="R21" i="23"/>
  <c r="W21" i="23" s="1"/>
  <c r="R17" i="23"/>
  <c r="W17" i="23" s="1"/>
  <c r="R13" i="23"/>
  <c r="W13" i="23" s="1"/>
  <c r="R9" i="23"/>
  <c r="W9" i="23"/>
  <c r="T24" i="23"/>
  <c r="X24" i="23" s="1"/>
  <c r="T20" i="23"/>
  <c r="X20" i="23" s="1"/>
  <c r="T16" i="23"/>
  <c r="X16" i="23" s="1"/>
  <c r="T11" i="23"/>
  <c r="X11" i="23" s="1"/>
  <c r="P27" i="23"/>
  <c r="V27" i="23" s="1"/>
  <c r="P23" i="23"/>
  <c r="V23" i="23" s="1"/>
  <c r="P19" i="23"/>
  <c r="V19" i="23" s="1"/>
  <c r="P15" i="23"/>
  <c r="V15" i="23" s="1"/>
  <c r="R27" i="23"/>
  <c r="W27" i="23" s="1"/>
  <c r="R15" i="23"/>
  <c r="W15" i="23" s="1"/>
  <c r="T22" i="23"/>
  <c r="X22" i="23" s="1"/>
  <c r="T9" i="23"/>
  <c r="X9" i="23" s="1"/>
  <c r="P21" i="23"/>
  <c r="V21" i="23" s="1"/>
  <c r="P8" i="23"/>
  <c r="V8" i="23" s="1"/>
  <c r="R8" i="23"/>
  <c r="W8" i="23" s="1"/>
  <c r="R24" i="23"/>
  <c r="W24" i="23" s="1"/>
  <c r="R20" i="23"/>
  <c r="W20" i="23" s="1"/>
  <c r="R16" i="23"/>
  <c r="W16" i="23" s="1"/>
  <c r="R12" i="23"/>
  <c r="W12" i="23" s="1"/>
  <c r="T27" i="23"/>
  <c r="X27" i="23" s="1"/>
  <c r="T23" i="23"/>
  <c r="X23" i="23" s="1"/>
  <c r="T19" i="23"/>
  <c r="X19" i="23" s="1"/>
  <c r="T15" i="23"/>
  <c r="X15" i="23" s="1"/>
  <c r="T10" i="23"/>
  <c r="X10" i="23" s="1"/>
  <c r="P14" i="23"/>
  <c r="V14" i="23" s="1"/>
  <c r="P9" i="23"/>
  <c r="V9" i="23" s="1"/>
  <c r="H26" i="7"/>
  <c r="P26" i="7" s="1"/>
  <c r="H28" i="23"/>
  <c r="P28" i="23" s="1"/>
  <c r="V28" i="23" s="1"/>
  <c r="P16" i="7"/>
  <c r="H10" i="7"/>
  <c r="P10" i="7" s="1"/>
  <c r="H18" i="7"/>
  <c r="P18" i="7" s="1"/>
  <c r="H8" i="7"/>
  <c r="P8" i="7" s="1"/>
  <c r="H24" i="7"/>
  <c r="P24" i="7" s="1"/>
  <c r="H14" i="7"/>
  <c r="P14" i="7" s="1"/>
  <c r="H9" i="7"/>
  <c r="P9" i="7" s="1"/>
  <c r="H25" i="7"/>
  <c r="P25" i="7" s="1"/>
  <c r="H15" i="7"/>
  <c r="P15" i="7" s="1"/>
  <c r="J28" i="23"/>
  <c r="H21" i="7"/>
  <c r="P21" i="7" s="1"/>
  <c r="H13" i="7"/>
  <c r="P13" i="7" s="1"/>
  <c r="H19" i="7"/>
  <c r="P19" i="7" s="1"/>
  <c r="H17" i="7"/>
  <c r="P17" i="7" s="1"/>
  <c r="I28" i="23"/>
  <c r="H23" i="7"/>
  <c r="P23" i="7" s="1"/>
  <c r="H22" i="7"/>
  <c r="P22" i="7" s="1"/>
  <c r="H20" i="7"/>
  <c r="P20" i="7" s="1"/>
  <c r="H12" i="7"/>
  <c r="P12" i="7" s="1"/>
  <c r="D8" i="7"/>
  <c r="E7" i="9"/>
  <c r="D5" i="5"/>
  <c r="Q8" i="7" l="1"/>
  <c r="Q12" i="7"/>
  <c r="Q16" i="7"/>
  <c r="Q20" i="7"/>
  <c r="Q24" i="7"/>
  <c r="Q9" i="7"/>
  <c r="Q13" i="7"/>
  <c r="Q17" i="7"/>
  <c r="Q21" i="7"/>
  <c r="Q25" i="7"/>
  <c r="Q10" i="7"/>
  <c r="Q14" i="7"/>
  <c r="Q18" i="7"/>
  <c r="Q22" i="7"/>
  <c r="Q26" i="7"/>
  <c r="Q11" i="7"/>
  <c r="Q15" i="7"/>
  <c r="Q19" i="7"/>
  <c r="Q23" i="7"/>
  <c r="Q7" i="7"/>
  <c r="R7" i="7" s="1"/>
  <c r="I8" i="7"/>
  <c r="I12" i="7"/>
  <c r="I20" i="7"/>
  <c r="I24" i="7"/>
  <c r="I14" i="7"/>
  <c r="I26" i="7"/>
  <c r="I15" i="7"/>
  <c r="I19" i="7"/>
  <c r="I9" i="7"/>
  <c r="I13" i="7"/>
  <c r="I17" i="7"/>
  <c r="I21" i="7"/>
  <c r="I25" i="7"/>
  <c r="I10" i="7"/>
  <c r="I18" i="7"/>
  <c r="I22" i="7"/>
  <c r="I11" i="7"/>
  <c r="I23" i="7"/>
  <c r="I7" i="7"/>
  <c r="R28" i="23"/>
  <c r="W28" i="23"/>
  <c r="T28" i="23"/>
  <c r="X28" i="23"/>
  <c r="N7" i="9"/>
  <c r="H27" i="7"/>
  <c r="P27" i="7" s="1"/>
  <c r="Q27" i="7" s="1"/>
  <c r="N26" i="9"/>
  <c r="N27" i="9"/>
  <c r="B2" i="5"/>
  <c r="B4" i="5"/>
  <c r="S7" i="7" l="1"/>
  <c r="R8" i="7"/>
  <c r="I27" i="7"/>
  <c r="G19" i="27"/>
  <c r="G19" i="26"/>
  <c r="T7" i="7" l="1"/>
  <c r="U7" i="7" s="1"/>
  <c r="S8" i="7"/>
  <c r="R9" i="7"/>
  <c r="H19" i="26"/>
  <c r="H19" i="27"/>
  <c r="I19" i="26"/>
  <c r="T8" i="7" l="1"/>
  <c r="U8" i="7" s="1"/>
  <c r="S9" i="7"/>
  <c r="R10" i="7"/>
  <c r="I19" i="27"/>
  <c r="J19" i="26"/>
  <c r="T9" i="7" l="1"/>
  <c r="U9" i="7" s="1"/>
  <c r="S10" i="7"/>
  <c r="R11" i="7"/>
  <c r="J19" i="27"/>
  <c r="K19" i="26"/>
  <c r="T10" i="7" l="1"/>
  <c r="U10" i="7" s="1"/>
  <c r="S11" i="7"/>
  <c r="R12" i="7"/>
  <c r="L19" i="26"/>
  <c r="K19" i="27"/>
  <c r="T11" i="7" l="1"/>
  <c r="U11" i="7" s="1"/>
  <c r="S12" i="7"/>
  <c r="R13" i="7"/>
  <c r="L19" i="27"/>
  <c r="M19" i="26"/>
  <c r="C27" i="23"/>
  <c r="Q25" i="22"/>
  <c r="Q8" i="22"/>
  <c r="Q9" i="22"/>
  <c r="Q10" i="22"/>
  <c r="Q11" i="22"/>
  <c r="Q12" i="22"/>
  <c r="Q13" i="22"/>
  <c r="Q14" i="22"/>
  <c r="Q15" i="22"/>
  <c r="Q16" i="22"/>
  <c r="Q17" i="22"/>
  <c r="Q18" i="22"/>
  <c r="Q19" i="22"/>
  <c r="Q20" i="22"/>
  <c r="Q21" i="22"/>
  <c r="Q22" i="22"/>
  <c r="Q23" i="22"/>
  <c r="Q24" i="22"/>
  <c r="T12" i="7" l="1"/>
  <c r="U12" i="7" s="1"/>
  <c r="S13" i="7"/>
  <c r="R14" i="7"/>
  <c r="M19" i="27"/>
  <c r="N19" i="26"/>
  <c r="T13" i="7" l="1"/>
  <c r="U13" i="7" s="1"/>
  <c r="S14" i="7"/>
  <c r="R15" i="7"/>
  <c r="N19" i="27"/>
  <c r="O19" i="26"/>
  <c r="T14" i="7" l="1"/>
  <c r="U14" i="7" s="1"/>
  <c r="S15" i="7"/>
  <c r="R16" i="7"/>
  <c r="O19" i="27"/>
  <c r="P19" i="26"/>
  <c r="T15" i="7" l="1"/>
  <c r="U15" i="7" s="1"/>
  <c r="S16" i="7"/>
  <c r="R17" i="7"/>
  <c r="P19" i="27"/>
  <c r="Q19" i="26"/>
  <c r="J25" i="9"/>
  <c r="K24" i="9"/>
  <c r="K25" i="9"/>
  <c r="T16" i="7" l="1"/>
  <c r="U16" i="7" s="1"/>
  <c r="S17" i="7"/>
  <c r="R18" i="7"/>
  <c r="Q19" i="27"/>
  <c r="R19" i="26"/>
  <c r="N25" i="9"/>
  <c r="J24" i="9"/>
  <c r="T17" i="7" l="1"/>
  <c r="U17" i="7" s="1"/>
  <c r="S18" i="7"/>
  <c r="R19" i="7"/>
  <c r="R19" i="27"/>
  <c r="S19" i="26"/>
  <c r="N24" i="9"/>
  <c r="J23" i="9"/>
  <c r="J20" i="9"/>
  <c r="J16" i="9"/>
  <c r="J14" i="9"/>
  <c r="J12" i="9"/>
  <c r="J11" i="9"/>
  <c r="J8" i="9"/>
  <c r="J9" i="9"/>
  <c r="J17" i="9"/>
  <c r="K8" i="9"/>
  <c r="K9" i="9"/>
  <c r="K10" i="9"/>
  <c r="K11" i="9"/>
  <c r="K12" i="9"/>
  <c r="J13" i="9"/>
  <c r="K13" i="9"/>
  <c r="K14" i="9"/>
  <c r="K15" i="9"/>
  <c r="K16" i="9"/>
  <c r="K17" i="9"/>
  <c r="K18" i="9"/>
  <c r="K19" i="9"/>
  <c r="K20" i="9"/>
  <c r="K21" i="9"/>
  <c r="K22" i="9"/>
  <c r="K23" i="9"/>
  <c r="G19" i="13"/>
  <c r="J18" i="9"/>
  <c r="J21" i="9"/>
  <c r="T18" i="7" l="1"/>
  <c r="U18" i="7" s="1"/>
  <c r="S19" i="7"/>
  <c r="R20" i="7"/>
  <c r="N12" i="9"/>
  <c r="N14" i="9"/>
  <c r="N21" i="9"/>
  <c r="H19" i="13"/>
  <c r="I19" i="13" s="1"/>
  <c r="J19" i="13" s="1"/>
  <c r="K19" i="13" s="1"/>
  <c r="S19" i="27"/>
  <c r="T19" i="26"/>
  <c r="J7" i="7"/>
  <c r="N17" i="9"/>
  <c r="N13" i="9"/>
  <c r="N19" i="9"/>
  <c r="N9" i="9"/>
  <c r="J10" i="9"/>
  <c r="J15" i="9"/>
  <c r="O7" i="9"/>
  <c r="N11" i="9"/>
  <c r="N23" i="9"/>
  <c r="N8" i="9"/>
  <c r="N20" i="9"/>
  <c r="N18" i="9"/>
  <c r="J22" i="9"/>
  <c r="N16" i="9"/>
  <c r="T19" i="7" l="1"/>
  <c r="U19" i="7" s="1"/>
  <c r="S20" i="7"/>
  <c r="R21" i="7"/>
  <c r="P7" i="9"/>
  <c r="C9" i="5" s="1"/>
  <c r="D9" i="5" s="1"/>
  <c r="X19" i="26"/>
  <c r="Y19" i="26" s="1"/>
  <c r="F20" i="26" s="1"/>
  <c r="T19" i="27"/>
  <c r="X19" i="27" s="1"/>
  <c r="Y19" i="27" s="1"/>
  <c r="F20" i="27" s="1"/>
  <c r="L19" i="13"/>
  <c r="J8" i="7"/>
  <c r="K8" i="7" s="1"/>
  <c r="L8" i="7" s="1"/>
  <c r="W8" i="7" s="1"/>
  <c r="X8" i="7" s="1"/>
  <c r="N15" i="9"/>
  <c r="K7" i="7"/>
  <c r="O8" i="9"/>
  <c r="P8" i="9" s="1"/>
  <c r="C10" i="5" s="1"/>
  <c r="N10" i="9"/>
  <c r="N22" i="9"/>
  <c r="L7" i="7" l="1"/>
  <c r="T20" i="7"/>
  <c r="U20" i="7" s="1"/>
  <c r="S21" i="7"/>
  <c r="R22" i="7"/>
  <c r="M8" i="7"/>
  <c r="D10" i="5"/>
  <c r="G20" i="26"/>
  <c r="H20" i="26"/>
  <c r="I20" i="26"/>
  <c r="J20" i="26"/>
  <c r="K20" i="26"/>
  <c r="L20" i="26"/>
  <c r="M20" i="26"/>
  <c r="N20" i="26"/>
  <c r="O20" i="26"/>
  <c r="P20" i="26"/>
  <c r="Q20" i="26"/>
  <c r="R20" i="26"/>
  <c r="S20" i="26"/>
  <c r="T20" i="26"/>
  <c r="M19" i="13"/>
  <c r="J9" i="7"/>
  <c r="K9" i="7" s="1"/>
  <c r="L9" i="7" s="1"/>
  <c r="W9" i="7" s="1"/>
  <c r="X9" i="7" s="1"/>
  <c r="O9" i="9"/>
  <c r="O10" i="9" s="1"/>
  <c r="M7" i="7" l="1"/>
  <c r="W7" i="7"/>
  <c r="X7" i="7" s="1"/>
  <c r="T21" i="7"/>
  <c r="I6" i="40"/>
  <c r="S22" i="7"/>
  <c r="R23" i="7"/>
  <c r="I6" i="41"/>
  <c r="M9" i="7"/>
  <c r="X20" i="26"/>
  <c r="Y20" i="26" s="1"/>
  <c r="J10" i="7"/>
  <c r="K10" i="7" s="1"/>
  <c r="L10" i="7" s="1"/>
  <c r="W10" i="7" s="1"/>
  <c r="X10" i="7" s="1"/>
  <c r="G20" i="27"/>
  <c r="H20" i="27"/>
  <c r="I20" i="27"/>
  <c r="J20" i="27"/>
  <c r="K20" i="27"/>
  <c r="L20" i="27"/>
  <c r="M20" i="27"/>
  <c r="N20" i="27"/>
  <c r="O20" i="27"/>
  <c r="P20" i="27"/>
  <c r="Q20" i="27"/>
  <c r="R20" i="27"/>
  <c r="S20" i="27"/>
  <c r="T20" i="27"/>
  <c r="N19" i="13"/>
  <c r="P9" i="9"/>
  <c r="P10" i="9"/>
  <c r="O11" i="9"/>
  <c r="U21" i="7" l="1"/>
  <c r="T22" i="7"/>
  <c r="U22" i="7" s="1"/>
  <c r="S23" i="7"/>
  <c r="R24" i="7"/>
  <c r="M10" i="7"/>
  <c r="X20" i="27"/>
  <c r="Y20" i="27" s="1"/>
  <c r="C12" i="5"/>
  <c r="D12" i="5" s="1"/>
  <c r="C11" i="5"/>
  <c r="D11" i="5" s="1"/>
  <c r="J11" i="7"/>
  <c r="K11" i="7" s="1"/>
  <c r="L11" i="7" s="1"/>
  <c r="W11" i="7" s="1"/>
  <c r="X11" i="7" s="1"/>
  <c r="I5" i="42" s="1"/>
  <c r="O19" i="13"/>
  <c r="P11" i="9"/>
  <c r="O12" i="9"/>
  <c r="P12" i="9" s="1"/>
  <c r="T23" i="7" l="1"/>
  <c r="U23" i="7" s="1"/>
  <c r="S24" i="7"/>
  <c r="R25" i="7"/>
  <c r="I6" i="42"/>
  <c r="M11" i="7"/>
  <c r="C13" i="5"/>
  <c r="D13" i="5" s="1"/>
  <c r="H5" i="42" s="1"/>
  <c r="H6" i="42" s="1"/>
  <c r="J12" i="7"/>
  <c r="P19" i="13"/>
  <c r="O13" i="9"/>
  <c r="P13" i="9" s="1"/>
  <c r="C15" i="5" s="1"/>
  <c r="T24" i="7" l="1"/>
  <c r="U24" i="7" s="1"/>
  <c r="S25" i="7"/>
  <c r="R26" i="7"/>
  <c r="I6" i="27"/>
  <c r="K12" i="7"/>
  <c r="L12" i="7" s="1"/>
  <c r="W12" i="7" s="1"/>
  <c r="X12" i="7" s="1"/>
  <c r="J13" i="7"/>
  <c r="K13" i="7" s="1"/>
  <c r="L13" i="7" s="1"/>
  <c r="W13" i="7" s="1"/>
  <c r="X13" i="7" s="1"/>
  <c r="C14" i="5"/>
  <c r="D14" i="5" s="1"/>
  <c r="Q19" i="13"/>
  <c r="O14" i="9"/>
  <c r="T25" i="7" l="1"/>
  <c r="U25" i="7" s="1"/>
  <c r="S26" i="7"/>
  <c r="R27" i="7"/>
  <c r="S27" i="7" s="1"/>
  <c r="M13" i="7"/>
  <c r="M12" i="7"/>
  <c r="J14" i="7"/>
  <c r="K14" i="7" s="1"/>
  <c r="L14" i="7" s="1"/>
  <c r="W14" i="7" s="1"/>
  <c r="X14" i="7" s="1"/>
  <c r="D15" i="5"/>
  <c r="R19" i="13"/>
  <c r="P14" i="9"/>
  <c r="O15" i="9"/>
  <c r="T27" i="7" l="1"/>
  <c r="U27" i="7" s="1"/>
  <c r="T26" i="7"/>
  <c r="U26" i="7" s="1"/>
  <c r="M14" i="7"/>
  <c r="I6" i="26"/>
  <c r="J15" i="7"/>
  <c r="K15" i="7" s="1"/>
  <c r="L15" i="7" s="1"/>
  <c r="W15" i="7" s="1"/>
  <c r="X15" i="7" s="1"/>
  <c r="C16" i="5"/>
  <c r="D16" i="5" s="1"/>
  <c r="S19" i="13"/>
  <c r="P15" i="9"/>
  <c r="O16" i="9"/>
  <c r="M15" i="7" l="1"/>
  <c r="C17" i="5"/>
  <c r="D17" i="5" s="1"/>
  <c r="T19" i="13"/>
  <c r="X19" i="13" s="1"/>
  <c r="Y19" i="13" s="1"/>
  <c r="F20" i="13" s="1"/>
  <c r="P16" i="9"/>
  <c r="O17" i="9"/>
  <c r="W16" i="7" l="1"/>
  <c r="X16" i="7" s="1"/>
  <c r="I5" i="39" s="1"/>
  <c r="J17" i="7"/>
  <c r="K17" i="7" s="1"/>
  <c r="L17" i="7" s="1"/>
  <c r="W17" i="7" s="1"/>
  <c r="X17" i="7" s="1"/>
  <c r="C18" i="5"/>
  <c r="D18" i="5" s="1"/>
  <c r="P17" i="9"/>
  <c r="O18" i="9"/>
  <c r="M16" i="7" l="1"/>
  <c r="M17" i="7"/>
  <c r="J18" i="7"/>
  <c r="K18" i="7" s="1"/>
  <c r="L18" i="7" s="1"/>
  <c r="W18" i="7" s="1"/>
  <c r="X18" i="7" s="1"/>
  <c r="H5" i="41"/>
  <c r="H6" i="41" s="1"/>
  <c r="H5" i="39"/>
  <c r="H6" i="39" s="1"/>
  <c r="I6" i="39"/>
  <c r="H5" i="40"/>
  <c r="H6" i="40" s="1"/>
  <c r="C19" i="5"/>
  <c r="D19" i="5" s="1"/>
  <c r="P18" i="9"/>
  <c r="O19" i="9"/>
  <c r="M18" i="7" l="1"/>
  <c r="J19" i="7"/>
  <c r="J5" i="42"/>
  <c r="C20" i="5"/>
  <c r="D20" i="5" s="1"/>
  <c r="H20" i="13"/>
  <c r="I20" i="13"/>
  <c r="J20" i="13"/>
  <c r="G20" i="13"/>
  <c r="K20" i="13"/>
  <c r="L20" i="13"/>
  <c r="M20" i="13"/>
  <c r="N20" i="13"/>
  <c r="O20" i="13"/>
  <c r="P20" i="13"/>
  <c r="Q20" i="13"/>
  <c r="R20" i="13"/>
  <c r="S20" i="13"/>
  <c r="T20" i="13"/>
  <c r="K19" i="7"/>
  <c r="L19" i="7" s="1"/>
  <c r="W19" i="7" s="1"/>
  <c r="X19" i="7" s="1"/>
  <c r="P19" i="9"/>
  <c r="C21" i="5" s="1"/>
  <c r="O20" i="9"/>
  <c r="O21" i="9" s="1"/>
  <c r="P21" i="9" s="1"/>
  <c r="C23" i="5" s="1"/>
  <c r="D23" i="5" s="1"/>
  <c r="H5" i="27" l="1"/>
  <c r="H6" i="27" s="1"/>
  <c r="K5" i="42"/>
  <c r="J6" i="42"/>
  <c r="M19" i="7"/>
  <c r="J20" i="7"/>
  <c r="J21" i="7" s="1"/>
  <c r="H5" i="13"/>
  <c r="H6" i="13" s="1"/>
  <c r="X20" i="13"/>
  <c r="Y20" i="13" s="1"/>
  <c r="D21" i="5"/>
  <c r="K20" i="7"/>
  <c r="L20" i="7" s="1"/>
  <c r="W20" i="7" s="1"/>
  <c r="X20" i="7" s="1"/>
  <c r="P20" i="9"/>
  <c r="M20" i="7" l="1"/>
  <c r="L5" i="42"/>
  <c r="L6" i="42" s="1"/>
  <c r="F9" i="42" s="1"/>
  <c r="F7" i="45" s="1"/>
  <c r="K6" i="42"/>
  <c r="J5" i="40"/>
  <c r="J5" i="41"/>
  <c r="J5" i="27"/>
  <c r="J6" i="27" s="1"/>
  <c r="K21" i="7"/>
  <c r="L21" i="7" s="1"/>
  <c r="W21" i="7" s="1"/>
  <c r="X21" i="7" s="1"/>
  <c r="I5" i="13" s="1"/>
  <c r="H5" i="26"/>
  <c r="H6" i="26" s="1"/>
  <c r="C22" i="5"/>
  <c r="D22" i="5" s="1"/>
  <c r="J22" i="7"/>
  <c r="O22" i="9"/>
  <c r="K5" i="41" l="1"/>
  <c r="J6" i="41"/>
  <c r="K5" i="40"/>
  <c r="J6" i="40"/>
  <c r="M21" i="7"/>
  <c r="F13" i="42"/>
  <c r="F29" i="45" s="1"/>
  <c r="G9" i="42"/>
  <c r="J5" i="39"/>
  <c r="K22" i="7"/>
  <c r="L22" i="7" s="1"/>
  <c r="W22" i="7" s="1"/>
  <c r="X22" i="7" s="1"/>
  <c r="J23" i="7"/>
  <c r="P22" i="9"/>
  <c r="O23" i="9"/>
  <c r="O24" i="9" s="1"/>
  <c r="L5" i="40" l="1"/>
  <c r="L6" i="40" s="1"/>
  <c r="F9" i="40" s="1"/>
  <c r="F14" i="45" s="1"/>
  <c r="K6" i="40"/>
  <c r="L5" i="41"/>
  <c r="L6" i="41" s="1"/>
  <c r="F9" i="41" s="1"/>
  <c r="F20" i="45" s="1"/>
  <c r="K6" i="41"/>
  <c r="H9" i="42"/>
  <c r="G13" i="42"/>
  <c r="G29" i="45" s="1"/>
  <c r="M22" i="7"/>
  <c r="K5" i="39"/>
  <c r="J6" i="39"/>
  <c r="J5" i="13"/>
  <c r="I6" i="13"/>
  <c r="J5" i="26"/>
  <c r="J6" i="26" s="1"/>
  <c r="C24" i="5"/>
  <c r="D24" i="5" s="1"/>
  <c r="K23" i="7"/>
  <c r="L23" i="7" s="1"/>
  <c r="W23" i="7" s="1"/>
  <c r="X23" i="7" s="1"/>
  <c r="J24" i="7"/>
  <c r="P24" i="9"/>
  <c r="C26" i="5" s="1"/>
  <c r="O25" i="9"/>
  <c r="P23" i="9"/>
  <c r="G9" i="41" l="1"/>
  <c r="F13" i="41"/>
  <c r="F42" i="45" s="1"/>
  <c r="G9" i="40"/>
  <c r="F13" i="40"/>
  <c r="F36" i="45" s="1"/>
  <c r="M23" i="7"/>
  <c r="K5" i="13"/>
  <c r="J6" i="13"/>
  <c r="L5" i="39"/>
  <c r="L6" i="39" s="1"/>
  <c r="F9" i="39" s="1"/>
  <c r="F8" i="45" s="1"/>
  <c r="K6" i="39"/>
  <c r="I9" i="42"/>
  <c r="H13" i="42"/>
  <c r="H29" i="45" s="1"/>
  <c r="P25" i="9"/>
  <c r="C27" i="5" s="1"/>
  <c r="O26" i="9"/>
  <c r="C25" i="5"/>
  <c r="D25" i="5" s="1"/>
  <c r="K5" i="26"/>
  <c r="K5" i="27"/>
  <c r="J25" i="7"/>
  <c r="K24" i="7"/>
  <c r="L24" i="7" s="1"/>
  <c r="W24" i="7" s="1"/>
  <c r="X24" i="7" s="1"/>
  <c r="D26" i="5"/>
  <c r="L5" i="26" l="1"/>
  <c r="L6" i="26" s="1"/>
  <c r="F9" i="26" s="1"/>
  <c r="F15" i="45" s="1"/>
  <c r="K6" i="26"/>
  <c r="G13" i="40"/>
  <c r="G36" i="45" s="1"/>
  <c r="H9" i="40"/>
  <c r="L5" i="27"/>
  <c r="L6" i="27" s="1"/>
  <c r="F9" i="27" s="1"/>
  <c r="F21" i="45" s="1"/>
  <c r="K6" i="27"/>
  <c r="H9" i="41"/>
  <c r="G13" i="41"/>
  <c r="G42" i="45" s="1"/>
  <c r="I13" i="42"/>
  <c r="I29" i="45" s="1"/>
  <c r="J9" i="42"/>
  <c r="J13" i="42" s="1"/>
  <c r="K6" i="13"/>
  <c r="L5" i="13"/>
  <c r="L6" i="13" s="1"/>
  <c r="F9" i="13" s="1"/>
  <c r="M24" i="7"/>
  <c r="F13" i="39"/>
  <c r="F30" i="45" s="1"/>
  <c r="G9" i="39"/>
  <c r="P26" i="9"/>
  <c r="C28" i="5" s="1"/>
  <c r="D28" i="5" s="1"/>
  <c r="O27" i="9"/>
  <c r="P27" i="9" s="1"/>
  <c r="C29" i="5" s="1"/>
  <c r="D29" i="5" s="1"/>
  <c r="K25" i="7"/>
  <c r="L25" i="7" s="1"/>
  <c r="W25" i="7" s="1"/>
  <c r="X25" i="7" s="1"/>
  <c r="J26" i="7"/>
  <c r="D27" i="5"/>
  <c r="F13" i="13" l="1"/>
  <c r="F31" i="45" s="1"/>
  <c r="F9" i="45"/>
  <c r="K13" i="42"/>
  <c r="J29" i="45"/>
  <c r="I9" i="40"/>
  <c r="H13" i="40"/>
  <c r="H36" i="45" s="1"/>
  <c r="H13" i="41"/>
  <c r="H42" i="45" s="1"/>
  <c r="I9" i="41"/>
  <c r="G9" i="13"/>
  <c r="G13" i="13" s="1"/>
  <c r="G31" i="45" s="1"/>
  <c r="H9" i="39"/>
  <c r="G13" i="39"/>
  <c r="G30" i="45" s="1"/>
  <c r="M25" i="7"/>
  <c r="J27" i="7"/>
  <c r="K27" i="7" s="1"/>
  <c r="L27" i="7" s="1"/>
  <c r="W27" i="7" s="1"/>
  <c r="X27" i="7" s="1"/>
  <c r="F13" i="27"/>
  <c r="F43" i="45" s="1"/>
  <c r="G9" i="27"/>
  <c r="F13" i="26"/>
  <c r="F37" i="45" s="1"/>
  <c r="G9" i="26"/>
  <c r="G13" i="26" s="1"/>
  <c r="G37" i="45" s="1"/>
  <c r="K26" i="7"/>
  <c r="L26" i="7" s="1"/>
  <c r="W26" i="7" s="1"/>
  <c r="X26" i="7" s="1"/>
  <c r="L13" i="42" l="1"/>
  <c r="L29" i="45" s="1"/>
  <c r="K29" i="45"/>
  <c r="H9" i="13"/>
  <c r="H13" i="13" s="1"/>
  <c r="H31" i="45" s="1"/>
  <c r="I13" i="41"/>
  <c r="I42" i="45" s="1"/>
  <c r="J9" i="41"/>
  <c r="I13" i="40"/>
  <c r="I36" i="45" s="1"/>
  <c r="J9" i="40"/>
  <c r="M26" i="7"/>
  <c r="M27" i="7"/>
  <c r="H13" i="39"/>
  <c r="H30" i="45" s="1"/>
  <c r="I9" i="39"/>
  <c r="H9" i="27"/>
  <c r="H13" i="27" s="1"/>
  <c r="H43" i="45" s="1"/>
  <c r="G13" i="27"/>
  <c r="G43" i="45" s="1"/>
  <c r="H9" i="26"/>
  <c r="H13" i="26" s="1"/>
  <c r="H37" i="45" s="1"/>
  <c r="I9" i="13"/>
  <c r="K9" i="40" l="1"/>
  <c r="J13" i="40"/>
  <c r="J36" i="45" s="1"/>
  <c r="J13" i="41"/>
  <c r="J42" i="45" s="1"/>
  <c r="K9" i="41"/>
  <c r="J9" i="39"/>
  <c r="I13" i="39"/>
  <c r="I30" i="45" s="1"/>
  <c r="I9" i="27"/>
  <c r="I13" i="27" s="1"/>
  <c r="I43" i="45" s="1"/>
  <c r="I9" i="26"/>
  <c r="I13" i="13"/>
  <c r="I31" i="45" s="1"/>
  <c r="J9" i="13"/>
  <c r="L9" i="41" l="1"/>
  <c r="K13" i="41"/>
  <c r="K42" i="45" s="1"/>
  <c r="L9" i="40"/>
  <c r="K13" i="40"/>
  <c r="K36" i="45" s="1"/>
  <c r="J13" i="39"/>
  <c r="J30" i="45" s="1"/>
  <c r="K9" i="39"/>
  <c r="J9" i="27"/>
  <c r="K9" i="27" s="1"/>
  <c r="X9" i="42"/>
  <c r="Y9" i="42" s="1"/>
  <c r="I13" i="26"/>
  <c r="I37" i="45" s="1"/>
  <c r="J9" i="26"/>
  <c r="K9" i="26" s="1"/>
  <c r="L9" i="26" s="1"/>
  <c r="J13" i="13"/>
  <c r="J31" i="45" s="1"/>
  <c r="J13" i="27"/>
  <c r="J43" i="45" s="1"/>
  <c r="K9" i="13"/>
  <c r="M9" i="40" l="1"/>
  <c r="L13" i="40"/>
  <c r="L36" i="45" s="1"/>
  <c r="M9" i="41"/>
  <c r="L13" i="41"/>
  <c r="L42" i="45" s="1"/>
  <c r="K13" i="39"/>
  <c r="K30" i="45" s="1"/>
  <c r="L9" i="39"/>
  <c r="X13" i="42"/>
  <c r="Y13" i="42" s="1"/>
  <c r="J13" i="26"/>
  <c r="J37" i="45" s="1"/>
  <c r="K13" i="26"/>
  <c r="K37" i="45" s="1"/>
  <c r="K13" i="13"/>
  <c r="K31" i="45" s="1"/>
  <c r="K13" i="27"/>
  <c r="K43" i="45" s="1"/>
  <c r="L13" i="26"/>
  <c r="L37" i="45" s="1"/>
  <c r="L9" i="27"/>
  <c r="L9" i="13"/>
  <c r="M9" i="26"/>
  <c r="N9" i="41" l="1"/>
  <c r="M13" i="41"/>
  <c r="M42" i="45" s="1"/>
  <c r="N9" i="40"/>
  <c r="M13" i="40"/>
  <c r="M36" i="45" s="1"/>
  <c r="M9" i="39"/>
  <c r="L13" i="39"/>
  <c r="L30" i="45" s="1"/>
  <c r="L13" i="13"/>
  <c r="L31" i="45" s="1"/>
  <c r="L13" i="27"/>
  <c r="L43" i="45" s="1"/>
  <c r="M13" i="26"/>
  <c r="M37" i="45" s="1"/>
  <c r="M9" i="27"/>
  <c r="M13" i="27" s="1"/>
  <c r="M43" i="45" s="1"/>
  <c r="M9" i="13"/>
  <c r="N9" i="26"/>
  <c r="O9" i="40" l="1"/>
  <c r="N13" i="40"/>
  <c r="N36" i="45" s="1"/>
  <c r="N13" i="41"/>
  <c r="N42" i="45" s="1"/>
  <c r="O9" i="41"/>
  <c r="N9" i="39"/>
  <c r="M13" i="39"/>
  <c r="M30" i="45" s="1"/>
  <c r="M13" i="13"/>
  <c r="M31" i="45" s="1"/>
  <c r="N13" i="26"/>
  <c r="N37" i="45" s="1"/>
  <c r="N9" i="27"/>
  <c r="N9" i="13"/>
  <c r="O9" i="26"/>
  <c r="X9" i="41" l="1"/>
  <c r="Y9" i="41" s="1"/>
  <c r="O13" i="41"/>
  <c r="O42" i="45" s="1"/>
  <c r="X9" i="40"/>
  <c r="O13" i="40"/>
  <c r="N13" i="39"/>
  <c r="N30" i="45" s="1"/>
  <c r="O9" i="39"/>
  <c r="N13" i="13"/>
  <c r="N31" i="45" s="1"/>
  <c r="N13" i="27"/>
  <c r="N43" i="45" s="1"/>
  <c r="O13" i="26"/>
  <c r="O37" i="45" s="1"/>
  <c r="O9" i="27"/>
  <c r="O9" i="13"/>
  <c r="P9" i="26"/>
  <c r="P13" i="40" l="1"/>
  <c r="O36" i="45"/>
  <c r="X13" i="40"/>
  <c r="P13" i="41"/>
  <c r="X13" i="41"/>
  <c r="Y13" i="41" s="1"/>
  <c r="X9" i="39"/>
  <c r="Y9" i="39" s="1"/>
  <c r="O13" i="39"/>
  <c r="O30" i="45" s="1"/>
  <c r="O13" i="13"/>
  <c r="O31" i="45" s="1"/>
  <c r="O13" i="27"/>
  <c r="O43" i="45" s="1"/>
  <c r="P13" i="26"/>
  <c r="P37" i="45" s="1"/>
  <c r="P9" i="27"/>
  <c r="P9" i="13"/>
  <c r="Q9" i="26"/>
  <c r="Q13" i="41" l="1"/>
  <c r="Q42" i="45" s="1"/>
  <c r="P42" i="45"/>
  <c r="Q13" i="40"/>
  <c r="Q36" i="45" s="1"/>
  <c r="P36" i="45"/>
  <c r="X13" i="39"/>
  <c r="Y13" i="39" s="1"/>
  <c r="P13" i="39"/>
  <c r="Y9" i="40"/>
  <c r="P13" i="13"/>
  <c r="P31" i="45" s="1"/>
  <c r="P13" i="27"/>
  <c r="P43" i="45" s="1"/>
  <c r="Q13" i="26"/>
  <c r="Q37" i="45" s="1"/>
  <c r="Q9" i="27"/>
  <c r="Q9" i="13"/>
  <c r="R9" i="26"/>
  <c r="Q13" i="39" l="1"/>
  <c r="Q30" i="45" s="1"/>
  <c r="P30" i="45"/>
  <c r="Y13" i="40"/>
  <c r="Q13" i="13"/>
  <c r="Q31" i="45" s="1"/>
  <c r="Q13" i="27"/>
  <c r="Q43" i="45" s="1"/>
  <c r="R13" i="26"/>
  <c r="R37" i="45" s="1"/>
  <c r="R9" i="27"/>
  <c r="R9" i="13"/>
  <c r="S9" i="26"/>
  <c r="R13" i="13" l="1"/>
  <c r="R31" i="45" s="1"/>
  <c r="R13" i="27"/>
  <c r="R43" i="45" s="1"/>
  <c r="S13" i="26"/>
  <c r="S37" i="45" s="1"/>
  <c r="S9" i="27"/>
  <c r="S9" i="13"/>
  <c r="T9" i="26"/>
  <c r="X9" i="26" s="1"/>
  <c r="Y9" i="26" s="1"/>
  <c r="S13" i="13" l="1"/>
  <c r="S31" i="45" s="1"/>
  <c r="S13" i="27"/>
  <c r="S43" i="45" s="1"/>
  <c r="T13" i="26"/>
  <c r="T37" i="45" s="1"/>
  <c r="T9" i="27"/>
  <c r="X9" i="27" s="1"/>
  <c r="Y9" i="27" s="1"/>
  <c r="T9" i="13"/>
  <c r="X9" i="13" s="1"/>
  <c r="Y9" i="13" s="1"/>
  <c r="X13" i="26" l="1"/>
  <c r="Y13" i="26" s="1"/>
  <c r="U13" i="26"/>
  <c r="T13" i="13"/>
  <c r="T13" i="27"/>
  <c r="T43" i="45" s="1"/>
  <c r="X13" i="13" l="1"/>
  <c r="Y13" i="13" s="1"/>
  <c r="T31" i="45"/>
  <c r="V13" i="26"/>
  <c r="V37" i="45" s="1"/>
  <c r="U37" i="45"/>
  <c r="X13" i="27"/>
  <c r="Y13" i="27" s="1"/>
  <c r="U13" i="27"/>
  <c r="U13" i="13"/>
  <c r="V13" i="27" l="1"/>
  <c r="V43" i="45" s="1"/>
  <c r="U43" i="45"/>
  <c r="V13" i="13"/>
  <c r="V31" i="45" s="1"/>
  <c r="U31" i="45"/>
</calcChain>
</file>

<file path=xl/sharedStrings.xml><?xml version="1.0" encoding="utf-8"?>
<sst xmlns="http://schemas.openxmlformats.org/spreadsheetml/2006/main" count="574" uniqueCount="173">
  <si>
    <t>Annual Energy Savings in kWh</t>
  </si>
  <si>
    <t>Measure Life</t>
  </si>
  <si>
    <t>Capacity Factor</t>
  </si>
  <si>
    <t>Measure Type</t>
  </si>
  <si>
    <t>Avoided Cost of Energy</t>
  </si>
  <si>
    <t>Avoided Cost of Capacity</t>
  </si>
  <si>
    <t>Total Avoided Cost</t>
  </si>
  <si>
    <t>$/kWh</t>
  </si>
  <si>
    <t>Flat</t>
  </si>
  <si>
    <t>Constant Nominal</t>
  </si>
  <si>
    <t>Equivalent w/ 2.5% Increase</t>
  </si>
  <si>
    <t>2.5 Percent Increase</t>
  </si>
  <si>
    <t>2.5 Percent Index</t>
  </si>
  <si>
    <t>Notes</t>
  </si>
  <si>
    <t>$/MWh</t>
  </si>
  <si>
    <t>Year</t>
  </si>
  <si>
    <t>Total Annual Capital &amp; Fixed Costs of Capacity</t>
  </si>
  <si>
    <t>NPV - Capacity</t>
  </si>
  <si>
    <t>Cumulative Present Value CES-Capacity</t>
  </si>
  <si>
    <t>Levelized Cost Effectiveness Standard-Capacity</t>
  </si>
  <si>
    <t>(years)</t>
  </si>
  <si>
    <t>Deferred T&amp;D Cost Credit ($/kw-yr) (4):</t>
  </si>
  <si>
    <t>[1]</t>
  </si>
  <si>
    <t>[2]</t>
  </si>
  <si>
    <t>[3]</t>
  </si>
  <si>
    <t>[4]</t>
  </si>
  <si>
    <t>[5]</t>
  </si>
  <si>
    <t>[7]</t>
  </si>
  <si>
    <t>[8]</t>
  </si>
  <si>
    <t>NW Power Act Regional Credit (5):</t>
  </si>
  <si>
    <t>Annual Weighted Average of Hourly Price</t>
  </si>
  <si>
    <t>Levelized Cost Effectiveness Standard-Energy</t>
  </si>
  <si>
    <t>[6]</t>
  </si>
  <si>
    <r>
      <t>Nominal Discount Rate</t>
    </r>
    <r>
      <rPr>
        <b/>
        <sz val="10"/>
        <rFont val="Arial"/>
        <family val="2"/>
      </rPr>
      <t xml:space="preserve"> (*)</t>
    </r>
    <r>
      <rPr>
        <b/>
        <sz val="12"/>
        <rFont val="Arial"/>
        <family val="2"/>
      </rPr>
      <t>:</t>
    </r>
  </si>
  <si>
    <r>
      <t>GDP Inflation</t>
    </r>
    <r>
      <rPr>
        <b/>
        <sz val="10"/>
        <rFont val="Arial"/>
        <family val="2"/>
      </rPr>
      <t xml:space="preserve"> (**)</t>
    </r>
    <r>
      <rPr>
        <b/>
        <sz val="12"/>
        <rFont val="Arial"/>
        <family val="2"/>
      </rPr>
      <t>:</t>
    </r>
  </si>
  <si>
    <t>($/kw-yr)</t>
  </si>
  <si>
    <t xml:space="preserve">Present Value-Energy </t>
  </si>
  <si>
    <t>Cumulative Present Value -Energy</t>
  </si>
  <si>
    <t>$ / MWh</t>
  </si>
  <si>
    <t>$ / kWh</t>
  </si>
  <si>
    <t>[9]</t>
  </si>
  <si>
    <t>EES leads to lower overall load and hence lower RPS requirement to meet. A PPA does not lower overall load.</t>
  </si>
  <si>
    <t xml:space="preserve"> "Contingency Reserves" per WECC 10/1/2014</t>
  </si>
  <si>
    <t>Ave</t>
  </si>
  <si>
    <t>MONTHS</t>
  </si>
  <si>
    <t>Indicative Avoided Capacity Costs for Resources Delivered to PSE's System</t>
  </si>
  <si>
    <t>Capacity Resource Addition</t>
  </si>
  <si>
    <t>(b)                             Avoided Energy Supply Capacity Cost $/kW-Yr                         Delivered to Mid-C</t>
  </si>
  <si>
    <t>Flow Battery-4 hr</t>
  </si>
  <si>
    <t>Frame Peaker</t>
  </si>
  <si>
    <t>Wind</t>
  </si>
  <si>
    <t>Solar</t>
  </si>
  <si>
    <t>This model accounts for both avoided energy costs and avoided capacity costs.</t>
  </si>
  <si>
    <t>This Schedule 91 energy rate model is based upon the cost effectiveness standard model that has been used for evaluating individual measures of PSE's Energy Efficiency Services program.</t>
  </si>
  <si>
    <t>Note 1</t>
  </si>
  <si>
    <t>Note 2</t>
  </si>
  <si>
    <t>Nominal Discount Rate</t>
  </si>
  <si>
    <t>GDP Inflation</t>
  </si>
  <si>
    <t>T&amp;D Line Loss Reduction</t>
  </si>
  <si>
    <t>Planning Adjustment</t>
  </si>
  <si>
    <t>Avoided Renewable Benefits</t>
  </si>
  <si>
    <t>Conservation Credit</t>
  </si>
  <si>
    <t>PSE currently makes no deduction for balancing related costs as such costs could not be currently identified.</t>
  </si>
  <si>
    <t>Including</t>
  </si>
  <si>
    <t>($/MWh)</t>
  </si>
  <si>
    <t>The 10% conservation credit adder per Northwest Power Act of 1980 is now reflected in the REC market which is additional to the PPA.</t>
  </si>
  <si>
    <t>20-year levelized</t>
  </si>
  <si>
    <t>15-year levelized</t>
  </si>
  <si>
    <t>Escalated Rate @ 2.5%</t>
  </si>
  <si>
    <t>1</t>
  </si>
  <si>
    <t>Docket No. UE-180282</t>
  </si>
  <si>
    <t>Adjustment 18.02</t>
  </si>
  <si>
    <t>PUGET SOUND ENERGY-ELECTRIC</t>
  </si>
  <si>
    <t>PRO FORMA COST OF CAPITAL</t>
  </si>
  <si>
    <t>FOR THE TWELVE MONTHS ENDED SEPTEMBER 30, 2016</t>
  </si>
  <si>
    <t>2017 GENERAL RATE INCREASE - UE-180282</t>
  </si>
  <si>
    <t>Tax Reform Filing</t>
  </si>
  <si>
    <t>LINE</t>
  </si>
  <si>
    <t>PRO FORMA</t>
  </si>
  <si>
    <t>COST OF</t>
  </si>
  <si>
    <t>NO.</t>
  </si>
  <si>
    <t>DESCRIPTION</t>
  </si>
  <si>
    <t>CAPITAL %</t>
  </si>
  <si>
    <t>COST %</t>
  </si>
  <si>
    <t>CAPITAL</t>
  </si>
  <si>
    <t>SHORT &amp; LONG TERM DEBT</t>
  </si>
  <si>
    <t>EQUITY</t>
  </si>
  <si>
    <t>TOTAL COST OF CAPITAL</t>
  </si>
  <si>
    <t>AFTER TAX DEBT</t>
  </si>
  <si>
    <t>TOTAL AFTER TAX COST OF CAPITAL</t>
  </si>
  <si>
    <t>[10]</t>
  </si>
  <si>
    <t>Deferred T&amp;D</t>
  </si>
  <si>
    <t xml:space="preserve"> T&amp;D Line Loss Reduction [4]</t>
  </si>
  <si>
    <t xml:space="preserve">Transmission losses updated as per section 15.7 Real Power Losses, PSE Current Effective OATT 8.7.18.
 </t>
  </si>
  <si>
    <t>http://www.oatioasis.com/webSmartOASIS/HomePage?ProviderName=PSEI&amp;Homepage=1</t>
  </si>
  <si>
    <t>checksum</t>
  </si>
  <si>
    <r>
      <t>Note 2: The 7</t>
    </r>
    <r>
      <rPr>
        <vertAlign val="superscript"/>
        <sz val="12"/>
        <rFont val="Arial"/>
        <family val="2"/>
      </rPr>
      <t>th</t>
    </r>
    <r>
      <rPr>
        <sz val="12"/>
        <rFont val="Arial"/>
        <family val="2"/>
      </rPr>
      <t xml:space="preserve"> Northwest Power Plan used monetary values of avoided transmission and distribution capacity which were recommended by the Regional Technical Forum. The values of transmission and distribution in the 7th Northwest Power Plan are in 2012 prices.  To obtain a current year value, the price in 2012 was inflated using 2.5% per year, consistent with EES methodology.</t>
    </r>
  </si>
  <si>
    <t>FOR ELECTRIC AND GAS SALES  ANALYSIS</t>
  </si>
  <si>
    <t>Scenario Name</t>
  </si>
  <si>
    <t>Demand</t>
  </si>
  <si>
    <t>Gas Price</t>
  </si>
  <si>
    <r>
      <t>CO</t>
    </r>
    <r>
      <rPr>
        <b/>
        <vertAlign val="subscript"/>
        <sz val="11"/>
        <color rgb="FFFFFFFF"/>
        <rFont val="Arial Narrow"/>
        <family val="2"/>
      </rPr>
      <t>2</t>
    </r>
    <r>
      <rPr>
        <b/>
        <sz val="11"/>
        <color rgb="FFFFFFFF"/>
        <rFont val="Arial Narrow"/>
        <family val="2"/>
      </rPr>
      <t xml:space="preserve"> Price</t>
    </r>
  </si>
  <si>
    <t xml:space="preserve">Base </t>
  </si>
  <si>
    <t>Mid</t>
  </si>
  <si>
    <t>Social cost of carbon included in Washington state, plus upstream natural gas GHG emissions</t>
  </si>
  <si>
    <t>Scenario 1: Base</t>
  </si>
  <si>
    <r>
      <t>·</t>
    </r>
    <r>
      <rPr>
        <sz val="7"/>
        <color theme="1"/>
        <rFont val="Times New Roman"/>
        <family val="1"/>
      </rPr>
      <t xml:space="preserve">         </t>
    </r>
    <r>
      <rPr>
        <sz val="10"/>
        <color theme="1"/>
        <rFont val="Arial"/>
        <family val="2"/>
      </rPr>
      <t>This scenario applies the NPCC Seventh Power Plan regional demand forecast to the WECC region and the 2019 IRP Base (Mid) Demand Forecast for PSE.</t>
    </r>
  </si>
  <si>
    <r>
      <t>·</t>
    </r>
    <r>
      <rPr>
        <sz val="7"/>
        <color theme="1"/>
        <rFont val="Times New Roman"/>
        <family val="1"/>
      </rPr>
      <t xml:space="preserve">         </t>
    </r>
    <r>
      <rPr>
        <sz val="10"/>
        <color theme="1"/>
        <rFont val="Arial"/>
        <family val="2"/>
      </rPr>
      <t>Mid gas prices are applied, a combination of forward market prices and Wood Mackenzie’s fundamental long-term base forecast.</t>
    </r>
  </si>
  <si>
    <r>
      <t>·</t>
    </r>
    <r>
      <rPr>
        <sz val="7"/>
        <color theme="1"/>
        <rFont val="Times New Roman"/>
        <family val="1"/>
      </rPr>
      <t xml:space="preserve">         </t>
    </r>
    <r>
      <rPr>
        <sz val="10"/>
        <color theme="1"/>
        <rFont val="Arial"/>
        <family val="2"/>
      </rPr>
      <t>80 percent of electric sales (delivered load) are met with non-emitting/renewable resources by 2030 (per CETA)</t>
    </r>
  </si>
  <si>
    <r>
      <t>·</t>
    </r>
    <r>
      <rPr>
        <sz val="7"/>
        <color theme="1"/>
        <rFont val="Times New Roman"/>
        <family val="1"/>
      </rPr>
      <t xml:space="preserve">         </t>
    </r>
    <r>
      <rPr>
        <sz val="10"/>
        <color theme="1"/>
        <rFont val="Arial"/>
        <family val="2"/>
      </rPr>
      <t>The social cost of carbon, expressed as a cost adder, is modeled in addition to current CO2 regulations and policies.</t>
    </r>
  </si>
  <si>
    <r>
      <t>·</t>
    </r>
    <r>
      <rPr>
        <sz val="7"/>
        <color theme="1"/>
        <rFont val="Times New Roman"/>
        <family val="1"/>
      </rPr>
      <t xml:space="preserve">         </t>
    </r>
    <r>
      <rPr>
        <sz val="10"/>
        <color theme="1"/>
        <rFont val="Arial"/>
        <family val="2"/>
      </rPr>
      <t>For natural gas, upstream CO2 emissions are added to the emission rate of natural gas plants.</t>
    </r>
  </si>
  <si>
    <t>Assumptions</t>
  </si>
  <si>
    <t>Flat ($/MWh)</t>
  </si>
  <si>
    <t>Flat ($/kWh)</t>
  </si>
  <si>
    <t>Schedule 91 Rates for Purchase of Energy - Wind</t>
  </si>
  <si>
    <t>Schedule 91 Rates for Purchase of Energy - Solar</t>
  </si>
  <si>
    <t>The value of a measure increases with its measured life. The Power Purchase Agreement (PPA) length under Schedule 91 are five, ten and fifteen years, analogous to a five, ten and fifteen year measure life respectively.</t>
  </si>
  <si>
    <t>For each type of resource the final output of this calculation is a levelized price that does not vary from year to year (see cell L5).</t>
  </si>
  <si>
    <t>Unlike a conservation project, a PPA requires spinning reserves which are deducted above at the rate of 3% (see cell M6).</t>
  </si>
  <si>
    <t>The final levelized price is adjusted to create a Fixed Price option that increases by 2.5% each year, which maintains the same value to PSE while increasing the value to the customer-generator over time.</t>
  </si>
  <si>
    <t>The proposed strip is highlighted in yellow above.</t>
  </si>
  <si>
    <t xml:space="preserve">Schedule 91 -- Purchases from Qualifying Facilities of Five Megawatts or Less </t>
  </si>
  <si>
    <t>Baseload</t>
  </si>
  <si>
    <t>Delivered to PSE Capacity Value ($/kW-yr)</t>
  </si>
  <si>
    <t>Delivered to PSE Capacity Value ($/MWh)</t>
  </si>
  <si>
    <t>baseload 
checksum</t>
  </si>
  <si>
    <t>wind 
checksum</t>
  </si>
  <si>
    <t>solar 
checksum</t>
  </si>
  <si>
    <t>(a)
Levelized Net $/kW-yr  Delivered To PSE</t>
  </si>
  <si>
    <r>
      <t xml:space="preserve">(d)=(a)*0.16         
</t>
    </r>
    <r>
      <rPr>
        <u/>
        <sz val="10"/>
        <color theme="1"/>
        <rFont val="Arial"/>
        <family val="2"/>
      </rPr>
      <t>Wind Resource</t>
    </r>
    <r>
      <rPr>
        <sz val="10"/>
        <rFont val="Arial"/>
        <family val="2"/>
      </rPr>
      <t xml:space="preserve"> ELCC=16%</t>
    </r>
  </si>
  <si>
    <r>
      <t xml:space="preserve">(e)=(a)*0.02       
</t>
    </r>
    <r>
      <rPr>
        <u/>
        <sz val="10"/>
        <color theme="1"/>
        <rFont val="Arial"/>
        <family val="2"/>
      </rPr>
      <t>Solar Resource</t>
    </r>
    <r>
      <rPr>
        <sz val="10"/>
        <rFont val="Arial"/>
        <family val="2"/>
      </rPr>
      <t xml:space="preserve"> ELCC=2%</t>
    </r>
  </si>
  <si>
    <t>(f)
Year</t>
  </si>
  <si>
    <r>
      <t xml:space="preserve">(c)=(a)*1.00                   
</t>
    </r>
    <r>
      <rPr>
        <u/>
        <sz val="10"/>
        <color theme="1"/>
        <rFont val="Arial"/>
        <family val="2"/>
      </rPr>
      <t>Baseload Resource</t>
    </r>
    <r>
      <rPr>
        <sz val="10"/>
        <rFont val="Arial"/>
        <family val="2"/>
      </rPr>
      <t xml:space="preserve"> ELCC=100%</t>
    </r>
  </si>
  <si>
    <t>(i)=(c)*(h)
Baseload 
Resource</t>
  </si>
  <si>
    <t>(k)=(d)*(j)
Wind 
Resource</t>
  </si>
  <si>
    <t>(m)=(e)*(l)
Wind 
Resource</t>
  </si>
  <si>
    <t xml:space="preserve">(g)
Total Hours in Year
</t>
  </si>
  <si>
    <r>
      <t xml:space="preserve">(h)=(m)*1.00
</t>
    </r>
    <r>
      <rPr>
        <u/>
        <sz val="10"/>
        <color theme="1"/>
        <rFont val="Arial"/>
        <family val="2"/>
      </rPr>
      <t>Baseload 
Resource</t>
    </r>
    <r>
      <rPr>
        <sz val="10"/>
        <color theme="1"/>
        <rFont val="Arial"/>
        <family val="2"/>
      </rPr>
      <t xml:space="preserve"> NCF=100%</t>
    </r>
  </si>
  <si>
    <r>
      <t xml:space="preserve">(j)=(m)*0.30
</t>
    </r>
    <r>
      <rPr>
        <u/>
        <sz val="10"/>
        <color theme="1"/>
        <rFont val="Arial"/>
        <family val="2"/>
      </rPr>
      <t>Wind 
Resource</t>
    </r>
    <r>
      <rPr>
        <sz val="10"/>
        <color theme="1"/>
        <rFont val="Arial"/>
        <family val="2"/>
      </rPr>
      <t xml:space="preserve">
NCF=30%</t>
    </r>
  </si>
  <si>
    <r>
      <t xml:space="preserve">(l)=(m)*0.26
</t>
    </r>
    <r>
      <rPr>
        <u/>
        <sz val="10"/>
        <color theme="1"/>
        <rFont val="Arial"/>
        <family val="2"/>
      </rPr>
      <t>Solar 
Resource</t>
    </r>
    <r>
      <rPr>
        <sz val="10"/>
        <color theme="1"/>
        <rFont val="Arial"/>
        <family val="2"/>
      </rPr>
      <t xml:space="preserve">
NCF=26%</t>
    </r>
  </si>
  <si>
    <t>Hours 
Available</t>
  </si>
  <si>
    <t>$/kW-yr</t>
  </si>
  <si>
    <t>- Source: 2017 PSE Integrated Resource Plan; Appendix N: Electical Analysis; Page N-67; Figure N-37: Indicative Avoided Capacity Resource Costs for Resources Delivered to PSE (Base + CAR Only Scenario)</t>
  </si>
  <si>
    <t>- Basis for table is PSE's last acknowledged IRP</t>
  </si>
  <si>
    <t xml:space="preserve">- 2018-2022 relied on "planned market purchases" to provide the next incremental capacity addition, therefore avoided capacity cost in those years have been replaced with the "projected fixed costs of a simple-cycle combustion turbine" pursuant to WAC 480-106-040(b)(ii) </t>
  </si>
  <si>
    <t>- The source table provided cost from 2018 to 2037 (a 20-year period preceeding the 2017 IRP) so additional years and capacity costs were added for 2038-2039 in order to align with the current energy price forecast table. It is assumed that either a Frame Peaker or planned market purchases are the incremental capacity resource in these years, therefore the "projected fixed costs of a simple-cycle combustion turbine" is used for cost.</t>
  </si>
  <si>
    <t>- The Source Table provided a Solar ELCC of 1%, however 2% is used in this analysis in order to stay consistent with past methodology used in determining Schedule 91 rates.</t>
  </si>
  <si>
    <t xml:space="preserve">- "Hours Available" are calculated as the total hours in a year for which the resource type is projected to operate, as determined by the Net Capacity Factor (NCF) for the generic resource for which the ELCC is based multiplied by the Total Hours in the Year. </t>
  </si>
  <si>
    <t>- Source: 2017 PSE Integrated Resource Plan; Appendix N: Electical Analysis; Page N-67; Figure N-18: New Resource Cost Assumptions</t>
  </si>
  <si>
    <t>- Solar Resouce NCF is based on the generic resource "Central Station Solar Tracking PV"</t>
  </si>
  <si>
    <t>- Wind Resource NCF is based on the generic resource "Wind Plant - Washington"</t>
  </si>
  <si>
    <t xml:space="preserve">Note 1: Avoided capacity costs are consistent with the 2017 IRP for the Firm Resource. </t>
  </si>
  <si>
    <t>- Highlighted cells (in yellow) represent those deviations from the source table to comply with WAC 480-106 including:</t>
  </si>
  <si>
    <t>Schedule 91 Rates for Purchase of Energy - Baseload</t>
  </si>
  <si>
    <t>Baseload - 15 year</t>
  </si>
  <si>
    <t>Baseload - 5 year</t>
  </si>
  <si>
    <t>Baseload - 10 year</t>
  </si>
  <si>
    <t>Wind - 10 year</t>
  </si>
  <si>
    <t>Wind - 15 year</t>
  </si>
  <si>
    <t>Solar - 10 year</t>
  </si>
  <si>
    <t>Solar - 15 year</t>
  </si>
  <si>
    <t>Levelized</t>
  </si>
  <si>
    <t>Summary - Escalating @ 2.5%</t>
  </si>
  <si>
    <t>Summary - Levelized</t>
  </si>
  <si>
    <r>
      <rPr>
        <b/>
        <sz val="10"/>
        <color theme="1"/>
        <rFont val="Arial"/>
        <family val="2"/>
      </rPr>
      <t xml:space="preserve">Gas Prices: </t>
    </r>
    <r>
      <rPr>
        <sz val="10"/>
        <color theme="1"/>
        <rFont val="Arial"/>
        <family val="2"/>
      </rPr>
      <t>For gas price assumptions, PSE uses a combination of forward market prices and fundamental forecasts acquired in Fall 2018 from Wood Mackenzie. Wood Mackenzie is a well-known macroeconomic and energy forecasting consultancy whose gas market analysis includes regional, North American and international factors, as well as Canadian markets and liquefied natural gas (LNG) exports. Three gas price forecasts are used in the scenario analysis.</t>
    </r>
  </si>
  <si>
    <t>There are separate calculations for Baseload, Wind and Solar resources which have different capacity values as provided in the 2017 IRP and PSE’s Schedule of Estimated Avoided Cost most recently filed in Docket UE-171141.</t>
  </si>
  <si>
    <t>An additional two years are added to the strip to accommodate projects that sign the PPA in the year following the "current year."</t>
  </si>
  <si>
    <t>Schedule 91 -- Purchases from Qualifying Facilities of Five Megawatts or Less - Net Output Delivered to PSE's Transmission System</t>
  </si>
  <si>
    <t>Power prices have been updated to be consistent with PSE's 2019 IRP Progress Report as filed with UTC on 11/9/2019 using the Mid-C prices for the “Base” scenario, and includes the 2019 power price forecast from Aurora.</t>
  </si>
  <si>
    <t>Power prices have been updated to be consistent with PSE's 201921 IRP Progress Report as filed with UTC on 11/9/2019 using the Mid-C prices for the “Base” scenario, and includes the 2019 power price forecast from Aurora.</t>
  </si>
  <si>
    <t>The planning adjustment is the cost difference between the 2019 IRP Progress Report portfolio with no demand side resources (DSR) and the 2021 IRP Progress Report portfolio with optimal DSR, which is relevant to EES but not for a PPA.</t>
  </si>
  <si>
    <t>Forecast Mid-C Power Prices for Base Scenario (Nominal $/MWh) - The 2019-2039 Avoided Energy Costs are based on PSE’s current forecast of market prices for the Mid-C Market in PSE’s 2019 Integrated Resource Plan ("IRP") Progress Report as of November 15, 2019, pursuant to WAC 480-106-040(a)</t>
  </si>
  <si>
    <r>
      <t xml:space="preserve">Mid Gas Prices.  </t>
    </r>
    <r>
      <rPr>
        <sz val="10"/>
        <rFont val="Arial"/>
        <family val="2"/>
      </rPr>
      <t xml:space="preserve">From 2020-2023, the forecast in the 2019 IRP Progress Report assumes the three-month average of forward marks for the period ending December 31, 2018. Forward marks reflect the price of gas being purchased at a given point in time for future delivery. Beyond 2023, this IRP Progress Report uses the Wood Mackenzie long-run, fundamentals-based gas price forecasts published in November 2018.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</si>
</sst>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0.0000000"/>
    <numFmt numFmtId="166" formatCode="0.000000"/>
    <numFmt numFmtId="167" formatCode="0.0%"/>
    <numFmt numFmtId="168" formatCode="&quot;$&quot;#,##0.00"/>
    <numFmt numFmtId="169" formatCode="_(&quot;$&quot;* #,##0.0000_);_(&quot;$&quot;* \(#,##0.0000\);_(&quot;$&quot;* &quot;-&quot;??_);_(@_)"/>
    <numFmt numFmtId="170" formatCode="_(&quot;$&quot;* #,##0.00000_);_(&quot;$&quot;* \(#,##0.00000\);_(&quot;$&quot;* &quot;-&quot;??_);_(@_)"/>
    <numFmt numFmtId="171" formatCode="_(* #,##0.0000_);_(* \(#,##0.0000\);_(* &quot;-&quot;??_);_(@_)"/>
    <numFmt numFmtId="172" formatCode="_(&quot;$&quot;* #,##0_);_(&quot;$&quot;* \(#,##0\);_(&quot;$&quot;* &quot;-&quot;??_);_(@_)"/>
    <numFmt numFmtId="173" formatCode="_(* #,##0_);_(* \(#,##0\);_(* &quot;-&quot;??_);_(@_)"/>
    <numFmt numFmtId="174" formatCode="_(* #,##0.000000000000_);_(* \(#,##0.000000000000\);_(* &quot;-&quot;??_);_(@_)"/>
    <numFmt numFmtId="175" formatCode="&quot;$&quot;#,##0.00_);\(&quot;$&quot;#,##0.00\);@_)"/>
    <numFmt numFmtId="176" formatCode="&quot;$&quot;#,##0.000_);[Red]\(&quot;$&quot;#,##0.000\)"/>
    <numFmt numFmtId="177" formatCode="0.00%_);\(0.00%\);&quot;–&quot;_)"/>
    <numFmt numFmtId="178" formatCode="#,##0.00_);\(#,##0.00\);\–_);&quot;–&quot;_)"/>
    <numFmt numFmtId="179" formatCode="0.0%_);\(0.0%\);&quot;–&quot;_)"/>
    <numFmt numFmtId="180" formatCode="#,##0_);\(#,##0\);\–_);&quot;–&quot;_)"/>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7.5"/>
      <color indexed="12"/>
      <name val="Arial"/>
      <family val="2"/>
    </font>
    <font>
      <sz val="8"/>
      <name val="Arial"/>
      <family val="2"/>
    </font>
    <font>
      <b/>
      <sz val="12"/>
      <name val="Arial"/>
      <family val="2"/>
    </font>
    <font>
      <sz val="10"/>
      <name val="Arial"/>
      <family val="2"/>
    </font>
    <font>
      <sz val="12"/>
      <name val="Arial"/>
      <family val="2"/>
    </font>
    <font>
      <b/>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sz val="12"/>
      <color indexed="8"/>
      <name val="Arial"/>
      <family val="2"/>
    </font>
    <font>
      <b/>
      <sz val="11"/>
      <name val="Arial"/>
      <family val="2"/>
    </font>
    <font>
      <vertAlign val="superscript"/>
      <sz val="12"/>
      <name val="Arial"/>
      <family val="2"/>
    </font>
    <font>
      <u/>
      <sz val="12"/>
      <color indexed="12"/>
      <name val="Arial"/>
      <family val="2"/>
    </font>
    <font>
      <sz val="12"/>
      <color theme="1"/>
      <name val="Arial"/>
      <family val="2"/>
    </font>
    <font>
      <b/>
      <i/>
      <sz val="12"/>
      <color theme="1"/>
      <name val="Arial"/>
      <family val="2"/>
    </font>
    <font>
      <sz val="12"/>
      <color rgb="FFFFFFFF"/>
      <name val="Arial"/>
      <family val="2"/>
    </font>
    <font>
      <b/>
      <sz val="12"/>
      <color rgb="FFFFFFFF"/>
      <name val="Arial"/>
      <family val="2"/>
    </font>
    <font>
      <b/>
      <sz val="12"/>
      <color rgb="FF000000"/>
      <name val="Arial"/>
      <family val="2"/>
    </font>
    <font>
      <sz val="12"/>
      <color rgb="FF000000"/>
      <name val="Arial"/>
      <family val="2"/>
    </font>
    <font>
      <b/>
      <sz val="10"/>
      <color theme="1"/>
      <name val="Times New Roman"/>
      <family val="1"/>
    </font>
    <font>
      <sz val="10"/>
      <color theme="1"/>
      <name val="Times New Roman"/>
      <family val="1"/>
    </font>
    <font>
      <sz val="8"/>
      <color theme="1"/>
      <name val="Times New Roman"/>
      <family val="1"/>
    </font>
    <font>
      <sz val="11"/>
      <color rgb="FFFF0000"/>
      <name val="Calibri"/>
      <family val="2"/>
      <scheme val="minor"/>
    </font>
    <font>
      <i/>
      <sz val="12"/>
      <name val="Arial"/>
      <family val="2"/>
    </font>
    <font>
      <sz val="12"/>
      <color indexed="9"/>
      <name val="Arial"/>
      <family val="2"/>
    </font>
    <font>
      <u/>
      <sz val="12"/>
      <name val="Arial"/>
      <family val="2"/>
    </font>
    <font>
      <sz val="11"/>
      <color indexed="8"/>
      <name val="Arial"/>
      <family val="2"/>
    </font>
    <font>
      <b/>
      <sz val="12"/>
      <color indexed="10"/>
      <name val="Arial"/>
      <family val="2"/>
    </font>
    <font>
      <sz val="11"/>
      <color rgb="FF1F497D"/>
      <name val="Calibri"/>
      <family val="2"/>
    </font>
    <font>
      <sz val="10"/>
      <color theme="1"/>
      <name val="Arial"/>
      <family val="2"/>
    </font>
    <font>
      <b/>
      <sz val="11"/>
      <color rgb="FFFFFFFF"/>
      <name val="Arial Narrow"/>
      <family val="2"/>
    </font>
    <font>
      <sz val="11"/>
      <color rgb="FFFFFFFF"/>
      <name val="Calibri"/>
      <family val="2"/>
      <scheme val="minor"/>
    </font>
    <font>
      <b/>
      <vertAlign val="subscript"/>
      <sz val="11"/>
      <color rgb="FFFFFFFF"/>
      <name val="Arial Narrow"/>
      <family val="2"/>
    </font>
    <font>
      <b/>
      <sz val="10"/>
      <color theme="1"/>
      <name val="Arial"/>
      <family val="2"/>
    </font>
    <font>
      <sz val="16"/>
      <color theme="1"/>
      <name val="Arial"/>
      <family val="2"/>
    </font>
    <font>
      <b/>
      <sz val="14"/>
      <color rgb="FF156570"/>
      <name val="Arial"/>
      <family val="2"/>
    </font>
    <font>
      <sz val="10"/>
      <color theme="1"/>
      <name val="Symbol"/>
      <family val="1"/>
      <charset val="2"/>
    </font>
    <font>
      <sz val="7"/>
      <color theme="1"/>
      <name val="Times New Roman"/>
      <family val="1"/>
    </font>
    <font>
      <b/>
      <sz val="12"/>
      <color theme="1"/>
      <name val="Arial"/>
      <family val="2"/>
    </font>
    <font>
      <u/>
      <sz val="10"/>
      <color theme="1"/>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4"/>
        <bgColor indexed="64"/>
      </patternFill>
    </fill>
    <fill>
      <patternFill patternType="solid">
        <fgColor theme="4" tint="0.79998168889431442"/>
        <bgColor indexed="64"/>
      </patternFill>
    </fill>
    <fill>
      <patternFill patternType="solid">
        <fgColor rgb="FF006A71"/>
        <bgColor indexed="64"/>
      </patternFill>
    </fill>
    <fill>
      <patternFill patternType="solid">
        <fgColor rgb="FFBDD22B"/>
        <bgColor indexed="64"/>
      </patternFill>
    </fill>
    <fill>
      <patternFill patternType="solid">
        <fgColor rgb="FFFFFF66"/>
        <bgColor indexed="64"/>
      </patternFill>
    </fill>
    <fill>
      <patternFill patternType="solid">
        <fgColor rgb="FF92D050"/>
        <bgColor indexed="64"/>
      </patternFill>
    </fill>
    <fill>
      <patternFill patternType="solid">
        <fgColor rgb="FF808080"/>
        <bgColor indexed="64"/>
      </patternFill>
    </fill>
    <fill>
      <patternFill patternType="solid">
        <fgColor rgb="FF137883"/>
        <bgColor indexed="64"/>
      </patternFill>
    </fill>
    <fill>
      <patternFill patternType="solid">
        <fgColor rgb="FFAFDBD1"/>
        <bgColor indexed="64"/>
      </patternFill>
    </fill>
    <fill>
      <patternFill patternType="solid">
        <fgColor rgb="FFFFFF00"/>
        <bgColor indexed="64"/>
      </patternFill>
    </fill>
  </fills>
  <borders count="9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medium">
        <color indexed="64"/>
      </bottom>
      <diagonal/>
    </border>
    <border>
      <left style="medium">
        <color indexed="64"/>
      </left>
      <right style="medium">
        <color rgb="FF000000"/>
      </right>
      <top style="thin">
        <color indexed="64"/>
      </top>
      <bottom style="thin">
        <color indexed="64"/>
      </bottom>
      <diagonal/>
    </border>
    <border>
      <left/>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rgb="FF000000"/>
      </left>
      <right style="thin">
        <color indexed="64"/>
      </right>
      <top style="thin">
        <color indexed="64"/>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rgb="FF000000"/>
      </top>
      <bottom/>
      <diagonal/>
    </border>
    <border>
      <left/>
      <right style="medium">
        <color rgb="FF000000"/>
      </right>
      <top style="thin">
        <color indexed="64"/>
      </top>
      <bottom/>
      <diagonal/>
    </border>
    <border>
      <left style="medium">
        <color rgb="FF000000"/>
      </left>
      <right style="thin">
        <color indexed="64"/>
      </right>
      <top style="thin">
        <color indexed="64"/>
      </top>
      <bottom/>
      <diagonal/>
    </border>
    <border>
      <left/>
      <right style="medium">
        <color rgb="FF000000"/>
      </right>
      <top style="thin">
        <color rgb="FF000000"/>
      </top>
      <bottom/>
      <diagonal/>
    </border>
    <border>
      <left/>
      <right/>
      <top style="thin">
        <color indexed="64"/>
      </top>
      <bottom/>
      <diagonal/>
    </border>
    <border>
      <left/>
      <right style="thin">
        <color indexed="64"/>
      </right>
      <top style="thin">
        <color indexed="64"/>
      </top>
      <bottom style="thin">
        <color indexed="64"/>
      </bottom>
      <diagonal/>
    </border>
    <border>
      <left style="medium">
        <color rgb="FF000000"/>
      </left>
      <right/>
      <top/>
      <bottom/>
      <diagonal/>
    </border>
    <border>
      <left style="thin">
        <color indexed="64"/>
      </left>
      <right/>
      <top style="thin">
        <color indexed="64"/>
      </top>
      <bottom style="medium">
        <color rgb="FF000000"/>
      </bottom>
      <diagonal/>
    </border>
    <border>
      <left/>
      <right style="thin">
        <color indexed="64"/>
      </right>
      <top style="thin">
        <color indexed="64"/>
      </top>
      <bottom style="medium">
        <color rgb="FF000000"/>
      </bottom>
      <diagonal/>
    </border>
    <border>
      <left/>
      <right style="medium">
        <color indexed="64"/>
      </right>
      <top style="thin">
        <color indexed="64"/>
      </top>
      <bottom style="medium">
        <color rgb="FF000000"/>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top/>
      <bottom style="medium">
        <color rgb="FF000000"/>
      </bottom>
      <diagonal/>
    </border>
    <border>
      <left/>
      <right style="thin">
        <color indexed="64"/>
      </right>
      <top style="thin">
        <color indexed="64"/>
      </top>
      <bottom/>
      <diagonal/>
    </border>
    <border>
      <left/>
      <right style="thin">
        <color indexed="64"/>
      </right>
      <top style="thin">
        <color rgb="FF000000"/>
      </top>
      <bottom/>
      <diagonal/>
    </border>
    <border>
      <left style="medium">
        <color indexed="64"/>
      </left>
      <right style="medium">
        <color rgb="FF000000"/>
      </right>
      <top style="thin">
        <color indexed="64"/>
      </top>
      <bottom/>
      <diagonal/>
    </border>
    <border>
      <left style="medium">
        <color rgb="FF000000"/>
      </left>
      <right style="medium">
        <color rgb="FF000000"/>
      </right>
      <top style="thin">
        <color indexed="64"/>
      </top>
      <bottom style="medium">
        <color rgb="FF000000"/>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rgb="FF000000"/>
      </left>
      <right style="medium">
        <color rgb="FF000000"/>
      </right>
      <top style="medium">
        <color indexed="64"/>
      </top>
      <bottom/>
      <diagonal/>
    </border>
    <border>
      <left style="thin">
        <color rgb="FF000000"/>
      </left>
      <right style="medium">
        <color rgb="FF000000"/>
      </right>
      <top/>
      <bottom/>
      <diagonal/>
    </border>
    <border>
      <left style="thin">
        <color rgb="FF000000"/>
      </left>
      <right style="medium">
        <color rgb="FF000000"/>
      </right>
      <top/>
      <bottom style="medium">
        <color indexed="64"/>
      </bottom>
      <diagonal/>
    </border>
    <border>
      <left style="medium">
        <color rgb="FF000000"/>
      </left>
      <right style="thin">
        <color indexed="64"/>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medium">
        <color rgb="FF000000"/>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
      <left/>
      <right style="thin">
        <color rgb="FF000000"/>
      </right>
      <top style="thin">
        <color rgb="FF000000"/>
      </top>
      <bottom style="thin">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bottom style="medium">
        <color indexed="64"/>
      </bottom>
      <diagonal/>
    </border>
  </borders>
  <cellStyleXfs count="65">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6" fillId="0" borderId="0" applyNumberFormat="0" applyFill="0" applyBorder="0" applyAlignment="0" applyProtection="0">
      <alignment vertical="top"/>
      <protection locked="0"/>
    </xf>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9" fillId="0" borderId="0"/>
    <xf numFmtId="0" fontId="13" fillId="0" borderId="0"/>
    <xf numFmtId="0" fontId="9" fillId="0" borderId="0"/>
    <xf numFmtId="0" fontId="13" fillId="0" borderId="0"/>
    <xf numFmtId="0" fontId="13" fillId="23" borderId="7" applyNumberFormat="0" applyFont="0" applyAlignment="0" applyProtection="0"/>
    <xf numFmtId="0" fontId="26"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66" fontId="5" fillId="0" borderId="0">
      <alignment horizontal="left" wrapText="1"/>
    </xf>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1" fillId="0" borderId="0"/>
    <xf numFmtId="9" fontId="1" fillId="0" borderId="0" applyFont="0" applyFill="0" applyBorder="0" applyAlignment="0" applyProtection="0"/>
  </cellStyleXfs>
  <cellXfs count="377">
    <xf numFmtId="0" fontId="0" fillId="0" borderId="0" xfId="0"/>
    <xf numFmtId="8" fontId="0" fillId="0" borderId="0" xfId="0" applyNumberFormat="1"/>
    <xf numFmtId="0" fontId="0" fillId="0" borderId="0" xfId="0" applyAlignment="1">
      <alignment horizontal="center"/>
    </xf>
    <xf numFmtId="0" fontId="8" fillId="0" borderId="0" xfId="0" applyFont="1" applyAlignment="1">
      <alignment horizontal="center" wrapText="1"/>
    </xf>
    <xf numFmtId="0" fontId="8" fillId="0" borderId="11" xfId="0" applyFont="1" applyBorder="1" applyAlignment="1">
      <alignment horizontal="center"/>
    </xf>
    <xf numFmtId="0" fontId="8" fillId="0" borderId="0" xfId="0" applyFont="1"/>
    <xf numFmtId="0" fontId="11" fillId="0" borderId="10" xfId="0" applyFont="1" applyBorder="1" applyAlignment="1">
      <alignment horizontal="center" wrapText="1"/>
    </xf>
    <xf numFmtId="0" fontId="11" fillId="0" borderId="0" xfId="0" applyFont="1"/>
    <xf numFmtId="0" fontId="0" fillId="0" borderId="10" xfId="0" applyBorder="1" applyAlignment="1">
      <alignment horizontal="center"/>
    </xf>
    <xf numFmtId="2" fontId="0" fillId="0" borderId="0" xfId="0" applyNumberFormat="1" applyBorder="1"/>
    <xf numFmtId="164" fontId="0" fillId="0" borderId="0" xfId="0" applyNumberFormat="1"/>
    <xf numFmtId="41" fontId="9" fillId="0" borderId="0" xfId="28" applyNumberFormat="1" applyFont="1" applyFill="1" applyBorder="1" applyAlignment="1">
      <alignment horizontal="right"/>
    </xf>
    <xf numFmtId="165" fontId="0" fillId="0" borderId="0" xfId="0" applyNumberFormat="1" applyFill="1" applyAlignment="1">
      <alignment horizontal="right"/>
    </xf>
    <xf numFmtId="165" fontId="0" fillId="0" borderId="0" xfId="0" applyNumberFormat="1" applyAlignment="1">
      <alignment horizontal="right"/>
    </xf>
    <xf numFmtId="0" fontId="30" fillId="0" borderId="0" xfId="47" applyFont="1"/>
    <xf numFmtId="0" fontId="8" fillId="0" borderId="0" xfId="47" applyFont="1" applyAlignment="1">
      <alignment horizontal="center"/>
    </xf>
    <xf numFmtId="0" fontId="8" fillId="0" borderId="0" xfId="47" applyFont="1" applyAlignment="1">
      <alignment horizontal="center" wrapText="1"/>
    </xf>
    <xf numFmtId="0" fontId="8" fillId="0" borderId="0" xfId="47" applyFont="1" applyFill="1" applyAlignment="1">
      <alignment horizontal="center" wrapText="1"/>
    </xf>
    <xf numFmtId="0" fontId="8" fillId="0" borderId="11" xfId="47" applyFont="1" applyBorder="1" applyAlignment="1">
      <alignment horizontal="center"/>
    </xf>
    <xf numFmtId="0" fontId="8" fillId="0" borderId="11" xfId="47" applyFont="1" applyFill="1" applyBorder="1" applyAlignment="1">
      <alignment horizontal="center"/>
    </xf>
    <xf numFmtId="0" fontId="8" fillId="0" borderId="0" xfId="47" applyFont="1" applyBorder="1" applyAlignment="1">
      <alignment horizontal="right"/>
    </xf>
    <xf numFmtId="0" fontId="12" fillId="0" borderId="0" xfId="47" applyFont="1" applyFill="1"/>
    <xf numFmtId="0" fontId="8" fillId="0" borderId="0" xfId="46" applyFont="1" applyFill="1" applyAlignment="1">
      <alignment horizontal="right"/>
    </xf>
    <xf numFmtId="0" fontId="8" fillId="0" borderId="0" xfId="46" applyFont="1" applyFill="1" applyAlignment="1">
      <alignment horizontal="center"/>
    </xf>
    <xf numFmtId="0" fontId="8" fillId="0" borderId="0" xfId="46" applyFont="1" applyFill="1" applyAlignment="1">
      <alignment horizontal="center" wrapText="1"/>
    </xf>
    <xf numFmtId="0" fontId="8" fillId="0" borderId="0" xfId="46" applyFont="1" applyFill="1" applyBorder="1" applyAlignment="1">
      <alignment horizontal="center" wrapText="1"/>
    </xf>
    <xf numFmtId="0" fontId="8" fillId="0" borderId="11" xfId="46" applyFont="1" applyFill="1" applyBorder="1" applyAlignment="1">
      <alignment horizontal="center"/>
    </xf>
    <xf numFmtId="0" fontId="8" fillId="0" borderId="0" xfId="46" applyFont="1" applyFill="1" applyBorder="1" applyAlignment="1">
      <alignment horizontal="center"/>
    </xf>
    <xf numFmtId="0" fontId="8" fillId="0" borderId="0" xfId="46" applyFont="1" applyFill="1" applyBorder="1" applyAlignment="1">
      <alignment horizontal="right"/>
    </xf>
    <xf numFmtId="0" fontId="0" fillId="0" borderId="0" xfId="0" quotePrefix="1"/>
    <xf numFmtId="44" fontId="11" fillId="0" borderId="10" xfId="31" applyFont="1" applyFill="1" applyBorder="1" applyAlignment="1">
      <alignment horizontal="center" wrapText="1"/>
    </xf>
    <xf numFmtId="0" fontId="4" fillId="0" borderId="0" xfId="47" applyFont="1" applyFill="1" applyAlignment="1">
      <alignment horizontal="left"/>
    </xf>
    <xf numFmtId="0" fontId="0" fillId="26" borderId="10" xfId="0" applyFill="1" applyBorder="1" applyAlignment="1">
      <alignment horizontal="center"/>
    </xf>
    <xf numFmtId="44" fontId="4" fillId="0" borderId="0" xfId="31" applyFont="1" applyBorder="1"/>
    <xf numFmtId="9" fontId="4" fillId="0" borderId="0" xfId="50" applyFont="1" applyBorder="1"/>
    <xf numFmtId="0" fontId="4" fillId="0" borderId="0" xfId="47" applyFont="1"/>
    <xf numFmtId="0" fontId="8" fillId="0" borderId="0" xfId="46" applyFont="1" applyFill="1" applyBorder="1"/>
    <xf numFmtId="0" fontId="0" fillId="0" borderId="0" xfId="0" applyBorder="1"/>
    <xf numFmtId="44" fontId="0" fillId="0" borderId="10" xfId="31" applyFont="1" applyBorder="1"/>
    <xf numFmtId="44" fontId="0" fillId="26" borderId="10" xfId="31" applyFont="1" applyFill="1" applyBorder="1"/>
    <xf numFmtId="0" fontId="4" fillId="0" borderId="0" xfId="47" applyFont="1" applyFill="1" applyAlignment="1">
      <alignment horizontal="center"/>
    </xf>
    <xf numFmtId="0" fontId="4" fillId="0" borderId="0" xfId="46" applyFont="1" applyFill="1" applyAlignment="1">
      <alignment horizontal="center"/>
    </xf>
    <xf numFmtId="0" fontId="4" fillId="0" borderId="0" xfId="47" applyFont="1" applyAlignment="1">
      <alignment horizontal="center"/>
    </xf>
    <xf numFmtId="0" fontId="4" fillId="26" borderId="0" xfId="47" applyFont="1" applyFill="1" applyAlignment="1">
      <alignment horizontal="center"/>
    </xf>
    <xf numFmtId="44" fontId="4" fillId="0" borderId="0" xfId="31" applyFont="1"/>
    <xf numFmtId="44" fontId="4" fillId="0" borderId="0" xfId="31" applyFont="1" applyAlignment="1">
      <alignment horizontal="center"/>
    </xf>
    <xf numFmtId="44" fontId="4" fillId="26" borderId="0" xfId="31" applyFont="1" applyFill="1"/>
    <xf numFmtId="44" fontId="4" fillId="26" borderId="0" xfId="31" applyFont="1" applyFill="1" applyAlignment="1">
      <alignment horizontal="center"/>
    </xf>
    <xf numFmtId="0" fontId="8" fillId="0" borderId="0" xfId="0" applyFont="1" applyAlignment="1">
      <alignment horizontal="center"/>
    </xf>
    <xf numFmtId="8" fontId="0" fillId="0" borderId="0" xfId="0" applyNumberFormat="1" applyBorder="1"/>
    <xf numFmtId="0" fontId="4" fillId="0" borderId="0" xfId="47" applyFont="1" applyFill="1"/>
    <xf numFmtId="168" fontId="4" fillId="0" borderId="0" xfId="32" applyNumberFormat="1" applyFont="1" applyFill="1" applyAlignment="1">
      <alignment horizontal="right"/>
    </xf>
    <xf numFmtId="10" fontId="4" fillId="0" borderId="10" xfId="50" applyNumberFormat="1" applyFont="1" applyFill="1" applyBorder="1" applyAlignment="1">
      <alignment horizontal="right"/>
    </xf>
    <xf numFmtId="167" fontId="4" fillId="0" borderId="0" xfId="51" applyNumberFormat="1" applyFont="1" applyAlignment="1">
      <alignment horizontal="right"/>
    </xf>
    <xf numFmtId="8" fontId="4" fillId="0" borderId="0" xfId="31" applyNumberFormat="1" applyFont="1" applyAlignment="1">
      <alignment horizontal="center"/>
    </xf>
    <xf numFmtId="0" fontId="4" fillId="0" borderId="0" xfId="47" applyFont="1" applyAlignment="1">
      <alignment horizontal="right"/>
    </xf>
    <xf numFmtId="0" fontId="4" fillId="0" borderId="0" xfId="47" applyFont="1" applyBorder="1"/>
    <xf numFmtId="168" fontId="4" fillId="0" borderId="0" xfId="32" applyNumberFormat="1" applyFont="1" applyFill="1" applyBorder="1" applyAlignment="1">
      <alignment horizontal="right"/>
    </xf>
    <xf numFmtId="167" fontId="4" fillId="0" borderId="0" xfId="51" applyNumberFormat="1" applyFont="1" applyBorder="1"/>
    <xf numFmtId="0" fontId="4" fillId="0" borderId="0" xfId="0" applyFont="1"/>
    <xf numFmtId="44" fontId="4" fillId="0" borderId="0" xfId="47" applyNumberFormat="1" applyFont="1" applyFill="1"/>
    <xf numFmtId="172" fontId="4" fillId="0" borderId="0" xfId="47" applyNumberFormat="1" applyFont="1" applyFill="1"/>
    <xf numFmtId="172" fontId="4" fillId="0" borderId="0" xfId="32" applyNumberFormat="1" applyFont="1" applyFill="1" applyAlignment="1">
      <alignment horizontal="center"/>
    </xf>
    <xf numFmtId="0" fontId="34" fillId="0" borderId="0" xfId="40" applyFont="1" applyAlignment="1" applyProtection="1">
      <alignment vertical="center"/>
    </xf>
    <xf numFmtId="0" fontId="36" fillId="0" borderId="0" xfId="0" applyFont="1"/>
    <xf numFmtId="0" fontId="35" fillId="0" borderId="0" xfId="59" applyFont="1"/>
    <xf numFmtId="0" fontId="37" fillId="27" borderId="14" xfId="0" applyFont="1" applyFill="1" applyBorder="1" applyAlignment="1">
      <alignment vertical="center"/>
    </xf>
    <xf numFmtId="0" fontId="40" fillId="0" borderId="20" xfId="0" applyFont="1" applyBorder="1" applyAlignment="1">
      <alignment horizontal="right" vertical="center"/>
    </xf>
    <xf numFmtId="2" fontId="40" fillId="0" borderId="19" xfId="0" applyNumberFormat="1" applyFont="1" applyBorder="1" applyAlignment="1">
      <alignment horizontal="right" vertical="center"/>
    </xf>
    <xf numFmtId="0" fontId="40" fillId="0" borderId="0" xfId="0" applyFont="1" applyBorder="1" applyAlignment="1">
      <alignment horizontal="right" vertical="center"/>
    </xf>
    <xf numFmtId="2" fontId="40" fillId="0" borderId="0" xfId="0" applyNumberFormat="1" applyFont="1" applyBorder="1" applyAlignment="1">
      <alignment horizontal="right" vertical="center"/>
    </xf>
    <xf numFmtId="2" fontId="40" fillId="0" borderId="0" xfId="0" applyNumberFormat="1" applyFont="1" applyFill="1" applyBorder="1" applyAlignment="1">
      <alignment horizontal="right" vertical="center"/>
    </xf>
    <xf numFmtId="0" fontId="35" fillId="0" borderId="0" xfId="59" applyFont="1" applyAlignment="1">
      <alignment horizontal="right"/>
    </xf>
    <xf numFmtId="8" fontId="35" fillId="0" borderId="33" xfId="59" applyNumberFormat="1" applyFont="1" applyBorder="1"/>
    <xf numFmtId="44" fontId="35" fillId="0" borderId="26" xfId="31" applyFont="1" applyBorder="1"/>
    <xf numFmtId="0" fontId="38" fillId="27" borderId="15" xfId="0" applyFont="1" applyFill="1" applyBorder="1" applyAlignment="1">
      <alignment horizontal="center" vertical="center"/>
    </xf>
    <xf numFmtId="0" fontId="38" fillId="27" borderId="16" xfId="0" applyFont="1" applyFill="1" applyBorder="1" applyAlignment="1">
      <alignment horizontal="center" vertical="center"/>
    </xf>
    <xf numFmtId="0" fontId="39" fillId="28" borderId="17" xfId="0" applyFont="1" applyFill="1" applyBorder="1" applyAlignment="1">
      <alignment horizontal="centerContinuous" vertical="center"/>
    </xf>
    <xf numFmtId="0" fontId="39" fillId="28" borderId="18" xfId="0" applyFont="1" applyFill="1" applyBorder="1" applyAlignment="1">
      <alignment horizontal="centerContinuous" vertical="center"/>
    </xf>
    <xf numFmtId="0" fontId="39" fillId="28" borderId="19" xfId="0" applyFont="1" applyFill="1" applyBorder="1" applyAlignment="1">
      <alignment horizontal="centerContinuous" vertical="center"/>
    </xf>
    <xf numFmtId="0" fontId="35" fillId="0" borderId="0" xfId="59" applyFont="1" applyAlignment="1">
      <alignment horizontal="right" indent="1"/>
    </xf>
    <xf numFmtId="0" fontId="35" fillId="0" borderId="0" xfId="59" applyFont="1" applyBorder="1" applyAlignment="1">
      <alignment horizontal="right" indent="1"/>
    </xf>
    <xf numFmtId="177" fontId="35" fillId="0" borderId="0" xfId="50" applyNumberFormat="1" applyFont="1" applyAlignment="1">
      <alignment horizontal="right"/>
    </xf>
    <xf numFmtId="0" fontId="1" fillId="0" borderId="0" xfId="63"/>
    <xf numFmtId="0" fontId="41" fillId="0" borderId="14" xfId="63" applyFont="1" applyBorder="1" applyAlignment="1">
      <alignment vertical="center"/>
    </xf>
    <xf numFmtId="0" fontId="42" fillId="0" borderId="15" xfId="63" applyFont="1" applyBorder="1" applyAlignment="1">
      <alignment vertical="center"/>
    </xf>
    <xf numFmtId="0" fontId="41" fillId="0" borderId="16" xfId="63" applyFont="1" applyBorder="1" applyAlignment="1">
      <alignment horizontal="right" vertical="center"/>
    </xf>
    <xf numFmtId="0" fontId="43" fillId="0" borderId="43" xfId="63" applyFont="1" applyBorder="1" applyAlignment="1">
      <alignment vertical="center"/>
    </xf>
    <xf numFmtId="0" fontId="42" fillId="0" borderId="0" xfId="63" applyFont="1"/>
    <xf numFmtId="0" fontId="41" fillId="0" borderId="44" xfId="63" applyFont="1" applyBorder="1" applyAlignment="1">
      <alignment horizontal="right" vertical="center"/>
    </xf>
    <xf numFmtId="0" fontId="42" fillId="0" borderId="43" xfId="63" applyFont="1" applyBorder="1" applyAlignment="1">
      <alignment vertical="center"/>
    </xf>
    <xf numFmtId="0" fontId="41" fillId="0" borderId="43" xfId="63" applyFont="1" applyBorder="1" applyAlignment="1">
      <alignment horizontal="center" vertical="center"/>
    </xf>
    <xf numFmtId="0" fontId="41" fillId="0" borderId="44" xfId="63" applyFont="1" applyBorder="1" applyAlignment="1">
      <alignment vertical="center"/>
    </xf>
    <xf numFmtId="0" fontId="42" fillId="0" borderId="44" xfId="63" applyFont="1" applyBorder="1" applyAlignment="1">
      <alignment vertical="center"/>
    </xf>
    <xf numFmtId="0" fontId="42" fillId="0" borderId="0" xfId="63" applyFont="1" applyAlignment="1">
      <alignment horizontal="center" vertical="center"/>
    </xf>
    <xf numFmtId="0" fontId="42" fillId="0" borderId="44" xfId="63" applyFont="1" applyBorder="1" applyAlignment="1">
      <alignment horizontal="center" vertical="center"/>
    </xf>
    <xf numFmtId="0" fontId="41" fillId="0" borderId="45" xfId="63" applyFont="1" applyBorder="1" applyAlignment="1">
      <alignment horizontal="center" vertical="center"/>
    </xf>
    <xf numFmtId="0" fontId="41" fillId="0" borderId="21" xfId="63" applyFont="1" applyBorder="1" applyAlignment="1">
      <alignment vertical="center"/>
    </xf>
    <xf numFmtId="0" fontId="42" fillId="0" borderId="21" xfId="63" applyFont="1" applyBorder="1" applyAlignment="1">
      <alignment horizontal="center" vertical="center"/>
    </xf>
    <xf numFmtId="0" fontId="42" fillId="0" borderId="46" xfId="63" applyFont="1" applyBorder="1" applyAlignment="1">
      <alignment horizontal="center" vertical="center"/>
    </xf>
    <xf numFmtId="0" fontId="42" fillId="0" borderId="43" xfId="63" applyFont="1" applyBorder="1" applyAlignment="1">
      <alignment horizontal="center" vertical="center"/>
    </xf>
    <xf numFmtId="0" fontId="42" fillId="0" borderId="0" xfId="63" applyFont="1" applyAlignment="1">
      <alignment vertical="center"/>
    </xf>
    <xf numFmtId="10" fontId="42" fillId="30" borderId="0" xfId="63" applyNumberFormat="1" applyFont="1" applyFill="1" applyAlignment="1">
      <alignment horizontal="right" vertical="center"/>
    </xf>
    <xf numFmtId="10" fontId="42" fillId="30" borderId="44" xfId="63" applyNumberFormat="1" applyFont="1" applyFill="1" applyBorder="1" applyAlignment="1">
      <alignment horizontal="right" vertical="center"/>
    </xf>
    <xf numFmtId="10" fontId="42" fillId="30" borderId="21" xfId="63" applyNumberFormat="1" applyFont="1" applyFill="1" applyBorder="1" applyAlignment="1">
      <alignment horizontal="right" vertical="center"/>
    </xf>
    <xf numFmtId="10" fontId="42" fillId="30" borderId="15" xfId="63" applyNumberFormat="1" applyFont="1" applyFill="1" applyBorder="1" applyAlignment="1">
      <alignment horizontal="right" vertical="center"/>
    </xf>
    <xf numFmtId="0" fontId="42" fillId="30" borderId="0" xfId="63" applyFont="1" applyFill="1"/>
    <xf numFmtId="10" fontId="42" fillId="0" borderId="0" xfId="63" applyNumberFormat="1" applyFont="1" applyAlignment="1">
      <alignment horizontal="right" vertical="center"/>
    </xf>
    <xf numFmtId="10" fontId="42" fillId="0" borderId="44" xfId="63" applyNumberFormat="1" applyFont="1" applyBorder="1" applyAlignment="1">
      <alignment horizontal="right" vertical="center"/>
    </xf>
    <xf numFmtId="0" fontId="44" fillId="0" borderId="0" xfId="63" applyFont="1"/>
    <xf numFmtId="10" fontId="42" fillId="0" borderId="21" xfId="63" applyNumberFormat="1" applyFont="1" applyBorder="1" applyAlignment="1">
      <alignment horizontal="right" vertical="center"/>
    </xf>
    <xf numFmtId="10" fontId="42" fillId="0" borderId="15" xfId="63" applyNumberFormat="1" applyFont="1" applyBorder="1" applyAlignment="1">
      <alignment horizontal="right" vertical="center"/>
    </xf>
    <xf numFmtId="10" fontId="42" fillId="0" borderId="16" xfId="63" applyNumberFormat="1" applyFont="1" applyBorder="1" applyAlignment="1">
      <alignment horizontal="right" vertical="center"/>
    </xf>
    <xf numFmtId="0" fontId="42" fillId="0" borderId="45" xfId="63" applyFont="1" applyBorder="1" applyAlignment="1">
      <alignment horizontal="center" vertical="center"/>
    </xf>
    <xf numFmtId="0" fontId="42" fillId="0" borderId="21" xfId="63" applyFont="1" applyBorder="1" applyAlignment="1">
      <alignment vertical="center"/>
    </xf>
    <xf numFmtId="0" fontId="42" fillId="0" borderId="46" xfId="63" applyFont="1" applyBorder="1" applyAlignment="1">
      <alignment vertical="center"/>
    </xf>
    <xf numFmtId="10" fontId="42" fillId="30" borderId="47" xfId="63" applyNumberFormat="1" applyFont="1" applyFill="1" applyBorder="1" applyAlignment="1">
      <alignment horizontal="right" vertical="center"/>
    </xf>
    <xf numFmtId="2" fontId="4" fillId="0" borderId="0" xfId="0" applyNumberFormat="1" applyFont="1" applyAlignment="1">
      <alignment horizontal="center" wrapText="1"/>
    </xf>
    <xf numFmtId="2" fontId="4" fillId="0" borderId="0" xfId="0" applyNumberFormat="1" applyFont="1" applyAlignment="1">
      <alignment wrapText="1"/>
    </xf>
    <xf numFmtId="0" fontId="4" fillId="0" borderId="0" xfId="0" applyFont="1" applyAlignment="1">
      <alignment horizontal="center"/>
    </xf>
    <xf numFmtId="44" fontId="4" fillId="0" borderId="0" xfId="0" applyNumberFormat="1" applyFont="1"/>
    <xf numFmtId="0" fontId="4" fillId="0" borderId="0" xfId="0" applyFont="1" applyBorder="1"/>
    <xf numFmtId="173" fontId="4" fillId="0" borderId="0" xfId="0" applyNumberFormat="1" applyFont="1"/>
    <xf numFmtId="44" fontId="4" fillId="0" borderId="0" xfId="0" applyNumberFormat="1" applyFont="1" applyBorder="1"/>
    <xf numFmtId="0" fontId="45" fillId="0" borderId="0" xfId="0" applyFont="1" applyBorder="1"/>
    <xf numFmtId="174" fontId="4" fillId="0" borderId="0" xfId="0" applyNumberFormat="1" applyFont="1"/>
    <xf numFmtId="8" fontId="4" fillId="0" borderId="0" xfId="0" applyNumberFormat="1" applyFont="1" applyBorder="1"/>
    <xf numFmtId="8" fontId="4" fillId="0" borderId="0" xfId="0" applyNumberFormat="1" applyFont="1"/>
    <xf numFmtId="0" fontId="4" fillId="0" borderId="38" xfId="0" applyFont="1" applyFill="1" applyBorder="1"/>
    <xf numFmtId="44" fontId="4" fillId="0" borderId="38" xfId="31" applyFont="1" applyFill="1" applyBorder="1"/>
    <xf numFmtId="175" fontId="4" fillId="0" borderId="0" xfId="31" applyNumberFormat="1" applyFont="1" applyBorder="1"/>
    <xf numFmtId="0" fontId="4" fillId="24" borderId="10" xfId="0" applyFont="1" applyFill="1" applyBorder="1" applyAlignment="1">
      <alignment horizontal="center"/>
    </xf>
    <xf numFmtId="0" fontId="4" fillId="0" borderId="0" xfId="0" applyFont="1" applyFill="1" applyBorder="1"/>
    <xf numFmtId="8" fontId="4" fillId="0" borderId="0" xfId="0" applyNumberFormat="1" applyFont="1" applyFill="1" applyBorder="1"/>
    <xf numFmtId="9" fontId="4" fillId="0" borderId="0" xfId="50" applyFont="1"/>
    <xf numFmtId="0" fontId="46" fillId="0" borderId="0" xfId="0" applyFont="1"/>
    <xf numFmtId="0" fontId="4" fillId="0" borderId="0" xfId="0" applyFont="1" applyFill="1"/>
    <xf numFmtId="2" fontId="4" fillId="0" borderId="0" xfId="0" applyNumberFormat="1" applyFont="1"/>
    <xf numFmtId="40" fontId="4" fillId="0" borderId="0" xfId="0" applyNumberFormat="1" applyFont="1"/>
    <xf numFmtId="17" fontId="47" fillId="0" borderId="0" xfId="0" applyNumberFormat="1" applyFont="1" applyAlignment="1">
      <alignment horizontal="left" vertical="top"/>
    </xf>
    <xf numFmtId="17" fontId="4" fillId="0" borderId="0" xfId="0" applyNumberFormat="1" applyFont="1" applyAlignment="1">
      <alignment horizontal="left" vertical="top"/>
    </xf>
    <xf numFmtId="0" fontId="4" fillId="0" borderId="0" xfId="0" applyFont="1" applyAlignment="1">
      <alignment horizontal="left" vertical="top"/>
    </xf>
    <xf numFmtId="0" fontId="4" fillId="0" borderId="0" xfId="0" applyFont="1" applyFill="1" applyAlignment="1">
      <alignment horizontal="center" vertical="top"/>
    </xf>
    <xf numFmtId="0" fontId="4" fillId="0" borderId="0" xfId="0" applyFont="1" applyFill="1" applyBorder="1" applyAlignment="1">
      <alignment horizontal="center" vertical="top"/>
    </xf>
    <xf numFmtId="0" fontId="8" fillId="0" borderId="0" xfId="0" applyFont="1" applyFill="1" applyAlignment="1">
      <alignment horizontal="left" vertical="top"/>
    </xf>
    <xf numFmtId="176" fontId="4" fillId="0" borderId="0" xfId="0" applyNumberFormat="1" applyFont="1"/>
    <xf numFmtId="0" fontId="4" fillId="0" borderId="36" xfId="0" applyFont="1" applyFill="1" applyBorder="1"/>
    <xf numFmtId="2" fontId="4" fillId="0" borderId="38" xfId="0" applyNumberFormat="1" applyFont="1" applyFill="1" applyBorder="1"/>
    <xf numFmtId="2" fontId="4" fillId="0" borderId="0" xfId="0" applyNumberFormat="1" applyFont="1" applyBorder="1"/>
    <xf numFmtId="164" fontId="4" fillId="0" borderId="0" xfId="0" applyNumberFormat="1" applyFont="1" applyBorder="1"/>
    <xf numFmtId="0" fontId="4" fillId="0" borderId="35" xfId="0" applyFont="1" applyFill="1" applyBorder="1"/>
    <xf numFmtId="40" fontId="4" fillId="0" borderId="35" xfId="0" applyNumberFormat="1" applyFont="1" applyFill="1" applyBorder="1"/>
    <xf numFmtId="2" fontId="4" fillId="0" borderId="0" xfId="0" applyNumberFormat="1" applyFont="1" applyBorder="1" applyAlignment="1">
      <alignment horizontal="center" wrapText="1"/>
    </xf>
    <xf numFmtId="2" fontId="4" fillId="0" borderId="0" xfId="0" applyNumberFormat="1" applyFont="1" applyBorder="1" applyAlignment="1">
      <alignment wrapText="1"/>
    </xf>
    <xf numFmtId="173" fontId="4" fillId="0" borderId="0" xfId="0" applyNumberFormat="1" applyFont="1" applyBorder="1"/>
    <xf numFmtId="171" fontId="4" fillId="0" borderId="38" xfId="28" applyNumberFormat="1" applyFont="1" applyFill="1" applyBorder="1"/>
    <xf numFmtId="173" fontId="4" fillId="0" borderId="38" xfId="28" applyNumberFormat="1" applyFont="1" applyFill="1" applyBorder="1"/>
    <xf numFmtId="1" fontId="4" fillId="0" borderId="38" xfId="0" applyNumberFormat="1" applyFont="1" applyFill="1" applyBorder="1" applyAlignment="1">
      <alignment horizontal="center"/>
    </xf>
    <xf numFmtId="10" fontId="4" fillId="0" borderId="38" xfId="0" applyNumberFormat="1" applyFont="1" applyFill="1" applyBorder="1" applyAlignment="1">
      <alignment horizontal="right"/>
    </xf>
    <xf numFmtId="0" fontId="4" fillId="0" borderId="38" xfId="0" applyFont="1" applyFill="1" applyBorder="1" applyAlignment="1">
      <alignment horizontal="center"/>
    </xf>
    <xf numFmtId="170" fontId="4" fillId="0" borderId="38" xfId="31" applyNumberFormat="1" applyFont="1" applyFill="1" applyBorder="1"/>
    <xf numFmtId="169" fontId="4" fillId="0" borderId="38" xfId="31" applyNumberFormat="1" applyFont="1" applyFill="1" applyBorder="1"/>
    <xf numFmtId="169" fontId="4" fillId="0" borderId="38" xfId="0" applyNumberFormat="1" applyFont="1" applyFill="1" applyBorder="1"/>
    <xf numFmtId="44" fontId="4" fillId="0" borderId="38" xfId="0" applyNumberFormat="1" applyFont="1" applyFill="1" applyBorder="1"/>
    <xf numFmtId="44" fontId="4" fillId="29" borderId="37" xfId="0" applyNumberFormat="1" applyFont="1" applyFill="1" applyBorder="1"/>
    <xf numFmtId="44" fontId="4" fillId="29" borderId="25" xfId="0" applyNumberFormat="1" applyFont="1" applyFill="1" applyBorder="1"/>
    <xf numFmtId="44" fontId="4" fillId="29" borderId="28" xfId="0" applyNumberFormat="1" applyFont="1" applyFill="1" applyBorder="1"/>
    <xf numFmtId="178" fontId="4" fillId="0" borderId="38" xfId="0" applyNumberFormat="1" applyFont="1" applyFill="1" applyBorder="1"/>
    <xf numFmtId="178" fontId="4" fillId="0" borderId="36" xfId="31" applyNumberFormat="1" applyFont="1" applyFill="1" applyBorder="1"/>
    <xf numFmtId="170" fontId="9" fillId="0" borderId="10" xfId="31" applyNumberFormat="1" applyFont="1" applyFill="1" applyBorder="1"/>
    <xf numFmtId="170" fontId="9" fillId="26" borderId="10" xfId="31" applyNumberFormat="1" applyFont="1" applyFill="1" applyBorder="1"/>
    <xf numFmtId="10" fontId="0" fillId="0" borderId="34" xfId="0" applyNumberFormat="1" applyFill="1" applyBorder="1"/>
    <xf numFmtId="10" fontId="0" fillId="0" borderId="39" xfId="50" applyNumberFormat="1" applyFont="1" applyFill="1" applyBorder="1"/>
    <xf numFmtId="0" fontId="8" fillId="0" borderId="35" xfId="46" applyFont="1" applyFill="1" applyBorder="1" applyAlignment="1">
      <alignment horizontal="center"/>
    </xf>
    <xf numFmtId="0" fontId="8" fillId="0" borderId="0" xfId="47" applyFont="1" applyFill="1" applyBorder="1" applyAlignment="1">
      <alignment horizontal="right"/>
    </xf>
    <xf numFmtId="0" fontId="8" fillId="0" borderId="35" xfId="47" applyNumberFormat="1" applyFont="1" applyFill="1" applyBorder="1" applyAlignment="1">
      <alignment horizontal="center"/>
    </xf>
    <xf numFmtId="0" fontId="45" fillId="0" borderId="0" xfId="47" applyFont="1" applyFill="1" applyAlignment="1">
      <alignment horizontal="center"/>
    </xf>
    <xf numFmtId="0" fontId="4" fillId="0" borderId="0" xfId="47" applyFont="1" applyBorder="1" applyAlignment="1">
      <alignment horizontal="center"/>
    </xf>
    <xf numFmtId="44" fontId="4" fillId="0" borderId="0" xfId="31" applyFont="1" applyBorder="1" applyAlignment="1">
      <alignment horizontal="center"/>
    </xf>
    <xf numFmtId="0" fontId="8" fillId="0" borderId="35" xfId="47" applyFont="1" applyFill="1" applyBorder="1" applyAlignment="1">
      <alignment horizontal="center"/>
    </xf>
    <xf numFmtId="0" fontId="5" fillId="0" borderId="0" xfId="47" applyFont="1" applyFill="1"/>
    <xf numFmtId="0" fontId="4" fillId="0" borderId="0" xfId="47" applyFont="1" applyFill="1" applyBorder="1"/>
    <xf numFmtId="0" fontId="4" fillId="0" borderId="0" xfId="46" applyFont="1" applyFill="1" applyBorder="1" applyAlignment="1">
      <alignment horizontal="center"/>
    </xf>
    <xf numFmtId="44" fontId="31" fillId="0" borderId="0" xfId="31" applyFont="1" applyFill="1" applyBorder="1"/>
    <xf numFmtId="0" fontId="48" fillId="0" borderId="0" xfId="47" applyFont="1" applyBorder="1"/>
    <xf numFmtId="0" fontId="48" fillId="0" borderId="0" xfId="47" applyFont="1"/>
    <xf numFmtId="44" fontId="31" fillId="26" borderId="0" xfId="31" applyFont="1" applyFill="1" applyBorder="1"/>
    <xf numFmtId="0" fontId="5" fillId="0" borderId="0" xfId="0" applyFont="1"/>
    <xf numFmtId="44" fontId="5" fillId="0" borderId="0" xfId="0" applyNumberFormat="1" applyFont="1" applyFill="1"/>
    <xf numFmtId="8" fontId="48" fillId="0" borderId="0" xfId="47" applyNumberFormat="1" applyFont="1" applyFill="1" applyBorder="1"/>
    <xf numFmtId="44" fontId="31" fillId="0" borderId="0" xfId="31" applyNumberFormat="1" applyFont="1" applyFill="1" applyBorder="1"/>
    <xf numFmtId="0" fontId="4" fillId="0" borderId="0" xfId="46" applyFont="1" applyFill="1" applyBorder="1"/>
    <xf numFmtId="10" fontId="4" fillId="0" borderId="34" xfId="51" applyNumberFormat="1" applyFont="1" applyFill="1" applyBorder="1" applyAlignment="1">
      <alignment horizontal="right"/>
    </xf>
    <xf numFmtId="10" fontId="4" fillId="0" borderId="39" xfId="51" applyNumberFormat="1" applyFont="1" applyFill="1" applyBorder="1" applyAlignment="1">
      <alignment horizontal="right"/>
    </xf>
    <xf numFmtId="167" fontId="4" fillId="0" borderId="0" xfId="51" applyNumberFormat="1" applyFont="1" applyFill="1" applyBorder="1" applyAlignment="1">
      <alignment horizontal="right"/>
    </xf>
    <xf numFmtId="2" fontId="4" fillId="0" borderId="0" xfId="46" applyNumberFormat="1" applyFont="1" applyFill="1" applyBorder="1" applyAlignment="1">
      <alignment horizontal="center"/>
    </xf>
    <xf numFmtId="8" fontId="4" fillId="0" borderId="0" xfId="46" applyNumberFormat="1" applyFont="1" applyFill="1"/>
    <xf numFmtId="44" fontId="4" fillId="0" borderId="0" xfId="32" applyFont="1" applyFill="1"/>
    <xf numFmtId="44" fontId="4" fillId="0" borderId="0" xfId="46" applyNumberFormat="1" applyFont="1" applyFill="1"/>
    <xf numFmtId="44" fontId="4" fillId="0" borderId="0" xfId="32" applyFont="1" applyFill="1" applyAlignment="1">
      <alignment horizontal="center"/>
    </xf>
    <xf numFmtId="2" fontId="4" fillId="0" borderId="0" xfId="46" applyNumberFormat="1" applyFont="1" applyFill="1" applyAlignment="1">
      <alignment horizontal="center"/>
    </xf>
    <xf numFmtId="0" fontId="4" fillId="0" borderId="0" xfId="46" applyFont="1" applyFill="1" applyBorder="1" applyAlignment="1">
      <alignment horizontal="right"/>
    </xf>
    <xf numFmtId="0" fontId="4" fillId="0" borderId="0" xfId="46" applyFont="1" applyFill="1" applyBorder="1" applyAlignment="1"/>
    <xf numFmtId="167" fontId="4" fillId="0" borderId="0" xfId="51" applyNumberFormat="1" applyFont="1" applyFill="1" applyBorder="1"/>
    <xf numFmtId="2" fontId="4" fillId="26" borderId="0" xfId="46" applyNumberFormat="1" applyFont="1" applyFill="1" applyAlignment="1">
      <alignment horizontal="center"/>
    </xf>
    <xf numFmtId="0" fontId="30" fillId="0" borderId="0" xfId="47" applyFont="1" applyFill="1"/>
    <xf numFmtId="0" fontId="30" fillId="0" borderId="0" xfId="46" applyFont="1" applyFill="1"/>
    <xf numFmtId="0" fontId="49" fillId="0" borderId="0" xfId="46" applyFont="1" applyFill="1" applyAlignment="1">
      <alignment horizontal="right"/>
    </xf>
    <xf numFmtId="0" fontId="49" fillId="0" borderId="0" xfId="46" applyFont="1" applyFill="1"/>
    <xf numFmtId="0" fontId="4" fillId="0" borderId="0" xfId="46" applyFont="1" applyFill="1"/>
    <xf numFmtId="0" fontId="8" fillId="0" borderId="0" xfId="46" applyFont="1" applyFill="1"/>
    <xf numFmtId="0" fontId="31" fillId="0" borderId="0" xfId="47" applyFont="1" applyFill="1"/>
    <xf numFmtId="0" fontId="30" fillId="0" borderId="0" xfId="46" applyFont="1" applyFill="1" applyAlignment="1">
      <alignment wrapText="1"/>
    </xf>
    <xf numFmtId="8" fontId="4" fillId="0" borderId="38" xfId="31" applyNumberFormat="1" applyFont="1" applyFill="1" applyBorder="1"/>
    <xf numFmtId="8" fontId="45" fillId="0" borderId="0" xfId="0" applyNumberFormat="1" applyFont="1"/>
    <xf numFmtId="44" fontId="4" fillId="0" borderId="10" xfId="31" applyFont="1" applyFill="1" applyBorder="1" applyAlignment="1">
      <alignment horizontal="right"/>
    </xf>
    <xf numFmtId="44" fontId="4" fillId="0" borderId="35" xfId="31" applyFont="1" applyFill="1" applyBorder="1"/>
    <xf numFmtId="0" fontId="8" fillId="0" borderId="36" xfId="47" applyNumberFormat="1" applyFont="1" applyFill="1" applyBorder="1" applyAlignment="1">
      <alignment horizontal="center"/>
    </xf>
    <xf numFmtId="168" fontId="4" fillId="0" borderId="35" xfId="32" applyNumberFormat="1" applyFont="1" applyFill="1" applyBorder="1" applyAlignment="1">
      <alignment horizontal="center"/>
    </xf>
    <xf numFmtId="8" fontId="4" fillId="0" borderId="10" xfId="0" applyNumberFormat="1" applyFont="1" applyFill="1" applyBorder="1"/>
    <xf numFmtId="0" fontId="4" fillId="0" borderId="0" xfId="0" applyFont="1" applyFill="1" applyBorder="1" applyAlignment="1">
      <alignment horizontal="center"/>
    </xf>
    <xf numFmtId="0" fontId="50" fillId="0" borderId="0" xfId="0" applyFont="1" applyAlignment="1">
      <alignment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horizontal="left" vertical="center" indent="5"/>
    </xf>
    <xf numFmtId="0" fontId="60" fillId="0" borderId="0" xfId="59" applyFont="1"/>
    <xf numFmtId="0" fontId="4" fillId="0" borderId="0" xfId="31" applyNumberFormat="1" applyFont="1" applyBorder="1" applyAlignment="1">
      <alignment horizontal="center"/>
    </xf>
    <xf numFmtId="0" fontId="4" fillId="25" borderId="34" xfId="0" applyFont="1" applyFill="1" applyBorder="1" applyAlignment="1">
      <alignment vertical="center" wrapText="1"/>
    </xf>
    <xf numFmtId="0" fontId="4" fillId="25" borderId="34" xfId="0" applyFont="1" applyFill="1" applyBorder="1" applyAlignment="1">
      <alignment horizontal="left" vertical="center" wrapText="1"/>
    </xf>
    <xf numFmtId="0" fontId="35" fillId="0" borderId="0" xfId="59" applyFont="1" applyAlignment="1">
      <alignment wrapText="1"/>
    </xf>
    <xf numFmtId="44" fontId="4" fillId="0" borderId="0" xfId="0" applyNumberFormat="1" applyFont="1" applyFill="1" applyBorder="1"/>
    <xf numFmtId="0" fontId="8" fillId="0" borderId="0" xfId="0" applyFont="1" applyAlignment="1">
      <alignment horizontal="left"/>
    </xf>
    <xf numFmtId="0" fontId="51" fillId="0" borderId="60" xfId="0" applyFont="1" applyBorder="1" applyAlignment="1">
      <alignment horizontal="center" vertical="center"/>
    </xf>
    <xf numFmtId="0" fontId="51" fillId="0" borderId="59" xfId="0" applyFont="1" applyBorder="1" applyAlignment="1">
      <alignment horizontal="center" vertical="center"/>
    </xf>
    <xf numFmtId="0" fontId="51" fillId="0" borderId="12" xfId="0" applyFont="1" applyBorder="1" applyAlignment="1">
      <alignment horizontal="center" vertical="center"/>
    </xf>
    <xf numFmtId="0" fontId="51" fillId="0" borderId="13" xfId="0" applyFont="1" applyBorder="1" applyAlignment="1">
      <alignment horizontal="center" vertical="center"/>
    </xf>
    <xf numFmtId="0" fontId="51" fillId="0" borderId="61" xfId="0" applyFont="1" applyBorder="1" applyAlignment="1">
      <alignment horizontal="center" vertical="center"/>
    </xf>
    <xf numFmtId="0" fontId="51" fillId="0" borderId="0" xfId="59" applyFont="1" applyAlignment="1">
      <alignment horizontal="center" wrapText="1"/>
    </xf>
    <xf numFmtId="1" fontId="51" fillId="0" borderId="12" xfId="0" applyNumberFormat="1" applyFont="1" applyBorder="1" applyAlignment="1">
      <alignment horizontal="center" vertical="center"/>
    </xf>
    <xf numFmtId="8" fontId="51" fillId="0" borderId="13" xfId="0" applyNumberFormat="1" applyFont="1" applyBorder="1" applyAlignment="1">
      <alignment horizontal="right" vertical="center"/>
    </xf>
    <xf numFmtId="1" fontId="51" fillId="0" borderId="60" xfId="0" applyNumberFormat="1" applyFont="1" applyBorder="1" applyAlignment="1">
      <alignment horizontal="center" vertical="center"/>
    </xf>
    <xf numFmtId="8" fontId="51" fillId="0" borderId="61" xfId="0" applyNumberFormat="1" applyFont="1" applyBorder="1" applyAlignment="1">
      <alignment horizontal="right" vertical="center"/>
    </xf>
    <xf numFmtId="1" fontId="51" fillId="0" borderId="27" xfId="0" applyNumberFormat="1" applyFont="1" applyBorder="1" applyAlignment="1">
      <alignment horizontal="center" vertical="center"/>
    </xf>
    <xf numFmtId="8" fontId="51" fillId="0" borderId="29" xfId="0" applyNumberFormat="1" applyFont="1" applyBorder="1" applyAlignment="1">
      <alignment horizontal="right" vertical="center"/>
    </xf>
    <xf numFmtId="0" fontId="51" fillId="0" borderId="0" xfId="59" applyFont="1"/>
    <xf numFmtId="0" fontId="5" fillId="0" borderId="0" xfId="0" applyFont="1" applyBorder="1"/>
    <xf numFmtId="0" fontId="5" fillId="0" borderId="0" xfId="0" applyFont="1" applyFill="1" applyBorder="1"/>
    <xf numFmtId="0" fontId="51" fillId="0" borderId="0" xfId="59" applyFont="1" applyBorder="1"/>
    <xf numFmtId="0" fontId="51" fillId="0" borderId="18" xfId="59" applyFont="1" applyBorder="1"/>
    <xf numFmtId="0" fontId="51" fillId="0" borderId="42" xfId="59" applyFont="1" applyFill="1" applyBorder="1" applyAlignment="1">
      <alignment horizontal="center"/>
    </xf>
    <xf numFmtId="0" fontId="51" fillId="0" borderId="31" xfId="59" applyFont="1" applyBorder="1" applyAlignment="1">
      <alignment horizontal="center"/>
    </xf>
    <xf numFmtId="44" fontId="5" fillId="34" borderId="23" xfId="60" applyNumberFormat="1" applyFont="1" applyFill="1" applyBorder="1"/>
    <xf numFmtId="44" fontId="5" fillId="0" borderId="24" xfId="60" applyNumberFormat="1" applyFont="1" applyBorder="1"/>
    <xf numFmtId="180" fontId="51" fillId="0" borderId="0" xfId="59" applyNumberFormat="1" applyFont="1"/>
    <xf numFmtId="0" fontId="51" fillId="0" borderId="41" xfId="59" applyFont="1" applyFill="1" applyBorder="1" applyAlignment="1">
      <alignment horizontal="center"/>
    </xf>
    <xf numFmtId="0" fontId="51" fillId="0" borderId="11" xfId="59" applyFont="1" applyBorder="1" applyAlignment="1">
      <alignment horizontal="center"/>
    </xf>
    <xf numFmtId="44" fontId="5" fillId="0" borderId="48" xfId="60" applyNumberFormat="1" applyFont="1" applyBorder="1"/>
    <xf numFmtId="0" fontId="51" fillId="34" borderId="49" xfId="59" applyFont="1" applyFill="1" applyBorder="1" applyAlignment="1">
      <alignment horizontal="center"/>
    </xf>
    <xf numFmtId="0" fontId="51" fillId="34" borderId="0" xfId="59" applyFont="1" applyFill="1" applyBorder="1" applyAlignment="1">
      <alignment horizontal="center"/>
    </xf>
    <xf numFmtId="44" fontId="5" fillId="34" borderId="50" xfId="60" applyNumberFormat="1" applyFont="1" applyFill="1" applyBorder="1"/>
    <xf numFmtId="0" fontId="51" fillId="34" borderId="32" xfId="59" applyFont="1" applyFill="1" applyBorder="1" applyAlignment="1">
      <alignment horizontal="center"/>
    </xf>
    <xf numFmtId="44" fontId="51" fillId="34" borderId="54" xfId="59" applyNumberFormat="1" applyFont="1" applyFill="1" applyBorder="1"/>
    <xf numFmtId="0" fontId="5" fillId="0" borderId="53" xfId="0" applyFont="1" applyFill="1" applyBorder="1"/>
    <xf numFmtId="179" fontId="51" fillId="0" borderId="0" xfId="59" applyNumberFormat="1" applyFont="1"/>
    <xf numFmtId="44" fontId="5" fillId="0" borderId="0" xfId="60" applyNumberFormat="1" applyFont="1"/>
    <xf numFmtId="0" fontId="51" fillId="0" borderId="53" xfId="59" applyFont="1" applyFill="1" applyBorder="1" applyAlignment="1">
      <alignment horizontal="center" wrapText="1"/>
    </xf>
    <xf numFmtId="0" fontId="51" fillId="0" borderId="62" xfId="59" applyFont="1" applyFill="1" applyBorder="1" applyAlignment="1">
      <alignment horizontal="center" wrapText="1"/>
    </xf>
    <xf numFmtId="44" fontId="5" fillId="0" borderId="23" xfId="60" applyFont="1" applyBorder="1"/>
    <xf numFmtId="44" fontId="5" fillId="0" borderId="23" xfId="60" applyFont="1" applyFill="1" applyBorder="1"/>
    <xf numFmtId="44" fontId="5" fillId="0" borderId="51" xfId="60" applyFont="1" applyBorder="1"/>
    <xf numFmtId="44" fontId="5" fillId="0" borderId="63" xfId="60" applyFont="1" applyBorder="1"/>
    <xf numFmtId="44" fontId="5" fillId="34" borderId="64" xfId="60" applyFont="1" applyFill="1" applyBorder="1"/>
    <xf numFmtId="44" fontId="51" fillId="34" borderId="55" xfId="59" applyNumberFormat="1" applyFont="1" applyFill="1" applyBorder="1"/>
    <xf numFmtId="0" fontId="51" fillId="0" borderId="22" xfId="59" applyFont="1" applyFill="1" applyBorder="1"/>
    <xf numFmtId="0" fontId="51" fillId="34" borderId="65" xfId="59" applyFont="1" applyFill="1" applyBorder="1"/>
    <xf numFmtId="0" fontId="51" fillId="34" borderId="54" xfId="59" applyFont="1" applyFill="1" applyBorder="1" applyAlignment="1">
      <alignment horizontal="center"/>
    </xf>
    <xf numFmtId="0" fontId="51" fillId="34" borderId="66" xfId="59" applyFont="1" applyFill="1" applyBorder="1"/>
    <xf numFmtId="0" fontId="51" fillId="0" borderId="27" xfId="0" applyFont="1" applyBorder="1" applyAlignment="1">
      <alignment horizontal="center" vertical="center"/>
    </xf>
    <xf numFmtId="179" fontId="51" fillId="0" borderId="12" xfId="59" applyNumberFormat="1" applyFont="1" applyBorder="1" applyAlignment="1">
      <alignment horizontal="center"/>
    </xf>
    <xf numFmtId="0" fontId="51" fillId="0" borderId="14" xfId="59" applyFont="1" applyBorder="1" applyAlignment="1">
      <alignment horizontal="center" vertical="top" wrapText="1"/>
    </xf>
    <xf numFmtId="0" fontId="51" fillId="0" borderId="58" xfId="59" applyFont="1" applyFill="1" applyBorder="1" applyAlignment="1">
      <alignment horizontal="centerContinuous" vertical="top" wrapText="1"/>
    </xf>
    <xf numFmtId="0" fontId="51" fillId="0" borderId="60" xfId="59" applyFont="1" applyBorder="1" applyAlignment="1">
      <alignment horizontal="center" wrapText="1"/>
    </xf>
    <xf numFmtId="0" fontId="51" fillId="0" borderId="61" xfId="59" applyFont="1" applyBorder="1" applyAlignment="1">
      <alignment horizontal="center"/>
    </xf>
    <xf numFmtId="0" fontId="51" fillId="0" borderId="30" xfId="59" applyFont="1" applyFill="1" applyBorder="1" applyAlignment="1">
      <alignment horizontal="centerContinuous" vertical="top" wrapText="1"/>
    </xf>
    <xf numFmtId="0" fontId="51" fillId="0" borderId="29" xfId="0" applyFont="1" applyFill="1" applyBorder="1" applyAlignment="1">
      <alignment horizontal="center" wrapText="1"/>
    </xf>
    <xf numFmtId="0" fontId="51" fillId="0" borderId="74" xfId="59" applyFont="1" applyFill="1" applyBorder="1" applyAlignment="1">
      <alignment horizontal="center" wrapText="1"/>
    </xf>
    <xf numFmtId="0" fontId="51" fillId="0" borderId="75" xfId="59" applyFont="1" applyFill="1" applyBorder="1" applyAlignment="1">
      <alignment horizontal="center" wrapText="1"/>
    </xf>
    <xf numFmtId="0" fontId="51" fillId="0" borderId="72" xfId="59" applyFont="1" applyFill="1" applyBorder="1" applyAlignment="1">
      <alignment horizontal="center" wrapText="1"/>
    </xf>
    <xf numFmtId="0" fontId="51" fillId="0" borderId="76" xfId="59" applyFont="1" applyBorder="1" applyAlignment="1">
      <alignment horizontal="center" vertical="top" wrapText="1"/>
    </xf>
    <xf numFmtId="0" fontId="51" fillId="0" borderId="68" xfId="59" applyFont="1" applyBorder="1" applyAlignment="1">
      <alignment horizontal="center" vertical="top" wrapText="1"/>
    </xf>
    <xf numFmtId="9" fontId="51" fillId="0" borderId="78" xfId="59" applyNumberFormat="1" applyFont="1" applyBorder="1" applyAlignment="1">
      <alignment horizontal="center" wrapText="1"/>
    </xf>
    <xf numFmtId="0" fontId="51" fillId="0" borderId="70" xfId="59" applyFont="1" applyBorder="1" applyAlignment="1">
      <alignment horizontal="centerContinuous"/>
    </xf>
    <xf numFmtId="169" fontId="51" fillId="0" borderId="79" xfId="31" applyNumberFormat="1" applyFont="1" applyBorder="1"/>
    <xf numFmtId="169" fontId="51" fillId="0" borderId="78" xfId="31" applyNumberFormat="1" applyFont="1" applyBorder="1"/>
    <xf numFmtId="169" fontId="51" fillId="0" borderId="80" xfId="31" applyNumberFormat="1" applyFont="1" applyBorder="1"/>
    <xf numFmtId="169" fontId="51" fillId="34" borderId="80" xfId="31" applyNumberFormat="1" applyFont="1" applyFill="1" applyBorder="1"/>
    <xf numFmtId="169" fontId="51" fillId="34" borderId="70" xfId="31" applyNumberFormat="1" applyFont="1" applyFill="1" applyBorder="1"/>
    <xf numFmtId="0" fontId="51" fillId="0" borderId="81" xfId="59" applyFont="1" applyBorder="1" applyAlignment="1">
      <alignment horizontal="center" vertical="top" wrapText="1"/>
    </xf>
    <xf numFmtId="9" fontId="51" fillId="34" borderId="82" xfId="59" applyNumberFormat="1" applyFont="1" applyFill="1" applyBorder="1" applyAlignment="1">
      <alignment horizontal="center" wrapText="1"/>
    </xf>
    <xf numFmtId="0" fontId="51" fillId="0" borderId="57" xfId="59" applyFont="1" applyBorder="1" applyAlignment="1">
      <alignment horizontal="centerContinuous"/>
    </xf>
    <xf numFmtId="169" fontId="5" fillId="0" borderId="31" xfId="31" applyNumberFormat="1" applyFont="1" applyBorder="1"/>
    <xf numFmtId="169" fontId="5" fillId="0" borderId="82" xfId="31" applyNumberFormat="1" applyFont="1" applyBorder="1"/>
    <xf numFmtId="169" fontId="5" fillId="0" borderId="83" xfId="31" applyNumberFormat="1" applyFont="1" applyBorder="1"/>
    <xf numFmtId="169" fontId="5" fillId="34" borderId="83" xfId="31" applyNumberFormat="1" applyFont="1" applyFill="1" applyBorder="1"/>
    <xf numFmtId="169" fontId="5" fillId="34" borderId="56" xfId="31" applyNumberFormat="1" applyFont="1" applyFill="1" applyBorder="1"/>
    <xf numFmtId="169" fontId="51" fillId="0" borderId="69" xfId="31" applyNumberFormat="1" applyFont="1" applyBorder="1"/>
    <xf numFmtId="0" fontId="51" fillId="0" borderId="67" xfId="59" applyFont="1" applyFill="1" applyBorder="1" applyAlignment="1">
      <alignment horizontal="centerContinuous" vertical="top" wrapText="1"/>
    </xf>
    <xf numFmtId="179" fontId="51" fillId="0" borderId="52" xfId="59" applyNumberFormat="1" applyFont="1" applyBorder="1" applyAlignment="1">
      <alignment horizontal="center"/>
    </xf>
    <xf numFmtId="0" fontId="51" fillId="0" borderId="77" xfId="59" applyFont="1" applyBorder="1" applyAlignment="1">
      <alignment horizontal="center" wrapText="1"/>
    </xf>
    <xf numFmtId="1" fontId="51" fillId="0" borderId="25" xfId="0" applyNumberFormat="1" applyFont="1" applyBorder="1" applyAlignment="1">
      <alignment horizontal="center" vertical="center"/>
    </xf>
    <xf numFmtId="1" fontId="51" fillId="0" borderId="52" xfId="0" applyNumberFormat="1" applyFont="1" applyBorder="1" applyAlignment="1">
      <alignment horizontal="center" vertical="center"/>
    </xf>
    <xf numFmtId="1" fontId="51" fillId="0" borderId="77" xfId="0" applyNumberFormat="1" applyFont="1" applyBorder="1" applyAlignment="1">
      <alignment horizontal="center" vertical="center"/>
    </xf>
    <xf numFmtId="0" fontId="51" fillId="0" borderId="29" xfId="59" applyFont="1" applyFill="1" applyBorder="1"/>
    <xf numFmtId="0" fontId="51" fillId="0" borderId="0" xfId="59" quotePrefix="1" applyFont="1"/>
    <xf numFmtId="44" fontId="0" fillId="0" borderId="0" xfId="60" quotePrefix="1" applyNumberFormat="1" applyFont="1"/>
    <xf numFmtId="0" fontId="51" fillId="0" borderId="0" xfId="59" applyNumberFormat="1" applyFont="1"/>
    <xf numFmtId="0" fontId="51" fillId="0" borderId="0" xfId="59" quotePrefix="1" applyNumberFormat="1" applyFont="1" applyAlignment="1">
      <alignment vertical="top" wrapText="1"/>
    </xf>
    <xf numFmtId="9" fontId="4" fillId="0" borderId="34" xfId="0" applyNumberFormat="1" applyFont="1" applyFill="1" applyBorder="1" applyAlignment="1">
      <alignment horizontal="center"/>
    </xf>
    <xf numFmtId="0" fontId="4" fillId="0" borderId="0" xfId="0" applyFont="1" applyAlignment="1">
      <alignment horizontal="left" vertical="center" wrapText="1"/>
    </xf>
    <xf numFmtId="169" fontId="4" fillId="0" borderId="0" xfId="31" applyNumberFormat="1" applyFont="1" applyBorder="1" applyAlignment="1">
      <alignment horizontal="center"/>
    </xf>
    <xf numFmtId="169" fontId="4" fillId="0" borderId="0" xfId="31" applyNumberFormat="1" applyFont="1" applyAlignment="1">
      <alignment horizontal="center"/>
    </xf>
    <xf numFmtId="169" fontId="4" fillId="26" borderId="0" xfId="31" applyNumberFormat="1" applyFont="1" applyFill="1" applyAlignment="1">
      <alignment horizontal="center"/>
    </xf>
    <xf numFmtId="0" fontId="8" fillId="0" borderId="14" xfId="0" applyFont="1" applyBorder="1" applyAlignment="1">
      <alignment horizontal="center" wrapText="1"/>
    </xf>
    <xf numFmtId="0" fontId="8" fillId="0" borderId="16" xfId="0" applyFont="1" applyBorder="1" applyAlignment="1">
      <alignment horizontal="center" wrapText="1"/>
    </xf>
    <xf numFmtId="0" fontId="8" fillId="0" borderId="84" xfId="0" applyFont="1" applyBorder="1" applyAlignment="1">
      <alignment horizontal="center"/>
    </xf>
    <xf numFmtId="0" fontId="8" fillId="0" borderId="31" xfId="0" applyFont="1" applyBorder="1" applyAlignment="1">
      <alignment horizontal="center"/>
    </xf>
    <xf numFmtId="0" fontId="8" fillId="0" borderId="85" xfId="47" applyFont="1" applyFill="1" applyBorder="1" applyAlignment="1">
      <alignment horizontal="center"/>
    </xf>
    <xf numFmtId="0" fontId="8" fillId="0" borderId="86" xfId="47" applyFont="1" applyFill="1" applyBorder="1" applyAlignment="1">
      <alignment horizontal="center"/>
    </xf>
    <xf numFmtId="44" fontId="4" fillId="0" borderId="43" xfId="31" applyFont="1" applyBorder="1" applyAlignment="1">
      <alignment horizontal="center"/>
    </xf>
    <xf numFmtId="169" fontId="4" fillId="0" borderId="44" xfId="31" applyNumberFormat="1" applyFont="1" applyBorder="1" applyAlignment="1">
      <alignment horizontal="center"/>
    </xf>
    <xf numFmtId="44" fontId="4" fillId="26" borderId="43" xfId="31" applyFont="1" applyFill="1" applyBorder="1" applyAlignment="1">
      <alignment horizontal="center"/>
    </xf>
    <xf numFmtId="169" fontId="4" fillId="26" borderId="44" xfId="31" applyNumberFormat="1" applyFont="1" applyFill="1" applyBorder="1" applyAlignment="1">
      <alignment horizontal="center"/>
    </xf>
    <xf numFmtId="44" fontId="4" fillId="0" borderId="45" xfId="31" applyFont="1" applyBorder="1" applyAlignment="1">
      <alignment horizontal="center"/>
    </xf>
    <xf numFmtId="169" fontId="4" fillId="0" borderId="46" xfId="31" applyNumberFormat="1" applyFont="1" applyBorder="1" applyAlignment="1">
      <alignment horizontal="center"/>
    </xf>
    <xf numFmtId="0" fontId="51" fillId="34" borderId="22" xfId="59" applyFont="1" applyFill="1" applyBorder="1"/>
    <xf numFmtId="8" fontId="31" fillId="26" borderId="0" xfId="31" applyNumberFormat="1" applyFont="1" applyFill="1" applyBorder="1"/>
    <xf numFmtId="8" fontId="4" fillId="0" borderId="0" xfId="47" applyNumberFormat="1" applyFont="1"/>
    <xf numFmtId="0" fontId="8" fillId="0" borderId="0" xfId="0" applyFont="1" applyBorder="1"/>
    <xf numFmtId="0" fontId="8" fillId="0" borderId="18" xfId="0" applyFont="1" applyFill="1" applyBorder="1"/>
    <xf numFmtId="0" fontId="4" fillId="0" borderId="18" xfId="0" applyFont="1" applyFill="1" applyBorder="1"/>
    <xf numFmtId="44" fontId="4" fillId="0" borderId="36" xfId="0" applyNumberFormat="1" applyFont="1" applyFill="1" applyBorder="1"/>
    <xf numFmtId="9" fontId="4" fillId="0" borderId="87" xfId="0" applyNumberFormat="1" applyFont="1" applyFill="1" applyBorder="1" applyAlignment="1">
      <alignment horizontal="center"/>
    </xf>
    <xf numFmtId="44" fontId="4" fillId="0" borderId="26" xfId="0" applyNumberFormat="1" applyFont="1" applyFill="1" applyBorder="1"/>
    <xf numFmtId="0" fontId="53" fillId="32" borderId="88" xfId="0" applyFont="1" applyFill="1" applyBorder="1" applyAlignment="1">
      <alignment vertical="center" wrapText="1"/>
    </xf>
    <xf numFmtId="0" fontId="52" fillId="32" borderId="89" xfId="0" applyFont="1" applyFill="1" applyBorder="1" applyAlignment="1">
      <alignment vertical="center" wrapText="1"/>
    </xf>
    <xf numFmtId="0" fontId="55" fillId="33" borderId="91" xfId="0" applyFont="1" applyFill="1" applyBorder="1" applyAlignment="1">
      <alignment horizontal="center" vertical="center" wrapText="1"/>
    </xf>
    <xf numFmtId="0" fontId="51" fillId="0" borderId="92" xfId="0" applyFont="1" applyBorder="1" applyAlignment="1">
      <alignment horizontal="center" vertical="center" wrapText="1"/>
    </xf>
    <xf numFmtId="0" fontId="32" fillId="0" borderId="0" xfId="0" applyFont="1" applyAlignment="1">
      <alignment horizontal="right"/>
    </xf>
    <xf numFmtId="0" fontId="11" fillId="0" borderId="0" xfId="0" applyFont="1" applyAlignment="1">
      <alignment horizontal="right"/>
    </xf>
    <xf numFmtId="0" fontId="11" fillId="0" borderId="0" xfId="0" applyFont="1" applyBorder="1" applyAlignment="1">
      <alignment horizontal="right"/>
    </xf>
    <xf numFmtId="0" fontId="11" fillId="0" borderId="0" xfId="46" applyFont="1" applyFill="1" applyBorder="1" applyAlignment="1">
      <alignment horizontal="right"/>
    </xf>
    <xf numFmtId="0" fontId="4" fillId="0" borderId="0" xfId="0" applyFont="1" applyAlignment="1">
      <alignment horizontal="left" vertical="top" wrapText="1"/>
    </xf>
    <xf numFmtId="0" fontId="36" fillId="0" borderId="0" xfId="0" applyFont="1" applyAlignment="1">
      <alignment wrapText="1"/>
    </xf>
    <xf numFmtId="0" fontId="51" fillId="0" borderId="0" xfId="0" applyFont="1" applyAlignment="1">
      <alignment horizontal="left" vertical="top" wrapText="1"/>
    </xf>
    <xf numFmtId="0" fontId="11" fillId="0" borderId="0" xfId="0" applyFont="1" applyAlignment="1">
      <alignment horizontal="left" vertical="top" wrapText="1"/>
    </xf>
    <xf numFmtId="0" fontId="52" fillId="31" borderId="53"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52" fillId="32" borderId="90" xfId="0" applyFont="1" applyFill="1" applyBorder="1" applyAlignment="1">
      <alignment horizontal="center" vertical="center" wrapText="1"/>
    </xf>
    <xf numFmtId="0" fontId="52" fillId="32" borderId="15" xfId="0" applyFont="1" applyFill="1" applyBorder="1" applyAlignment="1">
      <alignment horizontal="center" vertical="center" wrapText="1"/>
    </xf>
    <xf numFmtId="0" fontId="52" fillId="32" borderId="16" xfId="0" applyFont="1" applyFill="1" applyBorder="1" applyAlignment="1">
      <alignment horizontal="center" vertical="center" wrapText="1"/>
    </xf>
    <xf numFmtId="0" fontId="51" fillId="0" borderId="93" xfId="0" applyFont="1" applyBorder="1" applyAlignment="1">
      <alignment horizontal="center" vertical="center" wrapText="1"/>
    </xf>
    <xf numFmtId="0" fontId="51" fillId="0" borderId="21" xfId="0" applyFont="1" applyBorder="1" applyAlignment="1">
      <alignment horizontal="center" vertical="center" wrapText="1"/>
    </xf>
    <xf numFmtId="0" fontId="51" fillId="0" borderId="46" xfId="0" applyFont="1" applyBorder="1" applyAlignment="1">
      <alignment horizontal="center" vertical="center" wrapText="1"/>
    </xf>
    <xf numFmtId="0" fontId="0" fillId="0" borderId="0" xfId="60" quotePrefix="1" applyNumberFormat="1" applyFont="1" applyAlignment="1">
      <alignment horizontal="left" vertical="top" wrapText="1"/>
    </xf>
    <xf numFmtId="0" fontId="51" fillId="0" borderId="0" xfId="59" quotePrefix="1" applyNumberFormat="1" applyFont="1" applyAlignment="1">
      <alignment horizontal="left" vertical="top" wrapText="1"/>
    </xf>
    <xf numFmtId="0" fontId="55" fillId="0" borderId="21" xfId="59" applyFont="1" applyBorder="1" applyAlignment="1">
      <alignment horizontal="center"/>
    </xf>
    <xf numFmtId="0" fontId="51" fillId="0" borderId="0" xfId="59" quotePrefix="1" applyNumberFormat="1" applyFont="1" applyAlignment="1">
      <alignment horizontal="left" vertical="top"/>
    </xf>
    <xf numFmtId="0" fontId="55" fillId="0" borderId="0" xfId="59" applyFont="1" applyBorder="1" applyAlignment="1">
      <alignment horizontal="center"/>
    </xf>
    <xf numFmtId="0" fontId="51" fillId="0" borderId="14" xfId="59" applyFont="1" applyFill="1" applyBorder="1" applyAlignment="1">
      <alignment horizontal="center" vertical="top" wrapText="1"/>
    </xf>
    <xf numFmtId="0" fontId="51" fillId="0" borderId="43" xfId="59" applyFont="1" applyFill="1" applyBorder="1" applyAlignment="1">
      <alignment horizontal="center" vertical="top" wrapText="1"/>
    </xf>
    <xf numFmtId="0" fontId="51" fillId="0" borderId="45" xfId="59" applyFont="1" applyFill="1" applyBorder="1" applyAlignment="1">
      <alignment horizontal="center" vertical="top" wrapText="1"/>
    </xf>
    <xf numFmtId="0" fontId="51" fillId="0" borderId="71" xfId="59" applyFont="1" applyFill="1" applyBorder="1" applyAlignment="1">
      <alignment horizontal="center" vertical="top" wrapText="1"/>
    </xf>
    <xf numFmtId="0" fontId="51" fillId="0" borderId="72" xfId="59" applyFont="1" applyFill="1" applyBorder="1" applyAlignment="1">
      <alignment horizontal="center" vertical="top" wrapText="1"/>
    </xf>
    <xf numFmtId="0" fontId="51" fillId="0" borderId="73" xfId="59" applyFont="1" applyFill="1" applyBorder="1" applyAlignment="1">
      <alignment horizontal="center" vertical="top" wrapText="1"/>
    </xf>
    <xf numFmtId="0" fontId="41" fillId="0" borderId="43" xfId="63" applyFont="1" applyBorder="1" applyAlignment="1">
      <alignment horizontal="center" vertical="center"/>
    </xf>
    <xf numFmtId="0" fontId="41" fillId="0" borderId="0" xfId="63" applyFont="1" applyBorder="1" applyAlignment="1">
      <alignment horizontal="center" vertical="center"/>
    </xf>
    <xf numFmtId="0" fontId="41" fillId="0" borderId="40" xfId="63" applyFont="1" applyBorder="1" applyAlignment="1">
      <alignment horizontal="center" vertical="center"/>
    </xf>
  </cellXfs>
  <cellStyles count="6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58"/>
    <cellStyle name="Comma 5" xfId="61"/>
    <cellStyle name="Currency" xfId="31" builtinId="4"/>
    <cellStyle name="Currency 2" xfId="32"/>
    <cellStyle name="Currency 3" xfId="33"/>
    <cellStyle name="Currency 4" xfId="60"/>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40" builtinId="8"/>
    <cellStyle name="Input" xfId="41" builtinId="20" customBuiltin="1"/>
    <cellStyle name="Linked Cell" xfId="42" builtinId="24" customBuiltin="1"/>
    <cellStyle name="Neutral" xfId="43" builtinId="28" customBuiltin="1"/>
    <cellStyle name="Normal" xfId="0" builtinId="0"/>
    <cellStyle name="Normal 2" xfId="44"/>
    <cellStyle name="Normal 3" xfId="45"/>
    <cellStyle name="Normal 4" xfId="46"/>
    <cellStyle name="Normal 5" xfId="57"/>
    <cellStyle name="Normal 6" xfId="59"/>
    <cellStyle name="Normal 7" xfId="63"/>
    <cellStyle name="Normal_ElectricAvoidedCost_FlatLoad.Jim_Tom.10.14.11" xfId="47"/>
    <cellStyle name="Note" xfId="48" builtinId="10" customBuiltin="1"/>
    <cellStyle name="Output" xfId="49" builtinId="21" customBuiltin="1"/>
    <cellStyle name="Percent" xfId="50" builtinId="5"/>
    <cellStyle name="Percent 2" xfId="51"/>
    <cellStyle name="Percent 3" xfId="52"/>
    <cellStyle name="Percent 3 2" xfId="64"/>
    <cellStyle name="Percent 4" xfId="62"/>
    <cellStyle name="Style 1" xfId="53"/>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10.xml><?xml version="1.0" encoding="utf-8"?>
<ax:ocx xmlns:ax="http://schemas.microsoft.com/office/2006/activeX" xmlns:r="http://schemas.openxmlformats.org/officeDocument/2006/relationships" ax:classid="{5512D122-5CC6-11CF-8D67-00AA00BDCE1D}" ax:persistence="persistStream" r:id="rId1"/>
</file>

<file path=xl/activeX/activeX11.xml><?xml version="1.0" encoding="utf-8"?>
<ax:ocx xmlns:ax="http://schemas.microsoft.com/office/2006/activeX" xmlns:r="http://schemas.openxmlformats.org/officeDocument/2006/relationships" ax:classid="{5512D122-5CC6-11CF-8D67-00AA00BDCE1D}" ax:persistence="persistStream" r:id="rId1"/>
</file>

<file path=xl/activeX/activeX12.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10-5CC6-11CF-8D67-00AA00BDCE1D}" ax:persistence="persistStream" r:id="rId1"/>
</file>

<file path=xl/activeX/activeX9.xml><?xml version="1.0" encoding="utf-8"?>
<ax:ocx xmlns:ax="http://schemas.microsoft.com/office/2006/activeX" xmlns:r="http://schemas.openxmlformats.org/officeDocument/2006/relationships" ax:classid="{5512D11A-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All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C1E5-4900-B61D-5D47D8C99D1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C1E5-4900-B61D-5D47D8C99D1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C1E5-4900-B61D-5D47D8C99D10}"/>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C1E5-4900-B61D-5D47D8C99D1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C1E5-4900-B61D-5D47D8C99D10}"/>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C1E5-4900-B61D-5D47D8C99D10}"/>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C1E5-4900-B61D-5D47D8C99D10}"/>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C1E5-4900-B61D-5D47D8C99D10}"/>
            </c:ext>
          </c:extLst>
        </c:ser>
        <c:ser>
          <c:idx val="8"/>
          <c:order val="8"/>
          <c:spPr>
            <a:ln w="12700">
              <a:solidFill>
                <a:srgbClr val="00CCFF"/>
              </a:solidFill>
              <a:prstDash val="solid"/>
            </a:ln>
          </c:spPr>
          <c:marker>
            <c:symbol val="dash"/>
            <c:size val="5"/>
            <c:spPr>
              <a:noFill/>
              <a:ln>
                <a:solidFill>
                  <a:srgbClr val="00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8-C1E5-4900-B61D-5D47D8C99D10}"/>
            </c:ext>
          </c:extLst>
        </c:ser>
        <c:ser>
          <c:idx val="9"/>
          <c:order val="9"/>
          <c:spPr>
            <a:ln w="12700">
              <a:solidFill>
                <a:srgbClr val="CCFFFF"/>
              </a:solidFill>
              <a:prstDash val="solid"/>
            </a:ln>
          </c:spPr>
          <c:marker>
            <c:symbol val="diamond"/>
            <c:size val="5"/>
            <c:spPr>
              <a:solidFill>
                <a:srgbClr val="CCFFFF"/>
              </a:solidFill>
              <a:ln>
                <a:solidFill>
                  <a:srgbClr val="CC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9-C1E5-4900-B61D-5D47D8C99D10}"/>
            </c:ext>
          </c:extLst>
        </c:ser>
        <c:ser>
          <c:idx val="10"/>
          <c:order val="10"/>
          <c:spPr>
            <a:ln w="12700">
              <a:solidFill>
                <a:srgbClr val="CCFFCC"/>
              </a:solidFill>
              <a:prstDash val="solid"/>
            </a:ln>
          </c:spPr>
          <c:marker>
            <c:symbol val="square"/>
            <c:size val="5"/>
            <c:spPr>
              <a:solidFill>
                <a:srgbClr val="CCFFCC"/>
              </a:solidFill>
              <a:ln>
                <a:solidFill>
                  <a:srgbClr val="CCFFCC"/>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A-C1E5-4900-B61D-5D47D8C99D10}"/>
            </c:ext>
          </c:extLst>
        </c:ser>
        <c:ser>
          <c:idx val="11"/>
          <c:order val="11"/>
          <c:spPr>
            <a:ln w="12700">
              <a:solidFill>
                <a:srgbClr val="FFFF99"/>
              </a:solidFill>
              <a:prstDash val="solid"/>
            </a:ln>
          </c:spPr>
          <c:marker>
            <c:symbol val="triangle"/>
            <c:size val="5"/>
            <c:spPr>
              <a:solidFill>
                <a:srgbClr val="FFFF99"/>
              </a:solidFill>
              <a:ln>
                <a:solidFill>
                  <a:srgbClr val="FFFF99"/>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B-C1E5-4900-B61D-5D47D8C99D10}"/>
            </c:ext>
          </c:extLst>
        </c:ser>
        <c:ser>
          <c:idx val="12"/>
          <c:order val="12"/>
          <c:spPr>
            <a:ln w="12700">
              <a:solidFill>
                <a:srgbClr val="99CCFF"/>
              </a:solidFill>
              <a:prstDash val="solid"/>
            </a:ln>
          </c:spPr>
          <c:marker>
            <c:symbol val="x"/>
            <c:size val="5"/>
            <c:spPr>
              <a:noFill/>
              <a:ln>
                <a:solidFill>
                  <a:srgbClr val="99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C-C1E5-4900-B61D-5D47D8C99D10}"/>
            </c:ext>
          </c:extLst>
        </c:ser>
        <c:dLbls>
          <c:showLegendKey val="0"/>
          <c:showVal val="0"/>
          <c:showCatName val="0"/>
          <c:showSerName val="0"/>
          <c:showPercent val="0"/>
          <c:showBubbleSize val="0"/>
        </c:dLbls>
        <c:marker val="1"/>
        <c:smooth val="0"/>
        <c:axId val="231291520"/>
        <c:axId val="231297792"/>
      </c:lineChart>
      <c:catAx>
        <c:axId val="231291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7792"/>
        <c:crosses val="autoZero"/>
        <c:auto val="1"/>
        <c:lblAlgn val="ctr"/>
        <c:lblOffset val="100"/>
        <c:tickLblSkip val="1"/>
        <c:tickMarkSkip val="1"/>
        <c:noMultiLvlLbl val="0"/>
      </c:catAx>
      <c:valAx>
        <c:axId val="2312977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152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Residential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4B7C-4C8E-B5B6-F1F89FFE359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4B7C-4C8E-B5B6-F1F89FFE359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4B7C-4C8E-B5B6-F1F89FFE3596}"/>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4B7C-4C8E-B5B6-F1F89FFE359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4B7C-4C8E-B5B6-F1F89FFE3596}"/>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4B7C-4C8E-B5B6-F1F89FFE3596}"/>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4B7C-4C8E-B5B6-F1F89FFE3596}"/>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4B7C-4C8E-B5B6-F1F89FFE3596}"/>
            </c:ext>
          </c:extLst>
        </c:ser>
        <c:dLbls>
          <c:showLegendKey val="0"/>
          <c:showVal val="0"/>
          <c:showCatName val="0"/>
          <c:showSerName val="0"/>
          <c:showPercent val="0"/>
          <c:showBubbleSize val="0"/>
        </c:dLbls>
        <c:marker val="1"/>
        <c:smooth val="0"/>
        <c:axId val="231212544"/>
        <c:axId val="231214080"/>
      </c:lineChart>
      <c:catAx>
        <c:axId val="23121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4080"/>
        <c:crosses val="autoZero"/>
        <c:auto val="1"/>
        <c:lblAlgn val="ctr"/>
        <c:lblOffset val="100"/>
        <c:tickLblSkip val="1"/>
        <c:tickMarkSkip val="1"/>
        <c:noMultiLvlLbl val="0"/>
      </c:catAx>
      <c:valAx>
        <c:axId val="231214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254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4.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3</xdr:col>
      <xdr:colOff>0</xdr:colOff>
      <xdr:row>42</xdr:row>
      <xdr:rowOff>129540</xdr:rowOff>
    </xdr:from>
    <xdr:to>
      <xdr:col>3</xdr:col>
      <xdr:colOff>0</xdr:colOff>
      <xdr:row>61</xdr:row>
      <xdr:rowOff>137160</xdr:rowOff>
    </xdr:to>
    <xdr:graphicFrame macro="">
      <xdr:nvGraphicFramePr>
        <xdr:cNvPr id="22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42</xdr:row>
      <xdr:rowOff>129540</xdr:rowOff>
    </xdr:from>
    <xdr:to>
      <xdr:col>3</xdr:col>
      <xdr:colOff>0</xdr:colOff>
      <xdr:row>61</xdr:row>
      <xdr:rowOff>137160</xdr:rowOff>
    </xdr:to>
    <xdr:graphicFrame macro="">
      <xdr:nvGraphicFramePr>
        <xdr:cNvPr id="22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741680</xdr:colOff>
          <xdr:row>3</xdr:row>
          <xdr:rowOff>50800</xdr:rowOff>
        </xdr:to>
        <xdr:sp macro="" textlink="">
          <xdr:nvSpPr>
            <xdr:cNvPr id="5121" name="Control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1130300</xdr:colOff>
          <xdr:row>3</xdr:row>
          <xdr:rowOff>50800</xdr:rowOff>
        </xdr:to>
        <xdr:sp macro="" textlink="">
          <xdr:nvSpPr>
            <xdr:cNvPr id="5122" name="Control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1130300</xdr:colOff>
          <xdr:row>3</xdr:row>
          <xdr:rowOff>50800</xdr:rowOff>
        </xdr:to>
        <xdr:sp macro="" textlink="">
          <xdr:nvSpPr>
            <xdr:cNvPr id="5123" name="Control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1145540</xdr:colOff>
          <xdr:row>3</xdr:row>
          <xdr:rowOff>111760</xdr:rowOff>
        </xdr:to>
        <xdr:sp macro="" textlink="">
          <xdr:nvSpPr>
            <xdr:cNvPr id="5124" name="Control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741680</xdr:colOff>
          <xdr:row>3</xdr:row>
          <xdr:rowOff>50800</xdr:rowOff>
        </xdr:to>
        <xdr:sp macro="" textlink="">
          <xdr:nvSpPr>
            <xdr:cNvPr id="27649" name="Control 1" hidden="1">
              <a:extLst>
                <a:ext uri="{63B3BB69-23CF-44E3-9099-C40C66FF867C}">
                  <a14:compatExt spid="_x0000_s2764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1130300</xdr:colOff>
          <xdr:row>3</xdr:row>
          <xdr:rowOff>50800</xdr:rowOff>
        </xdr:to>
        <xdr:sp macro="" textlink="">
          <xdr:nvSpPr>
            <xdr:cNvPr id="27650" name="Control 2" hidden="1">
              <a:extLst>
                <a:ext uri="{63B3BB69-23CF-44E3-9099-C40C66FF867C}">
                  <a14:compatExt spid="_x0000_s2765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1130300</xdr:colOff>
          <xdr:row>3</xdr:row>
          <xdr:rowOff>50800</xdr:rowOff>
        </xdr:to>
        <xdr:sp macro="" textlink="">
          <xdr:nvSpPr>
            <xdr:cNvPr id="27651" name="Control 3" hidden="1">
              <a:extLst>
                <a:ext uri="{63B3BB69-23CF-44E3-9099-C40C66FF867C}">
                  <a14:compatExt spid="_x0000_s2765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1145540</xdr:colOff>
          <xdr:row>3</xdr:row>
          <xdr:rowOff>111760</xdr:rowOff>
        </xdr:to>
        <xdr:sp macro="" textlink="">
          <xdr:nvSpPr>
            <xdr:cNvPr id="27652" name="Control 4" hidden="1">
              <a:extLst>
                <a:ext uri="{63B3BB69-23CF-44E3-9099-C40C66FF867C}">
                  <a14:compatExt spid="_x0000_s2765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741680</xdr:colOff>
          <xdr:row>3</xdr:row>
          <xdr:rowOff>50800</xdr:rowOff>
        </xdr:to>
        <xdr:sp macro="" textlink="">
          <xdr:nvSpPr>
            <xdr:cNvPr id="28673" name="Control 1" hidden="1">
              <a:extLst>
                <a:ext uri="{63B3BB69-23CF-44E3-9099-C40C66FF867C}">
                  <a14:compatExt spid="_x0000_s2867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1130300</xdr:colOff>
          <xdr:row>3</xdr:row>
          <xdr:rowOff>50800</xdr:rowOff>
        </xdr:to>
        <xdr:sp macro="" textlink="">
          <xdr:nvSpPr>
            <xdr:cNvPr id="28674" name="Control 2" hidden="1">
              <a:extLst>
                <a:ext uri="{63B3BB69-23CF-44E3-9099-C40C66FF867C}">
                  <a14:compatExt spid="_x0000_s2867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1130300</xdr:colOff>
          <xdr:row>3</xdr:row>
          <xdr:rowOff>50800</xdr:rowOff>
        </xdr:to>
        <xdr:sp macro="" textlink="">
          <xdr:nvSpPr>
            <xdr:cNvPr id="28675" name="Control 3" hidden="1">
              <a:extLst>
                <a:ext uri="{63B3BB69-23CF-44E3-9099-C40C66FF867C}">
                  <a14:compatExt spid="_x0000_s2867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78740</xdr:rowOff>
        </xdr:from>
        <xdr:to>
          <xdr:col>6</xdr:col>
          <xdr:colOff>1145540</xdr:colOff>
          <xdr:row>3</xdr:row>
          <xdr:rowOff>111760</xdr:rowOff>
        </xdr:to>
        <xdr:sp macro="" textlink="">
          <xdr:nvSpPr>
            <xdr:cNvPr id="28676" name="Control 4" hidden="1">
              <a:extLst>
                <a:ext uri="{63B3BB69-23CF-44E3-9099-C40C66FF867C}">
                  <a14:compatExt spid="_x0000_s2867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ourcePlanning\2009IRP\Aurora\PSM\RevReq\Update%20A\Update%20A%20Constrained_No%20DSM_FullCap_PSM%2020-1%202009%20I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willi\AppData\Local\Microsoft\Windows\Temporary%20Internet%20Files\Content.Outlook\OMOIMSCX\PSM%20III%2023.4_2015%20IRP%20Capacity%20C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se Output"/>
      <sheetName val="EvalSum"/>
      <sheetName val="Evaluation Summary"/>
      <sheetName val="Assumptions"/>
      <sheetName val="Acquisition Inputs"/>
      <sheetName val="AURORAenergy"/>
      <sheetName val="AURORAcost"/>
      <sheetName val="AURORArevenue"/>
      <sheetName val="ACQTHERMAL"/>
      <sheetName val="ACQWIND"/>
      <sheetName val="ACQPPA"/>
      <sheetName val="EXISTCOAL"/>
      <sheetName val="CONTRACT"/>
      <sheetName val="EXISTGAS"/>
      <sheetName val="EXISTWIND"/>
      <sheetName val="WESTERNHYDRO"/>
      <sheetName val="MIDCHYDRO"/>
      <sheetName val="NEWBIOMASS"/>
      <sheetName val="NEWCOAL"/>
      <sheetName val="NEWGAS"/>
      <sheetName val="NEWGASPK"/>
      <sheetName val="NEWGEOTHERMAL"/>
      <sheetName val="NEWSOLAR"/>
      <sheetName val="NEWWIND"/>
      <sheetName val="NEWWINDLONG"/>
      <sheetName val="Load_Market_DSM"/>
      <sheetName val="RPS Summary"/>
      <sheetName val="Dispatch Cases"/>
      <sheetName val="Capital Additions"/>
      <sheetName val="Results Summary"/>
      <sheetName val="ACQConsol"/>
      <sheetName val="Acquisition Thermal"/>
      <sheetName val="Acquisition Wind"/>
      <sheetName val="Consol"/>
      <sheetName val="CCGT"/>
      <sheetName val="Geothermal"/>
      <sheetName val="Long Haul Wind"/>
      <sheetName val="Solar"/>
      <sheetName val="Open Slot"/>
      <sheetName val="Wind"/>
      <sheetName val="Coal"/>
      <sheetName val="Recip Engine"/>
      <sheetName val="Biomass"/>
      <sheetName val="Joint Ownership MW"/>
      <sheetName val="Contracted MW"/>
      <sheetName val="Exist Consol"/>
      <sheetName val="Existing Gas"/>
      <sheetName val="Colstrip"/>
      <sheetName val="Existing Wind"/>
      <sheetName val="West Hydro"/>
      <sheetName val="Mid_C Hydro"/>
      <sheetName val="PPA Rollup"/>
      <sheetName val="Equity Equalization - PPA"/>
      <sheetName val="End Effects"/>
      <sheetName val="Nameplate Capacity"/>
      <sheetName val="WACC"/>
      <sheetName val="AURORAENERGY1"/>
      <sheetName val="AURORACOST1"/>
      <sheetName val="AURORAREVENUE1"/>
      <sheetName val="AURORAENERGY11"/>
      <sheetName val="AURORACOST11"/>
      <sheetName val="AURORAREVENUE11"/>
    </sheetNames>
    <sheetDataSet>
      <sheetData sheetId="0" refreshError="1"/>
      <sheetData sheetId="1" refreshError="1"/>
      <sheetData sheetId="2" refreshError="1"/>
      <sheetData sheetId="3" refreshError="1"/>
      <sheetData sheetId="4">
        <row r="1">
          <cell r="A1" t="str">
            <v>Current Trends - All Generic</v>
          </cell>
        </row>
        <row r="2">
          <cell r="A2" t="str">
            <v>PSM 20-1 2009 IRP Update A Cnstrd No DSR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pacity Calculation"/>
      <sheetName val="To Tableau"/>
      <sheetName val="Evaluation Summary"/>
      <sheetName val="Comments"/>
      <sheetName val="LPProblem"/>
      <sheetName val="Peak Capacity Need"/>
      <sheetName val="Assumptions"/>
      <sheetName val="AuroraEnergyAll"/>
      <sheetName val="AuroraCostAll"/>
      <sheetName val="AuroraRevenueAll"/>
      <sheetName val="AuroraCO2EmissionsAll"/>
      <sheetName val="Peak Inputs"/>
      <sheetName val="CO2_Emissions"/>
      <sheetName val="Load_Market_DSM"/>
      <sheetName val="REC Credit"/>
      <sheetName val="Thermal Acq Inputs"/>
      <sheetName val="Wind Acq Inputs"/>
      <sheetName val="Wind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Chart1"/>
      <sheetName val="Biomass"/>
      <sheetName val="Batteries"/>
      <sheetName val="Solar"/>
      <sheetName val="Wind"/>
      <sheetName val="MT Wind"/>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WACC"/>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K8">
            <v>228</v>
          </cell>
        </row>
        <row r="24">
          <cell r="O24">
            <v>7.7700000000000005E-2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10.bin"/><Relationship Id="rId1" Type="http://schemas.openxmlformats.org/officeDocument/2006/relationships/hyperlink" Target="http://www.oatioasis.com/webSmartOASIS/HomePage?ProviderName=PSEI&amp;Homepage=1" TargetMode="External"/></Relationships>
</file>

<file path=xl/worksheets/_rels/sheet1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2.x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customProperty" Target="../customProperty6.bin"/><Relationship Id="rId1" Type="http://schemas.openxmlformats.org/officeDocument/2006/relationships/printerSettings" Target="../printerSettings/printerSettings11.bin"/><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control" Target="../activeX/activeX3.xml"/></Relationships>
</file>

<file path=xl/worksheets/_rels/sheet12.xml.rels><?xml version="1.0" encoding="UTF-8" standalone="yes"?>
<Relationships xmlns="http://schemas.openxmlformats.org/package/2006/relationships"><Relationship Id="rId8" Type="http://schemas.openxmlformats.org/officeDocument/2006/relationships/control" Target="../activeX/activeX7.xml"/><Relationship Id="rId3" Type="http://schemas.openxmlformats.org/officeDocument/2006/relationships/vmlDrawing" Target="../drawings/vmlDrawing2.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12.bin"/><Relationship Id="rId6" Type="http://schemas.openxmlformats.org/officeDocument/2006/relationships/control" Target="../activeX/activeX6.xml"/><Relationship Id="rId11" Type="http://schemas.openxmlformats.org/officeDocument/2006/relationships/image" Target="../media/image7.emf"/><Relationship Id="rId5" Type="http://schemas.openxmlformats.org/officeDocument/2006/relationships/image" Target="../media/image4.emf"/><Relationship Id="rId10" Type="http://schemas.openxmlformats.org/officeDocument/2006/relationships/control" Target="../activeX/activeX8.xml"/><Relationship Id="rId4" Type="http://schemas.openxmlformats.org/officeDocument/2006/relationships/control" Target="../activeX/activeX5.xml"/><Relationship Id="rId9" Type="http://schemas.openxmlformats.org/officeDocument/2006/relationships/image" Target="../media/image6.emf"/></Relationships>
</file>

<file path=xl/worksheets/_rels/sheet13.xml.rels><?xml version="1.0" encoding="UTF-8" standalone="yes"?>
<Relationships xmlns="http://schemas.openxmlformats.org/package/2006/relationships"><Relationship Id="rId8" Type="http://schemas.openxmlformats.org/officeDocument/2006/relationships/control" Target="../activeX/activeX11.xml"/><Relationship Id="rId3" Type="http://schemas.openxmlformats.org/officeDocument/2006/relationships/vmlDrawing" Target="../drawings/vmlDrawing3.vml"/><Relationship Id="rId7" Type="http://schemas.openxmlformats.org/officeDocument/2006/relationships/image" Target="../media/image8.emf"/><Relationship Id="rId2" Type="http://schemas.openxmlformats.org/officeDocument/2006/relationships/drawing" Target="../drawings/drawing4.xml"/><Relationship Id="rId1" Type="http://schemas.openxmlformats.org/officeDocument/2006/relationships/printerSettings" Target="../printerSettings/printerSettings13.bin"/><Relationship Id="rId6" Type="http://schemas.openxmlformats.org/officeDocument/2006/relationships/control" Target="../activeX/activeX10.xml"/><Relationship Id="rId11" Type="http://schemas.openxmlformats.org/officeDocument/2006/relationships/image" Target="../media/image10.emf"/><Relationship Id="rId5" Type="http://schemas.openxmlformats.org/officeDocument/2006/relationships/image" Target="../media/image4.emf"/><Relationship Id="rId10" Type="http://schemas.openxmlformats.org/officeDocument/2006/relationships/control" Target="../activeX/activeX12.xml"/><Relationship Id="rId4" Type="http://schemas.openxmlformats.org/officeDocument/2006/relationships/control" Target="../activeX/activeX9.xml"/><Relationship Id="rId9" Type="http://schemas.openxmlformats.org/officeDocument/2006/relationships/image" Target="../media/image9.emf"/></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3"/>
  <sheetViews>
    <sheetView topLeftCell="A16" zoomScale="80" zoomScaleNormal="80" workbookViewId="0">
      <selection activeCell="C2" sqref="C2"/>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8" width="12.33203125" style="59" customWidth="1"/>
    <col min="29" max="16384" width="9.109375" style="59"/>
  </cols>
  <sheetData>
    <row r="2" spans="2:29" ht="19.5" customHeight="1" x14ac:dyDescent="0.3">
      <c r="C2" s="231" t="s">
        <v>167</v>
      </c>
      <c r="D2" s="231"/>
      <c r="E2" s="231"/>
      <c r="F2" s="231"/>
      <c r="G2" s="231"/>
      <c r="H2" s="231"/>
      <c r="I2" s="231"/>
      <c r="J2" s="231"/>
      <c r="K2" s="231"/>
      <c r="L2" s="231"/>
    </row>
    <row r="3" spans="2:29" ht="15.6" x14ac:dyDescent="0.3">
      <c r="C3" s="48"/>
    </row>
    <row r="4" spans="2:29" ht="16.2" thickBot="1" x14ac:dyDescent="0.35">
      <c r="C4" s="338" t="s">
        <v>163</v>
      </c>
      <c r="D4" s="339"/>
      <c r="E4" s="339"/>
      <c r="F4" s="339"/>
      <c r="G4" s="339"/>
      <c r="H4" s="339"/>
      <c r="I4" s="339"/>
      <c r="J4" s="339"/>
      <c r="K4" s="339"/>
      <c r="L4" s="339"/>
      <c r="M4" s="339"/>
      <c r="N4" s="339"/>
      <c r="O4" s="339"/>
      <c r="P4" s="339"/>
      <c r="Q4" s="339"/>
      <c r="R4" s="339"/>
      <c r="S4" s="339"/>
      <c r="T4" s="339"/>
      <c r="U4" s="339"/>
      <c r="V4" s="339"/>
      <c r="W4" s="44"/>
      <c r="X4" s="44"/>
      <c r="Y4" s="44"/>
      <c r="Z4" s="44"/>
    </row>
    <row r="5" spans="2:29" ht="15.6" x14ac:dyDescent="0.3">
      <c r="C5" s="337"/>
      <c r="D5" s="121"/>
      <c r="E5" s="121"/>
      <c r="F5" s="121"/>
      <c r="G5" s="121"/>
      <c r="H5" s="121"/>
      <c r="I5" s="121"/>
      <c r="J5" s="121"/>
      <c r="K5" s="121"/>
      <c r="L5" s="121"/>
      <c r="M5" s="121"/>
      <c r="N5" s="121"/>
      <c r="O5" s="121"/>
      <c r="P5" s="121"/>
      <c r="Q5" s="121"/>
      <c r="R5" s="121"/>
      <c r="S5" s="121"/>
      <c r="T5" s="121"/>
      <c r="U5" s="121"/>
      <c r="V5" s="121"/>
      <c r="W5" s="44"/>
      <c r="X5" s="44"/>
      <c r="Y5" s="44"/>
      <c r="Z5" s="44"/>
    </row>
    <row r="6" spans="2:29" x14ac:dyDescent="0.25">
      <c r="B6" s="121"/>
      <c r="C6" s="121"/>
      <c r="D6" s="119"/>
      <c r="E6" s="121"/>
      <c r="F6" s="131" t="s">
        <v>161</v>
      </c>
      <c r="Y6" s="133"/>
      <c r="Z6" s="133"/>
      <c r="AC6" s="134"/>
    </row>
    <row r="7" spans="2:29" x14ac:dyDescent="0.25">
      <c r="B7" s="121"/>
      <c r="C7" s="227" t="s">
        <v>155</v>
      </c>
      <c r="D7" s="121"/>
      <c r="F7" s="164">
        <f>'Output - 5yr Baseload'!F9</f>
        <v>29.253735159633326</v>
      </c>
      <c r="Y7" s="133"/>
      <c r="Z7" s="133"/>
      <c r="AC7" s="134"/>
    </row>
    <row r="8" spans="2:29" x14ac:dyDescent="0.25">
      <c r="B8" s="121"/>
      <c r="C8" s="227" t="s">
        <v>156</v>
      </c>
      <c r="D8" s="121"/>
      <c r="F8" s="164">
        <f>'Output - 10yr Baseload'!F9</f>
        <v>29.843194878549159</v>
      </c>
      <c r="Y8" s="133"/>
      <c r="Z8" s="133"/>
      <c r="AC8" s="134"/>
    </row>
    <row r="9" spans="2:29" x14ac:dyDescent="0.25">
      <c r="C9" s="227" t="s">
        <v>154</v>
      </c>
      <c r="D9" s="121"/>
      <c r="F9" s="164">
        <f>'Output - 15yr Baseload'!F9</f>
        <v>30.809322179808881</v>
      </c>
      <c r="Y9" s="127"/>
      <c r="Z9" s="127"/>
      <c r="AA9" s="126"/>
      <c r="AB9" s="121"/>
    </row>
    <row r="10" spans="2:29" x14ac:dyDescent="0.25">
      <c r="C10" s="132"/>
      <c r="E10" s="135"/>
      <c r="F10" s="133"/>
      <c r="Y10" s="127"/>
      <c r="Z10" s="127"/>
      <c r="AA10" s="127"/>
    </row>
    <row r="11" spans="2:29" x14ac:dyDescent="0.25">
      <c r="C11" s="136"/>
      <c r="E11" s="135"/>
      <c r="F11" s="133"/>
    </row>
    <row r="12" spans="2:29" x14ac:dyDescent="0.25">
      <c r="F12" s="226"/>
    </row>
    <row r="13" spans="2:29" x14ac:dyDescent="0.25">
      <c r="C13" s="121"/>
      <c r="D13" s="119"/>
      <c r="E13" s="121"/>
      <c r="F13" s="131" t="s">
        <v>161</v>
      </c>
    </row>
    <row r="14" spans="2:29" x14ac:dyDescent="0.25">
      <c r="C14" s="227" t="s">
        <v>157</v>
      </c>
      <c r="D14" s="121"/>
      <c r="F14" s="164">
        <f>'Output - 10yr Wind'!F9</f>
        <v>25.777346688009168</v>
      </c>
    </row>
    <row r="15" spans="2:29" x14ac:dyDescent="0.25">
      <c r="C15" s="227" t="s">
        <v>158</v>
      </c>
      <c r="D15" s="121"/>
      <c r="F15" s="164">
        <f>'Output - 15yr Wind'!F9</f>
        <v>26.690923248411345</v>
      </c>
    </row>
    <row r="18" spans="3:22" x14ac:dyDescent="0.25">
      <c r="F18" s="226"/>
    </row>
    <row r="19" spans="3:22" x14ac:dyDescent="0.25">
      <c r="C19" s="121"/>
      <c r="D19" s="119"/>
      <c r="E19" s="121"/>
      <c r="F19" s="131" t="s">
        <v>161</v>
      </c>
    </row>
    <row r="20" spans="3:22" x14ac:dyDescent="0.25">
      <c r="C20" s="227" t="s">
        <v>159</v>
      </c>
      <c r="D20" s="121"/>
      <c r="F20" s="164">
        <f>'Output - 10yr Solar'!F9</f>
        <v>21.800857798360166</v>
      </c>
    </row>
    <row r="21" spans="3:22" x14ac:dyDescent="0.25">
      <c r="C21" s="227" t="s">
        <v>160</v>
      </c>
      <c r="D21" s="121"/>
      <c r="F21" s="164">
        <f>'Output - 15yr Solar'!F9</f>
        <v>22.663038579242318</v>
      </c>
    </row>
    <row r="25" spans="3:22" ht="16.2" thickBot="1" x14ac:dyDescent="0.35">
      <c r="C25" s="338" t="s">
        <v>162</v>
      </c>
      <c r="D25" s="339"/>
      <c r="E25" s="339"/>
      <c r="F25" s="339"/>
      <c r="G25" s="339"/>
      <c r="H25" s="339"/>
      <c r="I25" s="339"/>
      <c r="J25" s="339"/>
      <c r="K25" s="339"/>
      <c r="L25" s="339"/>
      <c r="M25" s="339"/>
      <c r="N25" s="339"/>
      <c r="O25" s="339"/>
      <c r="P25" s="339"/>
      <c r="Q25" s="339"/>
      <c r="R25" s="339"/>
      <c r="S25" s="339"/>
      <c r="T25" s="339"/>
      <c r="U25" s="339"/>
      <c r="V25" s="339"/>
    </row>
    <row r="26" spans="3:22" ht="15.6" x14ac:dyDescent="0.3">
      <c r="C26" s="337"/>
      <c r="D26" s="121"/>
      <c r="E26" s="121"/>
      <c r="F26" s="121"/>
      <c r="G26" s="121"/>
      <c r="H26" s="121"/>
      <c r="I26" s="121"/>
      <c r="J26" s="121"/>
      <c r="K26" s="121"/>
      <c r="L26" s="121"/>
      <c r="M26" s="121"/>
      <c r="N26" s="121"/>
      <c r="O26" s="121"/>
      <c r="P26" s="121"/>
      <c r="Q26" s="121"/>
      <c r="R26" s="121"/>
      <c r="S26" s="121"/>
      <c r="T26" s="121"/>
      <c r="U26" s="121"/>
      <c r="V26" s="121"/>
    </row>
    <row r="27" spans="3:22" x14ac:dyDescent="0.25">
      <c r="F27" s="226">
        <v>1</v>
      </c>
      <c r="G27" s="226">
        <v>2</v>
      </c>
      <c r="H27" s="226">
        <v>3</v>
      </c>
      <c r="I27" s="226">
        <v>4</v>
      </c>
      <c r="J27" s="226">
        <v>5</v>
      </c>
      <c r="K27" s="226">
        <v>6</v>
      </c>
      <c r="L27" s="226">
        <v>7</v>
      </c>
      <c r="M27" s="226">
        <v>8</v>
      </c>
      <c r="N27" s="226">
        <v>9</v>
      </c>
      <c r="O27" s="226">
        <v>10</v>
      </c>
      <c r="P27" s="226">
        <v>11</v>
      </c>
      <c r="Q27" s="226">
        <v>12</v>
      </c>
      <c r="R27" s="226">
        <v>13</v>
      </c>
      <c r="S27" s="226">
        <v>14</v>
      </c>
      <c r="T27" s="226">
        <v>15</v>
      </c>
      <c r="U27" s="226">
        <v>16</v>
      </c>
      <c r="V27" s="226">
        <v>17</v>
      </c>
    </row>
    <row r="28" spans="3:22" x14ac:dyDescent="0.25">
      <c r="C28" s="121"/>
      <c r="D28" s="119"/>
      <c r="E28" s="121"/>
      <c r="F28" s="131">
        <f>'Energy Prices'!$C$6</f>
        <v>2019</v>
      </c>
      <c r="G28" s="131">
        <f>F28+1</f>
        <v>2020</v>
      </c>
      <c r="H28" s="131">
        <f>G28+1</f>
        <v>2021</v>
      </c>
      <c r="I28" s="131">
        <f t="shared" ref="I28:T28" si="0">H28+1</f>
        <v>2022</v>
      </c>
      <c r="J28" s="131">
        <f t="shared" si="0"/>
        <v>2023</v>
      </c>
      <c r="K28" s="131">
        <f t="shared" si="0"/>
        <v>2024</v>
      </c>
      <c r="L28" s="131">
        <f t="shared" si="0"/>
        <v>2025</v>
      </c>
      <c r="M28" s="131">
        <f t="shared" si="0"/>
        <v>2026</v>
      </c>
      <c r="N28" s="131">
        <f t="shared" si="0"/>
        <v>2027</v>
      </c>
      <c r="O28" s="131">
        <f t="shared" si="0"/>
        <v>2028</v>
      </c>
      <c r="P28" s="131">
        <f t="shared" si="0"/>
        <v>2029</v>
      </c>
      <c r="Q28" s="131">
        <f t="shared" si="0"/>
        <v>2030</v>
      </c>
      <c r="R28" s="131">
        <f t="shared" si="0"/>
        <v>2031</v>
      </c>
      <c r="S28" s="131">
        <f t="shared" si="0"/>
        <v>2032</v>
      </c>
      <c r="T28" s="131">
        <f t="shared" si="0"/>
        <v>2033</v>
      </c>
      <c r="U28" s="131">
        <f>T28+1</f>
        <v>2034</v>
      </c>
      <c r="V28" s="131">
        <f>U28+1</f>
        <v>2035</v>
      </c>
    </row>
    <row r="29" spans="3:22" x14ac:dyDescent="0.25">
      <c r="C29" s="227" t="s">
        <v>155</v>
      </c>
      <c r="D29" s="121"/>
      <c r="F29" s="164">
        <f>'Output - 5yr Baseload'!F13</f>
        <v>27.927860712595674</v>
      </c>
      <c r="G29" s="164">
        <f>'Output - 5yr Baseload'!G13</f>
        <v>28.626057230410563</v>
      </c>
      <c r="H29" s="164">
        <f>'Output - 5yr Baseload'!H13</f>
        <v>29.341708661170824</v>
      </c>
      <c r="I29" s="164">
        <f>'Output - 5yr Baseload'!I13</f>
        <v>30.075251377700091</v>
      </c>
      <c r="J29" s="164">
        <f>'Output - 5yr Baseload'!J13</f>
        <v>30.827132662142592</v>
      </c>
      <c r="K29" s="219">
        <f>'Output - 5yr Baseload'!K13</f>
        <v>31.597810978696153</v>
      </c>
      <c r="L29" s="219">
        <f>'Output - 5yr Baseload'!L13</f>
        <v>32.387756253163552</v>
      </c>
      <c r="M29" s="219"/>
      <c r="N29" s="219"/>
      <c r="O29" s="219"/>
      <c r="P29" s="219"/>
      <c r="Q29" s="219"/>
      <c r="R29" s="219"/>
      <c r="S29" s="219"/>
      <c r="T29" s="219"/>
      <c r="U29" s="219"/>
      <c r="V29" s="219"/>
    </row>
    <row r="30" spans="3:22" x14ac:dyDescent="0.25">
      <c r="C30" s="227" t="s">
        <v>156</v>
      </c>
      <c r="D30" s="121"/>
      <c r="F30" s="164">
        <f>'Output - 10yr Baseload'!F13</f>
        <v>27.035943733248008</v>
      </c>
      <c r="G30" s="164">
        <f>'Output - 10yr Baseload'!G13</f>
        <v>27.711842326579205</v>
      </c>
      <c r="H30" s="164">
        <f>'Output - 10yr Baseload'!H13</f>
        <v>28.404638384743684</v>
      </c>
      <c r="I30" s="164">
        <f>'Output - 10yr Baseload'!I13</f>
        <v>29.114754344362272</v>
      </c>
      <c r="J30" s="164">
        <f>'Output - 10yr Baseload'!J13</f>
        <v>29.842623202971328</v>
      </c>
      <c r="K30" s="164">
        <f>'Output - 10yr Baseload'!K13</f>
        <v>30.588688783045608</v>
      </c>
      <c r="L30" s="164">
        <f>'Output - 10yr Baseload'!L13</f>
        <v>31.353406002621746</v>
      </c>
      <c r="M30" s="164">
        <f>'Output - 10yr Baseload'!M13</f>
        <v>32.137241152687281</v>
      </c>
      <c r="N30" s="164">
        <f>'Output - 10yr Baseload'!N13</f>
        <v>32.940672181504461</v>
      </c>
      <c r="O30" s="164">
        <f>'Output - 10yr Baseload'!O13</f>
        <v>33.764188986042072</v>
      </c>
      <c r="P30" s="219">
        <f>'Output - 10yr Baseload'!P13</f>
        <v>34.608293710693118</v>
      </c>
      <c r="Q30" s="219">
        <f>'Output - 10yr Baseload'!Q13</f>
        <v>35.473501053460446</v>
      </c>
      <c r="R30" s="219"/>
      <c r="S30" s="219"/>
      <c r="T30" s="219"/>
      <c r="U30" s="219"/>
      <c r="V30" s="219"/>
    </row>
    <row r="31" spans="3:22" x14ac:dyDescent="0.25">
      <c r="C31" s="227" t="s">
        <v>154</v>
      </c>
      <c r="D31" s="121"/>
      <c r="F31" s="164">
        <f>'Output - 15yr Baseload'!F13</f>
        <v>26.646074206451239</v>
      </c>
      <c r="G31" s="165">
        <f>'Output - 15yr Baseload'!G13</f>
        <v>27.312226061612517</v>
      </c>
      <c r="H31" s="166">
        <f>'Output - 15yr Baseload'!H13</f>
        <v>27.995031713152827</v>
      </c>
      <c r="I31" s="166">
        <f>'Output - 15yr Baseload'!I13</f>
        <v>28.694907505981647</v>
      </c>
      <c r="J31" s="166">
        <f>'Output - 15yr Baseload'!J13</f>
        <v>29.412280193631183</v>
      </c>
      <c r="K31" s="166">
        <f>'Output - 15yr Baseload'!K13</f>
        <v>30.147587198471964</v>
      </c>
      <c r="L31" s="166">
        <f>'Output - 15yr Baseload'!L13</f>
        <v>30.901276878433755</v>
      </c>
      <c r="M31" s="166">
        <f>'Output - 15yr Baseload'!M13</f>
        <v>31.6738088003946</v>
      </c>
      <c r="N31" s="166">
        <f>'Output - 15yr Baseload'!N13</f>
        <v>32.465654020404457</v>
      </c>
      <c r="O31" s="166">
        <f>'Output - 15yr Baseload'!O13</f>
        <v>33.277295370914565</v>
      </c>
      <c r="P31" s="166">
        <f>'Output - 15yr Baseload'!P13</f>
        <v>34.109227755187433</v>
      </c>
      <c r="Q31" s="166">
        <f>'Output - 15yr Baseload'!Q13</f>
        <v>34.961958449067112</v>
      </c>
      <c r="R31" s="166">
        <f>'Output - 15yr Baseload'!R13</f>
        <v>35.836007410293789</v>
      </c>
      <c r="S31" s="166">
        <f>'Output - 15yr Baseload'!S13</f>
        <v>36.731907595551121</v>
      </c>
      <c r="T31" s="166">
        <f>'Output - 15yr Baseload'!T13</f>
        <v>37.650205285439895</v>
      </c>
      <c r="U31" s="219">
        <f>'Output - 15yr Baseload'!U13</f>
        <v>38.591460417575888</v>
      </c>
      <c r="V31" s="219">
        <f>'Output - 15yr Baseload'!V13</f>
        <v>39.556246928015284</v>
      </c>
    </row>
    <row r="32" spans="3:22" x14ac:dyDescent="0.25">
      <c r="C32" s="132"/>
      <c r="E32" s="135"/>
      <c r="F32" s="133"/>
      <c r="G32" s="133"/>
      <c r="H32" s="133"/>
      <c r="I32" s="133"/>
      <c r="J32" s="133"/>
      <c r="K32" s="133"/>
      <c r="L32" s="133"/>
      <c r="M32" s="133"/>
      <c r="N32" s="133"/>
      <c r="O32" s="133"/>
      <c r="P32" s="133"/>
      <c r="Q32" s="133"/>
      <c r="R32" s="133"/>
      <c r="S32" s="133"/>
      <c r="T32" s="133"/>
      <c r="U32" s="133"/>
      <c r="V32" s="133"/>
    </row>
    <row r="33" spans="3:22" x14ac:dyDescent="0.25">
      <c r="C33" s="136"/>
      <c r="E33" s="135"/>
      <c r="F33" s="133"/>
      <c r="G33" s="133"/>
      <c r="H33" s="133"/>
      <c r="I33" s="133"/>
      <c r="J33" s="133"/>
      <c r="K33" s="133"/>
      <c r="L33" s="133"/>
      <c r="M33" s="133"/>
      <c r="N33" s="133"/>
      <c r="O33" s="133"/>
      <c r="P33" s="133"/>
      <c r="Q33" s="133"/>
      <c r="R33" s="133"/>
      <c r="S33" s="133"/>
      <c r="T33" s="133"/>
      <c r="U33" s="133"/>
      <c r="V33" s="133"/>
    </row>
    <row r="34" spans="3:22" x14ac:dyDescent="0.25">
      <c r="F34" s="226">
        <v>1</v>
      </c>
      <c r="G34" s="226">
        <v>2</v>
      </c>
      <c r="H34" s="226">
        <v>3</v>
      </c>
      <c r="I34" s="226">
        <v>4</v>
      </c>
      <c r="J34" s="226">
        <v>5</v>
      </c>
      <c r="K34" s="226">
        <v>6</v>
      </c>
      <c r="L34" s="226">
        <v>7</v>
      </c>
      <c r="M34" s="226">
        <v>8</v>
      </c>
      <c r="N34" s="226">
        <v>9</v>
      </c>
      <c r="O34" s="226">
        <v>10</v>
      </c>
      <c r="P34" s="226">
        <v>11</v>
      </c>
      <c r="Q34" s="226">
        <v>12</v>
      </c>
      <c r="R34" s="226">
        <v>13</v>
      </c>
      <c r="S34" s="226">
        <v>14</v>
      </c>
      <c r="T34" s="226">
        <v>15</v>
      </c>
      <c r="U34" s="226">
        <v>16</v>
      </c>
      <c r="V34" s="226">
        <v>17</v>
      </c>
    </row>
    <row r="35" spans="3:22" x14ac:dyDescent="0.25">
      <c r="C35" s="121"/>
      <c r="D35" s="119"/>
      <c r="E35" s="121"/>
      <c r="F35" s="131">
        <f>'Energy Prices'!$C$6</f>
        <v>2019</v>
      </c>
      <c r="G35" s="131">
        <f>F35+1</f>
        <v>2020</v>
      </c>
      <c r="H35" s="131">
        <f>G35+1</f>
        <v>2021</v>
      </c>
      <c r="I35" s="131">
        <f t="shared" ref="I35" si="1">H35+1</f>
        <v>2022</v>
      </c>
      <c r="J35" s="131">
        <f t="shared" ref="J35" si="2">I35+1</f>
        <v>2023</v>
      </c>
      <c r="K35" s="131">
        <f t="shared" ref="K35" si="3">J35+1</f>
        <v>2024</v>
      </c>
      <c r="L35" s="131">
        <f t="shared" ref="L35" si="4">K35+1</f>
        <v>2025</v>
      </c>
      <c r="M35" s="131">
        <f t="shared" ref="M35" si="5">L35+1</f>
        <v>2026</v>
      </c>
      <c r="N35" s="131">
        <f t="shared" ref="N35" si="6">M35+1</f>
        <v>2027</v>
      </c>
      <c r="O35" s="131">
        <f t="shared" ref="O35" si="7">N35+1</f>
        <v>2028</v>
      </c>
      <c r="P35" s="131">
        <f t="shared" ref="P35" si="8">O35+1</f>
        <v>2029</v>
      </c>
      <c r="Q35" s="131">
        <f t="shared" ref="Q35" si="9">P35+1</f>
        <v>2030</v>
      </c>
      <c r="R35" s="131">
        <f t="shared" ref="R35" si="10">Q35+1</f>
        <v>2031</v>
      </c>
      <c r="S35" s="131">
        <f t="shared" ref="S35" si="11">R35+1</f>
        <v>2032</v>
      </c>
      <c r="T35" s="131">
        <f t="shared" ref="T35" si="12">S35+1</f>
        <v>2033</v>
      </c>
      <c r="U35" s="131">
        <f>T35+1</f>
        <v>2034</v>
      </c>
      <c r="V35" s="131">
        <f>U35+1</f>
        <v>2035</v>
      </c>
    </row>
    <row r="36" spans="3:22" x14ac:dyDescent="0.25">
      <c r="C36" s="227" t="s">
        <v>157</v>
      </c>
      <c r="D36" s="121"/>
      <c r="F36" s="164">
        <f>'Output - 10yr Wind'!F13</f>
        <v>23.352556503605943</v>
      </c>
      <c r="G36" s="164">
        <f>'Output - 10yr Wind'!G13</f>
        <v>23.936370416196091</v>
      </c>
      <c r="H36" s="164">
        <f>'Output - 10yr Wind'!H13</f>
        <v>24.534779676600991</v>
      </c>
      <c r="I36" s="164">
        <f>'Output - 10yr Wind'!I13</f>
        <v>25.14814916851601</v>
      </c>
      <c r="J36" s="164">
        <f>'Output - 10yr Wind'!J13</f>
        <v>25.776852897728912</v>
      </c>
      <c r="K36" s="164">
        <f>'Output - 10yr Wind'!K13</f>
        <v>26.421274220172133</v>
      </c>
      <c r="L36" s="164">
        <f>'Output - 10yr Wind'!L13</f>
        <v>27.081806075676432</v>
      </c>
      <c r="M36" s="164">
        <f>'Output - 10yr Wind'!M13</f>
        <v>27.758851227568336</v>
      </c>
      <c r="N36" s="164">
        <f>'Output - 10yr Wind'!N13</f>
        <v>28.452822508257544</v>
      </c>
      <c r="O36" s="164">
        <f>'Output - 10yr Wind'!O13</f>
        <v>29.164143070963981</v>
      </c>
      <c r="P36" s="219">
        <f>'Output - 10yr Wind'!P13</f>
        <v>29.893246647738078</v>
      </c>
      <c r="Q36" s="219">
        <f>'Output - 10yr Wind'!Q13</f>
        <v>30.640577813931529</v>
      </c>
      <c r="R36" s="219"/>
      <c r="S36" s="219"/>
      <c r="T36" s="219"/>
      <c r="U36" s="219"/>
      <c r="V36" s="219"/>
    </row>
    <row r="37" spans="3:22" x14ac:dyDescent="0.25">
      <c r="C37" s="227" t="s">
        <v>158</v>
      </c>
      <c r="D37" s="121"/>
      <c r="F37" s="164">
        <f>'Output - 15yr Wind'!F13</f>
        <v>23.084192419590423</v>
      </c>
      <c r="G37" s="165">
        <f>'Output - 15yr Wind'!G13</f>
        <v>23.661297230080184</v>
      </c>
      <c r="H37" s="166">
        <f>'Output - 15yr Wind'!H13</f>
        <v>24.252829660832184</v>
      </c>
      <c r="I37" s="166">
        <f>'Output - 15yr Wind'!I13</f>
        <v>24.859150402352984</v>
      </c>
      <c r="J37" s="166">
        <f>'Output - 15yr Wind'!J13</f>
        <v>25.480629162411809</v>
      </c>
      <c r="K37" s="166">
        <f>'Output - 15yr Wind'!K13</f>
        <v>26.117644891472104</v>
      </c>
      <c r="L37" s="166">
        <f>'Output - 15yr Wind'!L13</f>
        <v>26.770586013758898</v>
      </c>
      <c r="M37" s="166">
        <f>'Output - 15yr Wind'!M13</f>
        <v>27.439850664102874</v>
      </c>
      <c r="N37" s="166">
        <f>'Output - 15yr Wind'!N13</f>
        <v>28.125846930705439</v>
      </c>
      <c r="O37" s="166">
        <f>'Output - 15yr Wind'!O13</f>
        <v>28.828993103973072</v>
      </c>
      <c r="P37" s="166">
        <f>'Output - 15yr Wind'!P13</f>
        <v>29.549717931572399</v>
      </c>
      <c r="Q37" s="166">
        <f>'Output - 15yr Wind'!Q13</f>
        <v>30.288460879861702</v>
      </c>
      <c r="R37" s="166">
        <f>'Output - 15yr Wind'!R13</f>
        <v>31.045672401858244</v>
      </c>
      <c r="S37" s="166">
        <f>'Output - 15yr Wind'!S13</f>
        <v>31.821814211904695</v>
      </c>
      <c r="T37" s="166">
        <f>'Output - 15yr Wind'!T13</f>
        <v>32.617359567202307</v>
      </c>
      <c r="U37" s="219">
        <f>'Output - 15yr Wind'!U13</f>
        <v>33.432793556382364</v>
      </c>
      <c r="V37" s="219">
        <f>'Output - 15yr Wind'!V13</f>
        <v>34.268613395291922</v>
      </c>
    </row>
    <row r="40" spans="3:22" x14ac:dyDescent="0.25">
      <c r="F40" s="226">
        <v>1</v>
      </c>
      <c r="G40" s="226">
        <v>2</v>
      </c>
      <c r="H40" s="226">
        <v>3</v>
      </c>
      <c r="I40" s="226">
        <v>4</v>
      </c>
      <c r="J40" s="226">
        <v>5</v>
      </c>
      <c r="K40" s="226">
        <v>6</v>
      </c>
      <c r="L40" s="226">
        <v>7</v>
      </c>
      <c r="M40" s="226">
        <v>8</v>
      </c>
      <c r="N40" s="226">
        <v>9</v>
      </c>
      <c r="O40" s="226">
        <v>10</v>
      </c>
      <c r="P40" s="226">
        <v>11</v>
      </c>
      <c r="Q40" s="226">
        <v>12</v>
      </c>
      <c r="R40" s="226">
        <v>13</v>
      </c>
      <c r="S40" s="226">
        <v>14</v>
      </c>
      <c r="T40" s="226">
        <v>15</v>
      </c>
      <c r="U40" s="226">
        <v>16</v>
      </c>
      <c r="V40" s="226">
        <v>17</v>
      </c>
    </row>
    <row r="41" spans="3:22" x14ac:dyDescent="0.25">
      <c r="C41" s="121"/>
      <c r="D41" s="119"/>
      <c r="E41" s="121"/>
      <c r="F41" s="131">
        <f>'Energy Prices'!$C$6</f>
        <v>2019</v>
      </c>
      <c r="G41" s="131">
        <f>F41+1</f>
        <v>2020</v>
      </c>
      <c r="H41" s="131">
        <f>G41+1</f>
        <v>2021</v>
      </c>
      <c r="I41" s="131">
        <f t="shared" ref="I41" si="13">H41+1</f>
        <v>2022</v>
      </c>
      <c r="J41" s="131">
        <f t="shared" ref="J41" si="14">I41+1</f>
        <v>2023</v>
      </c>
      <c r="K41" s="131">
        <f t="shared" ref="K41" si="15">J41+1</f>
        <v>2024</v>
      </c>
      <c r="L41" s="131">
        <f t="shared" ref="L41" si="16">K41+1</f>
        <v>2025</v>
      </c>
      <c r="M41" s="131">
        <f t="shared" ref="M41" si="17">L41+1</f>
        <v>2026</v>
      </c>
      <c r="N41" s="131">
        <f t="shared" ref="N41" si="18">M41+1</f>
        <v>2027</v>
      </c>
      <c r="O41" s="131">
        <f t="shared" ref="O41" si="19">N41+1</f>
        <v>2028</v>
      </c>
      <c r="P41" s="131">
        <f t="shared" ref="P41" si="20">O41+1</f>
        <v>2029</v>
      </c>
      <c r="Q41" s="131">
        <f t="shared" ref="Q41" si="21">P41+1</f>
        <v>2030</v>
      </c>
      <c r="R41" s="131">
        <f t="shared" ref="R41" si="22">Q41+1</f>
        <v>2031</v>
      </c>
      <c r="S41" s="131">
        <f t="shared" ref="S41" si="23">R41+1</f>
        <v>2032</v>
      </c>
      <c r="T41" s="131">
        <f t="shared" ref="T41" si="24">S41+1</f>
        <v>2033</v>
      </c>
      <c r="U41" s="131">
        <f>T41+1</f>
        <v>2034</v>
      </c>
      <c r="V41" s="131">
        <f>U41+1</f>
        <v>2035</v>
      </c>
    </row>
    <row r="42" spans="3:22" x14ac:dyDescent="0.25">
      <c r="C42" s="227" t="s">
        <v>159</v>
      </c>
      <c r="D42" s="121"/>
      <c r="F42" s="164">
        <f>'Output - 10yr Solar'!F13</f>
        <v>19.750122839450519</v>
      </c>
      <c r="G42" s="164">
        <f>'Output - 10yr Solar'!G13</f>
        <v>20.243875910436781</v>
      </c>
      <c r="H42" s="164">
        <f>'Output - 10yr Solar'!H13</f>
        <v>20.749972808197697</v>
      </c>
      <c r="I42" s="164">
        <f>'Output - 10yr Solar'!I13</f>
        <v>21.268722128402636</v>
      </c>
      <c r="J42" s="164">
        <f>'Output - 10yr Solar'!J13</f>
        <v>21.800440181612704</v>
      </c>
      <c r="K42" s="164">
        <f>'Output - 10yr Solar'!K13</f>
        <v>22.345451186153017</v>
      </c>
      <c r="L42" s="164">
        <f>'Output - 10yr Solar'!L13</f>
        <v>22.904087465806839</v>
      </c>
      <c r="M42" s="164">
        <f>'Output - 10yr Solar'!M13</f>
        <v>23.476689652452009</v>
      </c>
      <c r="N42" s="164">
        <f>'Output - 10yr Solar'!N13</f>
        <v>24.063606893763307</v>
      </c>
      <c r="O42" s="164">
        <f>'Output - 10yr Solar'!O13</f>
        <v>24.665197066107389</v>
      </c>
      <c r="P42" s="219">
        <f>'Output - 10yr Solar'!P13</f>
        <v>25.28182699276007</v>
      </c>
      <c r="Q42" s="219">
        <f>'Output - 10yr Solar'!Q13</f>
        <v>25.913872667579071</v>
      </c>
      <c r="R42" s="219"/>
      <c r="S42" s="219"/>
      <c r="T42" s="219"/>
      <c r="U42" s="219"/>
      <c r="V42" s="219"/>
    </row>
    <row r="43" spans="3:22" x14ac:dyDescent="0.25">
      <c r="C43" s="227" t="s">
        <v>160</v>
      </c>
      <c r="D43" s="121"/>
      <c r="F43" s="164">
        <f>'Output - 15yr Solar'!F13</f>
        <v>19.600593748924343</v>
      </c>
      <c r="G43" s="165">
        <f>'Output - 15yr Solar'!G13</f>
        <v>20.090608592647452</v>
      </c>
      <c r="H43" s="166">
        <f>'Output - 15yr Solar'!H13</f>
        <v>20.592873807463636</v>
      </c>
      <c r="I43" s="166">
        <f>'Output - 15yr Solar'!I13</f>
        <v>21.107695652650225</v>
      </c>
      <c r="J43" s="166">
        <f>'Output - 15yr Solar'!J13</f>
        <v>21.635388043966476</v>
      </c>
      <c r="K43" s="166">
        <f>'Output - 15yr Solar'!K13</f>
        <v>22.176272745065639</v>
      </c>
      <c r="L43" s="166">
        <f>'Output - 15yr Solar'!L13</f>
        <v>22.730679563692274</v>
      </c>
      <c r="M43" s="166">
        <f>'Output - 15yr Solar'!M13</f>
        <v>23.298946552784582</v>
      </c>
      <c r="N43" s="166">
        <f>'Output - 15yr Solar'!N13</f>
        <v>23.881420216604191</v>
      </c>
      <c r="O43" s="166">
        <f>'Output - 15yr Solar'!O13</f>
        <v>24.478455722019294</v>
      </c>
      <c r="P43" s="166">
        <f>'Output - 15yr Solar'!P13</f>
        <v>25.090417115069776</v>
      </c>
      <c r="Q43" s="166">
        <f>'Output - 15yr Solar'!Q13</f>
        <v>25.717677542946515</v>
      </c>
      <c r="R43" s="166">
        <f>'Output - 15yr Solar'!R13</f>
        <v>26.360619481520178</v>
      </c>
      <c r="S43" s="166">
        <f>'Output - 15yr Solar'!S13</f>
        <v>27.019634968558176</v>
      </c>
      <c r="T43" s="166">
        <f>'Output - 15yr Solar'!T13</f>
        <v>27.695125842772129</v>
      </c>
      <c r="U43" s="219">
        <f>'Output - 15yr Solar'!U13</f>
        <v>28.387503988841431</v>
      </c>
      <c r="V43" s="219">
        <f>'Output - 15yr Solar'!V13</f>
        <v>29.097191588562463</v>
      </c>
    </row>
  </sheetData>
  <pageMargins left="0.75" right="0.5" top="0.76" bottom="0.79" header="0.5" footer="0.26"/>
  <pageSetup scale="36" orientation="landscape" r:id="rId1"/>
  <headerFooter alignWithMargins="0">
    <oddFooter>&amp;L&amp;F&amp;C&amp;A&amp;RPSE Advice No. 2018-48 &amp;D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B1:U33"/>
  <sheetViews>
    <sheetView topLeftCell="A16" zoomScale="80" zoomScaleNormal="80" workbookViewId="0">
      <selection activeCell="C32" sqref="C32"/>
    </sheetView>
  </sheetViews>
  <sheetFormatPr defaultColWidth="14.44140625" defaultRowHeight="15" x14ac:dyDescent="0.25"/>
  <cols>
    <col min="1" max="1" width="2.6640625" style="211" customWidth="1"/>
    <col min="2" max="2" width="4" style="211" bestFit="1" customWidth="1"/>
    <col min="3" max="3" width="30.88671875" style="211" customWidth="1"/>
    <col min="4" max="4" width="2.6640625" style="211" customWidth="1"/>
    <col min="5" max="5" width="10.44140625" style="211" customWidth="1"/>
    <col min="6" max="6" width="2.6640625" style="211" customWidth="1"/>
    <col min="7" max="7" width="9.44140625" style="211" customWidth="1"/>
    <col min="8" max="8" width="12.5546875" style="211" customWidth="1"/>
    <col min="9" max="9" width="17.6640625" style="211" customWidth="1"/>
    <col min="10" max="10" width="14.44140625" style="211" customWidth="1"/>
    <col min="11" max="11" width="17" style="211" customWidth="1"/>
    <col min="12" max="12" width="14.44140625" style="211" customWidth="1"/>
    <col min="13" max="13" width="16.33203125" style="211" bestFit="1" customWidth="1"/>
    <col min="14" max="14" width="15.6640625" style="211" customWidth="1"/>
    <col min="15" max="16" width="16.109375" style="211" customWidth="1"/>
    <col min="17" max="16384" width="14.44140625" style="211"/>
  </cols>
  <sheetData>
    <row r="1" spans="2:21" s="205" customFormat="1" x14ac:dyDescent="0.25"/>
    <row r="2" spans="2:21" s="205" customFormat="1" ht="15.6" x14ac:dyDescent="0.3">
      <c r="B2" s="206"/>
      <c r="C2" s="206"/>
      <c r="D2" s="206"/>
      <c r="E2" s="206"/>
      <c r="F2" s="206"/>
      <c r="G2" s="206"/>
      <c r="H2" s="206"/>
      <c r="I2" s="206"/>
      <c r="J2" s="207"/>
      <c r="K2" s="206"/>
      <c r="L2" s="206"/>
      <c r="M2" s="208"/>
      <c r="N2" s="206"/>
      <c r="O2" s="206"/>
      <c r="P2" s="206"/>
      <c r="Q2" s="206"/>
      <c r="R2" s="206"/>
      <c r="S2" s="206"/>
      <c r="T2" s="206"/>
      <c r="U2" s="206"/>
    </row>
    <row r="3" spans="2:21" ht="15.6" x14ac:dyDescent="0.3">
      <c r="B3" s="209"/>
      <c r="C3" s="209"/>
      <c r="D3" s="209"/>
      <c r="E3" s="209"/>
      <c r="F3" s="209"/>
      <c r="G3" s="209"/>
      <c r="H3" s="209"/>
      <c r="I3" s="209"/>
      <c r="J3" s="22"/>
      <c r="K3" s="206"/>
      <c r="L3" s="206"/>
      <c r="M3" s="210"/>
      <c r="N3" s="209"/>
      <c r="O3" s="209"/>
      <c r="P3" s="209"/>
      <c r="Q3" s="209"/>
      <c r="R3" s="209"/>
      <c r="S3" s="209"/>
      <c r="T3" s="209"/>
      <c r="U3" s="209"/>
    </row>
    <row r="4" spans="2:21" ht="66" customHeight="1" x14ac:dyDescent="0.3">
      <c r="B4" s="209"/>
      <c r="C4" s="209"/>
      <c r="D4" s="209"/>
      <c r="E4" s="209"/>
      <c r="F4" s="209"/>
      <c r="G4" s="23" t="s">
        <v>15</v>
      </c>
      <c r="H4" s="24" t="s">
        <v>1</v>
      </c>
      <c r="I4" s="25" t="s">
        <v>30</v>
      </c>
      <c r="J4" s="24" t="s">
        <v>58</v>
      </c>
      <c r="K4" s="25" t="s">
        <v>59</v>
      </c>
      <c r="L4" s="25" t="s">
        <v>60</v>
      </c>
      <c r="M4" s="24" t="s">
        <v>61</v>
      </c>
      <c r="N4" s="24" t="s">
        <v>36</v>
      </c>
      <c r="O4" s="24" t="s">
        <v>37</v>
      </c>
      <c r="P4" s="24" t="s">
        <v>31</v>
      </c>
      <c r="Q4" s="24"/>
      <c r="R4" s="23"/>
      <c r="S4" s="24"/>
      <c r="T4" s="24"/>
      <c r="U4" s="24"/>
    </row>
    <row r="5" spans="2:21" ht="15.6" x14ac:dyDescent="0.3">
      <c r="B5" s="191"/>
      <c r="C5" s="191"/>
      <c r="D5" s="191"/>
      <c r="E5" s="191"/>
      <c r="F5" s="191"/>
      <c r="G5" s="26"/>
      <c r="H5" s="26" t="s">
        <v>20</v>
      </c>
      <c r="I5" s="26" t="s">
        <v>64</v>
      </c>
      <c r="J5" s="26" t="s">
        <v>64</v>
      </c>
      <c r="K5" s="26" t="s">
        <v>64</v>
      </c>
      <c r="L5" s="26" t="s">
        <v>64</v>
      </c>
      <c r="M5" s="26" t="s">
        <v>64</v>
      </c>
      <c r="N5" s="26" t="s">
        <v>64</v>
      </c>
      <c r="O5" s="26" t="s">
        <v>64</v>
      </c>
      <c r="P5" s="26" t="s">
        <v>64</v>
      </c>
      <c r="Q5" s="23"/>
      <c r="R5" s="23"/>
      <c r="S5" s="23"/>
      <c r="T5" s="23"/>
      <c r="U5" s="23"/>
    </row>
    <row r="6" spans="2:21" ht="15.6" x14ac:dyDescent="0.3">
      <c r="B6" s="191"/>
      <c r="C6" s="28" t="s">
        <v>92</v>
      </c>
      <c r="D6" s="28"/>
      <c r="E6" s="192">
        <v>2.7E-2</v>
      </c>
      <c r="F6" s="57"/>
      <c r="G6" s="173" t="s">
        <v>22</v>
      </c>
      <c r="H6" s="173" t="s">
        <v>23</v>
      </c>
      <c r="I6" s="173" t="s">
        <v>24</v>
      </c>
      <c r="J6" s="173" t="s">
        <v>25</v>
      </c>
      <c r="K6" s="173" t="s">
        <v>26</v>
      </c>
      <c r="L6" s="173" t="s">
        <v>32</v>
      </c>
      <c r="M6" s="173" t="s">
        <v>27</v>
      </c>
      <c r="N6" s="173" t="s">
        <v>28</v>
      </c>
      <c r="O6" s="173" t="s">
        <v>40</v>
      </c>
      <c r="P6" s="173" t="s">
        <v>90</v>
      </c>
      <c r="Q6" s="27"/>
      <c r="R6" s="23"/>
      <c r="S6" s="209"/>
      <c r="T6" s="27"/>
      <c r="U6" s="23"/>
    </row>
    <row r="7" spans="2:21" ht="15.6" x14ac:dyDescent="0.3">
      <c r="B7" s="36"/>
      <c r="C7" s="28" t="s">
        <v>56</v>
      </c>
      <c r="D7" s="28"/>
      <c r="E7" s="193">
        <f>Rate_of_Return</f>
        <v>7.5999999999999998E-2</v>
      </c>
      <c r="F7" s="194"/>
      <c r="G7" s="182">
        <v>2019</v>
      </c>
      <c r="H7" s="177">
        <v>1</v>
      </c>
      <c r="I7" s="195">
        <f>'Energy Prices'!P6</f>
        <v>23.981526466666661</v>
      </c>
      <c r="J7" s="195">
        <f>I7*$E$6</f>
        <v>0.64750121459999987</v>
      </c>
      <c r="K7" s="195">
        <v>0</v>
      </c>
      <c r="L7" s="195">
        <v>0</v>
      </c>
      <c r="M7" s="195">
        <v>0</v>
      </c>
      <c r="N7" s="195">
        <f>(I7+J7+K7+L7+M7)/((1+$E$7)^H7)</f>
        <v>22.88943093054522</v>
      </c>
      <c r="O7" s="195">
        <f>N7</f>
        <v>22.88943093054522</v>
      </c>
      <c r="P7" s="195">
        <f>(-PMT($E$7,H7,(O7)))</f>
        <v>24.62902768126666</v>
      </c>
      <c r="Q7" s="196"/>
      <c r="R7" s="197"/>
      <c r="S7" s="198"/>
      <c r="T7" s="199"/>
      <c r="U7" s="199"/>
    </row>
    <row r="8" spans="2:21" ht="15.6" x14ac:dyDescent="0.3">
      <c r="B8" s="191"/>
      <c r="C8" s="28" t="s">
        <v>57</v>
      </c>
      <c r="D8" s="28"/>
      <c r="E8" s="193">
        <v>2.5000000000000001E-2</v>
      </c>
      <c r="F8" s="194"/>
      <c r="G8" s="41">
        <f>G7+1</f>
        <v>2020</v>
      </c>
      <c r="H8" s="42">
        <v>2</v>
      </c>
      <c r="I8" s="200">
        <f>'Energy Prices'!P7</f>
        <v>21.580778041666665</v>
      </c>
      <c r="J8" s="200">
        <f t="shared" ref="J8:J25" si="0">I8*$E$6</f>
        <v>0.58268100712499993</v>
      </c>
      <c r="K8" s="200">
        <f>+$K$7</f>
        <v>0</v>
      </c>
      <c r="L8" s="200">
        <v>0</v>
      </c>
      <c r="M8" s="200">
        <v>0</v>
      </c>
      <c r="N8" s="200">
        <f t="shared" ref="N8:N25" si="1">(I8+J8+K8+L8+M8)/((1+$E$7)^H8)</f>
        <v>19.143132219696785</v>
      </c>
      <c r="O8" s="200">
        <f t="shared" ref="O8:O25" si="2">N8+O7</f>
        <v>42.032563150242005</v>
      </c>
      <c r="P8" s="200">
        <f t="shared" ref="P8:P25" si="3">(-PMT($E$7,H8,(O8)))</f>
        <v>23.441374197415506</v>
      </c>
      <c r="Q8" s="196"/>
      <c r="R8" s="197"/>
      <c r="S8" s="198"/>
      <c r="T8" s="199"/>
      <c r="U8" s="199"/>
    </row>
    <row r="9" spans="2:21" ht="15.6" x14ac:dyDescent="0.3">
      <c r="B9" s="191"/>
      <c r="C9" s="28"/>
      <c r="D9" s="28"/>
      <c r="E9" s="194"/>
      <c r="F9" s="201"/>
      <c r="G9" s="41">
        <f t="shared" ref="G9:G27" si="4">G8+1</f>
        <v>2021</v>
      </c>
      <c r="H9" s="42">
        <v>3</v>
      </c>
      <c r="I9" s="200">
        <f>'Energy Prices'!P8</f>
        <v>20.296439175</v>
      </c>
      <c r="J9" s="200">
        <f t="shared" si="0"/>
        <v>0.54800385772499993</v>
      </c>
      <c r="K9" s="200">
        <f t="shared" ref="K9:K27" si="5">+$K$7</f>
        <v>0</v>
      </c>
      <c r="L9" s="200">
        <v>0</v>
      </c>
      <c r="M9" s="200">
        <v>0</v>
      </c>
      <c r="N9" s="200">
        <f t="shared" si="1"/>
        <v>16.732216726160026</v>
      </c>
      <c r="O9" s="200">
        <f t="shared" si="2"/>
        <v>58.764779876402031</v>
      </c>
      <c r="P9" s="200">
        <f t="shared" si="3"/>
        <v>22.638309555742577</v>
      </c>
      <c r="Q9" s="196"/>
      <c r="R9" s="197"/>
      <c r="S9" s="198"/>
      <c r="T9" s="199"/>
      <c r="U9" s="199"/>
    </row>
    <row r="10" spans="2:21" x14ac:dyDescent="0.25">
      <c r="B10" s="191"/>
      <c r="C10" s="191"/>
      <c r="D10" s="191"/>
      <c r="E10" s="191"/>
      <c r="F10" s="194"/>
      <c r="G10" s="41">
        <f t="shared" si="4"/>
        <v>2022</v>
      </c>
      <c r="H10" s="42">
        <v>4</v>
      </c>
      <c r="I10" s="200">
        <f>'Energy Prices'!P9</f>
        <v>19.080015383333336</v>
      </c>
      <c r="J10" s="200">
        <f t="shared" si="0"/>
        <v>0.51516041535000012</v>
      </c>
      <c r="K10" s="200">
        <f t="shared" si="5"/>
        <v>0</v>
      </c>
      <c r="L10" s="200">
        <v>0</v>
      </c>
      <c r="M10" s="200">
        <v>0</v>
      </c>
      <c r="N10" s="200">
        <f t="shared" si="1"/>
        <v>14.618407997056176</v>
      </c>
      <c r="O10" s="200">
        <f t="shared" si="2"/>
        <v>73.383187873458212</v>
      </c>
      <c r="P10" s="200">
        <f t="shared" si="3"/>
        <v>21.958969325419218</v>
      </c>
      <c r="Q10" s="196"/>
      <c r="R10" s="197"/>
      <c r="S10" s="198"/>
      <c r="T10" s="199"/>
      <c r="U10" s="199"/>
    </row>
    <row r="11" spans="2:21" x14ac:dyDescent="0.25">
      <c r="B11" s="191"/>
      <c r="C11" s="191"/>
      <c r="D11" s="191"/>
      <c r="E11" s="191"/>
      <c r="F11" s="194"/>
      <c r="G11" s="41">
        <f t="shared" si="4"/>
        <v>2023</v>
      </c>
      <c r="H11" s="42">
        <v>5</v>
      </c>
      <c r="I11" s="200">
        <f>'Energy Prices'!P10</f>
        <v>18.721724966666667</v>
      </c>
      <c r="J11" s="200">
        <f t="shared" si="0"/>
        <v>0.50548657409999997</v>
      </c>
      <c r="K11" s="200">
        <f t="shared" si="5"/>
        <v>0</v>
      </c>
      <c r="L11" s="200">
        <v>0</v>
      </c>
      <c r="M11" s="200">
        <v>0</v>
      </c>
      <c r="N11" s="200">
        <f t="shared" si="1"/>
        <v>13.330761171628472</v>
      </c>
      <c r="O11" s="200">
        <f t="shared" si="2"/>
        <v>86.713949045086679</v>
      </c>
      <c r="P11" s="200">
        <f t="shared" si="3"/>
        <v>21.48959418736375</v>
      </c>
      <c r="Q11" s="196"/>
      <c r="R11" s="197"/>
      <c r="S11" s="198"/>
      <c r="T11" s="199"/>
      <c r="U11" s="199"/>
    </row>
    <row r="12" spans="2:21" x14ac:dyDescent="0.25">
      <c r="B12" s="209"/>
      <c r="C12" s="209"/>
      <c r="D12" s="209"/>
      <c r="E12" s="209"/>
      <c r="F12" s="191"/>
      <c r="G12" s="41">
        <f t="shared" si="4"/>
        <v>2024</v>
      </c>
      <c r="H12" s="42">
        <v>6</v>
      </c>
      <c r="I12" s="200">
        <f>'Energy Prices'!P11</f>
        <v>19.571321191666669</v>
      </c>
      <c r="J12" s="200">
        <f t="shared" si="0"/>
        <v>0.52842567217500003</v>
      </c>
      <c r="K12" s="200">
        <f t="shared" si="5"/>
        <v>0</v>
      </c>
      <c r="L12" s="200">
        <v>0</v>
      </c>
      <c r="M12" s="200">
        <v>0</v>
      </c>
      <c r="N12" s="200">
        <f>(I12+J12+K12+L12+M12)/((1+$E$7)^H12)</f>
        <v>12.951407256659191</v>
      </c>
      <c r="O12" s="200">
        <f t="shared" si="2"/>
        <v>99.665356301745874</v>
      </c>
      <c r="P12" s="200">
        <f>(-PMT($E$7,H12,(O12)))</f>
        <v>21.298215985256455</v>
      </c>
      <c r="Q12" s="196"/>
      <c r="R12" s="197"/>
      <c r="S12" s="198"/>
      <c r="T12" s="199"/>
      <c r="U12" s="199"/>
    </row>
    <row r="13" spans="2:21" x14ac:dyDescent="0.25">
      <c r="B13" s="209"/>
      <c r="C13" s="209"/>
      <c r="D13" s="209"/>
      <c r="E13" s="209"/>
      <c r="F13" s="191"/>
      <c r="G13" s="41">
        <f t="shared" si="4"/>
        <v>2025</v>
      </c>
      <c r="H13" s="42">
        <v>7</v>
      </c>
      <c r="I13" s="200">
        <f>'Energy Prices'!P12</f>
        <v>20.623178365833336</v>
      </c>
      <c r="J13" s="200">
        <f t="shared" si="0"/>
        <v>0.55682581587750002</v>
      </c>
      <c r="K13" s="200">
        <f t="shared" si="5"/>
        <v>0</v>
      </c>
      <c r="L13" s="200">
        <v>0</v>
      </c>
      <c r="M13" s="200">
        <v>0</v>
      </c>
      <c r="N13" s="200">
        <f t="shared" si="1"/>
        <v>12.683530050736939</v>
      </c>
      <c r="O13" s="200">
        <f t="shared" si="2"/>
        <v>112.34888635248281</v>
      </c>
      <c r="P13" s="200">
        <f>(-PMT($E$7,H13,(O13)))</f>
        <v>21.284804532058018</v>
      </c>
      <c r="Q13" s="196"/>
      <c r="R13" s="197"/>
      <c r="S13" s="198"/>
      <c r="T13" s="199"/>
      <c r="U13" s="199"/>
    </row>
    <row r="14" spans="2:21" x14ac:dyDescent="0.25">
      <c r="B14" s="209"/>
      <c r="C14" s="209"/>
      <c r="D14" s="209"/>
      <c r="E14" s="209"/>
      <c r="F14" s="194"/>
      <c r="G14" s="41">
        <f t="shared" si="4"/>
        <v>2026</v>
      </c>
      <c r="H14" s="42">
        <v>8</v>
      </c>
      <c r="I14" s="200">
        <f>'Energy Prices'!P13</f>
        <v>22.046968616666671</v>
      </c>
      <c r="J14" s="200">
        <f t="shared" si="0"/>
        <v>0.5952681526500001</v>
      </c>
      <c r="K14" s="200">
        <f t="shared" si="5"/>
        <v>0</v>
      </c>
      <c r="L14" s="200">
        <v>0</v>
      </c>
      <c r="M14" s="200">
        <v>0</v>
      </c>
      <c r="N14" s="200">
        <f>(I14+J14+K14+L14+M14)/((1+$E$7)^H14)</f>
        <v>12.601468461995021</v>
      </c>
      <c r="O14" s="200">
        <f t="shared" si="2"/>
        <v>124.95035481447783</v>
      </c>
      <c r="P14" s="200">
        <f t="shared" si="3"/>
        <v>21.414279544753249</v>
      </c>
      <c r="Q14" s="196"/>
      <c r="R14" s="197"/>
      <c r="S14" s="198"/>
      <c r="T14" s="199"/>
      <c r="U14" s="199"/>
    </row>
    <row r="15" spans="2:21" x14ac:dyDescent="0.25">
      <c r="B15" s="209"/>
      <c r="C15" s="209"/>
      <c r="D15" s="209"/>
      <c r="E15" s="209"/>
      <c r="F15" s="191"/>
      <c r="G15" s="41">
        <f t="shared" si="4"/>
        <v>2027</v>
      </c>
      <c r="H15" s="42">
        <v>9</v>
      </c>
      <c r="I15" s="200">
        <f>'Energy Prices'!P14</f>
        <v>23.17016310833333</v>
      </c>
      <c r="J15" s="200">
        <f t="shared" si="0"/>
        <v>0.62559440392499988</v>
      </c>
      <c r="K15" s="200">
        <f t="shared" si="5"/>
        <v>0</v>
      </c>
      <c r="L15" s="200">
        <v>0</v>
      </c>
      <c r="M15" s="200">
        <v>0</v>
      </c>
      <c r="N15" s="200">
        <f t="shared" si="1"/>
        <v>12.308045489029045</v>
      </c>
      <c r="O15" s="200">
        <f t="shared" si="2"/>
        <v>137.25840030350687</v>
      </c>
      <c r="P15" s="200">
        <f t="shared" si="3"/>
        <v>21.608196468444284</v>
      </c>
      <c r="Q15" s="196"/>
      <c r="R15" s="197"/>
      <c r="S15" s="198"/>
      <c r="T15" s="199"/>
      <c r="U15" s="199"/>
    </row>
    <row r="16" spans="2:21" x14ac:dyDescent="0.25">
      <c r="B16" s="209"/>
      <c r="C16" s="209"/>
      <c r="D16" s="209"/>
      <c r="E16" s="209"/>
      <c r="F16" s="202"/>
      <c r="G16" s="41">
        <f t="shared" si="4"/>
        <v>2028</v>
      </c>
      <c r="H16" s="42">
        <v>10</v>
      </c>
      <c r="I16" s="200">
        <f>'Energy Prices'!P15</f>
        <v>23.475946774999997</v>
      </c>
      <c r="J16" s="200">
        <f t="shared" si="0"/>
        <v>0.63385056292499986</v>
      </c>
      <c r="K16" s="200">
        <f t="shared" si="5"/>
        <v>0</v>
      </c>
      <c r="L16" s="200">
        <v>0</v>
      </c>
      <c r="M16" s="200">
        <v>0</v>
      </c>
      <c r="N16" s="200">
        <f t="shared" si="1"/>
        <v>11.589664030278918</v>
      </c>
      <c r="O16" s="200">
        <f t="shared" si="2"/>
        <v>148.8480643337858</v>
      </c>
      <c r="P16" s="200">
        <f t="shared" si="3"/>
        <v>21.784188702760567</v>
      </c>
      <c r="Q16" s="196"/>
      <c r="R16" s="197"/>
      <c r="S16" s="198"/>
      <c r="T16" s="199"/>
      <c r="U16" s="199"/>
    </row>
    <row r="17" spans="2:21" x14ac:dyDescent="0.25">
      <c r="B17" s="209"/>
      <c r="C17" s="209"/>
      <c r="D17" s="209"/>
      <c r="E17" s="209"/>
      <c r="F17" s="203"/>
      <c r="G17" s="41">
        <f t="shared" si="4"/>
        <v>2029</v>
      </c>
      <c r="H17" s="42">
        <v>11</v>
      </c>
      <c r="I17" s="200">
        <f>'Energy Prices'!P16</f>
        <v>23.715382383333335</v>
      </c>
      <c r="J17" s="200">
        <f t="shared" si="0"/>
        <v>0.64031532435000005</v>
      </c>
      <c r="K17" s="200">
        <f t="shared" si="5"/>
        <v>0</v>
      </c>
      <c r="L17" s="200">
        <v>0</v>
      </c>
      <c r="M17" s="200">
        <v>0</v>
      </c>
      <c r="N17" s="200">
        <f t="shared" si="1"/>
        <v>10.880919330244046</v>
      </c>
      <c r="O17" s="200">
        <f t="shared" si="2"/>
        <v>159.72898366402984</v>
      </c>
      <c r="P17" s="200">
        <f t="shared" si="3"/>
        <v>21.94200272948823</v>
      </c>
      <c r="Q17" s="196"/>
      <c r="R17" s="197"/>
      <c r="S17" s="198"/>
      <c r="T17" s="199"/>
      <c r="U17" s="199"/>
    </row>
    <row r="18" spans="2:21" x14ac:dyDescent="0.25">
      <c r="B18" s="209"/>
      <c r="C18" s="209"/>
      <c r="D18" s="209"/>
      <c r="E18" s="209"/>
      <c r="F18" s="203"/>
      <c r="G18" s="41">
        <f t="shared" si="4"/>
        <v>2030</v>
      </c>
      <c r="H18" s="42">
        <v>12</v>
      </c>
      <c r="I18" s="200">
        <f>'Energy Prices'!P17</f>
        <v>24.138445516666668</v>
      </c>
      <c r="J18" s="200">
        <f t="shared" si="0"/>
        <v>0.65173802894999999</v>
      </c>
      <c r="K18" s="200">
        <f t="shared" si="5"/>
        <v>0</v>
      </c>
      <c r="L18" s="200">
        <v>0</v>
      </c>
      <c r="M18" s="200">
        <v>0</v>
      </c>
      <c r="N18" s="200">
        <f t="shared" si="1"/>
        <v>10.29277516853055</v>
      </c>
      <c r="O18" s="200">
        <f t="shared" si="2"/>
        <v>170.02175883256038</v>
      </c>
      <c r="P18" s="200">
        <f t="shared" si="3"/>
        <v>22.095684821163388</v>
      </c>
      <c r="Q18" s="196"/>
      <c r="R18" s="197"/>
      <c r="S18" s="198"/>
      <c r="T18" s="199"/>
      <c r="U18" s="199"/>
    </row>
    <row r="19" spans="2:21" x14ac:dyDescent="0.25">
      <c r="B19" s="209"/>
      <c r="C19" s="209"/>
      <c r="D19" s="209"/>
      <c r="E19" s="209"/>
      <c r="F19" s="203"/>
      <c r="G19" s="41">
        <f t="shared" si="4"/>
        <v>2031</v>
      </c>
      <c r="H19" s="42">
        <v>13</v>
      </c>
      <c r="I19" s="200">
        <f>'Energy Prices'!P18</f>
        <v>24.553153041666665</v>
      </c>
      <c r="J19" s="200">
        <f>I19*$E$6</f>
        <v>0.66293513212499999</v>
      </c>
      <c r="K19" s="200">
        <f t="shared" si="5"/>
        <v>0</v>
      </c>
      <c r="L19" s="200">
        <v>0</v>
      </c>
      <c r="M19" s="200">
        <v>0</v>
      </c>
      <c r="N19" s="200">
        <f t="shared" si="1"/>
        <v>9.7301197925720473</v>
      </c>
      <c r="O19" s="200">
        <f t="shared" si="2"/>
        <v>179.75187862513243</v>
      </c>
      <c r="P19" s="200">
        <f t="shared" si="3"/>
        <v>22.244690955186421</v>
      </c>
      <c r="Q19" s="196"/>
      <c r="R19" s="197"/>
      <c r="S19" s="198"/>
      <c r="T19" s="199"/>
      <c r="U19" s="199"/>
    </row>
    <row r="20" spans="2:21" x14ac:dyDescent="0.25">
      <c r="B20" s="209"/>
      <c r="C20" s="209"/>
      <c r="D20" s="209"/>
      <c r="E20" s="209"/>
      <c r="F20" s="203"/>
      <c r="G20" s="41">
        <f t="shared" si="4"/>
        <v>2032</v>
      </c>
      <c r="H20" s="42">
        <v>14</v>
      </c>
      <c r="I20" s="200">
        <f>'Energy Prices'!P19</f>
        <v>26.087492999999995</v>
      </c>
      <c r="J20" s="200">
        <f t="shared" si="0"/>
        <v>0.70436231099999991</v>
      </c>
      <c r="K20" s="200">
        <f t="shared" si="5"/>
        <v>0</v>
      </c>
      <c r="L20" s="200">
        <v>0</v>
      </c>
      <c r="M20" s="200">
        <v>0</v>
      </c>
      <c r="N20" s="200">
        <f t="shared" si="1"/>
        <v>9.6079556677332079</v>
      </c>
      <c r="O20" s="200">
        <f t="shared" si="2"/>
        <v>189.35983429286563</v>
      </c>
      <c r="P20" s="200">
        <f t="shared" si="3"/>
        <v>22.437916040197152</v>
      </c>
      <c r="Q20" s="196"/>
      <c r="R20" s="197"/>
      <c r="S20" s="198"/>
      <c r="T20" s="199"/>
      <c r="U20" s="199"/>
    </row>
    <row r="21" spans="2:21" x14ac:dyDescent="0.25">
      <c r="B21" s="209"/>
      <c r="C21" s="209"/>
      <c r="D21" s="209"/>
      <c r="E21" s="209"/>
      <c r="F21" s="203"/>
      <c r="G21" s="43">
        <f t="shared" si="4"/>
        <v>2033</v>
      </c>
      <c r="H21" s="43">
        <v>15</v>
      </c>
      <c r="I21" s="204">
        <f>'Energy Prices'!P20</f>
        <v>27.645123791666666</v>
      </c>
      <c r="J21" s="204">
        <f t="shared" si="0"/>
        <v>0.74641834237499993</v>
      </c>
      <c r="K21" s="204">
        <f t="shared" si="5"/>
        <v>0</v>
      </c>
      <c r="L21" s="204">
        <v>0</v>
      </c>
      <c r="M21" s="204">
        <v>0</v>
      </c>
      <c r="N21" s="204">
        <f>(I21+J21+K21+L21+M21)/((1+$E$7)^H21)</f>
        <v>9.4624786504781451</v>
      </c>
      <c r="O21" s="204">
        <f>N21+O20</f>
        <v>198.82231294334377</v>
      </c>
      <c r="P21" s="204">
        <f>(-PMT($E$7,H21,(O21)))</f>
        <v>22.664104755183956</v>
      </c>
      <c r="Q21" s="196"/>
      <c r="R21" s="197"/>
      <c r="S21" s="198"/>
      <c r="T21" s="199"/>
      <c r="U21" s="199"/>
    </row>
    <row r="22" spans="2:21" x14ac:dyDescent="0.25">
      <c r="B22" s="209"/>
      <c r="C22" s="209"/>
      <c r="D22" s="209"/>
      <c r="E22" s="209"/>
      <c r="F22" s="203"/>
      <c r="G22" s="41">
        <f t="shared" si="4"/>
        <v>2034</v>
      </c>
      <c r="H22" s="42">
        <v>16</v>
      </c>
      <c r="I22" s="200">
        <f>'Energy Prices'!P21</f>
        <v>29.490653850000001</v>
      </c>
      <c r="J22" s="200">
        <f t="shared" si="0"/>
        <v>0.79624765394999997</v>
      </c>
      <c r="K22" s="200">
        <f t="shared" si="5"/>
        <v>0</v>
      </c>
      <c r="L22" s="200">
        <v>0</v>
      </c>
      <c r="M22" s="200">
        <v>0</v>
      </c>
      <c r="N22" s="200">
        <f t="shared" si="1"/>
        <v>9.3812023547915331</v>
      </c>
      <c r="O22" s="200">
        <f t="shared" si="2"/>
        <v>208.2035152981353</v>
      </c>
      <c r="P22" s="200">
        <f t="shared" si="3"/>
        <v>22.924073860773518</v>
      </c>
      <c r="Q22" s="196"/>
      <c r="R22" s="197"/>
      <c r="S22" s="198"/>
      <c r="T22" s="199"/>
      <c r="U22" s="199"/>
    </row>
    <row r="23" spans="2:21" x14ac:dyDescent="0.25">
      <c r="B23" s="209"/>
      <c r="C23" s="209"/>
      <c r="D23" s="209"/>
      <c r="E23" s="209"/>
      <c r="F23" s="203"/>
      <c r="G23" s="41">
        <f t="shared" si="4"/>
        <v>2035</v>
      </c>
      <c r="H23" s="42">
        <v>17</v>
      </c>
      <c r="I23" s="200">
        <f>'Energy Prices'!P22</f>
        <v>31.577413983333333</v>
      </c>
      <c r="J23" s="200">
        <f t="shared" si="0"/>
        <v>0.85259017754999999</v>
      </c>
      <c r="K23" s="200">
        <f t="shared" si="5"/>
        <v>0</v>
      </c>
      <c r="L23" s="200">
        <v>0</v>
      </c>
      <c r="M23" s="200">
        <v>0</v>
      </c>
      <c r="N23" s="200">
        <f t="shared" si="1"/>
        <v>9.335517379229568</v>
      </c>
      <c r="O23" s="200">
        <f t="shared" si="2"/>
        <v>217.53903267736487</v>
      </c>
      <c r="P23" s="200">
        <f t="shared" si="3"/>
        <v>23.216111140296942</v>
      </c>
      <c r="Q23" s="196"/>
      <c r="R23" s="197"/>
      <c r="S23" s="198"/>
      <c r="T23" s="199"/>
      <c r="U23" s="199"/>
    </row>
    <row r="24" spans="2:21" x14ac:dyDescent="0.25">
      <c r="B24" s="209"/>
      <c r="C24" s="209"/>
      <c r="D24" s="209"/>
      <c r="E24" s="209"/>
      <c r="F24" s="203"/>
      <c r="G24" s="41">
        <f t="shared" si="4"/>
        <v>2036</v>
      </c>
      <c r="H24" s="42">
        <v>18</v>
      </c>
      <c r="I24" s="200">
        <f>'Energy Prices'!P23</f>
        <v>32.394096999999995</v>
      </c>
      <c r="J24" s="200">
        <f t="shared" si="0"/>
        <v>0.8746406189999999</v>
      </c>
      <c r="K24" s="200">
        <f t="shared" si="5"/>
        <v>0</v>
      </c>
      <c r="L24" s="200">
        <v>0</v>
      </c>
      <c r="M24" s="200">
        <v>0</v>
      </c>
      <c r="N24" s="200">
        <f t="shared" si="1"/>
        <v>8.9005211791191776</v>
      </c>
      <c r="O24" s="200">
        <f t="shared" si="2"/>
        <v>226.43955385648405</v>
      </c>
      <c r="P24" s="200">
        <f t="shared" si="3"/>
        <v>23.495162943190117</v>
      </c>
      <c r="Q24" s="196"/>
      <c r="R24" s="197"/>
      <c r="S24" s="198"/>
      <c r="T24" s="199"/>
      <c r="U24" s="199"/>
    </row>
    <row r="25" spans="2:21" x14ac:dyDescent="0.25">
      <c r="B25" s="209"/>
      <c r="C25" s="209"/>
      <c r="D25" s="209"/>
      <c r="E25" s="209"/>
      <c r="F25" s="203"/>
      <c r="G25" s="41">
        <f t="shared" si="4"/>
        <v>2037</v>
      </c>
      <c r="H25" s="42">
        <v>19</v>
      </c>
      <c r="I25" s="200">
        <f>'Energy Prices'!P24</f>
        <v>33.181295058333333</v>
      </c>
      <c r="J25" s="200">
        <f t="shared" si="0"/>
        <v>0.89589496657500001</v>
      </c>
      <c r="K25" s="200">
        <f t="shared" si="5"/>
        <v>0</v>
      </c>
      <c r="L25" s="200">
        <v>0</v>
      </c>
      <c r="M25" s="200">
        <v>0</v>
      </c>
      <c r="N25" s="200">
        <f t="shared" si="1"/>
        <v>8.4728715161681603</v>
      </c>
      <c r="O25" s="200">
        <f t="shared" si="2"/>
        <v>234.91242537265222</v>
      </c>
      <c r="P25" s="200">
        <f t="shared" si="3"/>
        <v>23.761296636294222</v>
      </c>
      <c r="Q25" s="196"/>
      <c r="R25" s="197"/>
      <c r="S25" s="198"/>
      <c r="T25" s="199"/>
      <c r="U25" s="199"/>
    </row>
    <row r="26" spans="2:21" x14ac:dyDescent="0.25">
      <c r="B26" s="209"/>
      <c r="C26" s="209"/>
      <c r="D26" s="209"/>
      <c r="E26" s="209"/>
      <c r="F26" s="203"/>
      <c r="G26" s="41">
        <f t="shared" si="4"/>
        <v>2038</v>
      </c>
      <c r="H26" s="42">
        <v>20</v>
      </c>
      <c r="I26" s="200">
        <f>'Energy Prices'!P25</f>
        <v>35.93297093333333</v>
      </c>
      <c r="J26" s="200">
        <f t="shared" ref="J26" si="6">I26*$E$6</f>
        <v>0.97019021519999993</v>
      </c>
      <c r="K26" s="200">
        <f t="shared" si="5"/>
        <v>0</v>
      </c>
      <c r="L26" s="200">
        <v>0</v>
      </c>
      <c r="M26" s="200">
        <v>0</v>
      </c>
      <c r="N26" s="200">
        <f t="shared" ref="N26" si="7">(I26+J26+K26+L26+M26)/((1+$E$7)^H26)</f>
        <v>8.5274296079662282</v>
      </c>
      <c r="O26" s="200">
        <f t="shared" ref="O26" si="8">N26+O25</f>
        <v>243.43985498061846</v>
      </c>
      <c r="P26" s="200">
        <f t="shared" ref="P26" si="9">(-PMT($E$7,H26,(O26)))</f>
        <v>24.06144892147092</v>
      </c>
      <c r="Q26" s="196"/>
      <c r="R26" s="197"/>
      <c r="S26" s="198"/>
      <c r="T26" s="199"/>
      <c r="U26" s="199"/>
    </row>
    <row r="27" spans="2:21" x14ac:dyDescent="0.25">
      <c r="C27" s="209"/>
      <c r="D27" s="209"/>
      <c r="E27" s="212"/>
      <c r="F27" s="209"/>
      <c r="G27" s="41">
        <f t="shared" si="4"/>
        <v>2039</v>
      </c>
      <c r="H27" s="40">
        <v>21</v>
      </c>
      <c r="I27" s="200">
        <f>'Energy Prices'!P26</f>
        <v>36.909455291666667</v>
      </c>
      <c r="J27" s="200">
        <f>I27*$E$6</f>
        <v>0.996555292875</v>
      </c>
      <c r="K27" s="200">
        <f t="shared" si="5"/>
        <v>0</v>
      </c>
      <c r="L27" s="200">
        <v>0</v>
      </c>
      <c r="M27" s="200">
        <v>0</v>
      </c>
      <c r="N27" s="200">
        <f>(I27+J27+K27+L27+M27)/((1+$E$7)^H27)</f>
        <v>8.140486897179704</v>
      </c>
      <c r="O27" s="200">
        <f>N27+O26</f>
        <v>251.58034187779816</v>
      </c>
      <c r="P27" s="200">
        <f>(-PMT($E$7,H27,(O27)))</f>
        <v>24.349208412079477</v>
      </c>
      <c r="Q27" s="196"/>
      <c r="R27" s="197"/>
      <c r="S27" s="198"/>
      <c r="T27" s="199"/>
      <c r="U27" s="199"/>
    </row>
    <row r="28" spans="2:21" x14ac:dyDescent="0.25">
      <c r="C28" s="209"/>
      <c r="D28" s="209"/>
      <c r="E28" s="212"/>
      <c r="F28" s="209"/>
      <c r="G28" s="41"/>
      <c r="H28" s="40"/>
      <c r="I28" s="209"/>
      <c r="J28" s="209"/>
      <c r="K28" s="209"/>
      <c r="L28" s="209"/>
      <c r="M28" s="209"/>
      <c r="N28" s="209"/>
      <c r="O28" s="209"/>
      <c r="P28" s="209"/>
      <c r="Q28" s="196"/>
      <c r="R28" s="197"/>
      <c r="S28" s="198"/>
      <c r="T28" s="199"/>
      <c r="U28" s="199"/>
    </row>
    <row r="29" spans="2:21" ht="15.6" x14ac:dyDescent="0.3">
      <c r="B29" s="28" t="s">
        <v>25</v>
      </c>
      <c r="C29" s="59" t="s">
        <v>93</v>
      </c>
      <c r="D29" s="209"/>
      <c r="E29" s="212"/>
      <c r="F29" s="209"/>
      <c r="H29" s="209"/>
      <c r="I29" s="209"/>
      <c r="J29" s="209"/>
      <c r="K29" s="209"/>
      <c r="L29" s="209"/>
      <c r="M29" s="209"/>
      <c r="N29" s="209"/>
      <c r="O29" s="209"/>
      <c r="P29" s="209"/>
      <c r="Q29" s="196"/>
      <c r="R29" s="197"/>
      <c r="S29" s="198"/>
      <c r="T29" s="199"/>
      <c r="U29" s="199"/>
    </row>
    <row r="30" spans="2:21" ht="15.6" x14ac:dyDescent="0.3">
      <c r="B30" s="28"/>
      <c r="C30" s="63" t="s">
        <v>94</v>
      </c>
      <c r="D30" s="209"/>
      <c r="E30" s="212"/>
      <c r="F30" s="209"/>
      <c r="H30" s="209"/>
      <c r="I30" s="209"/>
      <c r="J30" s="209"/>
      <c r="K30" s="209"/>
      <c r="L30" s="209"/>
      <c r="M30" s="209"/>
      <c r="N30" s="209"/>
      <c r="O30" s="209"/>
      <c r="P30" s="209"/>
      <c r="Q30" s="196"/>
      <c r="R30" s="197"/>
      <c r="S30" s="198"/>
      <c r="T30" s="199"/>
      <c r="U30" s="199"/>
    </row>
    <row r="31" spans="2:21" ht="15.6" x14ac:dyDescent="0.3">
      <c r="B31" s="28" t="s">
        <v>26</v>
      </c>
      <c r="C31" s="59" t="s">
        <v>170</v>
      </c>
      <c r="D31" s="59"/>
      <c r="F31" s="209"/>
      <c r="Q31" s="209"/>
      <c r="R31" s="209"/>
      <c r="S31" s="209"/>
      <c r="T31" s="209"/>
      <c r="U31" s="209"/>
    </row>
    <row r="32" spans="2:21" ht="15.6" x14ac:dyDescent="0.3">
      <c r="B32" s="22" t="s">
        <v>32</v>
      </c>
      <c r="C32" s="211" t="s">
        <v>41</v>
      </c>
    </row>
    <row r="33" spans="2:3" ht="15.6" x14ac:dyDescent="0.3">
      <c r="B33" s="28" t="s">
        <v>27</v>
      </c>
      <c r="C33" s="211" t="s">
        <v>65</v>
      </c>
    </row>
  </sheetData>
  <phoneticPr fontId="13" type="noConversion"/>
  <hyperlinks>
    <hyperlink ref="C30" r:id="rId1"/>
  </hyperlinks>
  <pageMargins left="0.75" right="0.5" top="0.76" bottom="0.79" header="0.5" footer="0.26"/>
  <pageSetup scale="63" orientation="landscape" r:id="rId2"/>
  <headerFooter alignWithMargins="0">
    <oddFooter>&amp;L&amp;F&amp;C&amp;A&amp;RPSE Advice No. 2018-48 &amp;D
Page &amp;P of &amp;N</oddFooter>
  </headerFooter>
  <customProperties>
    <customPr name="_pios_id" r:id="rId3"/>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X30"/>
  <sheetViews>
    <sheetView topLeftCell="D1" zoomScale="75" zoomScaleNormal="75" workbookViewId="0">
      <selection activeCell="L16" sqref="L16"/>
    </sheetView>
  </sheetViews>
  <sheetFormatPr defaultColWidth="9.109375" defaultRowHeight="15" x14ac:dyDescent="0.25"/>
  <cols>
    <col min="1" max="1" width="2.6640625" style="35" customWidth="1"/>
    <col min="2" max="2" width="25.6640625" style="35" customWidth="1"/>
    <col min="3" max="3" width="17.44140625" style="35" customWidth="1"/>
    <col min="4" max="4" width="15.5546875" style="35" customWidth="1"/>
    <col min="5" max="5" width="2.6640625" style="35" customWidth="1"/>
    <col min="6" max="6" width="9.6640625" style="35" customWidth="1"/>
    <col min="7" max="7" width="16.6640625" style="35" customWidth="1"/>
    <col min="8" max="8" width="16.44140625" style="50" customWidth="1"/>
    <col min="9" max="9" width="18.5546875" style="35" customWidth="1"/>
    <col min="10" max="10" width="19" style="35" customWidth="1"/>
    <col min="11" max="13" width="22.33203125" style="35" customWidth="1"/>
    <col min="14" max="14" width="2.6640625" style="35" customWidth="1"/>
    <col min="15" max="15" width="16.44140625" style="50" customWidth="1"/>
    <col min="16" max="16" width="16.6640625" style="180" customWidth="1"/>
    <col min="17" max="17" width="18.5546875" style="35" customWidth="1"/>
    <col min="18" max="18" width="19" style="35" customWidth="1"/>
    <col min="19" max="21" width="22.33203125" style="35" customWidth="1"/>
    <col min="22" max="22" width="2.6640625" style="35" customWidth="1"/>
    <col min="23" max="24" width="22.33203125" style="35" customWidth="1"/>
    <col min="25" max="16384" width="9.109375" style="35"/>
  </cols>
  <sheetData>
    <row r="1" spans="1:24" x14ac:dyDescent="0.25">
      <c r="B1" s="14"/>
    </row>
    <row r="3" spans="1:24" ht="16.2" thickBot="1" x14ac:dyDescent="0.35">
      <c r="H3" s="176" t="s">
        <v>54</v>
      </c>
    </row>
    <row r="4" spans="1:24" ht="62.4" x14ac:dyDescent="0.3">
      <c r="F4" s="15" t="s">
        <v>15</v>
      </c>
      <c r="G4" s="16" t="s">
        <v>1</v>
      </c>
      <c r="H4" s="17" t="s">
        <v>16</v>
      </c>
      <c r="I4" s="16" t="s">
        <v>17</v>
      </c>
      <c r="J4" s="16" t="s">
        <v>18</v>
      </c>
      <c r="K4" s="3" t="s">
        <v>19</v>
      </c>
      <c r="L4" s="3" t="s">
        <v>19</v>
      </c>
      <c r="M4" s="3" t="s">
        <v>19</v>
      </c>
      <c r="O4" s="17" t="s">
        <v>91</v>
      </c>
      <c r="P4" s="17" t="s">
        <v>61</v>
      </c>
      <c r="Q4" s="16" t="s">
        <v>17</v>
      </c>
      <c r="R4" s="16" t="s">
        <v>18</v>
      </c>
      <c r="S4" s="3" t="s">
        <v>19</v>
      </c>
      <c r="T4" s="3" t="s">
        <v>19</v>
      </c>
      <c r="U4" s="3" t="s">
        <v>19</v>
      </c>
      <c r="W4" s="322" t="s">
        <v>19</v>
      </c>
      <c r="X4" s="323" t="s">
        <v>19</v>
      </c>
    </row>
    <row r="5" spans="1:24" ht="15.6" x14ac:dyDescent="0.3">
      <c r="B5" s="56"/>
      <c r="C5" s="56"/>
      <c r="F5" s="18"/>
      <c r="G5" s="18" t="s">
        <v>20</v>
      </c>
      <c r="H5" s="19" t="s">
        <v>35</v>
      </c>
      <c r="I5" s="18" t="s">
        <v>35</v>
      </c>
      <c r="J5" s="18" t="s">
        <v>35</v>
      </c>
      <c r="K5" s="4" t="s">
        <v>35</v>
      </c>
      <c r="L5" s="4" t="s">
        <v>38</v>
      </c>
      <c r="M5" s="4" t="s">
        <v>39</v>
      </c>
      <c r="O5" s="19" t="s">
        <v>35</v>
      </c>
      <c r="P5" s="19" t="s">
        <v>35</v>
      </c>
      <c r="Q5" s="18" t="s">
        <v>35</v>
      </c>
      <c r="R5" s="18" t="s">
        <v>35</v>
      </c>
      <c r="S5" s="4" t="s">
        <v>35</v>
      </c>
      <c r="T5" s="4" t="s">
        <v>38</v>
      </c>
      <c r="U5" s="4" t="s">
        <v>39</v>
      </c>
      <c r="W5" s="324" t="s">
        <v>38</v>
      </c>
      <c r="X5" s="325" t="s">
        <v>39</v>
      </c>
    </row>
    <row r="6" spans="1:24" ht="15.6" x14ac:dyDescent="0.3">
      <c r="A6" s="181"/>
      <c r="B6" s="181"/>
      <c r="C6" s="174" t="s">
        <v>21</v>
      </c>
      <c r="D6" s="215">
        <v>0</v>
      </c>
      <c r="E6" s="51"/>
      <c r="F6" s="179" t="s">
        <v>22</v>
      </c>
      <c r="G6" s="179" t="s">
        <v>23</v>
      </c>
      <c r="H6" s="179" t="s">
        <v>24</v>
      </c>
      <c r="I6" s="179" t="s">
        <v>32</v>
      </c>
      <c r="J6" s="179" t="s">
        <v>27</v>
      </c>
      <c r="K6" s="179" t="s">
        <v>28</v>
      </c>
      <c r="L6" s="179" t="s">
        <v>40</v>
      </c>
      <c r="M6" s="179" t="s">
        <v>90</v>
      </c>
      <c r="O6" s="179" t="s">
        <v>25</v>
      </c>
      <c r="P6" s="179" t="s">
        <v>26</v>
      </c>
      <c r="Q6" s="179" t="s">
        <v>32</v>
      </c>
      <c r="R6" s="179" t="s">
        <v>27</v>
      </c>
      <c r="S6" s="179" t="s">
        <v>28</v>
      </c>
      <c r="T6" s="179" t="s">
        <v>40</v>
      </c>
      <c r="U6" s="179" t="s">
        <v>90</v>
      </c>
      <c r="W6" s="326" t="s">
        <v>40</v>
      </c>
      <c r="X6" s="327" t="s">
        <v>90</v>
      </c>
    </row>
    <row r="7" spans="1:24" ht="15.6" x14ac:dyDescent="0.3">
      <c r="A7" s="181"/>
      <c r="B7" s="56"/>
      <c r="C7" s="20" t="s">
        <v>29</v>
      </c>
      <c r="D7" s="52">
        <v>0</v>
      </c>
      <c r="E7" s="53"/>
      <c r="F7" s="182">
        <v>2019</v>
      </c>
      <c r="G7" s="177">
        <v>1</v>
      </c>
      <c r="H7" s="183">
        <f>'Capacity Delivered'!H8</f>
        <v>72.400000000000006</v>
      </c>
      <c r="I7" s="33">
        <f t="shared" ref="I7:I27" si="0">SUM(H7)/((1+$D$8)^G7)</f>
        <v>67.286245353159856</v>
      </c>
      <c r="J7" s="178">
        <f>I7</f>
        <v>67.286245353159856</v>
      </c>
      <c r="K7" s="178">
        <f t="shared" ref="K7:K27" si="1">(-PMT($D$8,G7,(J7)))</f>
        <v>72.400000000000006</v>
      </c>
      <c r="L7" s="178">
        <f>+K7/'Capacity Delivered'!O8*1000</f>
        <v>8.2648401826484026</v>
      </c>
      <c r="M7" s="319">
        <f t="shared" ref="M7:M27" si="2">L7/1000</f>
        <v>8.2648401826484023E-3</v>
      </c>
      <c r="O7" s="190">
        <f>D13</f>
        <v>0</v>
      </c>
      <c r="P7" s="190">
        <f t="shared" ref="P7:P27" si="3">(H7+O7)*$D$7</f>
        <v>0</v>
      </c>
      <c r="Q7" s="190">
        <f t="shared" ref="Q7:Q27" si="4">SUM(O7:P7)/((1+$D$8)^G7)</f>
        <v>0</v>
      </c>
      <c r="R7" s="190">
        <f>Q7</f>
        <v>0</v>
      </c>
      <c r="S7" s="190">
        <f t="shared" ref="S7:S27" si="5">(-PMT($D$8,G7,(R7)))</f>
        <v>0</v>
      </c>
      <c r="T7" s="178">
        <f>+S7/'Capacity Delivered'!M7*1000</f>
        <v>0</v>
      </c>
      <c r="U7" s="319">
        <f t="shared" ref="U7:U20" si="6">T7/1000</f>
        <v>0</v>
      </c>
      <c r="W7" s="328">
        <f>L7+T7</f>
        <v>8.2648401826484026</v>
      </c>
      <c r="X7" s="329">
        <f t="shared" ref="X7:X20" si="7">W7/1000</f>
        <v>8.2648401826484023E-3</v>
      </c>
    </row>
    <row r="8" spans="1:24" ht="15.6" x14ac:dyDescent="0.3">
      <c r="A8" s="181"/>
      <c r="B8" s="56"/>
      <c r="C8" s="20" t="s">
        <v>33</v>
      </c>
      <c r="D8" s="52">
        <f>Rate_of_Return</f>
        <v>7.5999999999999998E-2</v>
      </c>
      <c r="E8" s="53"/>
      <c r="F8" s="41">
        <f>F7+1</f>
        <v>2020</v>
      </c>
      <c r="G8" s="42">
        <v>2</v>
      </c>
      <c r="H8" s="183">
        <f>'Capacity Delivered'!H9</f>
        <v>72.400000000000006</v>
      </c>
      <c r="I8" s="44">
        <f t="shared" si="0"/>
        <v>62.53368527245339</v>
      </c>
      <c r="J8" s="45">
        <f t="shared" ref="J8:J26" si="8">J7+I8</f>
        <v>129.81993062561324</v>
      </c>
      <c r="K8" s="45">
        <f t="shared" si="1"/>
        <v>72.400000000000006</v>
      </c>
      <c r="L8" s="45">
        <f>+K8/'Capacity Delivered'!O9*1000</f>
        <v>8.2422586520947192</v>
      </c>
      <c r="M8" s="320">
        <f t="shared" si="2"/>
        <v>8.2422586520947191E-3</v>
      </c>
      <c r="O8" s="183">
        <f t="shared" ref="O8:O27" si="9">O7+(O7*$D$9)</f>
        <v>0</v>
      </c>
      <c r="P8" s="183">
        <f t="shared" si="3"/>
        <v>0</v>
      </c>
      <c r="Q8" s="183">
        <f t="shared" si="4"/>
        <v>0</v>
      </c>
      <c r="R8" s="183">
        <f t="shared" ref="R8:R12" si="10">R7+Q8</f>
        <v>0</v>
      </c>
      <c r="S8" s="183">
        <f t="shared" si="5"/>
        <v>0</v>
      </c>
      <c r="T8" s="45">
        <f>+S8/'Capacity Delivered'!M8*1000</f>
        <v>0</v>
      </c>
      <c r="U8" s="320">
        <f t="shared" si="6"/>
        <v>0</v>
      </c>
      <c r="W8" s="328">
        <f t="shared" ref="W8:W27" si="11">L8+T8</f>
        <v>8.2422586520947192</v>
      </c>
      <c r="X8" s="329">
        <f t="shared" si="7"/>
        <v>8.2422586520947191E-3</v>
      </c>
    </row>
    <row r="9" spans="1:24" ht="15.6" x14ac:dyDescent="0.3">
      <c r="A9" s="181"/>
      <c r="B9" s="56"/>
      <c r="C9" s="20" t="s">
        <v>34</v>
      </c>
      <c r="D9" s="52">
        <v>2.5000000000000001E-2</v>
      </c>
      <c r="E9" s="55"/>
      <c r="F9" s="41">
        <f t="shared" ref="F9:F27" si="12">F8+1</f>
        <v>2021</v>
      </c>
      <c r="G9" s="42">
        <v>3</v>
      </c>
      <c r="H9" s="183">
        <f>'Capacity Delivered'!H10</f>
        <v>72.400000000000006</v>
      </c>
      <c r="I9" s="44">
        <f t="shared" si="0"/>
        <v>58.116807874027309</v>
      </c>
      <c r="J9" s="45">
        <f t="shared" si="8"/>
        <v>187.93673849964054</v>
      </c>
      <c r="K9" s="45">
        <f t="shared" si="1"/>
        <v>72.399999999999977</v>
      </c>
      <c r="L9" s="45">
        <f>+K9/'Capacity Delivered'!O10*1000</f>
        <v>8.264840182648399</v>
      </c>
      <c r="M9" s="320">
        <f t="shared" si="2"/>
        <v>8.2648401826483989E-3</v>
      </c>
      <c r="O9" s="183">
        <f t="shared" si="9"/>
        <v>0</v>
      </c>
      <c r="P9" s="183">
        <f t="shared" si="3"/>
        <v>0</v>
      </c>
      <c r="Q9" s="183">
        <f t="shared" si="4"/>
        <v>0</v>
      </c>
      <c r="R9" s="183">
        <f t="shared" si="10"/>
        <v>0</v>
      </c>
      <c r="S9" s="183">
        <f t="shared" si="5"/>
        <v>0</v>
      </c>
      <c r="T9" s="45">
        <f>+S9/'Capacity Delivered'!M9*1000</f>
        <v>0</v>
      </c>
      <c r="U9" s="320">
        <f t="shared" si="6"/>
        <v>0</v>
      </c>
      <c r="W9" s="328">
        <f t="shared" si="11"/>
        <v>8.264840182648399</v>
      </c>
      <c r="X9" s="329">
        <f t="shared" si="7"/>
        <v>8.2648401826483989E-3</v>
      </c>
    </row>
    <row r="10" spans="1:24" ht="15.6" x14ac:dyDescent="0.3">
      <c r="B10" s="56"/>
      <c r="C10" s="20"/>
      <c r="D10" s="57"/>
      <c r="E10" s="53"/>
      <c r="F10" s="41">
        <f t="shared" si="12"/>
        <v>2022</v>
      </c>
      <c r="G10" s="42">
        <v>4</v>
      </c>
      <c r="H10" s="183">
        <f>'Capacity Delivered'!H11</f>
        <v>72.400000000000006</v>
      </c>
      <c r="I10" s="44">
        <f t="shared" si="0"/>
        <v>54.011903228649921</v>
      </c>
      <c r="J10" s="45">
        <f t="shared" si="8"/>
        <v>241.94864172829045</v>
      </c>
      <c r="K10" s="45">
        <f t="shared" si="1"/>
        <v>72.399999999999991</v>
      </c>
      <c r="L10" s="45">
        <f>+K10/'Capacity Delivered'!O11*1000</f>
        <v>8.2648401826484008</v>
      </c>
      <c r="M10" s="320">
        <f t="shared" si="2"/>
        <v>8.2648401826484006E-3</v>
      </c>
      <c r="O10" s="183">
        <f t="shared" si="9"/>
        <v>0</v>
      </c>
      <c r="P10" s="183">
        <f t="shared" si="3"/>
        <v>0</v>
      </c>
      <c r="Q10" s="183">
        <f t="shared" si="4"/>
        <v>0</v>
      </c>
      <c r="R10" s="183">
        <f t="shared" si="10"/>
        <v>0</v>
      </c>
      <c r="S10" s="183">
        <f t="shared" si="5"/>
        <v>0</v>
      </c>
      <c r="T10" s="45">
        <f>+S10/'Capacity Delivered'!M10*1000</f>
        <v>0</v>
      </c>
      <c r="U10" s="320">
        <f t="shared" si="6"/>
        <v>0</v>
      </c>
      <c r="W10" s="328">
        <f t="shared" si="11"/>
        <v>8.2648401826484008</v>
      </c>
      <c r="X10" s="329">
        <f t="shared" si="7"/>
        <v>8.2648401826484006E-3</v>
      </c>
    </row>
    <row r="11" spans="1:24" ht="15.6" x14ac:dyDescent="0.3">
      <c r="B11" s="56"/>
      <c r="C11" s="20" t="str">
        <f>C6</f>
        <v>Deferred T&amp;D Cost Credit ($/kw-yr) (4):</v>
      </c>
      <c r="D11" s="218" t="s">
        <v>55</v>
      </c>
      <c r="E11" s="53"/>
      <c r="F11" s="43">
        <f t="shared" si="12"/>
        <v>2023</v>
      </c>
      <c r="G11" s="43">
        <v>5</v>
      </c>
      <c r="H11" s="186">
        <f>'Capacity Delivered'!H12</f>
        <v>93</v>
      </c>
      <c r="I11" s="46">
        <f t="shared" si="0"/>
        <v>64.479489723865271</v>
      </c>
      <c r="J11" s="47">
        <f t="shared" si="8"/>
        <v>306.42813145215575</v>
      </c>
      <c r="K11" s="47">
        <f t="shared" si="1"/>
        <v>75.939526051052283</v>
      </c>
      <c r="L11" s="47">
        <f>+K11/'Capacity Delivered'!O12*1000</f>
        <v>8.6688956679283429</v>
      </c>
      <c r="M11" s="321">
        <f t="shared" si="2"/>
        <v>8.6688956679283422E-3</v>
      </c>
      <c r="N11" s="187"/>
      <c r="O11" s="186">
        <f t="shared" si="9"/>
        <v>0</v>
      </c>
      <c r="P11" s="186">
        <f t="shared" si="3"/>
        <v>0</v>
      </c>
      <c r="Q11" s="186">
        <f t="shared" si="4"/>
        <v>0</v>
      </c>
      <c r="R11" s="186">
        <f t="shared" si="10"/>
        <v>0</v>
      </c>
      <c r="S11" s="186">
        <f t="shared" si="5"/>
        <v>0</v>
      </c>
      <c r="T11" s="47">
        <f>+S11/'Capacity Delivered'!M11*1000</f>
        <v>0</v>
      </c>
      <c r="U11" s="321">
        <f t="shared" si="6"/>
        <v>0</v>
      </c>
      <c r="V11" s="187"/>
      <c r="W11" s="330">
        <f t="shared" si="11"/>
        <v>8.6688956679283429</v>
      </c>
      <c r="X11" s="331">
        <f t="shared" si="7"/>
        <v>8.6688956679283422E-3</v>
      </c>
    </row>
    <row r="12" spans="1:24" ht="15.6" x14ac:dyDescent="0.3">
      <c r="B12" s="34"/>
      <c r="C12" s="217">
        <v>2012</v>
      </c>
      <c r="D12" s="33">
        <f>D6</f>
        <v>0</v>
      </c>
      <c r="E12" s="53"/>
      <c r="F12" s="41">
        <f t="shared" si="12"/>
        <v>2024</v>
      </c>
      <c r="G12" s="42">
        <v>6</v>
      </c>
      <c r="H12" s="183">
        <f>'Capacity Delivered'!H13</f>
        <v>93</v>
      </c>
      <c r="I12" s="44">
        <f t="shared" si="0"/>
        <v>59.925176323294849</v>
      </c>
      <c r="J12" s="45">
        <f t="shared" si="8"/>
        <v>366.35330777545062</v>
      </c>
      <c r="K12" s="45">
        <f t="shared" si="1"/>
        <v>78.288706983511759</v>
      </c>
      <c r="L12" s="45">
        <f>+K12/'Capacity Delivered'!O13*1000</f>
        <v>8.9126487913833969</v>
      </c>
      <c r="M12" s="320">
        <f t="shared" si="2"/>
        <v>8.9126487913833968E-3</v>
      </c>
      <c r="O12" s="183">
        <f t="shared" si="9"/>
        <v>0</v>
      </c>
      <c r="P12" s="183">
        <f t="shared" si="3"/>
        <v>0</v>
      </c>
      <c r="Q12" s="183">
        <f t="shared" si="4"/>
        <v>0</v>
      </c>
      <c r="R12" s="183">
        <f t="shared" si="10"/>
        <v>0</v>
      </c>
      <c r="S12" s="183">
        <f t="shared" si="5"/>
        <v>0</v>
      </c>
      <c r="T12" s="45">
        <f>+S12/'Capacity Delivered'!M12*1000</f>
        <v>0</v>
      </c>
      <c r="U12" s="320">
        <f t="shared" si="6"/>
        <v>0</v>
      </c>
      <c r="W12" s="328">
        <f t="shared" si="11"/>
        <v>8.9126487913833969</v>
      </c>
      <c r="X12" s="329">
        <f t="shared" si="7"/>
        <v>8.9126487913833968E-3</v>
      </c>
    </row>
    <row r="13" spans="1:24" ht="15.6" x14ac:dyDescent="0.3">
      <c r="B13" s="34"/>
      <c r="C13" s="175">
        <f>F7</f>
        <v>2019</v>
      </c>
      <c r="D13" s="216">
        <f>D12*((1+$D$9)^($C$13-$C$12))</f>
        <v>0</v>
      </c>
      <c r="E13" s="53"/>
      <c r="F13" s="41">
        <f t="shared" si="12"/>
        <v>2025</v>
      </c>
      <c r="G13" s="42">
        <v>7</v>
      </c>
      <c r="H13" s="183">
        <f>'Capacity Delivered'!H14</f>
        <v>80</v>
      </c>
      <c r="I13" s="44">
        <f t="shared" si="0"/>
        <v>47.907563915173561</v>
      </c>
      <c r="J13" s="45">
        <f>J12+I13</f>
        <v>414.26087169062419</v>
      </c>
      <c r="K13" s="45">
        <f t="shared" si="1"/>
        <v>78.482857867865675</v>
      </c>
      <c r="L13" s="45">
        <f>+K13/'Capacity Delivered'!O14*1000</f>
        <v>8.9592303502129766</v>
      </c>
      <c r="M13" s="320">
        <f t="shared" si="2"/>
        <v>8.959230350212977E-3</v>
      </c>
      <c r="O13" s="183">
        <f>O12+(O12*$D$9)</f>
        <v>0</v>
      </c>
      <c r="P13" s="183">
        <f t="shared" si="3"/>
        <v>0</v>
      </c>
      <c r="Q13" s="183">
        <f t="shared" si="4"/>
        <v>0</v>
      </c>
      <c r="R13" s="183">
        <f>R12+Q13</f>
        <v>0</v>
      </c>
      <c r="S13" s="183">
        <f t="shared" si="5"/>
        <v>0</v>
      </c>
      <c r="T13" s="45">
        <f>+S13/'Capacity Delivered'!M13*1000</f>
        <v>0</v>
      </c>
      <c r="U13" s="320">
        <f t="shared" si="6"/>
        <v>0</v>
      </c>
      <c r="W13" s="328">
        <f t="shared" si="11"/>
        <v>8.9592303502129766</v>
      </c>
      <c r="X13" s="329">
        <f t="shared" si="7"/>
        <v>8.959230350212977E-3</v>
      </c>
    </row>
    <row r="14" spans="1:24" x14ac:dyDescent="0.25">
      <c r="B14" s="34"/>
      <c r="C14" s="184"/>
      <c r="D14" s="184"/>
      <c r="E14" s="53"/>
      <c r="F14" s="41">
        <f t="shared" si="12"/>
        <v>2026</v>
      </c>
      <c r="G14" s="42">
        <v>8</v>
      </c>
      <c r="H14" s="183">
        <f>'Capacity Delivered'!H15</f>
        <v>80</v>
      </c>
      <c r="I14" s="44">
        <f t="shared" si="0"/>
        <v>44.523758285477285</v>
      </c>
      <c r="J14" s="45">
        <f t="shared" si="8"/>
        <v>458.78462997610148</v>
      </c>
      <c r="K14" s="45">
        <f t="shared" si="1"/>
        <v>78.627566378115333</v>
      </c>
      <c r="L14" s="45">
        <f>+K14/'Capacity Delivered'!O15*1000</f>
        <v>8.9757495865428449</v>
      </c>
      <c r="M14" s="320">
        <f t="shared" si="2"/>
        <v>8.9757495865428454E-3</v>
      </c>
      <c r="O14" s="183">
        <f t="shared" si="9"/>
        <v>0</v>
      </c>
      <c r="P14" s="183">
        <f t="shared" si="3"/>
        <v>0</v>
      </c>
      <c r="Q14" s="183">
        <f t="shared" si="4"/>
        <v>0</v>
      </c>
      <c r="R14" s="183">
        <f t="shared" ref="R14:R20" si="13">R13+Q14</f>
        <v>0</v>
      </c>
      <c r="S14" s="183">
        <f t="shared" si="5"/>
        <v>0</v>
      </c>
      <c r="T14" s="45">
        <f>+S14/'Capacity Delivered'!M14*1000</f>
        <v>0</v>
      </c>
      <c r="U14" s="320">
        <f t="shared" si="6"/>
        <v>0</v>
      </c>
      <c r="W14" s="328">
        <f t="shared" si="11"/>
        <v>8.9757495865428449</v>
      </c>
      <c r="X14" s="329">
        <f t="shared" si="7"/>
        <v>8.9757495865428454E-3</v>
      </c>
    </row>
    <row r="15" spans="1:24" x14ac:dyDescent="0.25">
      <c r="B15" s="184"/>
      <c r="C15" s="185"/>
      <c r="D15" s="185"/>
      <c r="E15" s="53"/>
      <c r="F15" s="41">
        <f t="shared" si="12"/>
        <v>2027</v>
      </c>
      <c r="G15" s="42">
        <v>9</v>
      </c>
      <c r="H15" s="183">
        <f>'Capacity Delivered'!H16</f>
        <v>80.477938899565444</v>
      </c>
      <c r="I15" s="44">
        <f t="shared" si="0"/>
        <v>41.626165182128965</v>
      </c>
      <c r="J15" s="45">
        <f t="shared" si="8"/>
        <v>500.41079515823043</v>
      </c>
      <c r="K15" s="45">
        <f t="shared" si="1"/>
        <v>78.778236907903135</v>
      </c>
      <c r="L15" s="45">
        <f>+K15/'Capacity Delivered'!O16*1000</f>
        <v>8.9929494187104027</v>
      </c>
      <c r="M15" s="320">
        <f t="shared" si="2"/>
        <v>8.9929494187104032E-3</v>
      </c>
      <c r="O15" s="183">
        <f t="shared" si="9"/>
        <v>0</v>
      </c>
      <c r="P15" s="183">
        <f t="shared" si="3"/>
        <v>0</v>
      </c>
      <c r="Q15" s="183">
        <f t="shared" si="4"/>
        <v>0</v>
      </c>
      <c r="R15" s="183">
        <f t="shared" si="13"/>
        <v>0</v>
      </c>
      <c r="S15" s="183">
        <f t="shared" si="5"/>
        <v>0</v>
      </c>
      <c r="T15" s="45">
        <f>+S15/'Capacity Delivered'!M15*1000</f>
        <v>0</v>
      </c>
      <c r="U15" s="320">
        <f t="shared" si="6"/>
        <v>0</v>
      </c>
      <c r="W15" s="328">
        <f t="shared" si="11"/>
        <v>8.9929494187104027</v>
      </c>
      <c r="X15" s="329">
        <f t="shared" si="7"/>
        <v>8.9929494187104032E-3</v>
      </c>
    </row>
    <row r="16" spans="1:24" x14ac:dyDescent="0.25">
      <c r="B16" s="184"/>
      <c r="C16" s="185"/>
      <c r="D16" s="185"/>
      <c r="E16" s="53"/>
      <c r="F16" s="43">
        <f t="shared" si="12"/>
        <v>2028</v>
      </c>
      <c r="G16" s="43">
        <v>10</v>
      </c>
      <c r="H16" s="186">
        <f>'Capacity Delivered'!H17</f>
        <v>80.477938899565444</v>
      </c>
      <c r="I16" s="46">
        <f>SUM(H16)/((1+$D$8)^G16)</f>
        <v>38.686027120937702</v>
      </c>
      <c r="J16" s="47">
        <f>J15+I16</f>
        <v>539.09682227916812</v>
      </c>
      <c r="K16" s="47">
        <f>(-PMT($D$8,G16,(J16)))</f>
        <v>78.897814077400454</v>
      </c>
      <c r="L16" s="47">
        <f>+K16/'Capacity Delivered'!O17*1000</f>
        <v>8.981991584403513</v>
      </c>
      <c r="M16" s="321">
        <f t="shared" si="2"/>
        <v>8.9819915844035134E-3</v>
      </c>
      <c r="N16" s="187"/>
      <c r="O16" s="186">
        <f t="shared" si="9"/>
        <v>0</v>
      </c>
      <c r="P16" s="186">
        <f t="shared" si="3"/>
        <v>0</v>
      </c>
      <c r="Q16" s="186">
        <f t="shared" si="4"/>
        <v>0</v>
      </c>
      <c r="R16" s="186">
        <f t="shared" si="13"/>
        <v>0</v>
      </c>
      <c r="S16" s="186">
        <f t="shared" si="5"/>
        <v>0</v>
      </c>
      <c r="T16" s="47">
        <f>+S16/'Capacity Delivered'!M16*1000</f>
        <v>0</v>
      </c>
      <c r="U16" s="321">
        <f t="shared" si="6"/>
        <v>0</v>
      </c>
      <c r="V16" s="187"/>
      <c r="W16" s="330">
        <f t="shared" si="11"/>
        <v>8.981991584403513</v>
      </c>
      <c r="X16" s="331">
        <f t="shared" si="7"/>
        <v>8.9819915844035134E-3</v>
      </c>
    </row>
    <row r="17" spans="2:24" x14ac:dyDescent="0.25">
      <c r="B17" s="184"/>
      <c r="C17" s="185"/>
      <c r="D17" s="185"/>
      <c r="E17" s="53"/>
      <c r="F17" s="41">
        <f t="shared" si="12"/>
        <v>2029</v>
      </c>
      <c r="G17" s="42">
        <v>11</v>
      </c>
      <c r="H17" s="183">
        <f>'Capacity Delivered'!H18</f>
        <v>80.477938899565444</v>
      </c>
      <c r="I17" s="44">
        <f t="shared" si="0"/>
        <v>35.953556803845437</v>
      </c>
      <c r="J17" s="45">
        <f t="shared" si="8"/>
        <v>575.05037908301358</v>
      </c>
      <c r="K17" s="45">
        <f t="shared" si="1"/>
        <v>78.994786656707319</v>
      </c>
      <c r="L17" s="45">
        <f>+K17/'Capacity Delivered'!O18*1000</f>
        <v>9.0176697096697858</v>
      </c>
      <c r="M17" s="320">
        <f t="shared" si="2"/>
        <v>9.0176697096697855E-3</v>
      </c>
      <c r="O17" s="183">
        <f t="shared" si="9"/>
        <v>0</v>
      </c>
      <c r="P17" s="183">
        <f t="shared" si="3"/>
        <v>0</v>
      </c>
      <c r="Q17" s="183">
        <f t="shared" si="4"/>
        <v>0</v>
      </c>
      <c r="R17" s="183">
        <f t="shared" si="13"/>
        <v>0</v>
      </c>
      <c r="S17" s="183">
        <f t="shared" si="5"/>
        <v>0</v>
      </c>
      <c r="T17" s="45">
        <f>+S17/'Capacity Delivered'!M17*1000</f>
        <v>0</v>
      </c>
      <c r="U17" s="320">
        <f t="shared" si="6"/>
        <v>0</v>
      </c>
      <c r="W17" s="328">
        <f t="shared" si="11"/>
        <v>9.0176697096697858</v>
      </c>
      <c r="X17" s="329">
        <f t="shared" si="7"/>
        <v>9.0176697096697855E-3</v>
      </c>
    </row>
    <row r="18" spans="2:24" x14ac:dyDescent="0.25">
      <c r="B18" s="185"/>
      <c r="C18" s="185"/>
      <c r="D18" s="185"/>
      <c r="E18" s="53"/>
      <c r="F18" s="41">
        <f t="shared" si="12"/>
        <v>2030</v>
      </c>
      <c r="G18" s="42">
        <v>12</v>
      </c>
      <c r="H18" s="183">
        <f>'Capacity Delivered'!H19</f>
        <v>80.477938899565444</v>
      </c>
      <c r="I18" s="44">
        <f t="shared" si="0"/>
        <v>33.414086248926992</v>
      </c>
      <c r="J18" s="45">
        <f t="shared" si="8"/>
        <v>608.46446533194057</v>
      </c>
      <c r="K18" s="45">
        <f t="shared" si="1"/>
        <v>79.074814560014715</v>
      </c>
      <c r="L18" s="45">
        <f>+K18/'Capacity Delivered'!O19*1000</f>
        <v>9.0268053150701739</v>
      </c>
      <c r="M18" s="320">
        <f t="shared" si="2"/>
        <v>9.0268053150701737E-3</v>
      </c>
      <c r="O18" s="183">
        <f t="shared" si="9"/>
        <v>0</v>
      </c>
      <c r="P18" s="183">
        <f t="shared" si="3"/>
        <v>0</v>
      </c>
      <c r="Q18" s="183">
        <f t="shared" si="4"/>
        <v>0</v>
      </c>
      <c r="R18" s="183">
        <f t="shared" si="13"/>
        <v>0</v>
      </c>
      <c r="S18" s="183">
        <f t="shared" si="5"/>
        <v>0</v>
      </c>
      <c r="T18" s="45">
        <f>+S18/'Capacity Delivered'!M18*1000</f>
        <v>0</v>
      </c>
      <c r="U18" s="320">
        <f t="shared" si="6"/>
        <v>0</v>
      </c>
      <c r="W18" s="328">
        <f t="shared" si="11"/>
        <v>9.0268053150701739</v>
      </c>
      <c r="X18" s="329">
        <f t="shared" si="7"/>
        <v>9.0268053150701737E-3</v>
      </c>
    </row>
    <row r="19" spans="2:24" x14ac:dyDescent="0.25">
      <c r="B19" s="185"/>
      <c r="C19" s="185"/>
      <c r="D19" s="185"/>
      <c r="E19" s="58"/>
      <c r="F19" s="41">
        <f t="shared" si="12"/>
        <v>2031</v>
      </c>
      <c r="G19" s="42">
        <v>13</v>
      </c>
      <c r="H19" s="183">
        <f>'Capacity Delivered'!H20</f>
        <v>84.157096346974001</v>
      </c>
      <c r="I19" s="44">
        <f t="shared" si="0"/>
        <v>32.473658214051021</v>
      </c>
      <c r="J19" s="45">
        <f t="shared" si="8"/>
        <v>640.93812354599163</v>
      </c>
      <c r="K19" s="45">
        <f t="shared" si="1"/>
        <v>79.31750471109811</v>
      </c>
      <c r="L19" s="45">
        <f>+K19/'Capacity Delivered'!O20*1000</f>
        <v>9.0545096702166799</v>
      </c>
      <c r="M19" s="320">
        <f t="shared" si="2"/>
        <v>9.0545096702166795E-3</v>
      </c>
      <c r="O19" s="183">
        <f t="shared" si="9"/>
        <v>0</v>
      </c>
      <c r="P19" s="183">
        <f t="shared" si="3"/>
        <v>0</v>
      </c>
      <c r="Q19" s="183">
        <f t="shared" si="4"/>
        <v>0</v>
      </c>
      <c r="R19" s="183">
        <f t="shared" si="13"/>
        <v>0</v>
      </c>
      <c r="S19" s="183">
        <f t="shared" si="5"/>
        <v>0</v>
      </c>
      <c r="T19" s="45">
        <f>+S19/'Capacity Delivered'!M19*1000</f>
        <v>0</v>
      </c>
      <c r="U19" s="320">
        <f t="shared" si="6"/>
        <v>0</v>
      </c>
      <c r="W19" s="328">
        <f t="shared" si="11"/>
        <v>9.0545096702166799</v>
      </c>
      <c r="X19" s="329">
        <f t="shared" si="7"/>
        <v>9.0545096702166795E-3</v>
      </c>
    </row>
    <row r="20" spans="2:24" x14ac:dyDescent="0.25">
      <c r="B20" s="185"/>
      <c r="C20" s="185"/>
      <c r="D20" s="185"/>
      <c r="E20" s="58"/>
      <c r="F20" s="41">
        <f t="shared" si="12"/>
        <v>2032</v>
      </c>
      <c r="G20" s="42">
        <v>14</v>
      </c>
      <c r="H20" s="183">
        <f>'Capacity Delivered'!H21</f>
        <v>84.157096346974001</v>
      </c>
      <c r="I20" s="44">
        <f t="shared" si="0"/>
        <v>30.179979752835514</v>
      </c>
      <c r="J20" s="45">
        <f t="shared" si="8"/>
        <v>671.11810329882712</v>
      </c>
      <c r="K20" s="45">
        <f t="shared" si="1"/>
        <v>79.523156064795884</v>
      </c>
      <c r="L20" s="45">
        <f>+K20/'Capacity Delivered'!O21*1000</f>
        <v>9.0531826121124652</v>
      </c>
      <c r="M20" s="320">
        <f t="shared" si="2"/>
        <v>9.0531826121124648E-3</v>
      </c>
      <c r="O20" s="183">
        <f t="shared" si="9"/>
        <v>0</v>
      </c>
      <c r="P20" s="183">
        <f t="shared" si="3"/>
        <v>0</v>
      </c>
      <c r="Q20" s="183">
        <f t="shared" si="4"/>
        <v>0</v>
      </c>
      <c r="R20" s="183">
        <f t="shared" si="13"/>
        <v>0</v>
      </c>
      <c r="S20" s="183">
        <f t="shared" si="5"/>
        <v>0</v>
      </c>
      <c r="T20" s="45">
        <f>+S20/'Capacity Delivered'!M20*1000</f>
        <v>0</v>
      </c>
      <c r="U20" s="320">
        <f t="shared" si="6"/>
        <v>0</v>
      </c>
      <c r="W20" s="328">
        <f t="shared" si="11"/>
        <v>9.0531826121124652</v>
      </c>
      <c r="X20" s="329">
        <f t="shared" si="7"/>
        <v>9.0531826121124648E-3</v>
      </c>
    </row>
    <row r="21" spans="2:24" s="187" customFormat="1" x14ac:dyDescent="0.25">
      <c r="B21" s="185"/>
      <c r="C21" s="185"/>
      <c r="D21" s="185"/>
      <c r="E21" s="58"/>
      <c r="F21" s="43">
        <f t="shared" si="12"/>
        <v>2033</v>
      </c>
      <c r="G21" s="43">
        <v>15</v>
      </c>
      <c r="H21" s="186">
        <f>'Capacity Delivered'!H22</f>
        <v>84.157096346974001</v>
      </c>
      <c r="I21" s="46">
        <f t="shared" si="0"/>
        <v>28.048308320479101</v>
      </c>
      <c r="J21" s="47">
        <f>J20+I21</f>
        <v>699.16641161930625</v>
      </c>
      <c r="K21" s="47">
        <f t="shared" si="1"/>
        <v>79.699207597295555</v>
      </c>
      <c r="L21" s="47">
        <f>+K21/'Capacity Delivered'!O22*1000</f>
        <v>9.098083059052005</v>
      </c>
      <c r="M21" s="321">
        <f>L21/1000</f>
        <v>9.0980830590520045E-3</v>
      </c>
      <c r="O21" s="186">
        <f t="shared" si="9"/>
        <v>0</v>
      </c>
      <c r="P21" s="186">
        <f t="shared" si="3"/>
        <v>0</v>
      </c>
      <c r="Q21" s="186">
        <f t="shared" si="4"/>
        <v>0</v>
      </c>
      <c r="R21" s="186">
        <f>R20+Q21</f>
        <v>0</v>
      </c>
      <c r="S21" s="186">
        <f t="shared" si="5"/>
        <v>0</v>
      </c>
      <c r="T21" s="47">
        <f>+S21/'Capacity Delivered'!M21*1000</f>
        <v>0</v>
      </c>
      <c r="U21" s="321">
        <f>T21/1000</f>
        <v>0</v>
      </c>
      <c r="W21" s="330">
        <f>L21+T21</f>
        <v>9.098083059052005</v>
      </c>
      <c r="X21" s="331">
        <f>W21/1000</f>
        <v>9.0980830590520045E-3</v>
      </c>
    </row>
    <row r="22" spans="2:24" x14ac:dyDescent="0.25">
      <c r="B22" s="185"/>
      <c r="C22" s="185"/>
      <c r="D22" s="185"/>
      <c r="E22" s="58"/>
      <c r="F22" s="41">
        <f t="shared" si="12"/>
        <v>2034</v>
      </c>
      <c r="G22" s="42">
        <v>16</v>
      </c>
      <c r="H22" s="183">
        <f>'Capacity Delivered'!H23</f>
        <v>88.306829270347322</v>
      </c>
      <c r="I22" s="44">
        <f t="shared" si="0"/>
        <v>27.352558154128563</v>
      </c>
      <c r="J22" s="45">
        <f t="shared" si="8"/>
        <v>726.51896977343483</v>
      </c>
      <c r="K22" s="45">
        <f t="shared" si="1"/>
        <v>79.992763332985206</v>
      </c>
      <c r="L22" s="45">
        <f>+K22/'Capacity Delivered'!O23*1000</f>
        <v>9.1315939877836989</v>
      </c>
      <c r="M22" s="320">
        <f t="shared" si="2"/>
        <v>9.1315939877836989E-3</v>
      </c>
      <c r="O22" s="183">
        <f t="shared" si="9"/>
        <v>0</v>
      </c>
      <c r="P22" s="183">
        <f t="shared" si="3"/>
        <v>0</v>
      </c>
      <c r="Q22" s="183">
        <f t="shared" si="4"/>
        <v>0</v>
      </c>
      <c r="R22" s="183">
        <f t="shared" ref="R22:R27" si="14">R21+Q22</f>
        <v>0</v>
      </c>
      <c r="S22" s="183">
        <f t="shared" si="5"/>
        <v>0</v>
      </c>
      <c r="T22" s="45">
        <f>+S22/'Capacity Delivered'!M22*1000</f>
        <v>0</v>
      </c>
      <c r="U22" s="320">
        <f t="shared" ref="U22:U27" si="15">T22/1000</f>
        <v>0</v>
      </c>
      <c r="W22" s="328">
        <f t="shared" si="11"/>
        <v>9.1315939877836989</v>
      </c>
      <c r="X22" s="329">
        <f t="shared" ref="X22:X27" si="16">W22/1000</f>
        <v>9.1315939877836989E-3</v>
      </c>
    </row>
    <row r="23" spans="2:24" x14ac:dyDescent="0.25">
      <c r="B23" s="185"/>
      <c r="C23" s="185"/>
      <c r="D23" s="185"/>
      <c r="E23" s="58"/>
      <c r="F23" s="41">
        <f t="shared" si="12"/>
        <v>2035</v>
      </c>
      <c r="G23" s="42">
        <v>17</v>
      </c>
      <c r="H23" s="183">
        <f>'Capacity Delivered'!H24</f>
        <v>88.306829270347322</v>
      </c>
      <c r="I23" s="44">
        <f t="shared" si="0"/>
        <v>25.42059308004513</v>
      </c>
      <c r="J23" s="45">
        <f t="shared" si="8"/>
        <v>751.93956285347997</v>
      </c>
      <c r="K23" s="45">
        <f t="shared" si="1"/>
        <v>80.248184645941549</v>
      </c>
      <c r="L23" s="45">
        <f>+K23/'Capacity Delivered'!O24*1000</f>
        <v>9.1607516719111359</v>
      </c>
      <c r="M23" s="320">
        <f t="shared" si="2"/>
        <v>9.1607516719111361E-3</v>
      </c>
      <c r="O23" s="183">
        <f t="shared" si="9"/>
        <v>0</v>
      </c>
      <c r="P23" s="183">
        <f t="shared" si="3"/>
        <v>0</v>
      </c>
      <c r="Q23" s="183">
        <f t="shared" si="4"/>
        <v>0</v>
      </c>
      <c r="R23" s="183">
        <f t="shared" si="14"/>
        <v>0</v>
      </c>
      <c r="S23" s="183">
        <f t="shared" si="5"/>
        <v>0</v>
      </c>
      <c r="T23" s="45">
        <f>+S23/'Capacity Delivered'!M23*1000</f>
        <v>0</v>
      </c>
      <c r="U23" s="320">
        <f t="shared" si="15"/>
        <v>0</v>
      </c>
      <c r="W23" s="328">
        <f t="shared" si="11"/>
        <v>9.1607516719111359</v>
      </c>
      <c r="X23" s="329">
        <f t="shared" si="16"/>
        <v>9.1607516719111361E-3</v>
      </c>
    </row>
    <row r="24" spans="2:24" x14ac:dyDescent="0.25">
      <c r="B24" s="185"/>
      <c r="C24" s="185"/>
      <c r="D24" s="185"/>
      <c r="E24" s="58"/>
      <c r="F24" s="41">
        <f t="shared" si="12"/>
        <v>2036</v>
      </c>
      <c r="G24" s="42">
        <v>18</v>
      </c>
      <c r="H24" s="183">
        <f>'Capacity Delivered'!H25</f>
        <v>91.089450907608253</v>
      </c>
      <c r="I24" s="44">
        <f t="shared" si="0"/>
        <v>24.369532630973136</v>
      </c>
      <c r="J24" s="45">
        <f t="shared" si="8"/>
        <v>776.30909548445311</v>
      </c>
      <c r="K24" s="45">
        <f t="shared" si="1"/>
        <v>80.549128374664804</v>
      </c>
      <c r="L24" s="45">
        <f>+K24/'Capacity Delivered'!O25*1000</f>
        <v>9.1699827384636627</v>
      </c>
      <c r="M24" s="320">
        <f t="shared" si="2"/>
        <v>9.1699827384636619E-3</v>
      </c>
      <c r="O24" s="183">
        <f t="shared" si="9"/>
        <v>0</v>
      </c>
      <c r="P24" s="183">
        <f t="shared" si="3"/>
        <v>0</v>
      </c>
      <c r="Q24" s="183">
        <f t="shared" si="4"/>
        <v>0</v>
      </c>
      <c r="R24" s="183">
        <f t="shared" si="14"/>
        <v>0</v>
      </c>
      <c r="S24" s="183">
        <f t="shared" si="5"/>
        <v>0</v>
      </c>
      <c r="T24" s="45">
        <f>+S24/'Capacity Delivered'!M24*1000</f>
        <v>0</v>
      </c>
      <c r="U24" s="320">
        <f t="shared" si="15"/>
        <v>0</v>
      </c>
      <c r="W24" s="328">
        <f t="shared" si="11"/>
        <v>9.1699827384636627</v>
      </c>
      <c r="X24" s="329">
        <f t="shared" si="16"/>
        <v>9.1699827384636619E-3</v>
      </c>
    </row>
    <row r="25" spans="2:24" x14ac:dyDescent="0.25">
      <c r="B25" s="185"/>
      <c r="C25" s="185"/>
      <c r="D25" s="185"/>
      <c r="E25" s="58"/>
      <c r="F25" s="41">
        <f t="shared" si="12"/>
        <v>2037</v>
      </c>
      <c r="G25" s="42">
        <v>19</v>
      </c>
      <c r="H25" s="183">
        <f>'Capacity Delivered'!H26</f>
        <v>91.089450907608253</v>
      </c>
      <c r="I25" s="44">
        <f t="shared" si="0"/>
        <v>22.648264526926706</v>
      </c>
      <c r="J25" s="45">
        <f t="shared" si="8"/>
        <v>798.95736001137982</v>
      </c>
      <c r="K25" s="45">
        <f t="shared" si="1"/>
        <v>80.814213215266548</v>
      </c>
      <c r="L25" s="45">
        <f>+K25/'Capacity Delivered'!O26*1000</f>
        <v>9.2253668053957245</v>
      </c>
      <c r="M25" s="320">
        <f t="shared" si="2"/>
        <v>9.2253668053957245E-3</v>
      </c>
      <c r="O25" s="183">
        <f t="shared" si="9"/>
        <v>0</v>
      </c>
      <c r="P25" s="183">
        <f t="shared" si="3"/>
        <v>0</v>
      </c>
      <c r="Q25" s="183">
        <f t="shared" si="4"/>
        <v>0</v>
      </c>
      <c r="R25" s="183">
        <f t="shared" si="14"/>
        <v>0</v>
      </c>
      <c r="S25" s="183">
        <f t="shared" si="5"/>
        <v>0</v>
      </c>
      <c r="T25" s="45">
        <f>+S25/'Capacity Delivered'!M25*1000</f>
        <v>0</v>
      </c>
      <c r="U25" s="320">
        <f t="shared" si="15"/>
        <v>0</v>
      </c>
      <c r="W25" s="328">
        <f t="shared" si="11"/>
        <v>9.2253668053957245</v>
      </c>
      <c r="X25" s="329">
        <f t="shared" si="16"/>
        <v>9.2253668053957245E-3</v>
      </c>
    </row>
    <row r="26" spans="2:24" x14ac:dyDescent="0.25">
      <c r="B26" s="185"/>
      <c r="C26" s="185"/>
      <c r="D26" s="185"/>
      <c r="E26" s="58"/>
      <c r="F26" s="41">
        <f t="shared" si="12"/>
        <v>2038</v>
      </c>
      <c r="G26" s="42">
        <v>20</v>
      </c>
      <c r="H26" s="183">
        <f>'Capacity Delivered'!H27</f>
        <v>91.089450907608253</v>
      </c>
      <c r="I26" s="44">
        <f t="shared" si="0"/>
        <v>21.048572980415155</v>
      </c>
      <c r="J26" s="45">
        <f t="shared" si="8"/>
        <v>820.00593299179502</v>
      </c>
      <c r="K26" s="45">
        <f t="shared" si="1"/>
        <v>81.048893467160639</v>
      </c>
      <c r="L26" s="45">
        <f>+K26/'Capacity Delivered'!O27*1000</f>
        <v>9.2521567884886569</v>
      </c>
      <c r="M26" s="320">
        <f t="shared" si="2"/>
        <v>9.2521567884886573E-3</v>
      </c>
      <c r="O26" s="183">
        <f t="shared" si="9"/>
        <v>0</v>
      </c>
      <c r="P26" s="183">
        <f t="shared" si="3"/>
        <v>0</v>
      </c>
      <c r="Q26" s="183">
        <f t="shared" si="4"/>
        <v>0</v>
      </c>
      <c r="R26" s="183">
        <f t="shared" si="14"/>
        <v>0</v>
      </c>
      <c r="S26" s="183">
        <f t="shared" si="5"/>
        <v>0</v>
      </c>
      <c r="T26" s="45">
        <f>+S26/'Capacity Delivered'!M26*1000</f>
        <v>0</v>
      </c>
      <c r="U26" s="320">
        <f t="shared" si="15"/>
        <v>0</v>
      </c>
      <c r="W26" s="328">
        <f t="shared" si="11"/>
        <v>9.2521567884886569</v>
      </c>
      <c r="X26" s="329">
        <f t="shared" si="16"/>
        <v>9.2521567884886573E-3</v>
      </c>
    </row>
    <row r="27" spans="2:24" s="50" customFormat="1" ht="15.6" thickBot="1" x14ac:dyDescent="0.3">
      <c r="F27" s="41">
        <f t="shared" si="12"/>
        <v>2039</v>
      </c>
      <c r="G27" s="40">
        <v>21</v>
      </c>
      <c r="H27" s="183">
        <f>'Capacity Delivered'!H28</f>
        <v>91.089450907608253</v>
      </c>
      <c r="I27" s="44">
        <f t="shared" si="0"/>
        <v>19.561870799642332</v>
      </c>
      <c r="J27" s="45">
        <f t="shared" ref="J27" si="17">J26+I27</f>
        <v>839.56780379143731</v>
      </c>
      <c r="K27" s="45">
        <f t="shared" si="1"/>
        <v>81.257586654045426</v>
      </c>
      <c r="L27" s="45">
        <f>+K27/'Capacity Delivered'!O28*1000</f>
        <v>9.2759802116490206</v>
      </c>
      <c r="M27" s="320">
        <f t="shared" si="2"/>
        <v>9.2759802116490209E-3</v>
      </c>
      <c r="O27" s="183">
        <f t="shared" si="9"/>
        <v>0</v>
      </c>
      <c r="P27" s="183">
        <f t="shared" si="3"/>
        <v>0</v>
      </c>
      <c r="Q27" s="183">
        <f t="shared" si="4"/>
        <v>0</v>
      </c>
      <c r="R27" s="183">
        <f t="shared" si="14"/>
        <v>0</v>
      </c>
      <c r="S27" s="183">
        <f t="shared" si="5"/>
        <v>0</v>
      </c>
      <c r="T27" s="45">
        <f>+S27/'Capacity Delivered'!M27*1000</f>
        <v>0</v>
      </c>
      <c r="U27" s="320">
        <f t="shared" si="15"/>
        <v>0</v>
      </c>
      <c r="W27" s="332">
        <f t="shared" si="11"/>
        <v>9.2759802116490206</v>
      </c>
      <c r="X27" s="333">
        <f t="shared" si="16"/>
        <v>9.2759802116490209E-3</v>
      </c>
    </row>
    <row r="28" spans="2:24" s="50" customFormat="1" x14ac:dyDescent="0.25">
      <c r="C28" s="21"/>
      <c r="F28" s="41"/>
      <c r="G28" s="40"/>
      <c r="H28" s="188"/>
      <c r="I28" s="61"/>
      <c r="J28" s="62"/>
      <c r="K28" s="54"/>
      <c r="L28" s="54"/>
      <c r="M28" s="54"/>
      <c r="O28" s="189"/>
      <c r="P28" s="60"/>
      <c r="Q28" s="61"/>
      <c r="R28" s="62"/>
      <c r="S28" s="54"/>
      <c r="T28" s="54"/>
      <c r="U28" s="54"/>
      <c r="W28" s="54"/>
      <c r="X28" s="54"/>
    </row>
    <row r="29" spans="2:24" x14ac:dyDescent="0.25">
      <c r="B29" s="31" t="s">
        <v>151</v>
      </c>
      <c r="C29" s="21"/>
      <c r="D29" s="50"/>
      <c r="E29" s="50"/>
      <c r="F29" s="31"/>
      <c r="G29" s="40"/>
      <c r="H29" s="188"/>
      <c r="I29" s="31"/>
      <c r="J29" s="31"/>
      <c r="K29" s="31"/>
      <c r="L29" s="31"/>
      <c r="M29" s="31"/>
      <c r="O29" s="189"/>
      <c r="P29" s="60"/>
      <c r="Q29" s="31"/>
      <c r="R29" s="31"/>
      <c r="S29" s="31"/>
      <c r="T29" s="31"/>
      <c r="U29" s="31"/>
      <c r="W29" s="31"/>
      <c r="X29" s="31"/>
    </row>
    <row r="30" spans="2:24" s="50" customFormat="1" ht="51.75" customHeight="1" x14ac:dyDescent="0.25">
      <c r="B30" s="351" t="s">
        <v>96</v>
      </c>
      <c r="C30" s="351"/>
      <c r="D30" s="351"/>
      <c r="E30" s="351"/>
      <c r="F30" s="351"/>
      <c r="G30" s="351"/>
      <c r="H30" s="351"/>
      <c r="I30" s="351"/>
      <c r="J30" s="351"/>
      <c r="K30" s="351"/>
      <c r="L30" s="351"/>
      <c r="M30" s="351"/>
      <c r="Q30" s="318"/>
      <c r="R30" s="318"/>
    </row>
  </sheetData>
  <mergeCells count="1">
    <mergeCell ref="B30:M30"/>
  </mergeCells>
  <phoneticPr fontId="13" type="noConversion"/>
  <pageMargins left="0.75" right="0.5" top="0.76" bottom="0.79" header="0.5" footer="0.26"/>
  <pageSetup scale="64" orientation="landscape" r:id="rId1"/>
  <headerFooter alignWithMargins="0">
    <oddFooter>&amp;L&amp;F&amp;C&amp;A&amp;RPSE Advice No. 2018-48 &amp;D
Page &amp;P of &amp;N</oddFooter>
  </headerFooter>
  <customProperties>
    <customPr name="_pios_id" r:id="rId2"/>
  </customProperties>
  <drawing r:id="rId3"/>
  <legacyDrawing r:id="rId4"/>
  <controls>
    <mc:AlternateContent xmlns:mc="http://schemas.openxmlformats.org/markup-compatibility/2006">
      <mc:Choice Requires="x14">
        <control shapeId="5124" r:id="rId5" name="Control 4">
          <controlPr defaultSize="0" r:id="rId6">
            <anchor moveWithCells="1">
              <from>
                <xdr:col>6</xdr:col>
                <xdr:colOff>571500</xdr:colOff>
                <xdr:row>2</xdr:row>
                <xdr:rowOff>76200</xdr:rowOff>
              </from>
              <to>
                <xdr:col>7</xdr:col>
                <xdr:colOff>0</xdr:colOff>
                <xdr:row>3</xdr:row>
                <xdr:rowOff>114300</xdr:rowOff>
              </to>
            </anchor>
          </controlPr>
        </control>
      </mc:Choice>
      <mc:Fallback>
        <control shapeId="5124" r:id="rId5" name="Control 4"/>
      </mc:Fallback>
    </mc:AlternateContent>
    <mc:AlternateContent xmlns:mc="http://schemas.openxmlformats.org/markup-compatibility/2006">
      <mc:Choice Requires="x14">
        <control shapeId="5123" r:id="rId7" name="Control 3">
          <controlPr defaultSize="0" r:id="rId8">
            <anchor moveWithCells="1">
              <from>
                <xdr:col>6</xdr:col>
                <xdr:colOff>571500</xdr:colOff>
                <xdr:row>2</xdr:row>
                <xdr:rowOff>76200</xdr:rowOff>
              </from>
              <to>
                <xdr:col>6</xdr:col>
                <xdr:colOff>1127760</xdr:colOff>
                <xdr:row>3</xdr:row>
                <xdr:rowOff>53340</xdr:rowOff>
              </to>
            </anchor>
          </controlPr>
        </control>
      </mc:Choice>
      <mc:Fallback>
        <control shapeId="5123" r:id="rId7" name="Control 3"/>
      </mc:Fallback>
    </mc:AlternateContent>
    <mc:AlternateContent xmlns:mc="http://schemas.openxmlformats.org/markup-compatibility/2006">
      <mc:Choice Requires="x14">
        <control shapeId="5122" r:id="rId9" name="Control 2">
          <controlPr defaultSize="0" r:id="rId10">
            <anchor moveWithCells="1">
              <from>
                <xdr:col>6</xdr:col>
                <xdr:colOff>571500</xdr:colOff>
                <xdr:row>2</xdr:row>
                <xdr:rowOff>76200</xdr:rowOff>
              </from>
              <to>
                <xdr:col>6</xdr:col>
                <xdr:colOff>1127760</xdr:colOff>
                <xdr:row>3</xdr:row>
                <xdr:rowOff>53340</xdr:rowOff>
              </to>
            </anchor>
          </controlPr>
        </control>
      </mc:Choice>
      <mc:Fallback>
        <control shapeId="5122" r:id="rId9" name="Control 2"/>
      </mc:Fallback>
    </mc:AlternateContent>
    <mc:AlternateContent xmlns:mc="http://schemas.openxmlformats.org/markup-compatibility/2006">
      <mc:Choice Requires="x14">
        <control shapeId="5121" r:id="rId11" name="Control 1">
          <controlPr defaultSize="0" r:id="rId12">
            <anchor moveWithCells="1">
              <from>
                <xdr:col>6</xdr:col>
                <xdr:colOff>571500</xdr:colOff>
                <xdr:row>2</xdr:row>
                <xdr:rowOff>76200</xdr:rowOff>
              </from>
              <to>
                <xdr:col>6</xdr:col>
                <xdr:colOff>739140</xdr:colOff>
                <xdr:row>3</xdr:row>
                <xdr:rowOff>53340</xdr:rowOff>
              </to>
            </anchor>
          </controlPr>
        </control>
      </mc:Choice>
      <mc:Fallback>
        <control shapeId="5121" r:id="rId11" name="Control 1"/>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39997558519241921"/>
    <pageSetUpPr fitToPage="1"/>
  </sheetPr>
  <dimension ref="A1:X30"/>
  <sheetViews>
    <sheetView topLeftCell="D7" zoomScale="75" zoomScaleNormal="75" workbookViewId="0">
      <selection activeCell="X21" sqref="X21"/>
    </sheetView>
  </sheetViews>
  <sheetFormatPr defaultColWidth="9.109375" defaultRowHeight="15" x14ac:dyDescent="0.25"/>
  <cols>
    <col min="1" max="1" width="2.6640625" style="35" customWidth="1"/>
    <col min="2" max="2" width="25.6640625" style="35" customWidth="1"/>
    <col min="3" max="3" width="17.44140625" style="35" customWidth="1"/>
    <col min="4" max="4" width="15.5546875" style="35" customWidth="1"/>
    <col min="5" max="5" width="2.6640625" style="35" customWidth="1"/>
    <col min="6" max="6" width="9.6640625" style="35" customWidth="1"/>
    <col min="7" max="7" width="16.6640625" style="35" customWidth="1"/>
    <col min="8" max="8" width="16.44140625" style="50" customWidth="1"/>
    <col min="9" max="9" width="18.5546875" style="35" customWidth="1"/>
    <col min="10" max="10" width="19" style="35" customWidth="1"/>
    <col min="11" max="13" width="22.33203125" style="35" customWidth="1"/>
    <col min="14" max="14" width="2.6640625" style="35" customWidth="1"/>
    <col min="15" max="15" width="16.44140625" style="50" customWidth="1"/>
    <col min="16" max="16" width="16.6640625" style="180" customWidth="1"/>
    <col min="17" max="17" width="18.5546875" style="35" customWidth="1"/>
    <col min="18" max="18" width="19" style="35" customWidth="1"/>
    <col min="19" max="21" width="22.33203125" style="35" customWidth="1"/>
    <col min="22" max="22" width="2.6640625" style="35" customWidth="1"/>
    <col min="23" max="24" width="22.33203125" style="35" customWidth="1"/>
    <col min="25" max="16384" width="9.109375" style="35"/>
  </cols>
  <sheetData>
    <row r="1" spans="1:24" x14ac:dyDescent="0.25">
      <c r="B1" s="14"/>
    </row>
    <row r="3" spans="1:24" ht="16.2" thickBot="1" x14ac:dyDescent="0.35">
      <c r="H3" s="176" t="s">
        <v>54</v>
      </c>
    </row>
    <row r="4" spans="1:24" ht="62.4" x14ac:dyDescent="0.3">
      <c r="F4" s="15" t="s">
        <v>15</v>
      </c>
      <c r="G4" s="16" t="s">
        <v>1</v>
      </c>
      <c r="H4" s="17" t="s">
        <v>16</v>
      </c>
      <c r="I4" s="16" t="s">
        <v>17</v>
      </c>
      <c r="J4" s="16" t="s">
        <v>18</v>
      </c>
      <c r="K4" s="3" t="s">
        <v>19</v>
      </c>
      <c r="L4" s="3" t="s">
        <v>19</v>
      </c>
      <c r="M4" s="3" t="s">
        <v>19</v>
      </c>
      <c r="O4" s="17" t="s">
        <v>91</v>
      </c>
      <c r="P4" s="17" t="s">
        <v>61</v>
      </c>
      <c r="Q4" s="16" t="s">
        <v>17</v>
      </c>
      <c r="R4" s="16" t="s">
        <v>18</v>
      </c>
      <c r="S4" s="3" t="s">
        <v>19</v>
      </c>
      <c r="T4" s="3" t="s">
        <v>19</v>
      </c>
      <c r="U4" s="3" t="s">
        <v>19</v>
      </c>
      <c r="W4" s="322" t="s">
        <v>19</v>
      </c>
      <c r="X4" s="323" t="s">
        <v>19</v>
      </c>
    </row>
    <row r="5" spans="1:24" ht="15.6" x14ac:dyDescent="0.3">
      <c r="B5" s="56"/>
      <c r="C5" s="56"/>
      <c r="F5" s="18"/>
      <c r="G5" s="18" t="s">
        <v>20</v>
      </c>
      <c r="H5" s="19" t="s">
        <v>35</v>
      </c>
      <c r="I5" s="18" t="s">
        <v>35</v>
      </c>
      <c r="J5" s="18" t="s">
        <v>35</v>
      </c>
      <c r="K5" s="4" t="s">
        <v>35</v>
      </c>
      <c r="L5" s="4" t="s">
        <v>38</v>
      </c>
      <c r="M5" s="4" t="s">
        <v>39</v>
      </c>
      <c r="O5" s="19" t="s">
        <v>35</v>
      </c>
      <c r="P5" s="19" t="s">
        <v>35</v>
      </c>
      <c r="Q5" s="18" t="s">
        <v>35</v>
      </c>
      <c r="R5" s="18" t="s">
        <v>35</v>
      </c>
      <c r="S5" s="4" t="s">
        <v>35</v>
      </c>
      <c r="T5" s="4" t="s">
        <v>38</v>
      </c>
      <c r="U5" s="4" t="s">
        <v>39</v>
      </c>
      <c r="W5" s="324" t="s">
        <v>38</v>
      </c>
      <c r="X5" s="325" t="s">
        <v>39</v>
      </c>
    </row>
    <row r="6" spans="1:24" ht="15.6" x14ac:dyDescent="0.3">
      <c r="A6" s="181"/>
      <c r="B6" s="181"/>
      <c r="C6" s="174" t="s">
        <v>21</v>
      </c>
      <c r="D6" s="215">
        <v>0</v>
      </c>
      <c r="E6" s="51"/>
      <c r="F6" s="179" t="s">
        <v>22</v>
      </c>
      <c r="G6" s="179" t="s">
        <v>23</v>
      </c>
      <c r="H6" s="179" t="s">
        <v>24</v>
      </c>
      <c r="I6" s="179" t="s">
        <v>32</v>
      </c>
      <c r="J6" s="179" t="s">
        <v>27</v>
      </c>
      <c r="K6" s="179" t="s">
        <v>28</v>
      </c>
      <c r="L6" s="179" t="s">
        <v>40</v>
      </c>
      <c r="M6" s="179" t="s">
        <v>90</v>
      </c>
      <c r="O6" s="179" t="s">
        <v>25</v>
      </c>
      <c r="P6" s="179" t="s">
        <v>26</v>
      </c>
      <c r="Q6" s="179" t="s">
        <v>32</v>
      </c>
      <c r="R6" s="179" t="s">
        <v>27</v>
      </c>
      <c r="S6" s="179" t="s">
        <v>28</v>
      </c>
      <c r="T6" s="179" t="s">
        <v>40</v>
      </c>
      <c r="U6" s="179" t="s">
        <v>90</v>
      </c>
      <c r="W6" s="326" t="s">
        <v>40</v>
      </c>
      <c r="X6" s="327" t="s">
        <v>90</v>
      </c>
    </row>
    <row r="7" spans="1:24" ht="15.6" x14ac:dyDescent="0.3">
      <c r="A7" s="181"/>
      <c r="B7" s="56"/>
      <c r="C7" s="20" t="s">
        <v>29</v>
      </c>
      <c r="D7" s="52">
        <v>0</v>
      </c>
      <c r="E7" s="53"/>
      <c r="F7" s="182">
        <v>2019</v>
      </c>
      <c r="G7" s="177">
        <v>1</v>
      </c>
      <c r="H7" s="183">
        <f>'Capacity Delivered'!I8</f>
        <v>11.584000000000001</v>
      </c>
      <c r="I7" s="33">
        <f t="shared" ref="I7:I27" si="0">SUM(H7)/((1+$D$8)^G7)</f>
        <v>10.765799256505577</v>
      </c>
      <c r="J7" s="178">
        <f>I7</f>
        <v>10.765799256505577</v>
      </c>
      <c r="K7" s="178">
        <f t="shared" ref="K7:K27" si="1">(-PMT($D$8,G7,(J7)))</f>
        <v>11.584000000000003</v>
      </c>
      <c r="L7" s="178">
        <f>+K7/'Capacity Delivered'!Q8*1000</f>
        <v>4.4079147640791483</v>
      </c>
      <c r="M7" s="319">
        <f t="shared" ref="M7:M27" si="2">L7/1000</f>
        <v>4.4079147640791487E-3</v>
      </c>
      <c r="O7" s="190">
        <f>D13</f>
        <v>0</v>
      </c>
      <c r="P7" s="190">
        <f t="shared" ref="P7:P27" si="3">(H7+O7)*$D$7</f>
        <v>0</v>
      </c>
      <c r="Q7" s="190">
        <f t="shared" ref="Q7:Q27" si="4">SUM(O7:P7)/((1+$D$8)^G7)</f>
        <v>0</v>
      </c>
      <c r="R7" s="190">
        <f>Q7</f>
        <v>0</v>
      </c>
      <c r="S7" s="190">
        <f t="shared" ref="S7:S27" si="5">(-PMT($D$8,G7,(R7)))</f>
        <v>0</v>
      </c>
      <c r="T7" s="178">
        <f>+S7/'Capacity Delivered'!M7*1000</f>
        <v>0</v>
      </c>
      <c r="U7" s="319">
        <f t="shared" ref="U7:U20" si="6">T7/1000</f>
        <v>0</v>
      </c>
      <c r="W7" s="328">
        <f>L7+T7</f>
        <v>4.4079147640791483</v>
      </c>
      <c r="X7" s="329">
        <f t="shared" ref="X7:X20" si="7">W7/1000</f>
        <v>4.4079147640791487E-3</v>
      </c>
    </row>
    <row r="8" spans="1:24" ht="15.6" x14ac:dyDescent="0.3">
      <c r="A8" s="181"/>
      <c r="B8" s="56"/>
      <c r="C8" s="20" t="s">
        <v>33</v>
      </c>
      <c r="D8" s="52">
        <f>Rate_of_Return</f>
        <v>7.5999999999999998E-2</v>
      </c>
      <c r="E8" s="53"/>
      <c r="F8" s="41">
        <f>F7+1</f>
        <v>2020</v>
      </c>
      <c r="G8" s="42">
        <v>2</v>
      </c>
      <c r="H8" s="183">
        <f>'Capacity Delivered'!I9</f>
        <v>11.584000000000001</v>
      </c>
      <c r="I8" s="44">
        <f t="shared" si="0"/>
        <v>10.005389643592544</v>
      </c>
      <c r="J8" s="45">
        <f t="shared" ref="J8:J27" si="8">J7+I8</f>
        <v>20.771188900098121</v>
      </c>
      <c r="K8" s="45">
        <f t="shared" si="1"/>
        <v>11.584000000000001</v>
      </c>
      <c r="L8" s="45">
        <f>+K8/'Capacity Delivered'!Q9*1000</f>
        <v>4.3958712811171834</v>
      </c>
      <c r="M8" s="320">
        <f t="shared" si="2"/>
        <v>4.3958712811171833E-3</v>
      </c>
      <c r="O8" s="183">
        <f t="shared" ref="O8:O27" si="9">O7+(O7*$D$9)</f>
        <v>0</v>
      </c>
      <c r="P8" s="183">
        <f t="shared" si="3"/>
        <v>0</v>
      </c>
      <c r="Q8" s="183">
        <f t="shared" si="4"/>
        <v>0</v>
      </c>
      <c r="R8" s="183">
        <f t="shared" ref="R8:R12" si="10">R7+Q8</f>
        <v>0</v>
      </c>
      <c r="S8" s="183">
        <f t="shared" si="5"/>
        <v>0</v>
      </c>
      <c r="T8" s="45">
        <f>+S8/'Capacity Delivered'!M8*1000</f>
        <v>0</v>
      </c>
      <c r="U8" s="320">
        <f t="shared" si="6"/>
        <v>0</v>
      </c>
      <c r="W8" s="328">
        <f t="shared" ref="W8:W27" si="11">L8+T8</f>
        <v>4.3958712811171834</v>
      </c>
      <c r="X8" s="329">
        <f t="shared" si="7"/>
        <v>4.3958712811171833E-3</v>
      </c>
    </row>
    <row r="9" spans="1:24" ht="15.6" x14ac:dyDescent="0.3">
      <c r="A9" s="181"/>
      <c r="B9" s="56"/>
      <c r="C9" s="20" t="s">
        <v>34</v>
      </c>
      <c r="D9" s="52">
        <v>2.5000000000000001E-2</v>
      </c>
      <c r="E9" s="55"/>
      <c r="F9" s="41">
        <f t="shared" ref="F9:F27" si="12">F8+1</f>
        <v>2021</v>
      </c>
      <c r="G9" s="42">
        <v>3</v>
      </c>
      <c r="H9" s="183">
        <f>'Capacity Delivered'!I10</f>
        <v>11.584000000000001</v>
      </c>
      <c r="I9" s="44">
        <f t="shared" si="0"/>
        <v>9.2986892598443696</v>
      </c>
      <c r="J9" s="45">
        <f t="shared" si="8"/>
        <v>30.06987815994249</v>
      </c>
      <c r="K9" s="45">
        <f t="shared" si="1"/>
        <v>11.583999999999998</v>
      </c>
      <c r="L9" s="45">
        <f>+K9/'Capacity Delivered'!Q10*1000</f>
        <v>4.4079147640791465</v>
      </c>
      <c r="M9" s="320">
        <f t="shared" si="2"/>
        <v>4.4079147640791469E-3</v>
      </c>
      <c r="O9" s="183">
        <f t="shared" si="9"/>
        <v>0</v>
      </c>
      <c r="P9" s="183">
        <f t="shared" si="3"/>
        <v>0</v>
      </c>
      <c r="Q9" s="183">
        <f t="shared" si="4"/>
        <v>0</v>
      </c>
      <c r="R9" s="183">
        <f t="shared" si="10"/>
        <v>0</v>
      </c>
      <c r="S9" s="183">
        <f t="shared" si="5"/>
        <v>0</v>
      </c>
      <c r="T9" s="45">
        <f>+S9/'Capacity Delivered'!M9*1000</f>
        <v>0</v>
      </c>
      <c r="U9" s="320">
        <f t="shared" si="6"/>
        <v>0</v>
      </c>
      <c r="W9" s="328">
        <f t="shared" si="11"/>
        <v>4.4079147640791465</v>
      </c>
      <c r="X9" s="329">
        <f t="shared" si="7"/>
        <v>4.4079147640791469E-3</v>
      </c>
    </row>
    <row r="10" spans="1:24" ht="15.6" x14ac:dyDescent="0.3">
      <c r="B10" s="56"/>
      <c r="C10" s="20"/>
      <c r="D10" s="57"/>
      <c r="E10" s="53"/>
      <c r="F10" s="41">
        <f t="shared" si="12"/>
        <v>2022</v>
      </c>
      <c r="G10" s="42">
        <v>4</v>
      </c>
      <c r="H10" s="183">
        <f>'Capacity Delivered'!I11</f>
        <v>11.584000000000001</v>
      </c>
      <c r="I10" s="44">
        <f t="shared" si="0"/>
        <v>8.6419045165839865</v>
      </c>
      <c r="J10" s="45">
        <f t="shared" si="8"/>
        <v>38.711782676526475</v>
      </c>
      <c r="K10" s="45">
        <f t="shared" si="1"/>
        <v>11.584000000000001</v>
      </c>
      <c r="L10" s="45">
        <f>+K10/'Capacity Delivered'!Q11*1000</f>
        <v>4.4079147640791474</v>
      </c>
      <c r="M10" s="320">
        <f t="shared" si="2"/>
        <v>4.4079147640791478E-3</v>
      </c>
      <c r="O10" s="183">
        <f t="shared" si="9"/>
        <v>0</v>
      </c>
      <c r="P10" s="183">
        <f t="shared" si="3"/>
        <v>0</v>
      </c>
      <c r="Q10" s="183">
        <f t="shared" si="4"/>
        <v>0</v>
      </c>
      <c r="R10" s="183">
        <f t="shared" si="10"/>
        <v>0</v>
      </c>
      <c r="S10" s="183">
        <f t="shared" si="5"/>
        <v>0</v>
      </c>
      <c r="T10" s="45">
        <f>+S10/'Capacity Delivered'!M10*1000</f>
        <v>0</v>
      </c>
      <c r="U10" s="320">
        <f t="shared" si="6"/>
        <v>0</v>
      </c>
      <c r="W10" s="328">
        <f t="shared" si="11"/>
        <v>4.4079147640791474</v>
      </c>
      <c r="X10" s="329">
        <f t="shared" si="7"/>
        <v>4.4079147640791478E-3</v>
      </c>
    </row>
    <row r="11" spans="1:24" ht="15.6" x14ac:dyDescent="0.3">
      <c r="B11" s="56"/>
      <c r="C11" s="20" t="str">
        <f>C6</f>
        <v>Deferred T&amp;D Cost Credit ($/kw-yr) (4):</v>
      </c>
      <c r="D11" s="218" t="s">
        <v>55</v>
      </c>
      <c r="E11" s="53"/>
      <c r="F11" s="41">
        <f t="shared" si="12"/>
        <v>2023</v>
      </c>
      <c r="G11" s="42">
        <v>5</v>
      </c>
      <c r="H11" s="183">
        <f>'Capacity Delivered'!I12</f>
        <v>14.88</v>
      </c>
      <c r="I11" s="44">
        <f t="shared" si="0"/>
        <v>10.316718355818443</v>
      </c>
      <c r="J11" s="45">
        <f t="shared" si="8"/>
        <v>49.02850103234492</v>
      </c>
      <c r="K11" s="45">
        <f t="shared" si="1"/>
        <v>12.150324168168366</v>
      </c>
      <c r="L11" s="45">
        <f>+K11/'Capacity Delivered'!Q12*1000</f>
        <v>4.623411022895116</v>
      </c>
      <c r="M11" s="320">
        <f t="shared" si="2"/>
        <v>4.6234110228951164E-3</v>
      </c>
      <c r="O11" s="183">
        <f t="shared" si="9"/>
        <v>0</v>
      </c>
      <c r="P11" s="183">
        <f t="shared" si="3"/>
        <v>0</v>
      </c>
      <c r="Q11" s="183">
        <f t="shared" si="4"/>
        <v>0</v>
      </c>
      <c r="R11" s="183">
        <f t="shared" si="10"/>
        <v>0</v>
      </c>
      <c r="S11" s="183">
        <f t="shared" si="5"/>
        <v>0</v>
      </c>
      <c r="T11" s="45">
        <f>+S11/'Capacity Delivered'!M11*1000</f>
        <v>0</v>
      </c>
      <c r="U11" s="320">
        <f t="shared" si="6"/>
        <v>0</v>
      </c>
      <c r="W11" s="328">
        <f t="shared" si="11"/>
        <v>4.623411022895116</v>
      </c>
      <c r="X11" s="329">
        <f t="shared" si="7"/>
        <v>4.6234110228951164E-3</v>
      </c>
    </row>
    <row r="12" spans="1:24" ht="15.6" x14ac:dyDescent="0.3">
      <c r="B12" s="34"/>
      <c r="C12" s="217">
        <v>2012</v>
      </c>
      <c r="D12" s="33">
        <f>D6</f>
        <v>0</v>
      </c>
      <c r="E12" s="53"/>
      <c r="F12" s="41">
        <f t="shared" si="12"/>
        <v>2024</v>
      </c>
      <c r="G12" s="42">
        <v>6</v>
      </c>
      <c r="H12" s="183">
        <f>'Capacity Delivered'!I13</f>
        <v>14.88</v>
      </c>
      <c r="I12" s="44">
        <f t="shared" si="0"/>
        <v>9.5880282117271776</v>
      </c>
      <c r="J12" s="45">
        <f t="shared" si="8"/>
        <v>58.616529244072098</v>
      </c>
      <c r="K12" s="45">
        <f t="shared" si="1"/>
        <v>12.526193117361879</v>
      </c>
      <c r="L12" s="45">
        <f>+K12/'Capacity Delivered'!Q13*1000</f>
        <v>4.7534126887378108</v>
      </c>
      <c r="M12" s="320">
        <f t="shared" si="2"/>
        <v>4.753412688737811E-3</v>
      </c>
      <c r="O12" s="183">
        <f t="shared" si="9"/>
        <v>0</v>
      </c>
      <c r="P12" s="183">
        <f t="shared" si="3"/>
        <v>0</v>
      </c>
      <c r="Q12" s="183">
        <f t="shared" si="4"/>
        <v>0</v>
      </c>
      <c r="R12" s="183">
        <f t="shared" si="10"/>
        <v>0</v>
      </c>
      <c r="S12" s="183">
        <f t="shared" si="5"/>
        <v>0</v>
      </c>
      <c r="T12" s="45">
        <f>+S12/'Capacity Delivered'!M12*1000</f>
        <v>0</v>
      </c>
      <c r="U12" s="320">
        <f t="shared" si="6"/>
        <v>0</v>
      </c>
      <c r="W12" s="328">
        <f t="shared" si="11"/>
        <v>4.7534126887378108</v>
      </c>
      <c r="X12" s="329">
        <f t="shared" si="7"/>
        <v>4.753412688737811E-3</v>
      </c>
    </row>
    <row r="13" spans="1:24" ht="15.6" x14ac:dyDescent="0.3">
      <c r="B13" s="34"/>
      <c r="C13" s="175">
        <f>F7</f>
        <v>2019</v>
      </c>
      <c r="D13" s="216">
        <f>D12*((1+$D$9)^($C$13-$C$12))</f>
        <v>0</v>
      </c>
      <c r="E13" s="53"/>
      <c r="F13" s="41">
        <f t="shared" si="12"/>
        <v>2025</v>
      </c>
      <c r="G13" s="42">
        <v>7</v>
      </c>
      <c r="H13" s="183">
        <f>'Capacity Delivered'!I14</f>
        <v>12.8</v>
      </c>
      <c r="I13" s="44">
        <f t="shared" si="0"/>
        <v>7.6652102264277699</v>
      </c>
      <c r="J13" s="45">
        <f>J12+I13</f>
        <v>66.281739470499872</v>
      </c>
      <c r="K13" s="45">
        <f t="shared" si="1"/>
        <v>12.55725725885851</v>
      </c>
      <c r="L13" s="45">
        <f>+K13/'Capacity Delivered'!Q14*1000</f>
        <v>4.7782561867802551</v>
      </c>
      <c r="M13" s="320">
        <f t="shared" si="2"/>
        <v>4.7782561867802551E-3</v>
      </c>
      <c r="O13" s="183">
        <f>O12+(O12*$D$9)</f>
        <v>0</v>
      </c>
      <c r="P13" s="183">
        <f t="shared" si="3"/>
        <v>0</v>
      </c>
      <c r="Q13" s="183">
        <f t="shared" si="4"/>
        <v>0</v>
      </c>
      <c r="R13" s="183">
        <f>R12+Q13</f>
        <v>0</v>
      </c>
      <c r="S13" s="183">
        <f t="shared" si="5"/>
        <v>0</v>
      </c>
      <c r="T13" s="45">
        <f>+S13/'Capacity Delivered'!M13*1000</f>
        <v>0</v>
      </c>
      <c r="U13" s="320">
        <f t="shared" si="6"/>
        <v>0</v>
      </c>
      <c r="W13" s="328">
        <f t="shared" si="11"/>
        <v>4.7782561867802551</v>
      </c>
      <c r="X13" s="329">
        <f t="shared" si="7"/>
        <v>4.7782561867802551E-3</v>
      </c>
    </row>
    <row r="14" spans="1:24" x14ac:dyDescent="0.25">
      <c r="B14" s="34"/>
      <c r="C14" s="184"/>
      <c r="D14" s="184"/>
      <c r="E14" s="53"/>
      <c r="F14" s="41">
        <f t="shared" si="12"/>
        <v>2026</v>
      </c>
      <c r="G14" s="42">
        <v>8</v>
      </c>
      <c r="H14" s="183">
        <f>'Capacity Delivered'!I15</f>
        <v>12.8</v>
      </c>
      <c r="I14" s="44">
        <f t="shared" si="0"/>
        <v>7.1238013256763661</v>
      </c>
      <c r="J14" s="45">
        <f t="shared" si="8"/>
        <v>73.40554079617624</v>
      </c>
      <c r="K14" s="45">
        <f t="shared" si="1"/>
        <v>12.580410620498455</v>
      </c>
      <c r="L14" s="45">
        <f>+K14/'Capacity Delivered'!Q15*1000</f>
        <v>4.7870664461561852</v>
      </c>
      <c r="M14" s="320">
        <f t="shared" si="2"/>
        <v>4.7870664461561853E-3</v>
      </c>
      <c r="O14" s="183">
        <f t="shared" si="9"/>
        <v>0</v>
      </c>
      <c r="P14" s="183">
        <f t="shared" si="3"/>
        <v>0</v>
      </c>
      <c r="Q14" s="183">
        <f t="shared" si="4"/>
        <v>0</v>
      </c>
      <c r="R14" s="183">
        <f t="shared" ref="R14:R20" si="13">R13+Q14</f>
        <v>0</v>
      </c>
      <c r="S14" s="183">
        <f t="shared" si="5"/>
        <v>0</v>
      </c>
      <c r="T14" s="45">
        <f>+S14/'Capacity Delivered'!M14*1000</f>
        <v>0</v>
      </c>
      <c r="U14" s="320">
        <f t="shared" si="6"/>
        <v>0</v>
      </c>
      <c r="W14" s="328">
        <f t="shared" si="11"/>
        <v>4.7870664461561852</v>
      </c>
      <c r="X14" s="329">
        <f t="shared" si="7"/>
        <v>4.7870664461561853E-3</v>
      </c>
    </row>
    <row r="15" spans="1:24" x14ac:dyDescent="0.25">
      <c r="B15" s="184"/>
      <c r="C15" s="185"/>
      <c r="D15" s="185"/>
      <c r="E15" s="53"/>
      <c r="F15" s="41">
        <f t="shared" si="12"/>
        <v>2027</v>
      </c>
      <c r="G15" s="42">
        <v>9</v>
      </c>
      <c r="H15" s="183">
        <f>'Capacity Delivered'!I16</f>
        <v>12.876470223930472</v>
      </c>
      <c r="I15" s="44">
        <f t="shared" si="0"/>
        <v>6.6601864291406354</v>
      </c>
      <c r="J15" s="45">
        <f t="shared" si="8"/>
        <v>80.065727225316877</v>
      </c>
      <c r="K15" s="45">
        <f t="shared" si="1"/>
        <v>12.604517905264506</v>
      </c>
      <c r="L15" s="45">
        <f>+K15/'Capacity Delivered'!Q16*1000</f>
        <v>4.7962396899788837</v>
      </c>
      <c r="M15" s="320">
        <f t="shared" si="2"/>
        <v>4.7962396899788838E-3</v>
      </c>
      <c r="O15" s="183">
        <f t="shared" si="9"/>
        <v>0</v>
      </c>
      <c r="P15" s="183">
        <f t="shared" si="3"/>
        <v>0</v>
      </c>
      <c r="Q15" s="183">
        <f t="shared" si="4"/>
        <v>0</v>
      </c>
      <c r="R15" s="183">
        <f t="shared" si="13"/>
        <v>0</v>
      </c>
      <c r="S15" s="183">
        <f t="shared" si="5"/>
        <v>0</v>
      </c>
      <c r="T15" s="45">
        <f>+S15/'Capacity Delivered'!M15*1000</f>
        <v>0</v>
      </c>
      <c r="U15" s="320">
        <f t="shared" si="6"/>
        <v>0</v>
      </c>
      <c r="W15" s="328">
        <f t="shared" si="11"/>
        <v>4.7962396899788837</v>
      </c>
      <c r="X15" s="329">
        <f t="shared" si="7"/>
        <v>4.7962396899788838E-3</v>
      </c>
    </row>
    <row r="16" spans="1:24" x14ac:dyDescent="0.25">
      <c r="B16" s="184"/>
      <c r="C16" s="185"/>
      <c r="D16" s="185"/>
      <c r="E16" s="53"/>
      <c r="F16" s="43">
        <f t="shared" si="12"/>
        <v>2028</v>
      </c>
      <c r="G16" s="43">
        <v>10</v>
      </c>
      <c r="H16" s="186">
        <f>'Capacity Delivered'!I17</f>
        <v>12.876470223930472</v>
      </c>
      <c r="I16" s="46">
        <f t="shared" si="0"/>
        <v>6.1897643393500328</v>
      </c>
      <c r="J16" s="47">
        <f t="shared" si="8"/>
        <v>86.255491564666912</v>
      </c>
      <c r="K16" s="47">
        <f t="shared" si="1"/>
        <v>12.623650252384074</v>
      </c>
      <c r="L16" s="47">
        <f>+K16/'Capacity Delivered'!Q17*1000</f>
        <v>4.7903955116818739</v>
      </c>
      <c r="M16" s="321">
        <f t="shared" si="2"/>
        <v>4.7903955116818742E-3</v>
      </c>
      <c r="N16" s="187"/>
      <c r="O16" s="186">
        <f t="shared" si="9"/>
        <v>0</v>
      </c>
      <c r="P16" s="186">
        <f t="shared" si="3"/>
        <v>0</v>
      </c>
      <c r="Q16" s="186">
        <f t="shared" si="4"/>
        <v>0</v>
      </c>
      <c r="R16" s="186">
        <f t="shared" si="13"/>
        <v>0</v>
      </c>
      <c r="S16" s="186">
        <f t="shared" si="5"/>
        <v>0</v>
      </c>
      <c r="T16" s="47">
        <f>+S16/'Capacity Delivered'!M16*1000</f>
        <v>0</v>
      </c>
      <c r="U16" s="321">
        <f t="shared" si="6"/>
        <v>0</v>
      </c>
      <c r="V16" s="187"/>
      <c r="W16" s="330">
        <f>L16+T16</f>
        <v>4.7903955116818739</v>
      </c>
      <c r="X16" s="331">
        <f>W16/1000</f>
        <v>4.7903955116818742E-3</v>
      </c>
    </row>
    <row r="17" spans="2:24" x14ac:dyDescent="0.25">
      <c r="B17" s="184"/>
      <c r="C17" s="185"/>
      <c r="D17" s="185"/>
      <c r="E17" s="53"/>
      <c r="F17" s="41">
        <f t="shared" si="12"/>
        <v>2029</v>
      </c>
      <c r="G17" s="42">
        <v>11</v>
      </c>
      <c r="H17" s="183">
        <f>'Capacity Delivered'!I18</f>
        <v>12.876470223930472</v>
      </c>
      <c r="I17" s="44">
        <f t="shared" si="0"/>
        <v>5.7525690886152709</v>
      </c>
      <c r="J17" s="45">
        <f t="shared" si="8"/>
        <v>92.008060653282186</v>
      </c>
      <c r="K17" s="45">
        <f t="shared" si="1"/>
        <v>12.639165865073172</v>
      </c>
      <c r="L17" s="45">
        <f>+K17/'Capacity Delivered'!Q18*1000</f>
        <v>4.8094238451572195</v>
      </c>
      <c r="M17" s="320">
        <f t="shared" si="2"/>
        <v>4.8094238451572196E-3</v>
      </c>
      <c r="O17" s="183">
        <f t="shared" si="9"/>
        <v>0</v>
      </c>
      <c r="P17" s="183">
        <f t="shared" si="3"/>
        <v>0</v>
      </c>
      <c r="Q17" s="183">
        <f t="shared" si="4"/>
        <v>0</v>
      </c>
      <c r="R17" s="183">
        <f t="shared" si="13"/>
        <v>0</v>
      </c>
      <c r="S17" s="183">
        <f t="shared" si="5"/>
        <v>0</v>
      </c>
      <c r="T17" s="45">
        <f>+S17/'Capacity Delivered'!M17*1000</f>
        <v>0</v>
      </c>
      <c r="U17" s="320">
        <f t="shared" si="6"/>
        <v>0</v>
      </c>
      <c r="W17" s="328">
        <f t="shared" si="11"/>
        <v>4.8094238451572195</v>
      </c>
      <c r="X17" s="329">
        <f t="shared" si="7"/>
        <v>4.8094238451572196E-3</v>
      </c>
    </row>
    <row r="18" spans="2:24" x14ac:dyDescent="0.25">
      <c r="B18" s="185"/>
      <c r="C18" s="185"/>
      <c r="D18" s="185"/>
      <c r="E18" s="53"/>
      <c r="F18" s="41">
        <f t="shared" si="12"/>
        <v>2030</v>
      </c>
      <c r="G18" s="42">
        <v>12</v>
      </c>
      <c r="H18" s="183">
        <f>'Capacity Delivered'!I19</f>
        <v>12.876470223930472</v>
      </c>
      <c r="I18" s="44">
        <f t="shared" si="0"/>
        <v>5.3462537998283191</v>
      </c>
      <c r="J18" s="45">
        <f t="shared" si="8"/>
        <v>97.354314453110504</v>
      </c>
      <c r="K18" s="45">
        <f t="shared" si="1"/>
        <v>12.651970329602356</v>
      </c>
      <c r="L18" s="45">
        <f>+K18/'Capacity Delivered'!Q19*1000</f>
        <v>4.8142961680374263</v>
      </c>
      <c r="M18" s="320">
        <f t="shared" si="2"/>
        <v>4.814296168037426E-3</v>
      </c>
      <c r="O18" s="183">
        <f t="shared" si="9"/>
        <v>0</v>
      </c>
      <c r="P18" s="183">
        <f t="shared" si="3"/>
        <v>0</v>
      </c>
      <c r="Q18" s="183">
        <f t="shared" si="4"/>
        <v>0</v>
      </c>
      <c r="R18" s="183">
        <f t="shared" si="13"/>
        <v>0</v>
      </c>
      <c r="S18" s="183">
        <f t="shared" si="5"/>
        <v>0</v>
      </c>
      <c r="T18" s="45">
        <f>+S18/'Capacity Delivered'!M18*1000</f>
        <v>0</v>
      </c>
      <c r="U18" s="320">
        <f t="shared" si="6"/>
        <v>0</v>
      </c>
      <c r="W18" s="328">
        <f t="shared" si="11"/>
        <v>4.8142961680374263</v>
      </c>
      <c r="X18" s="329">
        <f t="shared" si="7"/>
        <v>4.814296168037426E-3</v>
      </c>
    </row>
    <row r="19" spans="2:24" x14ac:dyDescent="0.25">
      <c r="B19" s="185"/>
      <c r="C19" s="185"/>
      <c r="D19" s="185"/>
      <c r="E19" s="58"/>
      <c r="F19" s="41">
        <f t="shared" si="12"/>
        <v>2031</v>
      </c>
      <c r="G19" s="42">
        <v>13</v>
      </c>
      <c r="H19" s="183">
        <f>'Capacity Delivered'!I20</f>
        <v>13.46513541551584</v>
      </c>
      <c r="I19" s="44">
        <f t="shared" si="0"/>
        <v>5.1957853142481634</v>
      </c>
      <c r="J19" s="45">
        <f t="shared" si="8"/>
        <v>102.55009976735867</v>
      </c>
      <c r="K19" s="45">
        <f t="shared" si="1"/>
        <v>12.690800753775699</v>
      </c>
      <c r="L19" s="45">
        <f>+K19/'Capacity Delivered'!Q20*1000</f>
        <v>4.8290718241155632</v>
      </c>
      <c r="M19" s="320">
        <f t="shared" si="2"/>
        <v>4.829071824115563E-3</v>
      </c>
      <c r="O19" s="183">
        <f t="shared" si="9"/>
        <v>0</v>
      </c>
      <c r="P19" s="183">
        <f t="shared" si="3"/>
        <v>0</v>
      </c>
      <c r="Q19" s="183">
        <f t="shared" si="4"/>
        <v>0</v>
      </c>
      <c r="R19" s="183">
        <f t="shared" si="13"/>
        <v>0</v>
      </c>
      <c r="S19" s="183">
        <f t="shared" si="5"/>
        <v>0</v>
      </c>
      <c r="T19" s="45">
        <f>+S19/'Capacity Delivered'!M19*1000</f>
        <v>0</v>
      </c>
      <c r="U19" s="320">
        <f t="shared" si="6"/>
        <v>0</v>
      </c>
      <c r="W19" s="328">
        <f t="shared" si="11"/>
        <v>4.8290718241155632</v>
      </c>
      <c r="X19" s="329">
        <f t="shared" si="7"/>
        <v>4.829071824115563E-3</v>
      </c>
    </row>
    <row r="20" spans="2:24" x14ac:dyDescent="0.25">
      <c r="B20" s="185"/>
      <c r="C20" s="185"/>
      <c r="D20" s="185"/>
      <c r="E20" s="58"/>
      <c r="F20" s="41">
        <f t="shared" si="12"/>
        <v>2032</v>
      </c>
      <c r="G20" s="42">
        <v>14</v>
      </c>
      <c r="H20" s="183">
        <f>'Capacity Delivered'!I21</f>
        <v>13.46513541551584</v>
      </c>
      <c r="I20" s="44">
        <f t="shared" si="0"/>
        <v>4.8287967604536828</v>
      </c>
      <c r="J20" s="45">
        <f t="shared" si="8"/>
        <v>107.37889652781236</v>
      </c>
      <c r="K20" s="45">
        <f t="shared" si="1"/>
        <v>12.723704970367343</v>
      </c>
      <c r="L20" s="45">
        <f>+K20/'Capacity Delivered'!Q21*1000</f>
        <v>4.8283640597933148</v>
      </c>
      <c r="M20" s="320">
        <f t="shared" si="2"/>
        <v>4.8283640597933152E-3</v>
      </c>
      <c r="O20" s="183">
        <f t="shared" si="9"/>
        <v>0</v>
      </c>
      <c r="P20" s="183">
        <f t="shared" si="3"/>
        <v>0</v>
      </c>
      <c r="Q20" s="183">
        <f t="shared" si="4"/>
        <v>0</v>
      </c>
      <c r="R20" s="183">
        <f t="shared" si="13"/>
        <v>0</v>
      </c>
      <c r="S20" s="183">
        <f t="shared" si="5"/>
        <v>0</v>
      </c>
      <c r="T20" s="45">
        <f>+S20/'Capacity Delivered'!M20*1000</f>
        <v>0</v>
      </c>
      <c r="U20" s="320">
        <f t="shared" si="6"/>
        <v>0</v>
      </c>
      <c r="W20" s="328">
        <f t="shared" si="11"/>
        <v>4.8283640597933148</v>
      </c>
      <c r="X20" s="329">
        <f t="shared" si="7"/>
        <v>4.8283640597933152E-3</v>
      </c>
    </row>
    <row r="21" spans="2:24" s="187" customFormat="1" x14ac:dyDescent="0.25">
      <c r="B21" s="185"/>
      <c r="C21" s="185"/>
      <c r="D21" s="185"/>
      <c r="E21" s="58"/>
      <c r="F21" s="43">
        <f t="shared" si="12"/>
        <v>2033</v>
      </c>
      <c r="G21" s="43">
        <v>15</v>
      </c>
      <c r="H21" s="186">
        <f>'Capacity Delivered'!I22</f>
        <v>13.46513541551584</v>
      </c>
      <c r="I21" s="46">
        <f t="shared" si="0"/>
        <v>4.4877293312766557</v>
      </c>
      <c r="J21" s="47">
        <f>J20+I21</f>
        <v>111.86662585908901</v>
      </c>
      <c r="K21" s="47">
        <f t="shared" si="1"/>
        <v>12.751873215567292</v>
      </c>
      <c r="L21" s="47">
        <f>+K21/'Capacity Delivered'!Q22*1000</f>
        <v>4.8523109648277361</v>
      </c>
      <c r="M21" s="321">
        <f>L21/1000</f>
        <v>4.8523109648277362E-3</v>
      </c>
      <c r="O21" s="186">
        <f t="shared" si="9"/>
        <v>0</v>
      </c>
      <c r="P21" s="186">
        <f t="shared" si="3"/>
        <v>0</v>
      </c>
      <c r="Q21" s="186">
        <f t="shared" si="4"/>
        <v>0</v>
      </c>
      <c r="R21" s="186">
        <f>R20+Q21</f>
        <v>0</v>
      </c>
      <c r="S21" s="186">
        <f t="shared" si="5"/>
        <v>0</v>
      </c>
      <c r="T21" s="47">
        <f>+S21/'Capacity Delivered'!M21*1000</f>
        <v>0</v>
      </c>
      <c r="U21" s="321">
        <f>T21/1000</f>
        <v>0</v>
      </c>
      <c r="W21" s="330">
        <f t="shared" si="11"/>
        <v>4.8523109648277361</v>
      </c>
      <c r="X21" s="331">
        <f>W21/1000</f>
        <v>4.8523109648277362E-3</v>
      </c>
    </row>
    <row r="22" spans="2:24" x14ac:dyDescent="0.25">
      <c r="B22" s="185"/>
      <c r="C22" s="185"/>
      <c r="D22" s="185"/>
      <c r="E22" s="58"/>
      <c r="F22" s="41">
        <f t="shared" si="12"/>
        <v>2034</v>
      </c>
      <c r="G22" s="42">
        <v>16</v>
      </c>
      <c r="H22" s="183">
        <f>'Capacity Delivered'!I23</f>
        <v>14.129092683255571</v>
      </c>
      <c r="I22" s="44">
        <f t="shared" si="0"/>
        <v>4.3764093046605703</v>
      </c>
      <c r="J22" s="45">
        <f t="shared" si="8"/>
        <v>116.24303516374958</v>
      </c>
      <c r="K22" s="45">
        <f t="shared" si="1"/>
        <v>12.798842133277635</v>
      </c>
      <c r="L22" s="45">
        <f>+K22/'Capacity Delivered'!Q23*1000</f>
        <v>4.8701834601513072</v>
      </c>
      <c r="M22" s="320">
        <f t="shared" si="2"/>
        <v>4.870183460151307E-3</v>
      </c>
      <c r="O22" s="183">
        <f t="shared" si="9"/>
        <v>0</v>
      </c>
      <c r="P22" s="183">
        <f t="shared" si="3"/>
        <v>0</v>
      </c>
      <c r="Q22" s="183">
        <f t="shared" si="4"/>
        <v>0</v>
      </c>
      <c r="R22" s="183">
        <f t="shared" ref="R22:R27" si="14">R21+Q22</f>
        <v>0</v>
      </c>
      <c r="S22" s="183">
        <f t="shared" si="5"/>
        <v>0</v>
      </c>
      <c r="T22" s="45">
        <f>+S22/'Capacity Delivered'!M22*1000</f>
        <v>0</v>
      </c>
      <c r="U22" s="320">
        <f t="shared" ref="U22:U27" si="15">T22/1000</f>
        <v>0</v>
      </c>
      <c r="W22" s="328">
        <f t="shared" si="11"/>
        <v>4.8701834601513072</v>
      </c>
      <c r="X22" s="329">
        <f t="shared" ref="X22:X27" si="16">W22/1000</f>
        <v>4.870183460151307E-3</v>
      </c>
    </row>
    <row r="23" spans="2:24" x14ac:dyDescent="0.25">
      <c r="B23" s="185"/>
      <c r="C23" s="185"/>
      <c r="D23" s="185"/>
      <c r="E23" s="58"/>
      <c r="F23" s="41">
        <f t="shared" si="12"/>
        <v>2035</v>
      </c>
      <c r="G23" s="42">
        <v>17</v>
      </c>
      <c r="H23" s="183">
        <f>'Capacity Delivered'!I24</f>
        <v>14.129092683255571</v>
      </c>
      <c r="I23" s="44">
        <f t="shared" si="0"/>
        <v>4.0672948928072206</v>
      </c>
      <c r="J23" s="45">
        <f t="shared" si="8"/>
        <v>120.31033005655681</v>
      </c>
      <c r="K23" s="45">
        <f t="shared" si="1"/>
        <v>12.839709543350651</v>
      </c>
      <c r="L23" s="45">
        <f>+K23/'Capacity Delivered'!Q24*1000</f>
        <v>4.8857342250192737</v>
      </c>
      <c r="M23" s="320">
        <f t="shared" si="2"/>
        <v>4.8857342250192733E-3</v>
      </c>
      <c r="O23" s="183">
        <f t="shared" si="9"/>
        <v>0</v>
      </c>
      <c r="P23" s="183">
        <f t="shared" si="3"/>
        <v>0</v>
      </c>
      <c r="Q23" s="183">
        <f t="shared" si="4"/>
        <v>0</v>
      </c>
      <c r="R23" s="183">
        <f t="shared" si="14"/>
        <v>0</v>
      </c>
      <c r="S23" s="183">
        <f t="shared" si="5"/>
        <v>0</v>
      </c>
      <c r="T23" s="45">
        <f>+S23/'Capacity Delivered'!M23*1000</f>
        <v>0</v>
      </c>
      <c r="U23" s="320">
        <f t="shared" si="15"/>
        <v>0</v>
      </c>
      <c r="W23" s="328">
        <f t="shared" si="11"/>
        <v>4.8857342250192737</v>
      </c>
      <c r="X23" s="329">
        <f t="shared" si="16"/>
        <v>4.8857342250192733E-3</v>
      </c>
    </row>
    <row r="24" spans="2:24" x14ac:dyDescent="0.25">
      <c r="B24" s="185"/>
      <c r="C24" s="185"/>
      <c r="D24" s="185"/>
      <c r="E24" s="58"/>
      <c r="F24" s="41">
        <f t="shared" si="12"/>
        <v>2036</v>
      </c>
      <c r="G24" s="42">
        <v>18</v>
      </c>
      <c r="H24" s="183">
        <f>'Capacity Delivered'!I25</f>
        <v>14.57431214521732</v>
      </c>
      <c r="I24" s="44">
        <f t="shared" si="0"/>
        <v>3.8991252209557015</v>
      </c>
      <c r="J24" s="45">
        <f t="shared" si="8"/>
        <v>124.2094552775125</v>
      </c>
      <c r="K24" s="45">
        <f t="shared" si="1"/>
        <v>12.887860539946372</v>
      </c>
      <c r="L24" s="45">
        <f>+K24/'Capacity Delivered'!Q25*1000</f>
        <v>4.890657460513955</v>
      </c>
      <c r="M24" s="320">
        <f t="shared" si="2"/>
        <v>4.8906574605139547E-3</v>
      </c>
      <c r="O24" s="183">
        <f t="shared" si="9"/>
        <v>0</v>
      </c>
      <c r="P24" s="183">
        <f t="shared" si="3"/>
        <v>0</v>
      </c>
      <c r="Q24" s="183">
        <f t="shared" si="4"/>
        <v>0</v>
      </c>
      <c r="R24" s="183">
        <f t="shared" si="14"/>
        <v>0</v>
      </c>
      <c r="S24" s="183">
        <f t="shared" si="5"/>
        <v>0</v>
      </c>
      <c r="T24" s="45">
        <f>+S24/'Capacity Delivered'!M24*1000</f>
        <v>0</v>
      </c>
      <c r="U24" s="320">
        <f t="shared" si="15"/>
        <v>0</v>
      </c>
      <c r="W24" s="328">
        <f t="shared" si="11"/>
        <v>4.890657460513955</v>
      </c>
      <c r="X24" s="329">
        <f t="shared" si="16"/>
        <v>4.8906574605139547E-3</v>
      </c>
    </row>
    <row r="25" spans="2:24" x14ac:dyDescent="0.25">
      <c r="B25" s="185"/>
      <c r="C25" s="185"/>
      <c r="D25" s="185"/>
      <c r="E25" s="58"/>
      <c r="F25" s="41">
        <f t="shared" si="12"/>
        <v>2037</v>
      </c>
      <c r="G25" s="42">
        <v>19</v>
      </c>
      <c r="H25" s="183">
        <f>'Capacity Delivered'!I26</f>
        <v>14.57431214521732</v>
      </c>
      <c r="I25" s="44">
        <f t="shared" si="0"/>
        <v>3.6237223243082726</v>
      </c>
      <c r="J25" s="45">
        <f t="shared" si="8"/>
        <v>127.83317760182078</v>
      </c>
      <c r="K25" s="45">
        <f t="shared" si="1"/>
        <v>12.93027411444265</v>
      </c>
      <c r="L25" s="45">
        <f>+K25/'Capacity Delivered'!Q26*1000</f>
        <v>4.9201956295443878</v>
      </c>
      <c r="M25" s="320">
        <f t="shared" si="2"/>
        <v>4.9201956295443876E-3</v>
      </c>
      <c r="O25" s="183">
        <f t="shared" si="9"/>
        <v>0</v>
      </c>
      <c r="P25" s="183">
        <f t="shared" si="3"/>
        <v>0</v>
      </c>
      <c r="Q25" s="183">
        <f t="shared" si="4"/>
        <v>0</v>
      </c>
      <c r="R25" s="183">
        <f t="shared" si="14"/>
        <v>0</v>
      </c>
      <c r="S25" s="183">
        <f t="shared" si="5"/>
        <v>0</v>
      </c>
      <c r="T25" s="45">
        <f>+S25/'Capacity Delivered'!M25*1000</f>
        <v>0</v>
      </c>
      <c r="U25" s="320">
        <f t="shared" si="15"/>
        <v>0</v>
      </c>
      <c r="W25" s="328">
        <f t="shared" si="11"/>
        <v>4.9201956295443878</v>
      </c>
      <c r="X25" s="329">
        <f t="shared" si="16"/>
        <v>4.9201956295443876E-3</v>
      </c>
    </row>
    <row r="26" spans="2:24" x14ac:dyDescent="0.25">
      <c r="B26" s="185"/>
      <c r="C26" s="185"/>
      <c r="D26" s="185"/>
      <c r="E26" s="58"/>
      <c r="F26" s="41">
        <f t="shared" si="12"/>
        <v>2038</v>
      </c>
      <c r="G26" s="42">
        <v>20</v>
      </c>
      <c r="H26" s="183">
        <f>'Capacity Delivered'!I27</f>
        <v>14.57431214521732</v>
      </c>
      <c r="I26" s="44">
        <f t="shared" si="0"/>
        <v>3.3677716768664245</v>
      </c>
      <c r="J26" s="45">
        <f t="shared" si="8"/>
        <v>131.2009492786872</v>
      </c>
      <c r="K26" s="45">
        <f t="shared" si="1"/>
        <v>12.967822954745703</v>
      </c>
      <c r="L26" s="45">
        <f>+K26/'Capacity Delivered'!Q27*1000</f>
        <v>4.934483620527284</v>
      </c>
      <c r="M26" s="320">
        <f t="shared" si="2"/>
        <v>4.934483620527284E-3</v>
      </c>
      <c r="O26" s="183">
        <f t="shared" si="9"/>
        <v>0</v>
      </c>
      <c r="P26" s="183">
        <f t="shared" si="3"/>
        <v>0</v>
      </c>
      <c r="Q26" s="183">
        <f t="shared" si="4"/>
        <v>0</v>
      </c>
      <c r="R26" s="183">
        <f t="shared" si="14"/>
        <v>0</v>
      </c>
      <c r="S26" s="183">
        <f t="shared" si="5"/>
        <v>0</v>
      </c>
      <c r="T26" s="45">
        <f>+S26/'Capacity Delivered'!M26*1000</f>
        <v>0</v>
      </c>
      <c r="U26" s="320">
        <f t="shared" si="15"/>
        <v>0</v>
      </c>
      <c r="W26" s="328">
        <f t="shared" si="11"/>
        <v>4.934483620527284</v>
      </c>
      <c r="X26" s="329">
        <f t="shared" si="16"/>
        <v>4.934483620527284E-3</v>
      </c>
    </row>
    <row r="27" spans="2:24" s="50" customFormat="1" ht="15.6" thickBot="1" x14ac:dyDescent="0.3">
      <c r="F27" s="41">
        <f t="shared" si="12"/>
        <v>2039</v>
      </c>
      <c r="G27" s="40">
        <v>21</v>
      </c>
      <c r="H27" s="183">
        <f>'Capacity Delivered'!I28</f>
        <v>14.57431214521732</v>
      </c>
      <c r="I27" s="44">
        <f t="shared" si="0"/>
        <v>3.1298993279427734</v>
      </c>
      <c r="J27" s="45">
        <f t="shared" si="8"/>
        <v>134.33084860662998</v>
      </c>
      <c r="K27" s="45">
        <f t="shared" si="1"/>
        <v>13.001213864647267</v>
      </c>
      <c r="L27" s="45">
        <f>+K27/'Capacity Delivered'!Q28*1000</f>
        <v>4.9471894462128105</v>
      </c>
      <c r="M27" s="320">
        <f t="shared" si="2"/>
        <v>4.9471894462128109E-3</v>
      </c>
      <c r="O27" s="183">
        <f t="shared" si="9"/>
        <v>0</v>
      </c>
      <c r="P27" s="183">
        <f t="shared" si="3"/>
        <v>0</v>
      </c>
      <c r="Q27" s="183">
        <f t="shared" si="4"/>
        <v>0</v>
      </c>
      <c r="R27" s="183">
        <f t="shared" si="14"/>
        <v>0</v>
      </c>
      <c r="S27" s="183">
        <f t="shared" si="5"/>
        <v>0</v>
      </c>
      <c r="T27" s="45">
        <f>+S27/'Capacity Delivered'!M27*1000</f>
        <v>0</v>
      </c>
      <c r="U27" s="320">
        <f t="shared" si="15"/>
        <v>0</v>
      </c>
      <c r="W27" s="332">
        <f t="shared" si="11"/>
        <v>4.9471894462128105</v>
      </c>
      <c r="X27" s="333">
        <f t="shared" si="16"/>
        <v>4.9471894462128109E-3</v>
      </c>
    </row>
    <row r="28" spans="2:24" s="50" customFormat="1" x14ac:dyDescent="0.25">
      <c r="C28" s="21"/>
      <c r="F28" s="41"/>
      <c r="G28" s="40"/>
      <c r="H28" s="188"/>
      <c r="I28" s="61"/>
      <c r="J28" s="62"/>
      <c r="K28" s="54"/>
      <c r="L28" s="54"/>
      <c r="M28" s="54"/>
      <c r="O28" s="189"/>
      <c r="P28" s="60"/>
      <c r="Q28" s="61"/>
      <c r="R28" s="62"/>
      <c r="S28" s="54"/>
      <c r="T28" s="54"/>
      <c r="U28" s="54"/>
      <c r="W28" s="54"/>
      <c r="X28" s="54"/>
    </row>
    <row r="29" spans="2:24" x14ac:dyDescent="0.25">
      <c r="B29" s="31" t="s">
        <v>151</v>
      </c>
      <c r="C29" s="21"/>
      <c r="D29" s="50"/>
      <c r="E29" s="50"/>
      <c r="F29" s="31"/>
      <c r="G29" s="40"/>
      <c r="H29" s="188"/>
      <c r="I29" s="31"/>
      <c r="J29" s="31"/>
      <c r="K29" s="31"/>
      <c r="L29" s="31"/>
      <c r="M29" s="31"/>
      <c r="O29" s="189"/>
      <c r="P29" s="60"/>
      <c r="Q29" s="31"/>
      <c r="R29" s="31"/>
      <c r="S29" s="31"/>
      <c r="T29" s="31"/>
      <c r="U29" s="31"/>
      <c r="W29" s="31"/>
      <c r="X29" s="31"/>
    </row>
    <row r="30" spans="2:24" s="50" customFormat="1" ht="51.75" customHeight="1" x14ac:dyDescent="0.25">
      <c r="B30" s="351" t="s">
        <v>96</v>
      </c>
      <c r="C30" s="351"/>
      <c r="D30" s="351"/>
      <c r="E30" s="351"/>
      <c r="F30" s="351"/>
      <c r="G30" s="351"/>
      <c r="H30" s="351"/>
      <c r="I30" s="351"/>
      <c r="J30" s="351"/>
      <c r="K30" s="351"/>
      <c r="L30" s="351"/>
      <c r="M30" s="351"/>
      <c r="Q30" s="318"/>
      <c r="R30" s="318"/>
    </row>
  </sheetData>
  <mergeCells count="1">
    <mergeCell ref="B30:M30"/>
  </mergeCells>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7649" r:id="rId4" name="Control 1">
          <controlPr defaultSize="0" r:id="rId5">
            <anchor moveWithCells="1">
              <from>
                <xdr:col>6</xdr:col>
                <xdr:colOff>571500</xdr:colOff>
                <xdr:row>2</xdr:row>
                <xdr:rowOff>76200</xdr:rowOff>
              </from>
              <to>
                <xdr:col>6</xdr:col>
                <xdr:colOff>739140</xdr:colOff>
                <xdr:row>3</xdr:row>
                <xdr:rowOff>53340</xdr:rowOff>
              </to>
            </anchor>
          </controlPr>
        </control>
      </mc:Choice>
      <mc:Fallback>
        <control shapeId="27649" r:id="rId4" name="Control 1"/>
      </mc:Fallback>
    </mc:AlternateContent>
    <mc:AlternateContent xmlns:mc="http://schemas.openxmlformats.org/markup-compatibility/2006">
      <mc:Choice Requires="x14">
        <control shapeId="27650" r:id="rId6" name="Control 2">
          <controlPr defaultSize="0" r:id="rId7">
            <anchor moveWithCells="1">
              <from>
                <xdr:col>6</xdr:col>
                <xdr:colOff>571500</xdr:colOff>
                <xdr:row>2</xdr:row>
                <xdr:rowOff>76200</xdr:rowOff>
              </from>
              <to>
                <xdr:col>6</xdr:col>
                <xdr:colOff>1127760</xdr:colOff>
                <xdr:row>3</xdr:row>
                <xdr:rowOff>53340</xdr:rowOff>
              </to>
            </anchor>
          </controlPr>
        </control>
      </mc:Choice>
      <mc:Fallback>
        <control shapeId="27650" r:id="rId6" name="Control 2"/>
      </mc:Fallback>
    </mc:AlternateContent>
    <mc:AlternateContent xmlns:mc="http://schemas.openxmlformats.org/markup-compatibility/2006">
      <mc:Choice Requires="x14">
        <control shapeId="27651" r:id="rId8" name="Control 3">
          <controlPr defaultSize="0" r:id="rId9">
            <anchor moveWithCells="1">
              <from>
                <xdr:col>6</xdr:col>
                <xdr:colOff>571500</xdr:colOff>
                <xdr:row>2</xdr:row>
                <xdr:rowOff>76200</xdr:rowOff>
              </from>
              <to>
                <xdr:col>6</xdr:col>
                <xdr:colOff>1127760</xdr:colOff>
                <xdr:row>3</xdr:row>
                <xdr:rowOff>53340</xdr:rowOff>
              </to>
            </anchor>
          </controlPr>
        </control>
      </mc:Choice>
      <mc:Fallback>
        <control shapeId="27651" r:id="rId8" name="Control 3"/>
      </mc:Fallback>
    </mc:AlternateContent>
    <mc:AlternateContent xmlns:mc="http://schemas.openxmlformats.org/markup-compatibility/2006">
      <mc:Choice Requires="x14">
        <control shapeId="27652" r:id="rId10" name="Control 4">
          <controlPr defaultSize="0" r:id="rId11">
            <anchor moveWithCells="1">
              <from>
                <xdr:col>6</xdr:col>
                <xdr:colOff>571500</xdr:colOff>
                <xdr:row>2</xdr:row>
                <xdr:rowOff>76200</xdr:rowOff>
              </from>
              <to>
                <xdr:col>7</xdr:col>
                <xdr:colOff>0</xdr:colOff>
                <xdr:row>3</xdr:row>
                <xdr:rowOff>114300</xdr:rowOff>
              </to>
            </anchor>
          </controlPr>
        </control>
      </mc:Choice>
      <mc:Fallback>
        <control shapeId="27652" r:id="rId10" name="Control 4"/>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39997558519241921"/>
    <pageSetUpPr fitToPage="1"/>
  </sheetPr>
  <dimension ref="A1:X32"/>
  <sheetViews>
    <sheetView zoomScale="75" zoomScaleNormal="75" workbookViewId="0">
      <selection activeCell="J32" sqref="J32"/>
    </sheetView>
  </sheetViews>
  <sheetFormatPr defaultColWidth="9.109375" defaultRowHeight="15" x14ac:dyDescent="0.25"/>
  <cols>
    <col min="1" max="1" width="2.6640625" style="35" customWidth="1"/>
    <col min="2" max="2" width="25.6640625" style="35" customWidth="1"/>
    <col min="3" max="3" width="17.44140625" style="35" customWidth="1"/>
    <col min="4" max="4" width="15.5546875" style="35" customWidth="1"/>
    <col min="5" max="5" width="2.6640625" style="35" customWidth="1"/>
    <col min="6" max="6" width="9.6640625" style="35" customWidth="1"/>
    <col min="7" max="7" width="16.6640625" style="35" customWidth="1"/>
    <col min="8" max="8" width="16.44140625" style="50" customWidth="1"/>
    <col min="9" max="9" width="18.5546875" style="35" customWidth="1"/>
    <col min="10" max="10" width="19" style="35" customWidth="1"/>
    <col min="11" max="13" width="22.33203125" style="35" customWidth="1"/>
    <col min="14" max="14" width="2.6640625" style="35" customWidth="1"/>
    <col min="15" max="15" width="16.44140625" style="50" customWidth="1"/>
    <col min="16" max="16" width="16.6640625" style="180" customWidth="1"/>
    <col min="17" max="17" width="18.5546875" style="35" customWidth="1"/>
    <col min="18" max="18" width="19" style="35" customWidth="1"/>
    <col min="19" max="21" width="22.33203125" style="35" customWidth="1"/>
    <col min="22" max="22" width="2.6640625" style="35" customWidth="1"/>
    <col min="23" max="24" width="22.33203125" style="35" customWidth="1"/>
    <col min="25" max="16384" width="9.109375" style="35"/>
  </cols>
  <sheetData>
    <row r="1" spans="1:24" x14ac:dyDescent="0.25">
      <c r="B1" s="14"/>
    </row>
    <row r="3" spans="1:24" ht="16.2" thickBot="1" x14ac:dyDescent="0.35">
      <c r="H3" s="176" t="s">
        <v>54</v>
      </c>
    </row>
    <row r="4" spans="1:24" ht="62.4" x14ac:dyDescent="0.3">
      <c r="F4" s="15" t="s">
        <v>15</v>
      </c>
      <c r="G4" s="16" t="s">
        <v>1</v>
      </c>
      <c r="H4" s="17" t="s">
        <v>16</v>
      </c>
      <c r="I4" s="16" t="s">
        <v>17</v>
      </c>
      <c r="J4" s="16" t="s">
        <v>18</v>
      </c>
      <c r="K4" s="3" t="s">
        <v>19</v>
      </c>
      <c r="L4" s="3" t="s">
        <v>19</v>
      </c>
      <c r="M4" s="3" t="s">
        <v>19</v>
      </c>
      <c r="O4" s="17" t="s">
        <v>91</v>
      </c>
      <c r="P4" s="17" t="s">
        <v>61</v>
      </c>
      <c r="Q4" s="16" t="s">
        <v>17</v>
      </c>
      <c r="R4" s="16" t="s">
        <v>18</v>
      </c>
      <c r="S4" s="3" t="s">
        <v>19</v>
      </c>
      <c r="T4" s="3" t="s">
        <v>19</v>
      </c>
      <c r="U4" s="3" t="s">
        <v>19</v>
      </c>
      <c r="W4" s="322" t="s">
        <v>19</v>
      </c>
      <c r="X4" s="323" t="s">
        <v>19</v>
      </c>
    </row>
    <row r="5" spans="1:24" ht="15.6" x14ac:dyDescent="0.3">
      <c r="B5" s="56"/>
      <c r="C5" s="56"/>
      <c r="F5" s="18"/>
      <c r="G5" s="18" t="s">
        <v>20</v>
      </c>
      <c r="H5" s="19" t="s">
        <v>35</v>
      </c>
      <c r="I5" s="18" t="s">
        <v>35</v>
      </c>
      <c r="J5" s="18" t="s">
        <v>35</v>
      </c>
      <c r="K5" s="4" t="s">
        <v>35</v>
      </c>
      <c r="L5" s="4" t="s">
        <v>38</v>
      </c>
      <c r="M5" s="4" t="s">
        <v>39</v>
      </c>
      <c r="O5" s="19" t="s">
        <v>35</v>
      </c>
      <c r="P5" s="19" t="s">
        <v>35</v>
      </c>
      <c r="Q5" s="18" t="s">
        <v>35</v>
      </c>
      <c r="R5" s="18" t="s">
        <v>35</v>
      </c>
      <c r="S5" s="4" t="s">
        <v>35</v>
      </c>
      <c r="T5" s="4" t="s">
        <v>38</v>
      </c>
      <c r="U5" s="4" t="s">
        <v>39</v>
      </c>
      <c r="W5" s="324" t="s">
        <v>38</v>
      </c>
      <c r="X5" s="325" t="s">
        <v>39</v>
      </c>
    </row>
    <row r="6" spans="1:24" ht="15.6" x14ac:dyDescent="0.3">
      <c r="A6" s="181"/>
      <c r="B6" s="181"/>
      <c r="C6" s="174" t="s">
        <v>21</v>
      </c>
      <c r="D6" s="215">
        <v>0</v>
      </c>
      <c r="E6" s="51"/>
      <c r="F6" s="179" t="s">
        <v>22</v>
      </c>
      <c r="G6" s="179" t="s">
        <v>23</v>
      </c>
      <c r="H6" s="179" t="s">
        <v>24</v>
      </c>
      <c r="I6" s="179" t="s">
        <v>32</v>
      </c>
      <c r="J6" s="179" t="s">
        <v>27</v>
      </c>
      <c r="K6" s="179" t="s">
        <v>28</v>
      </c>
      <c r="L6" s="179" t="s">
        <v>40</v>
      </c>
      <c r="M6" s="179" t="s">
        <v>90</v>
      </c>
      <c r="O6" s="179" t="s">
        <v>25</v>
      </c>
      <c r="P6" s="179" t="s">
        <v>26</v>
      </c>
      <c r="Q6" s="179" t="s">
        <v>32</v>
      </c>
      <c r="R6" s="179" t="s">
        <v>27</v>
      </c>
      <c r="S6" s="179" t="s">
        <v>28</v>
      </c>
      <c r="T6" s="179" t="s">
        <v>40</v>
      </c>
      <c r="U6" s="179" t="s">
        <v>90</v>
      </c>
      <c r="W6" s="326" t="s">
        <v>40</v>
      </c>
      <c r="X6" s="327" t="s">
        <v>90</v>
      </c>
    </row>
    <row r="7" spans="1:24" ht="15.6" x14ac:dyDescent="0.3">
      <c r="A7" s="181"/>
      <c r="B7" s="56"/>
      <c r="C7" s="20" t="s">
        <v>29</v>
      </c>
      <c r="D7" s="52">
        <v>0</v>
      </c>
      <c r="E7" s="53"/>
      <c r="F7" s="182">
        <v>2019</v>
      </c>
      <c r="G7" s="177">
        <v>1</v>
      </c>
      <c r="H7" s="183">
        <f>'Capacity Delivered'!J8</f>
        <v>1.4480000000000002</v>
      </c>
      <c r="I7" s="33">
        <f t="shared" ref="I7:I27" si="0">SUM(H7)/((1+$D$8)^G7)</f>
        <v>1.3457249070631971</v>
      </c>
      <c r="J7" s="178">
        <f>I7</f>
        <v>1.3457249070631971</v>
      </c>
      <c r="K7" s="178">
        <f t="shared" ref="K7:K27" si="1">(-PMT($D$8,G7,(J7)))</f>
        <v>1.4480000000000004</v>
      </c>
      <c r="L7" s="178">
        <f>+K7/'Capacity Delivered'!S8*1000</f>
        <v>0.63575693712680037</v>
      </c>
      <c r="M7" s="319">
        <f t="shared" ref="M7:M27" si="2">L7/1000</f>
        <v>6.3575693712680033E-4</v>
      </c>
      <c r="O7" s="190">
        <f>D13</f>
        <v>0</v>
      </c>
      <c r="P7" s="190">
        <f t="shared" ref="P7:P27" si="3">(H7+O7)*$D$7</f>
        <v>0</v>
      </c>
      <c r="Q7" s="190">
        <f t="shared" ref="Q7:Q27" si="4">SUM(O7:P7)/((1+$D$8)^G7)</f>
        <v>0</v>
      </c>
      <c r="R7" s="190">
        <f>Q7</f>
        <v>0</v>
      </c>
      <c r="S7" s="190">
        <f t="shared" ref="S7:S27" si="5">(-PMT($D$8,G7,(R7)))</f>
        <v>0</v>
      </c>
      <c r="T7" s="178">
        <f>+S7/'Capacity Delivered'!M7*1000</f>
        <v>0</v>
      </c>
      <c r="U7" s="319">
        <f t="shared" ref="U7:U20" si="6">T7/1000</f>
        <v>0</v>
      </c>
      <c r="W7" s="328">
        <f>L7+T7</f>
        <v>0.63575693712680037</v>
      </c>
      <c r="X7" s="329">
        <f t="shared" ref="X7:X20" si="7">W7/1000</f>
        <v>6.3575693712680033E-4</v>
      </c>
    </row>
    <row r="8" spans="1:24" ht="15.6" x14ac:dyDescent="0.3">
      <c r="A8" s="181"/>
      <c r="B8" s="56"/>
      <c r="C8" s="20" t="s">
        <v>33</v>
      </c>
      <c r="D8" s="52">
        <f>Rate_of_Return</f>
        <v>7.5999999999999998E-2</v>
      </c>
      <c r="E8" s="53"/>
      <c r="F8" s="41">
        <f>F7+1</f>
        <v>2020</v>
      </c>
      <c r="G8" s="42">
        <v>2</v>
      </c>
      <c r="H8" s="183">
        <f>'Capacity Delivered'!J9</f>
        <v>1.4480000000000002</v>
      </c>
      <c r="I8" s="44">
        <f t="shared" si="0"/>
        <v>1.250673705449068</v>
      </c>
      <c r="J8" s="45">
        <f t="shared" ref="J8:J27" si="8">J7+I8</f>
        <v>2.5963986125122651</v>
      </c>
      <c r="K8" s="45">
        <f t="shared" si="1"/>
        <v>1.4480000000000002</v>
      </c>
      <c r="L8" s="45">
        <f>+K8/'Capacity Delivered'!S9*1000</f>
        <v>0.63401989631497824</v>
      </c>
      <c r="M8" s="320">
        <f t="shared" si="2"/>
        <v>6.3401989631497828E-4</v>
      </c>
      <c r="O8" s="183">
        <f t="shared" ref="O8:O27" si="9">O7+(O7*$D$9)</f>
        <v>0</v>
      </c>
      <c r="P8" s="183">
        <f t="shared" si="3"/>
        <v>0</v>
      </c>
      <c r="Q8" s="183">
        <f t="shared" si="4"/>
        <v>0</v>
      </c>
      <c r="R8" s="183">
        <f t="shared" ref="R8:R12" si="10">R7+Q8</f>
        <v>0</v>
      </c>
      <c r="S8" s="183">
        <f t="shared" si="5"/>
        <v>0</v>
      </c>
      <c r="T8" s="45">
        <f>+S8/'Capacity Delivered'!M8*1000</f>
        <v>0</v>
      </c>
      <c r="U8" s="320">
        <f t="shared" si="6"/>
        <v>0</v>
      </c>
      <c r="W8" s="328">
        <f t="shared" ref="W8:W27" si="11">L8+T8</f>
        <v>0.63401989631497824</v>
      </c>
      <c r="X8" s="329">
        <f t="shared" si="7"/>
        <v>6.3401989631497828E-4</v>
      </c>
    </row>
    <row r="9" spans="1:24" ht="15.6" x14ac:dyDescent="0.3">
      <c r="A9" s="181"/>
      <c r="B9" s="56"/>
      <c r="C9" s="20" t="s">
        <v>34</v>
      </c>
      <c r="D9" s="52">
        <v>2.5000000000000001E-2</v>
      </c>
      <c r="E9" s="55"/>
      <c r="F9" s="41">
        <f t="shared" ref="F9:F27" si="12">F8+1</f>
        <v>2021</v>
      </c>
      <c r="G9" s="42">
        <v>3</v>
      </c>
      <c r="H9" s="183">
        <f>'Capacity Delivered'!J10</f>
        <v>1.4480000000000002</v>
      </c>
      <c r="I9" s="44">
        <f t="shared" si="0"/>
        <v>1.1623361574805462</v>
      </c>
      <c r="J9" s="45">
        <f t="shared" si="8"/>
        <v>3.7587347699928113</v>
      </c>
      <c r="K9" s="45">
        <f t="shared" si="1"/>
        <v>1.4479999999999997</v>
      </c>
      <c r="L9" s="45">
        <f>+K9/'Capacity Delivered'!S10*1000</f>
        <v>0.63575693712680004</v>
      </c>
      <c r="M9" s="320">
        <f t="shared" si="2"/>
        <v>6.357569371268E-4</v>
      </c>
      <c r="O9" s="183">
        <f t="shared" si="9"/>
        <v>0</v>
      </c>
      <c r="P9" s="183">
        <f t="shared" si="3"/>
        <v>0</v>
      </c>
      <c r="Q9" s="183">
        <f t="shared" si="4"/>
        <v>0</v>
      </c>
      <c r="R9" s="183">
        <f t="shared" si="10"/>
        <v>0</v>
      </c>
      <c r="S9" s="183">
        <f t="shared" si="5"/>
        <v>0</v>
      </c>
      <c r="T9" s="45">
        <f>+S9/'Capacity Delivered'!M9*1000</f>
        <v>0</v>
      </c>
      <c r="U9" s="320">
        <f t="shared" si="6"/>
        <v>0</v>
      </c>
      <c r="W9" s="328">
        <f t="shared" si="11"/>
        <v>0.63575693712680004</v>
      </c>
      <c r="X9" s="329">
        <f t="shared" si="7"/>
        <v>6.357569371268E-4</v>
      </c>
    </row>
    <row r="10" spans="1:24" ht="15.6" x14ac:dyDescent="0.3">
      <c r="B10" s="56"/>
      <c r="C10" s="20"/>
      <c r="D10" s="57"/>
      <c r="E10" s="53"/>
      <c r="F10" s="41">
        <f t="shared" si="12"/>
        <v>2022</v>
      </c>
      <c r="G10" s="42">
        <v>4</v>
      </c>
      <c r="H10" s="183">
        <f>'Capacity Delivered'!J11</f>
        <v>1.4480000000000002</v>
      </c>
      <c r="I10" s="44">
        <f t="shared" si="0"/>
        <v>1.0802380645729983</v>
      </c>
      <c r="J10" s="45">
        <f t="shared" si="8"/>
        <v>4.8389728345658094</v>
      </c>
      <c r="K10" s="45">
        <f t="shared" si="1"/>
        <v>1.4480000000000002</v>
      </c>
      <c r="L10" s="45">
        <f>+K10/'Capacity Delivered'!S11*1000</f>
        <v>0.63575693712680026</v>
      </c>
      <c r="M10" s="320">
        <f t="shared" si="2"/>
        <v>6.3575693712680022E-4</v>
      </c>
      <c r="O10" s="183">
        <f t="shared" si="9"/>
        <v>0</v>
      </c>
      <c r="P10" s="183">
        <f t="shared" si="3"/>
        <v>0</v>
      </c>
      <c r="Q10" s="183">
        <f t="shared" si="4"/>
        <v>0</v>
      </c>
      <c r="R10" s="183">
        <f t="shared" si="10"/>
        <v>0</v>
      </c>
      <c r="S10" s="183">
        <f t="shared" si="5"/>
        <v>0</v>
      </c>
      <c r="T10" s="45">
        <f>+S10/'Capacity Delivered'!M10*1000</f>
        <v>0</v>
      </c>
      <c r="U10" s="320">
        <f t="shared" si="6"/>
        <v>0</v>
      </c>
      <c r="W10" s="328">
        <f t="shared" si="11"/>
        <v>0.63575693712680026</v>
      </c>
      <c r="X10" s="329">
        <f t="shared" si="7"/>
        <v>6.3575693712680022E-4</v>
      </c>
    </row>
    <row r="11" spans="1:24" ht="15.6" x14ac:dyDescent="0.3">
      <c r="B11" s="56"/>
      <c r="C11" s="20" t="str">
        <f>C6</f>
        <v>Deferred T&amp;D Cost Credit ($/kw-yr) (4):</v>
      </c>
      <c r="D11" s="218" t="s">
        <v>55</v>
      </c>
      <c r="E11" s="53"/>
      <c r="F11" s="41">
        <f t="shared" si="12"/>
        <v>2023</v>
      </c>
      <c r="G11" s="42">
        <v>5</v>
      </c>
      <c r="H11" s="183">
        <f>'Capacity Delivered'!J12</f>
        <v>1.86</v>
      </c>
      <c r="I11" s="44">
        <f t="shared" si="0"/>
        <v>1.2895897944773054</v>
      </c>
      <c r="J11" s="45">
        <f t="shared" si="8"/>
        <v>6.128562629043115</v>
      </c>
      <c r="K11" s="45">
        <f t="shared" si="1"/>
        <v>1.5187905210210457</v>
      </c>
      <c r="L11" s="45">
        <f>+K11/'Capacity Delivered'!S12*1000</f>
        <v>0.66683812830218026</v>
      </c>
      <c r="M11" s="320">
        <f t="shared" si="2"/>
        <v>6.668381283021803E-4</v>
      </c>
      <c r="O11" s="183">
        <f t="shared" si="9"/>
        <v>0</v>
      </c>
      <c r="P11" s="183">
        <f t="shared" si="3"/>
        <v>0</v>
      </c>
      <c r="Q11" s="183">
        <f t="shared" si="4"/>
        <v>0</v>
      </c>
      <c r="R11" s="183">
        <f t="shared" si="10"/>
        <v>0</v>
      </c>
      <c r="S11" s="183">
        <f t="shared" si="5"/>
        <v>0</v>
      </c>
      <c r="T11" s="45">
        <f>+S11/'Capacity Delivered'!M11*1000</f>
        <v>0</v>
      </c>
      <c r="U11" s="320">
        <f t="shared" si="6"/>
        <v>0</v>
      </c>
      <c r="W11" s="328">
        <f t="shared" si="11"/>
        <v>0.66683812830218026</v>
      </c>
      <c r="X11" s="329">
        <f t="shared" si="7"/>
        <v>6.668381283021803E-4</v>
      </c>
    </row>
    <row r="12" spans="1:24" ht="15.6" x14ac:dyDescent="0.3">
      <c r="B12" s="34"/>
      <c r="C12" s="217">
        <v>2012</v>
      </c>
      <c r="D12" s="33">
        <f>D6</f>
        <v>0</v>
      </c>
      <c r="E12" s="53"/>
      <c r="F12" s="41">
        <f t="shared" si="12"/>
        <v>2024</v>
      </c>
      <c r="G12" s="42">
        <v>6</v>
      </c>
      <c r="H12" s="183">
        <f>'Capacity Delivered'!J13</f>
        <v>1.86</v>
      </c>
      <c r="I12" s="44">
        <f t="shared" si="0"/>
        <v>1.1985035264658972</v>
      </c>
      <c r="J12" s="45">
        <f t="shared" si="8"/>
        <v>7.3270661555090122</v>
      </c>
      <c r="K12" s="45">
        <f t="shared" si="1"/>
        <v>1.5657741396702349</v>
      </c>
      <c r="L12" s="45">
        <f>+K12/'Capacity Delivered'!S13*1000</f>
        <v>0.68558836856795347</v>
      </c>
      <c r="M12" s="320">
        <f t="shared" si="2"/>
        <v>6.855883685679535E-4</v>
      </c>
      <c r="O12" s="183">
        <f t="shared" si="9"/>
        <v>0</v>
      </c>
      <c r="P12" s="183">
        <f t="shared" si="3"/>
        <v>0</v>
      </c>
      <c r="Q12" s="183">
        <f t="shared" si="4"/>
        <v>0</v>
      </c>
      <c r="R12" s="183">
        <f t="shared" si="10"/>
        <v>0</v>
      </c>
      <c r="S12" s="183">
        <f t="shared" si="5"/>
        <v>0</v>
      </c>
      <c r="T12" s="45">
        <f>+S12/'Capacity Delivered'!M12*1000</f>
        <v>0</v>
      </c>
      <c r="U12" s="320">
        <f t="shared" si="6"/>
        <v>0</v>
      </c>
      <c r="W12" s="328">
        <f t="shared" si="11"/>
        <v>0.68558836856795347</v>
      </c>
      <c r="X12" s="329">
        <f t="shared" si="7"/>
        <v>6.855883685679535E-4</v>
      </c>
    </row>
    <row r="13" spans="1:24" ht="15.6" x14ac:dyDescent="0.3">
      <c r="B13" s="34"/>
      <c r="C13" s="175">
        <f>F7</f>
        <v>2019</v>
      </c>
      <c r="D13" s="216">
        <f>D12*((1+$D$9)^($C$13-$C$12))</f>
        <v>0</v>
      </c>
      <c r="E13" s="53"/>
      <c r="F13" s="41">
        <f t="shared" si="12"/>
        <v>2025</v>
      </c>
      <c r="G13" s="42">
        <v>7</v>
      </c>
      <c r="H13" s="183">
        <f>'Capacity Delivered'!J14</f>
        <v>1.6</v>
      </c>
      <c r="I13" s="44">
        <f t="shared" si="0"/>
        <v>0.95815127830347124</v>
      </c>
      <c r="J13" s="45">
        <f>J12+I13</f>
        <v>8.285217433812484</v>
      </c>
      <c r="K13" s="45">
        <f t="shared" si="1"/>
        <v>1.5696571573573137</v>
      </c>
      <c r="L13" s="45">
        <f>+K13/'Capacity Delivered'!S14*1000</f>
        <v>0.68917156540099833</v>
      </c>
      <c r="M13" s="320">
        <f t="shared" si="2"/>
        <v>6.891715654009983E-4</v>
      </c>
      <c r="O13" s="183">
        <f>O12+(O12*$D$9)</f>
        <v>0</v>
      </c>
      <c r="P13" s="183">
        <f t="shared" si="3"/>
        <v>0</v>
      </c>
      <c r="Q13" s="183">
        <f t="shared" si="4"/>
        <v>0</v>
      </c>
      <c r="R13" s="183">
        <f>R12+Q13</f>
        <v>0</v>
      </c>
      <c r="S13" s="183">
        <f t="shared" si="5"/>
        <v>0</v>
      </c>
      <c r="T13" s="45">
        <f>+S13/'Capacity Delivered'!M13*1000</f>
        <v>0</v>
      </c>
      <c r="U13" s="320">
        <f t="shared" si="6"/>
        <v>0</v>
      </c>
      <c r="W13" s="328">
        <f t="shared" si="11"/>
        <v>0.68917156540099833</v>
      </c>
      <c r="X13" s="329">
        <f t="shared" si="7"/>
        <v>6.891715654009983E-4</v>
      </c>
    </row>
    <row r="14" spans="1:24" x14ac:dyDescent="0.25">
      <c r="B14" s="34"/>
      <c r="C14" s="184"/>
      <c r="D14" s="184"/>
      <c r="E14" s="53"/>
      <c r="F14" s="41">
        <f t="shared" si="12"/>
        <v>2026</v>
      </c>
      <c r="G14" s="42">
        <v>8</v>
      </c>
      <c r="H14" s="183">
        <f>'Capacity Delivered'!J15</f>
        <v>1.6</v>
      </c>
      <c r="I14" s="44">
        <f t="shared" si="0"/>
        <v>0.89047516570954577</v>
      </c>
      <c r="J14" s="45">
        <f t="shared" si="8"/>
        <v>9.17569259952203</v>
      </c>
      <c r="K14" s="45">
        <f t="shared" si="1"/>
        <v>1.5725513275623069</v>
      </c>
      <c r="L14" s="45">
        <f>+K14/'Capacity Delivered'!S15*1000</f>
        <v>0.69044227588791141</v>
      </c>
      <c r="M14" s="320">
        <f t="shared" si="2"/>
        <v>6.9044227588791135E-4</v>
      </c>
      <c r="O14" s="183">
        <f t="shared" si="9"/>
        <v>0</v>
      </c>
      <c r="P14" s="183">
        <f t="shared" si="3"/>
        <v>0</v>
      </c>
      <c r="Q14" s="183">
        <f t="shared" si="4"/>
        <v>0</v>
      </c>
      <c r="R14" s="183">
        <f t="shared" ref="R14:R20" si="13">R13+Q14</f>
        <v>0</v>
      </c>
      <c r="S14" s="183">
        <f t="shared" si="5"/>
        <v>0</v>
      </c>
      <c r="T14" s="45">
        <f>+S14/'Capacity Delivered'!M14*1000</f>
        <v>0</v>
      </c>
      <c r="U14" s="320">
        <f t="shared" si="6"/>
        <v>0</v>
      </c>
      <c r="W14" s="328">
        <f t="shared" si="11"/>
        <v>0.69044227588791141</v>
      </c>
      <c r="X14" s="329">
        <f t="shared" si="7"/>
        <v>6.9044227588791135E-4</v>
      </c>
    </row>
    <row r="15" spans="1:24" x14ac:dyDescent="0.25">
      <c r="B15" s="184"/>
      <c r="C15" s="185"/>
      <c r="D15" s="185"/>
      <c r="E15" s="53"/>
      <c r="F15" s="41">
        <f t="shared" si="12"/>
        <v>2027</v>
      </c>
      <c r="G15" s="42">
        <v>9</v>
      </c>
      <c r="H15" s="183">
        <f>'Capacity Delivered'!J16</f>
        <v>1.609558777991309</v>
      </c>
      <c r="I15" s="44">
        <f t="shared" si="0"/>
        <v>0.83252330364257943</v>
      </c>
      <c r="J15" s="45">
        <f t="shared" si="8"/>
        <v>10.00821590316461</v>
      </c>
      <c r="K15" s="45">
        <f t="shared" si="1"/>
        <v>1.5755647381580633</v>
      </c>
      <c r="L15" s="45">
        <f>+K15/'Capacity Delivered'!S16*1000</f>
        <v>0.69176533990080058</v>
      </c>
      <c r="M15" s="320">
        <f t="shared" si="2"/>
        <v>6.9176533990080054E-4</v>
      </c>
      <c r="O15" s="183">
        <f t="shared" si="9"/>
        <v>0</v>
      </c>
      <c r="P15" s="183">
        <f t="shared" si="3"/>
        <v>0</v>
      </c>
      <c r="Q15" s="183">
        <f t="shared" si="4"/>
        <v>0</v>
      </c>
      <c r="R15" s="183">
        <f t="shared" si="13"/>
        <v>0</v>
      </c>
      <c r="S15" s="183">
        <f t="shared" si="5"/>
        <v>0</v>
      </c>
      <c r="T15" s="45">
        <f>+S15/'Capacity Delivered'!M15*1000</f>
        <v>0</v>
      </c>
      <c r="U15" s="320">
        <f t="shared" si="6"/>
        <v>0</v>
      </c>
      <c r="W15" s="328">
        <f t="shared" si="11"/>
        <v>0.69176533990080058</v>
      </c>
      <c r="X15" s="329">
        <f t="shared" si="7"/>
        <v>6.9176533990080054E-4</v>
      </c>
    </row>
    <row r="16" spans="1:24" x14ac:dyDescent="0.25">
      <c r="B16" s="184"/>
      <c r="C16" s="185"/>
      <c r="D16" s="185"/>
      <c r="E16" s="53"/>
      <c r="F16" s="43">
        <f t="shared" si="12"/>
        <v>2028</v>
      </c>
      <c r="G16" s="43">
        <v>10</v>
      </c>
      <c r="H16" s="186">
        <f>'Capacity Delivered'!J17</f>
        <v>1.609558777991309</v>
      </c>
      <c r="I16" s="46">
        <f t="shared" si="0"/>
        <v>0.7737205424187541</v>
      </c>
      <c r="J16" s="47">
        <f t="shared" si="8"/>
        <v>10.781936445583364</v>
      </c>
      <c r="K16" s="47">
        <f t="shared" si="1"/>
        <v>1.5779562815480093</v>
      </c>
      <c r="L16" s="47">
        <f>+K16/'Capacity Delivered'!S17*1000</f>
        <v>0.69092242956950101</v>
      </c>
      <c r="M16" s="321">
        <f t="shared" si="2"/>
        <v>6.9092242956950102E-4</v>
      </c>
      <c r="N16" s="187"/>
      <c r="O16" s="186">
        <f t="shared" si="9"/>
        <v>0</v>
      </c>
      <c r="P16" s="186">
        <f t="shared" si="3"/>
        <v>0</v>
      </c>
      <c r="Q16" s="186">
        <f>SUM(O16:P16)/((1+$D$8)^G16)</f>
        <v>0</v>
      </c>
      <c r="R16" s="186">
        <f>R15+Q16</f>
        <v>0</v>
      </c>
      <c r="S16" s="335">
        <f>(-PMT($D$8,G16,(R16)))</f>
        <v>0</v>
      </c>
      <c r="T16" s="47">
        <f>+S16/'Capacity Delivered'!M16*1000</f>
        <v>0</v>
      </c>
      <c r="U16" s="321">
        <f t="shared" si="6"/>
        <v>0</v>
      </c>
      <c r="V16" s="187"/>
      <c r="W16" s="330">
        <f>L16+T16</f>
        <v>0.69092242956950101</v>
      </c>
      <c r="X16" s="331">
        <f t="shared" si="7"/>
        <v>6.9092242956950102E-4</v>
      </c>
    </row>
    <row r="17" spans="2:24" x14ac:dyDescent="0.25">
      <c r="B17" s="184"/>
      <c r="C17" s="185"/>
      <c r="D17" s="185"/>
      <c r="E17" s="53"/>
      <c r="F17" s="41">
        <f t="shared" si="12"/>
        <v>2029</v>
      </c>
      <c r="G17" s="42">
        <v>11</v>
      </c>
      <c r="H17" s="183">
        <f>'Capacity Delivered'!J18</f>
        <v>1.609558777991309</v>
      </c>
      <c r="I17" s="44">
        <f t="shared" si="0"/>
        <v>0.71907113607690887</v>
      </c>
      <c r="J17" s="45">
        <f t="shared" si="8"/>
        <v>11.501007581660273</v>
      </c>
      <c r="K17" s="45">
        <f t="shared" si="1"/>
        <v>1.5798957331341466</v>
      </c>
      <c r="L17" s="45">
        <f>+K17/'Capacity Delivered'!S18*1000</f>
        <v>0.69366690074382975</v>
      </c>
      <c r="M17" s="320">
        <f t="shared" si="2"/>
        <v>6.9366690074382979E-4</v>
      </c>
      <c r="O17" s="183">
        <f t="shared" si="9"/>
        <v>0</v>
      </c>
      <c r="P17" s="183">
        <f t="shared" si="3"/>
        <v>0</v>
      </c>
      <c r="Q17" s="183">
        <f t="shared" si="4"/>
        <v>0</v>
      </c>
      <c r="R17" s="183">
        <f t="shared" si="13"/>
        <v>0</v>
      </c>
      <c r="S17" s="183">
        <f t="shared" si="5"/>
        <v>0</v>
      </c>
      <c r="T17" s="45">
        <f>+S17/'Capacity Delivered'!M17*1000</f>
        <v>0</v>
      </c>
      <c r="U17" s="320">
        <f t="shared" si="6"/>
        <v>0</v>
      </c>
      <c r="W17" s="328">
        <f t="shared" si="11"/>
        <v>0.69366690074382975</v>
      </c>
      <c r="X17" s="329">
        <f t="shared" si="7"/>
        <v>6.9366690074382979E-4</v>
      </c>
    </row>
    <row r="18" spans="2:24" x14ac:dyDescent="0.25">
      <c r="B18" s="185"/>
      <c r="C18" s="185"/>
      <c r="D18" s="185"/>
      <c r="E18" s="53"/>
      <c r="F18" s="41">
        <f t="shared" si="12"/>
        <v>2030</v>
      </c>
      <c r="G18" s="42">
        <v>12</v>
      </c>
      <c r="H18" s="183">
        <f>'Capacity Delivered'!J19</f>
        <v>1.609558777991309</v>
      </c>
      <c r="I18" s="44">
        <f t="shared" si="0"/>
        <v>0.66828172497853988</v>
      </c>
      <c r="J18" s="45">
        <f t="shared" si="8"/>
        <v>12.169289306638813</v>
      </c>
      <c r="K18" s="45">
        <f t="shared" si="1"/>
        <v>1.5814962912002946</v>
      </c>
      <c r="L18" s="45">
        <f>+K18/'Capacity Delivered'!S19*1000</f>
        <v>0.69436963962078269</v>
      </c>
      <c r="M18" s="320">
        <f t="shared" si="2"/>
        <v>6.9436963962078268E-4</v>
      </c>
      <c r="O18" s="183">
        <f t="shared" si="9"/>
        <v>0</v>
      </c>
      <c r="P18" s="183">
        <f t="shared" si="3"/>
        <v>0</v>
      </c>
      <c r="Q18" s="183">
        <f t="shared" si="4"/>
        <v>0</v>
      </c>
      <c r="R18" s="183">
        <f t="shared" si="13"/>
        <v>0</v>
      </c>
      <c r="S18" s="183">
        <f t="shared" si="5"/>
        <v>0</v>
      </c>
      <c r="T18" s="45">
        <f>+S18/'Capacity Delivered'!M18*1000</f>
        <v>0</v>
      </c>
      <c r="U18" s="320">
        <f t="shared" si="6"/>
        <v>0</v>
      </c>
      <c r="W18" s="328">
        <f t="shared" si="11"/>
        <v>0.69436963962078269</v>
      </c>
      <c r="X18" s="329">
        <f t="shared" si="7"/>
        <v>6.9436963962078268E-4</v>
      </c>
    </row>
    <row r="19" spans="2:24" x14ac:dyDescent="0.25">
      <c r="B19" s="185"/>
      <c r="C19" s="185"/>
      <c r="D19" s="185"/>
      <c r="E19" s="58"/>
      <c r="F19" s="41">
        <f t="shared" si="12"/>
        <v>2031</v>
      </c>
      <c r="G19" s="42">
        <v>13</v>
      </c>
      <c r="H19" s="183">
        <f>'Capacity Delivered'!J20</f>
        <v>1.6831419269394801</v>
      </c>
      <c r="I19" s="44">
        <f t="shared" si="0"/>
        <v>0.64947316428102042</v>
      </c>
      <c r="J19" s="45">
        <f t="shared" si="8"/>
        <v>12.818762470919834</v>
      </c>
      <c r="K19" s="45">
        <f t="shared" si="1"/>
        <v>1.5863500942219624</v>
      </c>
      <c r="L19" s="45">
        <f>+K19/'Capacity Delivered'!S20*1000</f>
        <v>0.69650074386282157</v>
      </c>
      <c r="M19" s="320">
        <f t="shared" si="2"/>
        <v>6.9650074386282156E-4</v>
      </c>
      <c r="O19" s="183">
        <f t="shared" si="9"/>
        <v>0</v>
      </c>
      <c r="P19" s="183">
        <f t="shared" si="3"/>
        <v>0</v>
      </c>
      <c r="Q19" s="183">
        <f t="shared" si="4"/>
        <v>0</v>
      </c>
      <c r="R19" s="183">
        <f t="shared" si="13"/>
        <v>0</v>
      </c>
      <c r="S19" s="183">
        <f t="shared" si="5"/>
        <v>0</v>
      </c>
      <c r="T19" s="45">
        <f>+S19/'Capacity Delivered'!M19*1000</f>
        <v>0</v>
      </c>
      <c r="U19" s="320">
        <f t="shared" si="6"/>
        <v>0</v>
      </c>
      <c r="W19" s="328">
        <f t="shared" si="11"/>
        <v>0.69650074386282157</v>
      </c>
      <c r="X19" s="329">
        <f t="shared" si="7"/>
        <v>6.9650074386282156E-4</v>
      </c>
    </row>
    <row r="20" spans="2:24" x14ac:dyDescent="0.25">
      <c r="B20" s="185"/>
      <c r="C20" s="185"/>
      <c r="D20" s="185"/>
      <c r="E20" s="58"/>
      <c r="F20" s="41">
        <f t="shared" si="12"/>
        <v>2032</v>
      </c>
      <c r="G20" s="42">
        <v>14</v>
      </c>
      <c r="H20" s="183">
        <f>'Capacity Delivered'!J21</f>
        <v>1.6831419269394801</v>
      </c>
      <c r="I20" s="44">
        <f t="shared" si="0"/>
        <v>0.60359959505671035</v>
      </c>
      <c r="J20" s="45">
        <f t="shared" si="8"/>
        <v>13.422362065976545</v>
      </c>
      <c r="K20" s="45">
        <f t="shared" si="1"/>
        <v>1.5904631212959179</v>
      </c>
      <c r="L20" s="45">
        <f>+K20/'Capacity Delivered'!S21*1000</f>
        <v>0.69639866247018956</v>
      </c>
      <c r="M20" s="320">
        <f t="shared" si="2"/>
        <v>6.9639866247018958E-4</v>
      </c>
      <c r="O20" s="183">
        <f t="shared" si="9"/>
        <v>0</v>
      </c>
      <c r="P20" s="183">
        <f t="shared" si="3"/>
        <v>0</v>
      </c>
      <c r="Q20" s="183">
        <f t="shared" si="4"/>
        <v>0</v>
      </c>
      <c r="R20" s="183">
        <f t="shared" si="13"/>
        <v>0</v>
      </c>
      <c r="S20" s="183">
        <f t="shared" si="5"/>
        <v>0</v>
      </c>
      <c r="T20" s="45">
        <f>+S20/'Capacity Delivered'!M20*1000</f>
        <v>0</v>
      </c>
      <c r="U20" s="320">
        <f t="shared" si="6"/>
        <v>0</v>
      </c>
      <c r="W20" s="328">
        <f t="shared" si="11"/>
        <v>0.69639866247018956</v>
      </c>
      <c r="X20" s="329">
        <f t="shared" si="7"/>
        <v>6.9639866247018958E-4</v>
      </c>
    </row>
    <row r="21" spans="2:24" s="187" customFormat="1" x14ac:dyDescent="0.25">
      <c r="B21" s="185"/>
      <c r="C21" s="185"/>
      <c r="D21" s="185"/>
      <c r="E21" s="58"/>
      <c r="F21" s="43">
        <f t="shared" si="12"/>
        <v>2033</v>
      </c>
      <c r="G21" s="43">
        <v>15</v>
      </c>
      <c r="H21" s="186">
        <f>'Capacity Delivered'!J22</f>
        <v>1.6831419269394801</v>
      </c>
      <c r="I21" s="46">
        <f t="shared" si="0"/>
        <v>0.56096616640958197</v>
      </c>
      <c r="J21" s="47">
        <f>J20+I21</f>
        <v>13.983328232386127</v>
      </c>
      <c r="K21" s="47">
        <f t="shared" si="1"/>
        <v>1.5939841519459115</v>
      </c>
      <c r="L21" s="47">
        <f>+K21/'Capacity Delivered'!S22*1000</f>
        <v>0.69985254300400057</v>
      </c>
      <c r="M21" s="321">
        <f>L21/1000</f>
        <v>6.9985254300400054E-4</v>
      </c>
      <c r="O21" s="186">
        <f t="shared" si="9"/>
        <v>0</v>
      </c>
      <c r="P21" s="186">
        <f t="shared" si="3"/>
        <v>0</v>
      </c>
      <c r="Q21" s="186">
        <f t="shared" si="4"/>
        <v>0</v>
      </c>
      <c r="R21" s="186">
        <f>R20+Q21</f>
        <v>0</v>
      </c>
      <c r="S21" s="186">
        <f t="shared" si="5"/>
        <v>0</v>
      </c>
      <c r="T21" s="47">
        <f>+S21/'Capacity Delivered'!M21*1000</f>
        <v>0</v>
      </c>
      <c r="U21" s="321">
        <f>T21/1000</f>
        <v>0</v>
      </c>
      <c r="W21" s="330">
        <f t="shared" si="11"/>
        <v>0.69985254300400057</v>
      </c>
      <c r="X21" s="331">
        <f>W21/1000</f>
        <v>6.9985254300400054E-4</v>
      </c>
    </row>
    <row r="22" spans="2:24" x14ac:dyDescent="0.25">
      <c r="B22" s="185"/>
      <c r="C22" s="185"/>
      <c r="D22" s="185"/>
      <c r="E22" s="58"/>
      <c r="F22" s="41">
        <f t="shared" si="12"/>
        <v>2034</v>
      </c>
      <c r="G22" s="42">
        <v>16</v>
      </c>
      <c r="H22" s="183">
        <f>'Capacity Delivered'!J23</f>
        <v>1.7661365854069464</v>
      </c>
      <c r="I22" s="44">
        <f t="shared" si="0"/>
        <v>0.54705116308257129</v>
      </c>
      <c r="J22" s="45">
        <f t="shared" si="8"/>
        <v>14.530379395468698</v>
      </c>
      <c r="K22" s="45">
        <f t="shared" si="1"/>
        <v>1.5998552666597043</v>
      </c>
      <c r="L22" s="45">
        <f>+K22/'Capacity Delivered'!S23*1000</f>
        <v>0.70243030675259244</v>
      </c>
      <c r="M22" s="320">
        <f t="shared" si="2"/>
        <v>7.0243030675259238E-4</v>
      </c>
      <c r="O22" s="183">
        <f t="shared" si="9"/>
        <v>0</v>
      </c>
      <c r="P22" s="183">
        <f t="shared" si="3"/>
        <v>0</v>
      </c>
      <c r="Q22" s="183">
        <f t="shared" si="4"/>
        <v>0</v>
      </c>
      <c r="R22" s="183">
        <f t="shared" ref="R22:R27" si="14">R21+Q22</f>
        <v>0</v>
      </c>
      <c r="S22" s="183">
        <f t="shared" si="5"/>
        <v>0</v>
      </c>
      <c r="T22" s="45">
        <f>+S22/'Capacity Delivered'!M22*1000</f>
        <v>0</v>
      </c>
      <c r="U22" s="320">
        <f t="shared" ref="U22:U27" si="15">T22/1000</f>
        <v>0</v>
      </c>
      <c r="W22" s="328">
        <f t="shared" si="11"/>
        <v>0.70243030675259244</v>
      </c>
      <c r="X22" s="329">
        <f t="shared" ref="X22:X27" si="16">W22/1000</f>
        <v>7.0243030675259238E-4</v>
      </c>
    </row>
    <row r="23" spans="2:24" x14ac:dyDescent="0.25">
      <c r="B23" s="185"/>
      <c r="C23" s="185"/>
      <c r="D23" s="185"/>
      <c r="E23" s="58"/>
      <c r="F23" s="41">
        <f t="shared" si="12"/>
        <v>2035</v>
      </c>
      <c r="G23" s="42">
        <v>17</v>
      </c>
      <c r="H23" s="183">
        <f>'Capacity Delivered'!J24</f>
        <v>1.7661365854069464</v>
      </c>
      <c r="I23" s="44">
        <f t="shared" si="0"/>
        <v>0.50841186160090257</v>
      </c>
      <c r="J23" s="45">
        <f t="shared" si="8"/>
        <v>15.038791257069601</v>
      </c>
      <c r="K23" s="45">
        <f t="shared" si="1"/>
        <v>1.6049636929188313</v>
      </c>
      <c r="L23" s="45">
        <f>+K23/'Capacity Delivered'!S24*1000</f>
        <v>0.70467320553162593</v>
      </c>
      <c r="M23" s="320">
        <f t="shared" si="2"/>
        <v>7.0467320553162596E-4</v>
      </c>
      <c r="O23" s="183">
        <f t="shared" si="9"/>
        <v>0</v>
      </c>
      <c r="P23" s="183">
        <f t="shared" si="3"/>
        <v>0</v>
      </c>
      <c r="Q23" s="183">
        <f t="shared" si="4"/>
        <v>0</v>
      </c>
      <c r="R23" s="183">
        <f t="shared" si="14"/>
        <v>0</v>
      </c>
      <c r="S23" s="183">
        <f t="shared" si="5"/>
        <v>0</v>
      </c>
      <c r="T23" s="45">
        <f>+S23/'Capacity Delivered'!M23*1000</f>
        <v>0</v>
      </c>
      <c r="U23" s="320">
        <f t="shared" si="15"/>
        <v>0</v>
      </c>
      <c r="W23" s="328">
        <f t="shared" si="11"/>
        <v>0.70467320553162593</v>
      </c>
      <c r="X23" s="329">
        <f t="shared" si="16"/>
        <v>7.0467320553162596E-4</v>
      </c>
    </row>
    <row r="24" spans="2:24" x14ac:dyDescent="0.25">
      <c r="B24" s="185"/>
      <c r="C24" s="185"/>
      <c r="D24" s="185"/>
      <c r="E24" s="58"/>
      <c r="F24" s="41">
        <f t="shared" si="12"/>
        <v>2036</v>
      </c>
      <c r="G24" s="42">
        <v>18</v>
      </c>
      <c r="H24" s="183">
        <f>'Capacity Delivered'!J25</f>
        <v>1.821789018152165</v>
      </c>
      <c r="I24" s="44">
        <f t="shared" si="0"/>
        <v>0.48739065261946268</v>
      </c>
      <c r="J24" s="45">
        <f t="shared" si="8"/>
        <v>15.526181909689063</v>
      </c>
      <c r="K24" s="45">
        <f t="shared" si="1"/>
        <v>1.6109825674932965</v>
      </c>
      <c r="L24" s="45">
        <f>+K24/'Capacity Delivered'!S25*1000</f>
        <v>0.70538328757412805</v>
      </c>
      <c r="M24" s="320">
        <f t="shared" si="2"/>
        <v>7.05383287574128E-4</v>
      </c>
      <c r="O24" s="183">
        <f t="shared" si="9"/>
        <v>0</v>
      </c>
      <c r="P24" s="183">
        <f t="shared" si="3"/>
        <v>0</v>
      </c>
      <c r="Q24" s="183">
        <f t="shared" si="4"/>
        <v>0</v>
      </c>
      <c r="R24" s="183">
        <f t="shared" si="14"/>
        <v>0</v>
      </c>
      <c r="S24" s="183">
        <f t="shared" si="5"/>
        <v>0</v>
      </c>
      <c r="T24" s="45">
        <f>+S24/'Capacity Delivered'!M24*1000</f>
        <v>0</v>
      </c>
      <c r="U24" s="320">
        <f t="shared" si="15"/>
        <v>0</v>
      </c>
      <c r="W24" s="328">
        <f t="shared" si="11"/>
        <v>0.70538328757412805</v>
      </c>
      <c r="X24" s="329">
        <f t="shared" si="16"/>
        <v>7.05383287574128E-4</v>
      </c>
    </row>
    <row r="25" spans="2:24" x14ac:dyDescent="0.25">
      <c r="B25" s="185"/>
      <c r="C25" s="185"/>
      <c r="D25" s="185"/>
      <c r="E25" s="58"/>
      <c r="F25" s="41">
        <f t="shared" si="12"/>
        <v>2037</v>
      </c>
      <c r="G25" s="42">
        <v>19</v>
      </c>
      <c r="H25" s="183">
        <f>'Capacity Delivered'!J26</f>
        <v>1.821789018152165</v>
      </c>
      <c r="I25" s="44">
        <f t="shared" si="0"/>
        <v>0.45296529053853407</v>
      </c>
      <c r="J25" s="45">
        <f t="shared" si="8"/>
        <v>15.979147200227597</v>
      </c>
      <c r="K25" s="45">
        <f t="shared" si="1"/>
        <v>1.6162842643053312</v>
      </c>
      <c r="L25" s="45">
        <f>+K25/'Capacity Delivered'!S26*1000</f>
        <v>0.70964360041505592</v>
      </c>
      <c r="M25" s="320">
        <f t="shared" si="2"/>
        <v>7.0964360041505593E-4</v>
      </c>
      <c r="O25" s="183">
        <f t="shared" si="9"/>
        <v>0</v>
      </c>
      <c r="P25" s="183">
        <f t="shared" si="3"/>
        <v>0</v>
      </c>
      <c r="Q25" s="183">
        <f t="shared" si="4"/>
        <v>0</v>
      </c>
      <c r="R25" s="183">
        <f t="shared" si="14"/>
        <v>0</v>
      </c>
      <c r="S25" s="183">
        <f t="shared" si="5"/>
        <v>0</v>
      </c>
      <c r="T25" s="45">
        <f>+S25/'Capacity Delivered'!M25*1000</f>
        <v>0</v>
      </c>
      <c r="U25" s="320">
        <f t="shared" si="15"/>
        <v>0</v>
      </c>
      <c r="W25" s="328">
        <f t="shared" si="11"/>
        <v>0.70964360041505592</v>
      </c>
      <c r="X25" s="329">
        <f t="shared" si="16"/>
        <v>7.0964360041505593E-4</v>
      </c>
    </row>
    <row r="26" spans="2:24" x14ac:dyDescent="0.25">
      <c r="B26" s="185"/>
      <c r="C26" s="185"/>
      <c r="D26" s="185"/>
      <c r="E26" s="58"/>
      <c r="F26" s="41">
        <f t="shared" si="12"/>
        <v>2038</v>
      </c>
      <c r="G26" s="42">
        <v>20</v>
      </c>
      <c r="H26" s="183">
        <f>'Capacity Delivered'!J27</f>
        <v>1.821789018152165</v>
      </c>
      <c r="I26" s="44">
        <f t="shared" si="0"/>
        <v>0.42097145960830307</v>
      </c>
      <c r="J26" s="45">
        <f t="shared" si="8"/>
        <v>16.400118659835901</v>
      </c>
      <c r="K26" s="45">
        <f t="shared" si="1"/>
        <v>1.6209778693432129</v>
      </c>
      <c r="L26" s="45">
        <f>+K26/'Capacity Delivered'!S27*1000</f>
        <v>0.71170436834528139</v>
      </c>
      <c r="M26" s="320">
        <f t="shared" si="2"/>
        <v>7.1170436834528143E-4</v>
      </c>
      <c r="O26" s="183">
        <f t="shared" si="9"/>
        <v>0</v>
      </c>
      <c r="P26" s="183">
        <f t="shared" si="3"/>
        <v>0</v>
      </c>
      <c r="Q26" s="183">
        <f t="shared" si="4"/>
        <v>0</v>
      </c>
      <c r="R26" s="183">
        <f t="shared" si="14"/>
        <v>0</v>
      </c>
      <c r="S26" s="183">
        <f t="shared" si="5"/>
        <v>0</v>
      </c>
      <c r="T26" s="45">
        <f>+S26/'Capacity Delivered'!M26*1000</f>
        <v>0</v>
      </c>
      <c r="U26" s="320">
        <f t="shared" si="15"/>
        <v>0</v>
      </c>
      <c r="W26" s="328">
        <f t="shared" si="11"/>
        <v>0.71170436834528139</v>
      </c>
      <c r="X26" s="329">
        <f t="shared" si="16"/>
        <v>7.1170436834528143E-4</v>
      </c>
    </row>
    <row r="27" spans="2:24" s="50" customFormat="1" ht="15.6" thickBot="1" x14ac:dyDescent="0.3">
      <c r="F27" s="41">
        <f t="shared" si="12"/>
        <v>2039</v>
      </c>
      <c r="G27" s="40">
        <v>21</v>
      </c>
      <c r="H27" s="183">
        <f>'Capacity Delivered'!J28</f>
        <v>1.821789018152165</v>
      </c>
      <c r="I27" s="44">
        <f t="shared" si="0"/>
        <v>0.39123741599284667</v>
      </c>
      <c r="J27" s="45">
        <f t="shared" si="8"/>
        <v>16.791356075828748</v>
      </c>
      <c r="K27" s="45">
        <f t="shared" si="1"/>
        <v>1.6251517330809084</v>
      </c>
      <c r="L27" s="45">
        <f>+K27/'Capacity Delivered'!S28*1000</f>
        <v>0.71353693935761708</v>
      </c>
      <c r="M27" s="320">
        <f t="shared" si="2"/>
        <v>7.1353693935761705E-4</v>
      </c>
      <c r="O27" s="183">
        <f t="shared" si="9"/>
        <v>0</v>
      </c>
      <c r="P27" s="183">
        <f t="shared" si="3"/>
        <v>0</v>
      </c>
      <c r="Q27" s="183">
        <f t="shared" si="4"/>
        <v>0</v>
      </c>
      <c r="R27" s="183">
        <f t="shared" si="14"/>
        <v>0</v>
      </c>
      <c r="S27" s="183">
        <f t="shared" si="5"/>
        <v>0</v>
      </c>
      <c r="T27" s="45">
        <f>+S27/'Capacity Delivered'!M27*1000</f>
        <v>0</v>
      </c>
      <c r="U27" s="320">
        <f t="shared" si="15"/>
        <v>0</v>
      </c>
      <c r="W27" s="332">
        <f t="shared" si="11"/>
        <v>0.71353693935761708</v>
      </c>
      <c r="X27" s="333">
        <f t="shared" si="16"/>
        <v>7.1353693935761705E-4</v>
      </c>
    </row>
    <row r="28" spans="2:24" s="50" customFormat="1" x14ac:dyDescent="0.25">
      <c r="C28" s="21"/>
      <c r="F28" s="41"/>
      <c r="G28" s="40"/>
      <c r="H28" s="188"/>
      <c r="I28" s="61"/>
      <c r="J28" s="62"/>
      <c r="K28" s="54"/>
      <c r="L28" s="54"/>
      <c r="M28" s="54"/>
      <c r="O28" s="189"/>
      <c r="P28" s="60"/>
      <c r="Q28" s="61"/>
      <c r="R28" s="62"/>
      <c r="S28" s="54"/>
      <c r="T28" s="54"/>
      <c r="U28" s="54"/>
      <c r="W28" s="54"/>
      <c r="X28" s="54"/>
    </row>
    <row r="29" spans="2:24" x14ac:dyDescent="0.25">
      <c r="B29" s="31" t="s">
        <v>151</v>
      </c>
      <c r="C29" s="21"/>
      <c r="D29" s="50"/>
      <c r="E29" s="50"/>
      <c r="F29" s="31"/>
      <c r="G29" s="40"/>
      <c r="H29" s="188"/>
      <c r="I29" s="31"/>
      <c r="J29" s="31"/>
      <c r="K29" s="31"/>
      <c r="L29" s="31"/>
      <c r="M29" s="31"/>
      <c r="O29" s="189"/>
      <c r="P29" s="60"/>
      <c r="Q29" s="31"/>
      <c r="R29" s="31"/>
      <c r="S29" s="31"/>
      <c r="T29" s="31"/>
      <c r="U29" s="31"/>
      <c r="W29" s="31"/>
      <c r="X29" s="31"/>
    </row>
    <row r="30" spans="2:24" s="50" customFormat="1" ht="51.75" customHeight="1" x14ac:dyDescent="0.25">
      <c r="B30" s="351" t="s">
        <v>96</v>
      </c>
      <c r="C30" s="351"/>
      <c r="D30" s="351"/>
      <c r="E30" s="351"/>
      <c r="F30" s="351"/>
      <c r="G30" s="351"/>
      <c r="H30" s="351"/>
      <c r="I30" s="351"/>
      <c r="J30" s="351"/>
      <c r="K30" s="351"/>
      <c r="L30" s="351"/>
      <c r="M30" s="351"/>
      <c r="Q30" s="318"/>
      <c r="R30" s="318"/>
    </row>
    <row r="32" spans="2:24" x14ac:dyDescent="0.25">
      <c r="J32" s="336">
        <f>NPV(D8,H7:H16)</f>
        <v>10.781936445583362</v>
      </c>
      <c r="R32" s="336">
        <f>NPV(D8,O7:O16)</f>
        <v>0</v>
      </c>
    </row>
  </sheetData>
  <mergeCells count="1">
    <mergeCell ref="B30:M30"/>
  </mergeCells>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8673" r:id="rId4" name="Control 1">
          <controlPr defaultSize="0" r:id="rId5">
            <anchor moveWithCells="1">
              <from>
                <xdr:col>6</xdr:col>
                <xdr:colOff>571500</xdr:colOff>
                <xdr:row>2</xdr:row>
                <xdr:rowOff>76200</xdr:rowOff>
              </from>
              <to>
                <xdr:col>6</xdr:col>
                <xdr:colOff>739140</xdr:colOff>
                <xdr:row>3</xdr:row>
                <xdr:rowOff>53340</xdr:rowOff>
              </to>
            </anchor>
          </controlPr>
        </control>
      </mc:Choice>
      <mc:Fallback>
        <control shapeId="28673" r:id="rId4" name="Control 1"/>
      </mc:Fallback>
    </mc:AlternateContent>
    <mc:AlternateContent xmlns:mc="http://schemas.openxmlformats.org/markup-compatibility/2006">
      <mc:Choice Requires="x14">
        <control shapeId="28674" r:id="rId6" name="Control 2">
          <controlPr defaultSize="0" r:id="rId7">
            <anchor moveWithCells="1">
              <from>
                <xdr:col>6</xdr:col>
                <xdr:colOff>571500</xdr:colOff>
                <xdr:row>2</xdr:row>
                <xdr:rowOff>76200</xdr:rowOff>
              </from>
              <to>
                <xdr:col>6</xdr:col>
                <xdr:colOff>1127760</xdr:colOff>
                <xdr:row>3</xdr:row>
                <xdr:rowOff>53340</xdr:rowOff>
              </to>
            </anchor>
          </controlPr>
        </control>
      </mc:Choice>
      <mc:Fallback>
        <control shapeId="28674" r:id="rId6" name="Control 2"/>
      </mc:Fallback>
    </mc:AlternateContent>
    <mc:AlternateContent xmlns:mc="http://schemas.openxmlformats.org/markup-compatibility/2006">
      <mc:Choice Requires="x14">
        <control shapeId="28675" r:id="rId8" name="Control 3">
          <controlPr defaultSize="0" r:id="rId9">
            <anchor moveWithCells="1">
              <from>
                <xdr:col>6</xdr:col>
                <xdr:colOff>571500</xdr:colOff>
                <xdr:row>2</xdr:row>
                <xdr:rowOff>76200</xdr:rowOff>
              </from>
              <to>
                <xdr:col>6</xdr:col>
                <xdr:colOff>1127760</xdr:colOff>
                <xdr:row>3</xdr:row>
                <xdr:rowOff>53340</xdr:rowOff>
              </to>
            </anchor>
          </controlPr>
        </control>
      </mc:Choice>
      <mc:Fallback>
        <control shapeId="28675" r:id="rId8" name="Control 3"/>
      </mc:Fallback>
    </mc:AlternateContent>
    <mc:AlternateContent xmlns:mc="http://schemas.openxmlformats.org/markup-compatibility/2006">
      <mc:Choice Requires="x14">
        <control shapeId="28676" r:id="rId10" name="Control 4">
          <controlPr defaultSize="0" r:id="rId11">
            <anchor moveWithCells="1">
              <from>
                <xdr:col>6</xdr:col>
                <xdr:colOff>571500</xdr:colOff>
                <xdr:row>2</xdr:row>
                <xdr:rowOff>76200</xdr:rowOff>
              </from>
              <to>
                <xdr:col>7</xdr:col>
                <xdr:colOff>0</xdr:colOff>
                <xdr:row>3</xdr:row>
                <xdr:rowOff>114300</xdr:rowOff>
              </to>
            </anchor>
          </controlPr>
        </control>
      </mc:Choice>
      <mc:Fallback>
        <control shapeId="28676" r:id="rId10" name="Control 4"/>
      </mc:Fallback>
    </mc:AlternateContent>
  </control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
  <sheetViews>
    <sheetView workbookViewId="0">
      <selection activeCell="F13" sqref="F13"/>
    </sheetView>
  </sheetViews>
  <sheetFormatPr defaultColWidth="9.109375" defaultRowHeight="14.4" x14ac:dyDescent="0.3"/>
  <cols>
    <col min="1" max="16384" width="9.109375" style="83"/>
  </cols>
  <sheetData/>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Q51"/>
  <sheetViews>
    <sheetView tabSelected="1" topLeftCell="A37" zoomScale="75" zoomScaleNormal="75" workbookViewId="0">
      <selection activeCell="C44" sqref="C44"/>
    </sheetView>
  </sheetViews>
  <sheetFormatPr defaultColWidth="8.88671875" defaultRowHeight="15" x14ac:dyDescent="0.25"/>
  <cols>
    <col min="1" max="1" width="2.6640625" style="65" customWidth="1"/>
    <col min="2" max="2" width="4" style="65" bestFit="1" customWidth="1"/>
    <col min="3" max="3" width="9.6640625" style="65" customWidth="1"/>
    <col min="4" max="16" width="10" style="65" customWidth="1"/>
    <col min="17" max="17" width="14.109375" style="72" customWidth="1"/>
    <col min="18" max="16384" width="8.88671875" style="65"/>
  </cols>
  <sheetData>
    <row r="2" spans="2:17" ht="49.8" customHeight="1" x14ac:dyDescent="0.3">
      <c r="C2" s="352" t="s">
        <v>171</v>
      </c>
      <c r="D2" s="352"/>
      <c r="E2" s="352"/>
      <c r="F2" s="352"/>
      <c r="G2" s="352"/>
      <c r="H2" s="352"/>
      <c r="I2" s="352"/>
      <c r="J2" s="352"/>
      <c r="K2" s="352"/>
      <c r="L2" s="352"/>
      <c r="M2" s="352"/>
      <c r="N2" s="352"/>
      <c r="O2" s="352"/>
      <c r="P2" s="352"/>
      <c r="Q2" s="352"/>
    </row>
    <row r="3" spans="2:17" ht="16.2" thickBot="1" x14ac:dyDescent="0.35">
      <c r="C3" s="64"/>
      <c r="Q3" s="80"/>
    </row>
    <row r="4" spans="2:17" ht="15.6" x14ac:dyDescent="0.25">
      <c r="C4" s="66"/>
      <c r="D4" s="75" t="s">
        <v>69</v>
      </c>
      <c r="E4" s="75">
        <v>2</v>
      </c>
      <c r="F4" s="75">
        <v>3</v>
      </c>
      <c r="G4" s="75">
        <v>4</v>
      </c>
      <c r="H4" s="75">
        <v>5</v>
      </c>
      <c r="I4" s="75">
        <v>6</v>
      </c>
      <c r="J4" s="75">
        <v>7</v>
      </c>
      <c r="K4" s="75">
        <v>8</v>
      </c>
      <c r="L4" s="75">
        <v>9</v>
      </c>
      <c r="M4" s="75">
        <v>10</v>
      </c>
      <c r="N4" s="75">
        <v>11</v>
      </c>
      <c r="O4" s="75">
        <v>12</v>
      </c>
      <c r="P4" s="76" t="s">
        <v>43</v>
      </c>
      <c r="Q4" s="80"/>
    </row>
    <row r="5" spans="2:17" ht="16.2" thickBot="1" x14ac:dyDescent="0.3">
      <c r="C5" s="77" t="s">
        <v>44</v>
      </c>
      <c r="D5" s="78"/>
      <c r="E5" s="78"/>
      <c r="F5" s="78"/>
      <c r="G5" s="78"/>
      <c r="H5" s="78"/>
      <c r="I5" s="78"/>
      <c r="J5" s="78"/>
      <c r="K5" s="78"/>
      <c r="L5" s="78"/>
      <c r="M5" s="78"/>
      <c r="N5" s="78"/>
      <c r="O5" s="78"/>
      <c r="P5" s="79"/>
      <c r="Q5" s="80"/>
    </row>
    <row r="6" spans="2:17" ht="15.6" thickBot="1" x14ac:dyDescent="0.3">
      <c r="B6" s="229">
        <v>1</v>
      </c>
      <c r="C6" s="67">
        <v>2019</v>
      </c>
      <c r="D6" s="68">
        <v>32.3232079</v>
      </c>
      <c r="E6" s="68">
        <v>32.306220000000003</v>
      </c>
      <c r="F6" s="68">
        <v>23.641214399999999</v>
      </c>
      <c r="G6" s="68">
        <v>19.780989999999999</v>
      </c>
      <c r="H6" s="68">
        <v>13.309936499999999</v>
      </c>
      <c r="I6" s="68">
        <v>16.519300000000001</v>
      </c>
      <c r="J6" s="68">
        <v>22.661876700000001</v>
      </c>
      <c r="K6" s="68">
        <v>24.541979999999999</v>
      </c>
      <c r="L6" s="68">
        <v>25.865476600000001</v>
      </c>
      <c r="M6" s="68">
        <v>24.558557499999999</v>
      </c>
      <c r="N6" s="68">
        <v>24.787761700000001</v>
      </c>
      <c r="O6" s="68">
        <v>27.481796299999999</v>
      </c>
      <c r="P6" s="68">
        <v>23.981526466666661</v>
      </c>
      <c r="Q6" s="80"/>
    </row>
    <row r="7" spans="2:17" ht="15.6" thickBot="1" x14ac:dyDescent="0.3">
      <c r="B7" s="65">
        <v>2</v>
      </c>
      <c r="C7" s="67">
        <v>2020</v>
      </c>
      <c r="D7" s="68">
        <v>25.9440937</v>
      </c>
      <c r="E7" s="68">
        <v>26.261833200000002</v>
      </c>
      <c r="F7" s="68">
        <v>21.0399055</v>
      </c>
      <c r="G7" s="68">
        <v>17.856735199999999</v>
      </c>
      <c r="H7" s="68">
        <v>13.0737352</v>
      </c>
      <c r="I7" s="68">
        <v>14.55818</v>
      </c>
      <c r="J7" s="68">
        <v>20.469644500000001</v>
      </c>
      <c r="K7" s="68">
        <v>23.303104399999999</v>
      </c>
      <c r="L7" s="68">
        <v>24.061151500000001</v>
      </c>
      <c r="M7" s="68">
        <v>23.821563699999999</v>
      </c>
      <c r="N7" s="68">
        <v>23.6084347</v>
      </c>
      <c r="O7" s="68">
        <v>24.970954899999999</v>
      </c>
      <c r="P7" s="68">
        <v>21.580778041666665</v>
      </c>
      <c r="Q7" s="82">
        <f>P7/P6-1</f>
        <v>-0.10010824074676561</v>
      </c>
    </row>
    <row r="8" spans="2:17" ht="15.6" thickBot="1" x14ac:dyDescent="0.3">
      <c r="B8" s="65">
        <v>3</v>
      </c>
      <c r="C8" s="67">
        <v>2021</v>
      </c>
      <c r="D8" s="68">
        <v>23.408178299999999</v>
      </c>
      <c r="E8" s="68">
        <v>24.0494576</v>
      </c>
      <c r="F8" s="68">
        <v>19.1669388</v>
      </c>
      <c r="G8" s="68">
        <v>15.6182976</v>
      </c>
      <c r="H8" s="68">
        <v>10.9203844</v>
      </c>
      <c r="I8" s="68">
        <v>12.372290599999999</v>
      </c>
      <c r="J8" s="68">
        <v>19.399827999999999</v>
      </c>
      <c r="K8" s="68">
        <v>22.331407500000001</v>
      </c>
      <c r="L8" s="68">
        <v>23.711845400000001</v>
      </c>
      <c r="M8" s="68">
        <v>24.406791699999999</v>
      </c>
      <c r="N8" s="68">
        <v>23.517114599999999</v>
      </c>
      <c r="O8" s="68">
        <v>24.654735599999999</v>
      </c>
      <c r="P8" s="68">
        <v>20.296439175</v>
      </c>
      <c r="Q8" s="82">
        <f t="shared" ref="Q8:Q25" si="0">P8/P7-1</f>
        <v>-5.9513093744208545E-2</v>
      </c>
    </row>
    <row r="9" spans="2:17" ht="15.6" thickBot="1" x14ac:dyDescent="0.3">
      <c r="B9" s="229">
        <v>4</v>
      </c>
      <c r="C9" s="67">
        <v>2022</v>
      </c>
      <c r="D9" s="68">
        <v>22.3664989</v>
      </c>
      <c r="E9" s="68">
        <v>23.223543200000002</v>
      </c>
      <c r="F9" s="68">
        <v>17.523078900000002</v>
      </c>
      <c r="G9" s="68">
        <v>14.6103439</v>
      </c>
      <c r="H9" s="68">
        <v>9.3978400000000004</v>
      </c>
      <c r="I9" s="68">
        <v>9.9396240000000002</v>
      </c>
      <c r="J9" s="68">
        <v>17.848537400000001</v>
      </c>
      <c r="K9" s="68">
        <v>21.527010000000001</v>
      </c>
      <c r="L9" s="68">
        <v>23.039266600000001</v>
      </c>
      <c r="M9" s="68">
        <v>23.148921999999999</v>
      </c>
      <c r="N9" s="68">
        <v>22.144763900000001</v>
      </c>
      <c r="O9" s="68">
        <v>24.190755800000002</v>
      </c>
      <c r="P9" s="68">
        <v>19.080015383333336</v>
      </c>
      <c r="Q9" s="82">
        <f t="shared" si="0"/>
        <v>-5.9932867099416365E-2</v>
      </c>
    </row>
    <row r="10" spans="2:17" ht="15.6" thickBot="1" x14ac:dyDescent="0.3">
      <c r="B10" s="65">
        <v>5</v>
      </c>
      <c r="C10" s="67">
        <v>2023</v>
      </c>
      <c r="D10" s="68">
        <v>21.220334999999999</v>
      </c>
      <c r="E10" s="68">
        <v>22.297689999999999</v>
      </c>
      <c r="F10" s="68">
        <v>15.50445</v>
      </c>
      <c r="G10" s="68">
        <v>13.993652300000001</v>
      </c>
      <c r="H10" s="68">
        <v>10.205626499999999</v>
      </c>
      <c r="I10" s="68">
        <v>9.6543460000000003</v>
      </c>
      <c r="J10" s="68">
        <v>17.91433</v>
      </c>
      <c r="K10" s="68">
        <v>21.412883799999999</v>
      </c>
      <c r="L10" s="68">
        <v>23.375581700000001</v>
      </c>
      <c r="M10" s="68">
        <v>23.095634499999999</v>
      </c>
      <c r="N10" s="68">
        <v>21.969265</v>
      </c>
      <c r="O10" s="68">
        <v>24.016904799999999</v>
      </c>
      <c r="P10" s="68">
        <v>18.721724966666667</v>
      </c>
      <c r="Q10" s="82">
        <f t="shared" si="0"/>
        <v>-1.8778308584574854E-2</v>
      </c>
    </row>
    <row r="11" spans="2:17" ht="15.6" thickBot="1" x14ac:dyDescent="0.3">
      <c r="B11" s="65">
        <v>6</v>
      </c>
      <c r="C11" s="67">
        <v>2024</v>
      </c>
      <c r="D11" s="68">
        <v>21.377410000000001</v>
      </c>
      <c r="E11" s="68">
        <v>23.725670000000001</v>
      </c>
      <c r="F11" s="68">
        <v>15.6514463</v>
      </c>
      <c r="G11" s="68">
        <v>14.985832200000001</v>
      </c>
      <c r="H11" s="68">
        <v>8.3660479999999993</v>
      </c>
      <c r="I11" s="68">
        <v>10.024779300000001</v>
      </c>
      <c r="J11" s="68">
        <v>18.219381299999998</v>
      </c>
      <c r="K11" s="68">
        <v>22.431469</v>
      </c>
      <c r="L11" s="68">
        <v>25.3901653</v>
      </c>
      <c r="M11" s="68">
        <v>25.2213554</v>
      </c>
      <c r="N11" s="68">
        <v>23.814882300000001</v>
      </c>
      <c r="O11" s="68">
        <v>25.647415200000001</v>
      </c>
      <c r="P11" s="68">
        <v>19.571321191666669</v>
      </c>
      <c r="Q11" s="82">
        <f t="shared" si="0"/>
        <v>4.538023213740594E-2</v>
      </c>
    </row>
    <row r="12" spans="2:17" ht="15.6" thickBot="1" x14ac:dyDescent="0.3">
      <c r="B12" s="229">
        <v>7</v>
      </c>
      <c r="C12" s="67">
        <v>2025</v>
      </c>
      <c r="D12" s="68">
        <v>22.178417199999998</v>
      </c>
      <c r="E12" s="68">
        <v>24.742450000000002</v>
      </c>
      <c r="F12" s="68">
        <v>15.6446209</v>
      </c>
      <c r="G12" s="68">
        <v>16.003979999999999</v>
      </c>
      <c r="H12" s="68">
        <v>9.0102624900000006</v>
      </c>
      <c r="I12" s="68">
        <v>11.4341764</v>
      </c>
      <c r="J12" s="68">
        <v>18.296821600000001</v>
      </c>
      <c r="K12" s="68">
        <v>24.119983699999999</v>
      </c>
      <c r="L12" s="68">
        <v>27.542888600000001</v>
      </c>
      <c r="M12" s="68">
        <v>26.5674362</v>
      </c>
      <c r="N12" s="68">
        <v>24.811794299999999</v>
      </c>
      <c r="O12" s="68">
        <v>27.125309000000001</v>
      </c>
      <c r="P12" s="68">
        <v>20.623178365833336</v>
      </c>
      <c r="Q12" s="82">
        <f t="shared" si="0"/>
        <v>5.3744822021240868E-2</v>
      </c>
    </row>
    <row r="13" spans="2:17" ht="15.6" thickBot="1" x14ac:dyDescent="0.3">
      <c r="B13" s="65">
        <v>8</v>
      </c>
      <c r="C13" s="67">
        <v>2026</v>
      </c>
      <c r="D13" s="68">
        <v>23.475526800000001</v>
      </c>
      <c r="E13" s="68">
        <v>26.518011099999999</v>
      </c>
      <c r="F13" s="68">
        <v>17.426633800000001</v>
      </c>
      <c r="G13" s="68">
        <v>17.390699999999999</v>
      </c>
      <c r="H13" s="68">
        <v>10.221367799999999</v>
      </c>
      <c r="I13" s="68">
        <v>11.4526834</v>
      </c>
      <c r="J13" s="68">
        <v>19.417087599999999</v>
      </c>
      <c r="K13" s="68">
        <v>26.020779999999998</v>
      </c>
      <c r="L13" s="68">
        <v>28.946926099999999</v>
      </c>
      <c r="M13" s="68">
        <v>28.870735199999999</v>
      </c>
      <c r="N13" s="68">
        <v>26.173584000000002</v>
      </c>
      <c r="O13" s="68">
        <v>28.6495876</v>
      </c>
      <c r="P13" s="68">
        <v>22.046968616666671</v>
      </c>
      <c r="Q13" s="82">
        <f t="shared" si="0"/>
        <v>6.9038352167488659E-2</v>
      </c>
    </row>
    <row r="14" spans="2:17" ht="15.6" thickBot="1" x14ac:dyDescent="0.3">
      <c r="B14" s="65">
        <v>9</v>
      </c>
      <c r="C14" s="67">
        <v>2027</v>
      </c>
      <c r="D14" s="68">
        <v>25.0704937</v>
      </c>
      <c r="E14" s="68">
        <v>27.7912064</v>
      </c>
      <c r="F14" s="68">
        <v>17.618677099999999</v>
      </c>
      <c r="G14" s="68">
        <v>17.30481</v>
      </c>
      <c r="H14" s="68">
        <v>10.0907917</v>
      </c>
      <c r="I14" s="68">
        <v>11.081109</v>
      </c>
      <c r="J14" s="68">
        <v>21.514244099999999</v>
      </c>
      <c r="K14" s="68">
        <v>27.2325439</v>
      </c>
      <c r="L14" s="68">
        <v>30.924936299999999</v>
      </c>
      <c r="M14" s="68">
        <v>30.701068899999999</v>
      </c>
      <c r="N14" s="68">
        <v>28.121093800000001</v>
      </c>
      <c r="O14" s="68">
        <v>30.590982400000001</v>
      </c>
      <c r="P14" s="68">
        <v>23.17016310833333</v>
      </c>
      <c r="Q14" s="82">
        <f t="shared" si="0"/>
        <v>5.0945529573510839E-2</v>
      </c>
    </row>
    <row r="15" spans="2:17" ht="15.6" thickBot="1" x14ac:dyDescent="0.3">
      <c r="B15" s="229">
        <v>10</v>
      </c>
      <c r="C15" s="67">
        <v>2028</v>
      </c>
      <c r="D15" s="68">
        <v>25.208356899999998</v>
      </c>
      <c r="E15" s="68">
        <v>27.807886100000001</v>
      </c>
      <c r="F15" s="68">
        <v>16.863792400000001</v>
      </c>
      <c r="G15" s="68">
        <v>17.363174399999998</v>
      </c>
      <c r="H15" s="68">
        <v>10.259779</v>
      </c>
      <c r="I15" s="68">
        <v>11.592837299999999</v>
      </c>
      <c r="J15" s="68">
        <v>22.958913800000001</v>
      </c>
      <c r="K15" s="68">
        <v>27.960750000000001</v>
      </c>
      <c r="L15" s="68">
        <v>31.4918175</v>
      </c>
      <c r="M15" s="68">
        <v>30.8707733</v>
      </c>
      <c r="N15" s="68">
        <v>27.705432900000002</v>
      </c>
      <c r="O15" s="68">
        <v>31.6278477</v>
      </c>
      <c r="P15" s="68">
        <v>23.475946774999997</v>
      </c>
      <c r="Q15" s="82">
        <f t="shared" si="0"/>
        <v>1.3197303153929418E-2</v>
      </c>
    </row>
    <row r="16" spans="2:17" ht="15.6" thickBot="1" x14ac:dyDescent="0.3">
      <c r="B16" s="65">
        <v>11</v>
      </c>
      <c r="C16" s="67">
        <v>2029</v>
      </c>
      <c r="D16" s="68">
        <v>24.358564399999999</v>
      </c>
      <c r="E16" s="68">
        <v>29.527006100000001</v>
      </c>
      <c r="F16" s="68">
        <v>17.0643387</v>
      </c>
      <c r="G16" s="68">
        <v>19.658796299999999</v>
      </c>
      <c r="H16" s="68">
        <v>10.2959394</v>
      </c>
      <c r="I16" s="68">
        <v>10.954897900000001</v>
      </c>
      <c r="J16" s="68">
        <v>22.076740000000001</v>
      </c>
      <c r="K16" s="68">
        <v>29.154691700000001</v>
      </c>
      <c r="L16" s="68">
        <v>33.170169999999999</v>
      </c>
      <c r="M16" s="68">
        <v>29.944955799999999</v>
      </c>
      <c r="N16" s="68">
        <v>25.985088300000001</v>
      </c>
      <c r="O16" s="68">
        <v>32.3934</v>
      </c>
      <c r="P16" s="68">
        <v>23.715382383333335</v>
      </c>
      <c r="Q16" s="82">
        <f t="shared" si="0"/>
        <v>1.0199188583453367E-2</v>
      </c>
    </row>
    <row r="17" spans="2:17" ht="15.6" thickBot="1" x14ac:dyDescent="0.3">
      <c r="B17" s="65">
        <v>12</v>
      </c>
      <c r="C17" s="67">
        <v>2030</v>
      </c>
      <c r="D17" s="68">
        <v>25.089626299999999</v>
      </c>
      <c r="E17" s="68">
        <v>29.378440000000001</v>
      </c>
      <c r="F17" s="68">
        <v>16.584198000000001</v>
      </c>
      <c r="G17" s="68">
        <v>18.178421</v>
      </c>
      <c r="H17" s="68">
        <v>9.846895</v>
      </c>
      <c r="I17" s="68">
        <v>11.2374887</v>
      </c>
      <c r="J17" s="68">
        <v>22.294301999999998</v>
      </c>
      <c r="K17" s="68">
        <v>28.791872000000001</v>
      </c>
      <c r="L17" s="68">
        <v>33.894245099999999</v>
      </c>
      <c r="M17" s="68">
        <v>32.336196899999997</v>
      </c>
      <c r="N17" s="68">
        <v>28.977304499999999</v>
      </c>
      <c r="O17" s="68">
        <v>33.052356699999997</v>
      </c>
      <c r="P17" s="68">
        <v>24.138445516666668</v>
      </c>
      <c r="Q17" s="82">
        <f t="shared" si="0"/>
        <v>1.7839186671965823E-2</v>
      </c>
    </row>
    <row r="18" spans="2:17" ht="15.6" thickBot="1" x14ac:dyDescent="0.3">
      <c r="B18" s="229">
        <v>13</v>
      </c>
      <c r="C18" s="67">
        <v>2031</v>
      </c>
      <c r="D18" s="68">
        <v>25.4894867</v>
      </c>
      <c r="E18" s="68">
        <v>29.929079999999999</v>
      </c>
      <c r="F18" s="68">
        <v>17.278327900000001</v>
      </c>
      <c r="G18" s="68">
        <v>18.103975299999998</v>
      </c>
      <c r="H18" s="68">
        <v>10.5112915</v>
      </c>
      <c r="I18" s="68">
        <v>11.775423999999999</v>
      </c>
      <c r="J18" s="68">
        <v>23.123062099999999</v>
      </c>
      <c r="K18" s="68">
        <v>30.024372100000001</v>
      </c>
      <c r="L18" s="68">
        <v>35.109375</v>
      </c>
      <c r="M18" s="68">
        <v>31.459465000000002</v>
      </c>
      <c r="N18" s="68">
        <v>28.033496899999999</v>
      </c>
      <c r="O18" s="68">
        <v>33.80048</v>
      </c>
      <c r="P18" s="68">
        <v>24.553153041666665</v>
      </c>
      <c r="Q18" s="82">
        <f t="shared" si="0"/>
        <v>1.7180374134434517E-2</v>
      </c>
    </row>
    <row r="19" spans="2:17" ht="15.6" thickBot="1" x14ac:dyDescent="0.3">
      <c r="B19" s="65">
        <v>14</v>
      </c>
      <c r="C19" s="67">
        <v>2032</v>
      </c>
      <c r="D19" s="68">
        <v>25.665124899999999</v>
      </c>
      <c r="E19" s="68">
        <v>30.749774899999998</v>
      </c>
      <c r="F19" s="68">
        <v>17.648571</v>
      </c>
      <c r="G19" s="68">
        <v>20.116119999999999</v>
      </c>
      <c r="H19" s="68">
        <v>12.564932799999999</v>
      </c>
      <c r="I19" s="68">
        <v>11.9768753</v>
      </c>
      <c r="J19" s="68">
        <v>25.4113483</v>
      </c>
      <c r="K19" s="68">
        <v>31.251760000000001</v>
      </c>
      <c r="L19" s="68">
        <v>34.870710000000003</v>
      </c>
      <c r="M19" s="68">
        <v>34.974655200000001</v>
      </c>
      <c r="N19" s="68">
        <v>31.550817500000001</v>
      </c>
      <c r="O19" s="68">
        <v>36.269226099999997</v>
      </c>
      <c r="P19" s="68">
        <v>26.087492999999995</v>
      </c>
      <c r="Q19" s="82">
        <f t="shared" si="0"/>
        <v>6.2490546763161348E-2</v>
      </c>
    </row>
    <row r="20" spans="2:17" ht="15.6" thickBot="1" x14ac:dyDescent="0.3">
      <c r="B20" s="65">
        <v>15</v>
      </c>
      <c r="C20" s="67">
        <v>2033</v>
      </c>
      <c r="D20" s="68">
        <v>26.830995600000001</v>
      </c>
      <c r="E20" s="68">
        <v>32.496284500000002</v>
      </c>
      <c r="F20" s="68">
        <v>18.681383100000001</v>
      </c>
      <c r="G20" s="68">
        <v>19.585752500000002</v>
      </c>
      <c r="H20" s="68">
        <v>12.33643</v>
      </c>
      <c r="I20" s="68">
        <v>12.7162752</v>
      </c>
      <c r="J20" s="68">
        <v>28.223320000000001</v>
      </c>
      <c r="K20" s="68">
        <v>32.202087400000003</v>
      </c>
      <c r="L20" s="68">
        <v>37.2084045</v>
      </c>
      <c r="M20" s="68">
        <v>37.648310000000002</v>
      </c>
      <c r="N20" s="68">
        <v>35.363599999999998</v>
      </c>
      <c r="O20" s="68">
        <v>38.448642700000001</v>
      </c>
      <c r="P20" s="68">
        <v>27.645123791666666</v>
      </c>
      <c r="Q20" s="82">
        <f t="shared" si="0"/>
        <v>5.970795245318028E-2</v>
      </c>
    </row>
    <row r="21" spans="2:17" ht="15.6" thickBot="1" x14ac:dyDescent="0.3">
      <c r="B21" s="229">
        <v>16</v>
      </c>
      <c r="C21" s="67">
        <v>2034</v>
      </c>
      <c r="D21" s="68">
        <v>28.594846700000002</v>
      </c>
      <c r="E21" s="68">
        <v>34.46611</v>
      </c>
      <c r="F21" s="68">
        <v>19.425554300000002</v>
      </c>
      <c r="G21" s="68">
        <v>20.556591000000001</v>
      </c>
      <c r="H21" s="68">
        <v>13.718856799999999</v>
      </c>
      <c r="I21" s="68">
        <v>13.793730699999999</v>
      </c>
      <c r="J21" s="68">
        <v>31.579008099999999</v>
      </c>
      <c r="K21" s="68">
        <v>34.503303500000001</v>
      </c>
      <c r="L21" s="68">
        <v>40.268929999999997</v>
      </c>
      <c r="M21" s="68">
        <v>39.418384600000003</v>
      </c>
      <c r="N21" s="68">
        <v>35.530056000000002</v>
      </c>
      <c r="O21" s="68">
        <v>42.032474499999999</v>
      </c>
      <c r="P21" s="68">
        <v>29.490653850000001</v>
      </c>
      <c r="Q21" s="82">
        <f t="shared" si="0"/>
        <v>6.67578872947443E-2</v>
      </c>
    </row>
    <row r="22" spans="2:17" ht="15.6" thickBot="1" x14ac:dyDescent="0.3">
      <c r="B22" s="65">
        <v>17</v>
      </c>
      <c r="C22" s="67">
        <v>2035</v>
      </c>
      <c r="D22" s="68">
        <v>30.755748700000002</v>
      </c>
      <c r="E22" s="68">
        <v>38.545017199999997</v>
      </c>
      <c r="F22" s="68">
        <v>20.221281099999999</v>
      </c>
      <c r="G22" s="68">
        <v>24.468730000000001</v>
      </c>
      <c r="H22" s="68">
        <v>15.4281025</v>
      </c>
      <c r="I22" s="68">
        <v>15.3457823</v>
      </c>
      <c r="J22" s="68">
        <v>33.429222099999997</v>
      </c>
      <c r="K22" s="68">
        <v>38.868049999999997</v>
      </c>
      <c r="L22" s="68">
        <v>44.402462</v>
      </c>
      <c r="M22" s="68">
        <v>39.8831177</v>
      </c>
      <c r="N22" s="68">
        <v>34.609580000000001</v>
      </c>
      <c r="O22" s="68">
        <v>42.971874200000002</v>
      </c>
      <c r="P22" s="68">
        <v>31.577413983333333</v>
      </c>
      <c r="Q22" s="82">
        <f t="shared" si="0"/>
        <v>7.0760049741431352E-2</v>
      </c>
    </row>
    <row r="23" spans="2:17" ht="15.6" thickBot="1" x14ac:dyDescent="0.3">
      <c r="B23" s="65">
        <v>18</v>
      </c>
      <c r="C23" s="67">
        <v>2036</v>
      </c>
      <c r="D23" s="68">
        <v>31.006239999999998</v>
      </c>
      <c r="E23" s="68">
        <v>39.109645800000003</v>
      </c>
      <c r="F23" s="68">
        <v>20.777166399999999</v>
      </c>
      <c r="G23" s="68">
        <v>22.745033299999999</v>
      </c>
      <c r="H23" s="68">
        <v>13.7978287</v>
      </c>
      <c r="I23" s="68">
        <v>14.849802</v>
      </c>
      <c r="J23" s="68">
        <v>32.55939</v>
      </c>
      <c r="K23" s="68">
        <v>40.706974000000002</v>
      </c>
      <c r="L23" s="68">
        <v>45.642482800000003</v>
      </c>
      <c r="M23" s="68">
        <v>43.105217000000003</v>
      </c>
      <c r="N23" s="68">
        <v>38.459069999999997</v>
      </c>
      <c r="O23" s="68">
        <v>45.970314000000002</v>
      </c>
      <c r="P23" s="68">
        <v>32.394096999999995</v>
      </c>
      <c r="Q23" s="82">
        <f t="shared" si="0"/>
        <v>2.5862884690231791E-2</v>
      </c>
    </row>
    <row r="24" spans="2:17" ht="15.6" thickBot="1" x14ac:dyDescent="0.3">
      <c r="B24" s="229">
        <v>19</v>
      </c>
      <c r="C24" s="67">
        <v>2037</v>
      </c>
      <c r="D24" s="68">
        <v>32.876655599999999</v>
      </c>
      <c r="E24" s="68">
        <v>41.045902300000002</v>
      </c>
      <c r="F24" s="68">
        <v>21.1209545</v>
      </c>
      <c r="G24" s="68">
        <v>22.423902500000001</v>
      </c>
      <c r="H24" s="68">
        <v>14.173310000000001</v>
      </c>
      <c r="I24" s="68">
        <v>15.152365700000001</v>
      </c>
      <c r="J24" s="68">
        <v>33.710735300000003</v>
      </c>
      <c r="K24" s="68">
        <v>41.554012299999997</v>
      </c>
      <c r="L24" s="68">
        <v>47.789585099999996</v>
      </c>
      <c r="M24" s="68">
        <v>43.598156000000003</v>
      </c>
      <c r="N24" s="68">
        <v>36.4467049</v>
      </c>
      <c r="O24" s="68">
        <v>48.2832565</v>
      </c>
      <c r="P24" s="68">
        <v>33.181295058333333</v>
      </c>
      <c r="Q24" s="82">
        <f t="shared" si="0"/>
        <v>2.4300663739240447E-2</v>
      </c>
    </row>
    <row r="25" spans="2:17" ht="15.6" thickBot="1" x14ac:dyDescent="0.3">
      <c r="B25" s="65">
        <v>20</v>
      </c>
      <c r="C25" s="67">
        <v>2038</v>
      </c>
      <c r="D25" s="68">
        <v>35.520767200000002</v>
      </c>
      <c r="E25" s="68">
        <v>43.488025700000001</v>
      </c>
      <c r="F25" s="68">
        <v>23.278907799999999</v>
      </c>
      <c r="G25" s="68">
        <v>25.764497800000001</v>
      </c>
      <c r="H25" s="68">
        <v>16.864635499999999</v>
      </c>
      <c r="I25" s="68">
        <v>15.7759447</v>
      </c>
      <c r="J25" s="68">
        <v>37.4147873</v>
      </c>
      <c r="K25" s="68">
        <v>43.409393299999998</v>
      </c>
      <c r="L25" s="68">
        <v>51.693653099999999</v>
      </c>
      <c r="M25" s="68">
        <v>47.168697399999999</v>
      </c>
      <c r="N25" s="68">
        <v>40.274146999999999</v>
      </c>
      <c r="O25" s="68">
        <v>50.5421944</v>
      </c>
      <c r="P25" s="68">
        <v>35.93297093333333</v>
      </c>
      <c r="Q25" s="82">
        <f t="shared" si="0"/>
        <v>8.2928525549183618E-2</v>
      </c>
    </row>
    <row r="26" spans="2:17" ht="15.6" thickBot="1" x14ac:dyDescent="0.3">
      <c r="B26" s="65">
        <v>21</v>
      </c>
      <c r="C26" s="67">
        <v>2039</v>
      </c>
      <c r="D26" s="68">
        <v>36.875250000000001</v>
      </c>
      <c r="E26" s="68">
        <v>45.294296299999999</v>
      </c>
      <c r="F26" s="68">
        <v>22.841344800000002</v>
      </c>
      <c r="G26" s="68">
        <v>24.740310000000001</v>
      </c>
      <c r="H26" s="68">
        <v>15.3727713</v>
      </c>
      <c r="I26" s="68">
        <v>15.766921999999999</v>
      </c>
      <c r="J26" s="68">
        <v>38.154125200000003</v>
      </c>
      <c r="K26" s="68">
        <v>42.472949999999997</v>
      </c>
      <c r="L26" s="68">
        <v>53.510420000000003</v>
      </c>
      <c r="M26" s="68">
        <v>51.720367400000001</v>
      </c>
      <c r="N26" s="68">
        <v>43.463016500000002</v>
      </c>
      <c r="O26" s="68">
        <v>52.701689999999999</v>
      </c>
      <c r="P26" s="68">
        <v>36.909455291666667</v>
      </c>
      <c r="Q26" s="80"/>
    </row>
    <row r="27" spans="2:17" ht="15.6" thickBot="1" x14ac:dyDescent="0.3">
      <c r="C27" s="69"/>
      <c r="D27" s="70"/>
      <c r="E27" s="70"/>
      <c r="F27" s="70"/>
      <c r="G27" s="70"/>
      <c r="H27" s="70"/>
      <c r="I27" s="70"/>
      <c r="J27" s="70"/>
      <c r="K27" s="70"/>
      <c r="L27" s="70"/>
      <c r="M27" s="70"/>
      <c r="N27" s="70"/>
      <c r="O27" s="70"/>
      <c r="P27" s="71"/>
      <c r="Q27" s="81"/>
    </row>
    <row r="28" spans="2:17" ht="15.6" thickBot="1" x14ac:dyDescent="0.3">
      <c r="O28" s="72" t="s">
        <v>66</v>
      </c>
      <c r="P28" s="73">
        <f>-PMT(Rate_of_Return,20,NPV(Rate_of_Return,P6:P25))</f>
        <v>23.428869446417636</v>
      </c>
      <c r="Q28" s="80"/>
    </row>
    <row r="29" spans="2:17" ht="15.6" thickBot="1" x14ac:dyDescent="0.3">
      <c r="O29" s="72" t="s">
        <v>67</v>
      </c>
      <c r="P29" s="74">
        <f>-PMT(Rate_of_Return,15,NPV(Rate_of_Return,P6:P20))</f>
        <v>22.068261689565677</v>
      </c>
      <c r="Q29" s="80"/>
    </row>
    <row r="33" spans="3:12" ht="15.6" x14ac:dyDescent="0.3">
      <c r="C33" s="225" t="s">
        <v>111</v>
      </c>
    </row>
    <row r="35" spans="3:12" ht="15.6" customHeight="1" thickBot="1" x14ac:dyDescent="0.3">
      <c r="C35" s="355" t="s">
        <v>97</v>
      </c>
      <c r="D35" s="356"/>
      <c r="E35" s="356"/>
      <c r="F35" s="356"/>
      <c r="G35" s="356"/>
      <c r="H35" s="356"/>
      <c r="I35" s="356"/>
      <c r="J35" s="356"/>
      <c r="K35" s="356"/>
      <c r="L35"/>
    </row>
    <row r="36" spans="3:12" ht="28.2" thickBot="1" x14ac:dyDescent="0.3">
      <c r="C36" s="343"/>
      <c r="D36" s="344" t="s">
        <v>98</v>
      </c>
      <c r="E36" s="344" t="s">
        <v>99</v>
      </c>
      <c r="F36" s="344" t="s">
        <v>100</v>
      </c>
      <c r="G36" s="357" t="s">
        <v>101</v>
      </c>
      <c r="H36" s="358"/>
      <c r="I36" s="358"/>
      <c r="J36" s="358"/>
      <c r="K36" s="359"/>
      <c r="L36"/>
    </row>
    <row r="37" spans="3:12" ht="39" customHeight="1" thickBot="1" x14ac:dyDescent="0.3">
      <c r="C37" s="345">
        <v>1</v>
      </c>
      <c r="D37" s="346" t="s">
        <v>102</v>
      </c>
      <c r="E37" s="346" t="s">
        <v>103</v>
      </c>
      <c r="F37" s="346" t="s">
        <v>103</v>
      </c>
      <c r="G37" s="360" t="s">
        <v>104</v>
      </c>
      <c r="H37" s="361"/>
      <c r="I37" s="361"/>
      <c r="J37" s="361"/>
      <c r="K37" s="362"/>
      <c r="L37"/>
    </row>
    <row r="38" spans="3:12" x14ac:dyDescent="0.25">
      <c r="C38"/>
      <c r="D38"/>
      <c r="E38"/>
      <c r="F38"/>
      <c r="G38"/>
      <c r="H38"/>
      <c r="I38"/>
      <c r="J38"/>
      <c r="K38"/>
      <c r="L38"/>
    </row>
    <row r="39" spans="3:12" x14ac:dyDescent="0.25">
      <c r="C39"/>
      <c r="D39"/>
      <c r="E39"/>
      <c r="F39"/>
      <c r="G39"/>
      <c r="H39"/>
      <c r="I39"/>
      <c r="J39"/>
      <c r="K39"/>
      <c r="L39"/>
    </row>
    <row r="40" spans="3:12" x14ac:dyDescent="0.25">
      <c r="C40"/>
      <c r="D40"/>
      <c r="E40"/>
      <c r="F40"/>
      <c r="G40"/>
      <c r="H40"/>
      <c r="I40"/>
      <c r="J40"/>
      <c r="K40"/>
      <c r="L40"/>
    </row>
    <row r="41" spans="3:12" ht="20.399999999999999" x14ac:dyDescent="0.25">
      <c r="C41" s="222"/>
      <c r="D41"/>
      <c r="E41"/>
      <c r="F41"/>
      <c r="G41"/>
      <c r="H41"/>
      <c r="I41"/>
      <c r="J41"/>
      <c r="K41"/>
      <c r="L41"/>
    </row>
    <row r="42" spans="3:12" ht="91.8" customHeight="1" x14ac:dyDescent="0.25">
      <c r="C42" s="353" t="s">
        <v>164</v>
      </c>
      <c r="D42" s="353"/>
      <c r="E42" s="353"/>
      <c r="F42" s="353"/>
      <c r="G42" s="353"/>
      <c r="H42" s="353"/>
      <c r="I42" s="353"/>
      <c r="J42" s="353"/>
      <c r="K42" s="353"/>
      <c r="L42" s="353"/>
    </row>
    <row r="43" spans="3:12" ht="81.599999999999994" customHeight="1" x14ac:dyDescent="0.25">
      <c r="C43" s="354" t="s">
        <v>172</v>
      </c>
      <c r="D43" s="354"/>
      <c r="E43" s="354"/>
      <c r="F43" s="354"/>
      <c r="G43" s="354"/>
      <c r="H43" s="354"/>
      <c r="I43" s="354"/>
      <c r="J43" s="354"/>
      <c r="K43" s="354"/>
      <c r="L43" s="354"/>
    </row>
    <row r="44" spans="3:12" x14ac:dyDescent="0.25">
      <c r="C44"/>
      <c r="D44"/>
      <c r="E44"/>
      <c r="F44"/>
      <c r="G44"/>
      <c r="H44"/>
      <c r="I44"/>
      <c r="J44"/>
      <c r="K44"/>
      <c r="L44"/>
    </row>
    <row r="45" spans="3:12" ht="17.399999999999999" x14ac:dyDescent="0.25">
      <c r="C45" s="223" t="s">
        <v>105</v>
      </c>
      <c r="D45"/>
      <c r="E45"/>
      <c r="F45"/>
      <c r="G45"/>
      <c r="H45"/>
      <c r="I45"/>
      <c r="J45"/>
      <c r="K45"/>
      <c r="L45"/>
    </row>
    <row r="46" spans="3:12" x14ac:dyDescent="0.25">
      <c r="C46"/>
      <c r="D46"/>
      <c r="E46"/>
      <c r="F46"/>
      <c r="G46"/>
      <c r="H46"/>
      <c r="I46"/>
      <c r="J46"/>
      <c r="K46"/>
      <c r="L46"/>
    </row>
    <row r="47" spans="3:12" x14ac:dyDescent="0.25">
      <c r="C47" s="224" t="s">
        <v>106</v>
      </c>
      <c r="D47"/>
      <c r="E47"/>
      <c r="F47"/>
      <c r="G47"/>
      <c r="H47"/>
      <c r="I47"/>
      <c r="J47"/>
      <c r="K47"/>
      <c r="L47"/>
    </row>
    <row r="48" spans="3:12" x14ac:dyDescent="0.25">
      <c r="C48" s="224" t="s">
        <v>107</v>
      </c>
      <c r="D48"/>
      <c r="E48"/>
      <c r="F48"/>
      <c r="G48"/>
      <c r="H48"/>
      <c r="I48"/>
      <c r="J48"/>
      <c r="K48"/>
      <c r="L48"/>
    </row>
    <row r="49" spans="3:12" x14ac:dyDescent="0.25">
      <c r="C49" s="224" t="s">
        <v>108</v>
      </c>
      <c r="D49"/>
      <c r="E49"/>
      <c r="F49"/>
      <c r="G49"/>
      <c r="H49"/>
      <c r="I49"/>
      <c r="J49"/>
      <c r="K49"/>
      <c r="L49"/>
    </row>
    <row r="50" spans="3:12" x14ac:dyDescent="0.25">
      <c r="C50" s="224" t="s">
        <v>109</v>
      </c>
      <c r="D50"/>
      <c r="E50"/>
      <c r="F50"/>
      <c r="G50"/>
      <c r="H50"/>
      <c r="I50"/>
      <c r="J50"/>
      <c r="K50"/>
      <c r="L50"/>
    </row>
    <row r="51" spans="3:12" x14ac:dyDescent="0.25">
      <c r="C51" s="224" t="s">
        <v>110</v>
      </c>
      <c r="D51"/>
      <c r="E51"/>
      <c r="F51"/>
      <c r="G51"/>
      <c r="H51"/>
      <c r="I51"/>
      <c r="J51"/>
      <c r="K51"/>
      <c r="L51"/>
    </row>
  </sheetData>
  <mergeCells count="6">
    <mergeCell ref="C2:Q2"/>
    <mergeCell ref="C42:L42"/>
    <mergeCell ref="C43:L43"/>
    <mergeCell ref="C35:K35"/>
    <mergeCell ref="G36:K36"/>
    <mergeCell ref="G37:K37"/>
  </mergeCells>
  <pageMargins left="0.75" right="0.5" top="0.76" bottom="0.79" header="0.5" footer="0.26"/>
  <pageSetup scale="57" orientation="landscape" r:id="rId1"/>
  <headerFooter alignWithMargins="0">
    <oddFooter>&amp;L&amp;F&amp;C&amp;A&amp;RPSE Advice No. 2018-48 &amp;D
Page &amp;P of &amp;N</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X50"/>
  <sheetViews>
    <sheetView zoomScaleNormal="100" workbookViewId="0">
      <selection activeCell="O17" sqref="O17"/>
    </sheetView>
  </sheetViews>
  <sheetFormatPr defaultColWidth="8.88671875" defaultRowHeight="13.2" x14ac:dyDescent="0.25"/>
  <cols>
    <col min="1" max="1" width="2.6640625" style="244" customWidth="1"/>
    <col min="2" max="2" width="3.88671875" style="244" bestFit="1" customWidth="1"/>
    <col min="3" max="3" width="9" style="244" bestFit="1" customWidth="1"/>
    <col min="4" max="4" width="23" style="244" customWidth="1"/>
    <col min="5" max="6" width="24.6640625" style="244" customWidth="1"/>
    <col min="7" max="7" width="2.109375" style="187" customWidth="1"/>
    <col min="8" max="8" width="17.44140625" style="244" bestFit="1" customWidth="1"/>
    <col min="9" max="10" width="13.88671875" style="244" bestFit="1" customWidth="1"/>
    <col min="11" max="11" width="2.109375" style="187" customWidth="1"/>
    <col min="12" max="12" width="8.88671875" style="244"/>
    <col min="13" max="13" width="11.109375" style="244" customWidth="1"/>
    <col min="14" max="14" width="2.109375" style="187" customWidth="1"/>
    <col min="15" max="15" width="14" style="244" customWidth="1"/>
    <col min="16" max="16" width="11.33203125" style="244" bestFit="1" customWidth="1"/>
    <col min="17" max="17" width="10.44140625" style="244" bestFit="1" customWidth="1"/>
    <col min="18" max="18" width="10.109375" style="244" bestFit="1" customWidth="1"/>
    <col min="19" max="20" width="11.33203125" style="244" bestFit="1" customWidth="1"/>
    <col min="21" max="21" width="8.88671875" style="244"/>
    <col min="22" max="24" width="9.5546875" style="244" bestFit="1" customWidth="1"/>
    <col min="25" max="16384" width="8.88671875" style="244"/>
  </cols>
  <sheetData>
    <row r="2" spans="1:24" x14ac:dyDescent="0.25">
      <c r="L2" s="187"/>
      <c r="M2" s="187"/>
      <c r="O2" s="187"/>
      <c r="P2" s="187"/>
      <c r="Q2" s="187"/>
      <c r="R2" s="187"/>
      <c r="S2" s="187"/>
      <c r="T2" s="187"/>
    </row>
    <row r="3" spans="1:24" ht="13.8" thickBot="1" x14ac:dyDescent="0.3">
      <c r="D3" s="365" t="s">
        <v>45</v>
      </c>
      <c r="E3" s="365"/>
      <c r="F3" s="365"/>
      <c r="H3" s="367" t="s">
        <v>123</v>
      </c>
      <c r="I3" s="367"/>
      <c r="J3" s="367"/>
      <c r="L3" s="187"/>
      <c r="M3" s="187"/>
      <c r="O3" s="367" t="s">
        <v>124</v>
      </c>
      <c r="P3" s="367"/>
      <c r="Q3" s="367"/>
      <c r="R3" s="367"/>
      <c r="S3" s="367"/>
      <c r="T3" s="367"/>
    </row>
    <row r="4" spans="1:24" ht="72.75" customHeight="1" x14ac:dyDescent="0.25">
      <c r="D4" s="279" t="s">
        <v>46</v>
      </c>
      <c r="E4" s="279" t="s">
        <v>128</v>
      </c>
      <c r="F4" s="288" t="s">
        <v>47</v>
      </c>
      <c r="H4" s="289" t="s">
        <v>132</v>
      </c>
      <c r="I4" s="289" t="s">
        <v>129</v>
      </c>
      <c r="J4" s="297" t="s">
        <v>130</v>
      </c>
      <c r="K4" s="245"/>
      <c r="L4" s="368" t="s">
        <v>131</v>
      </c>
      <c r="M4" s="371" t="s">
        <v>136</v>
      </c>
      <c r="N4" s="246"/>
      <c r="O4" s="280" t="s">
        <v>137</v>
      </c>
      <c r="P4" s="283" t="s">
        <v>133</v>
      </c>
      <c r="Q4" s="280" t="s">
        <v>138</v>
      </c>
      <c r="R4" s="283" t="s">
        <v>134</v>
      </c>
      <c r="S4" s="306" t="s">
        <v>139</v>
      </c>
      <c r="T4" s="283" t="s">
        <v>135</v>
      </c>
    </row>
    <row r="5" spans="1:24" x14ac:dyDescent="0.25">
      <c r="C5" s="247"/>
      <c r="D5" s="265"/>
      <c r="E5" s="265"/>
      <c r="F5" s="287"/>
      <c r="H5" s="290">
        <v>1</v>
      </c>
      <c r="I5" s="290">
        <v>0.16</v>
      </c>
      <c r="J5" s="298">
        <v>0.02</v>
      </c>
      <c r="K5" s="245"/>
      <c r="L5" s="369"/>
      <c r="M5" s="372"/>
      <c r="N5" s="246"/>
      <c r="O5" s="278">
        <v>1</v>
      </c>
      <c r="P5" s="312"/>
      <c r="Q5" s="278">
        <v>0.3</v>
      </c>
      <c r="R5" s="312"/>
      <c r="S5" s="307">
        <v>0.26</v>
      </c>
      <c r="T5" s="284"/>
    </row>
    <row r="6" spans="1:24" ht="27" thickBot="1" x14ac:dyDescent="0.3">
      <c r="B6" s="247"/>
      <c r="C6" s="248"/>
      <c r="D6" s="266"/>
      <c r="E6" s="285" t="s">
        <v>141</v>
      </c>
      <c r="F6" s="286" t="s">
        <v>141</v>
      </c>
      <c r="H6" s="291" t="s">
        <v>141</v>
      </c>
      <c r="I6" s="291" t="s">
        <v>141</v>
      </c>
      <c r="J6" s="299" t="s">
        <v>141</v>
      </c>
      <c r="L6" s="370"/>
      <c r="M6" s="373"/>
      <c r="N6" s="246"/>
      <c r="O6" s="281" t="s">
        <v>140</v>
      </c>
      <c r="P6" s="282" t="s">
        <v>14</v>
      </c>
      <c r="Q6" s="281" t="s">
        <v>140</v>
      </c>
      <c r="R6" s="282" t="s">
        <v>14</v>
      </c>
      <c r="S6" s="308" t="s">
        <v>140</v>
      </c>
      <c r="T6" s="282" t="s">
        <v>14</v>
      </c>
      <c r="V6" s="237" t="s">
        <v>125</v>
      </c>
      <c r="W6" s="237" t="s">
        <v>126</v>
      </c>
      <c r="X6" s="237" t="s">
        <v>127</v>
      </c>
    </row>
    <row r="7" spans="1:24" x14ac:dyDescent="0.25">
      <c r="A7" s="247"/>
      <c r="B7" s="249">
        <v>0</v>
      </c>
      <c r="C7" s="250">
        <v>2018</v>
      </c>
      <c r="D7" s="334" t="s">
        <v>49</v>
      </c>
      <c r="E7" s="251">
        <v>72.400000000000006</v>
      </c>
      <c r="F7" s="252">
        <v>0.10236603221083454</v>
      </c>
      <c r="H7" s="292">
        <f t="shared" ref="H7:J27" si="0">H$5*$E7</f>
        <v>72.400000000000006</v>
      </c>
      <c r="I7" s="292">
        <f t="shared" si="0"/>
        <v>11.584000000000001</v>
      </c>
      <c r="J7" s="300">
        <f t="shared" si="0"/>
        <v>1.4480000000000002</v>
      </c>
      <c r="L7" s="277">
        <v>2018</v>
      </c>
      <c r="M7" s="233">
        <v>8760</v>
      </c>
      <c r="N7" s="245"/>
      <c r="O7" s="242">
        <f t="shared" ref="O7:O28" si="1">M7*$O$5</f>
        <v>8760</v>
      </c>
      <c r="P7" s="243">
        <f>(+H7*1000)/$O7</f>
        <v>8.2648401826484026</v>
      </c>
      <c r="Q7" s="242">
        <f t="shared" ref="Q7:Q28" si="2">M7*$Q$5</f>
        <v>2628</v>
      </c>
      <c r="R7" s="243">
        <f>(+I7*1000)/$Q7</f>
        <v>4.4079147640791483</v>
      </c>
      <c r="S7" s="309">
        <f t="shared" ref="S7:S28" si="3">M7*$S$5</f>
        <v>2277.6</v>
      </c>
      <c r="T7" s="243">
        <f>(+J7*1000)/$S7</f>
        <v>0.63575693712680026</v>
      </c>
      <c r="V7" s="253">
        <f>H7*1000-P7*O7</f>
        <v>0</v>
      </c>
      <c r="W7" s="253">
        <f>I7*1000-R7*Q7</f>
        <v>0</v>
      </c>
      <c r="X7" s="253">
        <f>J7*1000-T7*S7</f>
        <v>0</v>
      </c>
    </row>
    <row r="8" spans="1:24" x14ac:dyDescent="0.25">
      <c r="A8" s="247"/>
      <c r="B8" s="254">
        <v>1</v>
      </c>
      <c r="C8" s="255">
        <v>2019</v>
      </c>
      <c r="D8" s="334"/>
      <c r="E8" s="251">
        <v>72.400000000000006</v>
      </c>
      <c r="F8" s="252">
        <v>0.10236603221083454</v>
      </c>
      <c r="H8" s="293">
        <f t="shared" si="0"/>
        <v>72.400000000000006</v>
      </c>
      <c r="I8" s="292">
        <f t="shared" si="0"/>
        <v>11.584000000000001</v>
      </c>
      <c r="J8" s="301">
        <f t="shared" si="0"/>
        <v>1.4480000000000002</v>
      </c>
      <c r="L8" s="234">
        <v>2019</v>
      </c>
      <c r="M8" s="235">
        <v>8760</v>
      </c>
      <c r="N8" s="245"/>
      <c r="O8" s="238">
        <f t="shared" si="1"/>
        <v>8760</v>
      </c>
      <c r="P8" s="239">
        <f t="shared" ref="P8:P28" si="4">(+H8*1000)/$O8</f>
        <v>8.2648401826484026</v>
      </c>
      <c r="Q8" s="238">
        <f t="shared" si="2"/>
        <v>2628</v>
      </c>
      <c r="R8" s="239">
        <f t="shared" ref="R8:R28" si="5">(+I8*1000)/$Q8</f>
        <v>4.4079147640791483</v>
      </c>
      <c r="S8" s="310">
        <f t="shared" si="3"/>
        <v>2277.6</v>
      </c>
      <c r="T8" s="239">
        <f t="shared" ref="T8:T28" si="6">(+J8*1000)/$S8</f>
        <v>0.63575693712680026</v>
      </c>
      <c r="V8" s="253">
        <f t="shared" ref="V8:V28" si="7">H8*1000-P8*O8</f>
        <v>0</v>
      </c>
      <c r="W8" s="253">
        <f t="shared" ref="W8:W28" si="8">I8*1000-R8*Q8</f>
        <v>0</v>
      </c>
      <c r="X8" s="253">
        <f t="shared" ref="X8:X28" si="9">J8*1000-T8*S8</f>
        <v>0</v>
      </c>
    </row>
    <row r="9" spans="1:24" x14ac:dyDescent="0.25">
      <c r="A9" s="247"/>
      <c r="B9" s="254">
        <v>2</v>
      </c>
      <c r="C9" s="255">
        <f>+C8+1</f>
        <v>2020</v>
      </c>
      <c r="D9" s="334"/>
      <c r="E9" s="251">
        <v>72.400000000000006</v>
      </c>
      <c r="F9" s="252">
        <v>0.10236603221083454</v>
      </c>
      <c r="H9" s="293">
        <f t="shared" si="0"/>
        <v>72.400000000000006</v>
      </c>
      <c r="I9" s="292">
        <f t="shared" si="0"/>
        <v>11.584000000000001</v>
      </c>
      <c r="J9" s="301">
        <f t="shared" si="0"/>
        <v>1.4480000000000002</v>
      </c>
      <c r="L9" s="234">
        <v>2020</v>
      </c>
      <c r="M9" s="235">
        <v>8784</v>
      </c>
      <c r="N9" s="245"/>
      <c r="O9" s="238">
        <f t="shared" si="1"/>
        <v>8784</v>
      </c>
      <c r="P9" s="239">
        <f t="shared" si="4"/>
        <v>8.2422586520947174</v>
      </c>
      <c r="Q9" s="238">
        <f t="shared" si="2"/>
        <v>2635.2</v>
      </c>
      <c r="R9" s="239">
        <f t="shared" si="5"/>
        <v>4.3958712811171834</v>
      </c>
      <c r="S9" s="310">
        <f t="shared" si="3"/>
        <v>2283.84</v>
      </c>
      <c r="T9" s="239">
        <f t="shared" si="6"/>
        <v>0.63401989631497835</v>
      </c>
      <c r="V9" s="253">
        <f t="shared" si="7"/>
        <v>0</v>
      </c>
      <c r="W9" s="253">
        <f t="shared" si="8"/>
        <v>0</v>
      </c>
      <c r="X9" s="253">
        <f t="shared" si="9"/>
        <v>0</v>
      </c>
    </row>
    <row r="10" spans="1:24" x14ac:dyDescent="0.25">
      <c r="A10" s="247"/>
      <c r="B10" s="254">
        <v>3</v>
      </c>
      <c r="C10" s="255">
        <f t="shared" ref="C10:C27" si="10">+C9+1</f>
        <v>2021</v>
      </c>
      <c r="D10" s="334"/>
      <c r="E10" s="251">
        <v>72.400000000000006</v>
      </c>
      <c r="F10" s="252">
        <v>0.10236603221083454</v>
      </c>
      <c r="H10" s="293">
        <f t="shared" si="0"/>
        <v>72.400000000000006</v>
      </c>
      <c r="I10" s="292">
        <f t="shared" si="0"/>
        <v>11.584000000000001</v>
      </c>
      <c r="J10" s="301">
        <f t="shared" si="0"/>
        <v>1.4480000000000002</v>
      </c>
      <c r="L10" s="234">
        <v>2021</v>
      </c>
      <c r="M10" s="235">
        <v>8760</v>
      </c>
      <c r="N10" s="245"/>
      <c r="O10" s="238">
        <f t="shared" si="1"/>
        <v>8760</v>
      </c>
      <c r="P10" s="239">
        <f t="shared" si="4"/>
        <v>8.2648401826484026</v>
      </c>
      <c r="Q10" s="238">
        <f t="shared" si="2"/>
        <v>2628</v>
      </c>
      <c r="R10" s="239">
        <f t="shared" si="5"/>
        <v>4.4079147640791483</v>
      </c>
      <c r="S10" s="310">
        <f t="shared" si="3"/>
        <v>2277.6</v>
      </c>
      <c r="T10" s="239">
        <f t="shared" si="6"/>
        <v>0.63575693712680026</v>
      </c>
      <c r="V10" s="253">
        <f t="shared" si="7"/>
        <v>0</v>
      </c>
      <c r="W10" s="253">
        <f t="shared" si="8"/>
        <v>0</v>
      </c>
      <c r="X10" s="253">
        <f t="shared" si="9"/>
        <v>0</v>
      </c>
    </row>
    <row r="11" spans="1:24" x14ac:dyDescent="0.25">
      <c r="A11" s="247"/>
      <c r="B11" s="254">
        <v>4</v>
      </c>
      <c r="C11" s="255">
        <f t="shared" si="10"/>
        <v>2022</v>
      </c>
      <c r="D11" s="334" t="s">
        <v>49</v>
      </c>
      <c r="E11" s="251">
        <v>72.400000000000006</v>
      </c>
      <c r="F11" s="252">
        <v>0.10236603221083454</v>
      </c>
      <c r="H11" s="293">
        <f t="shared" si="0"/>
        <v>72.400000000000006</v>
      </c>
      <c r="I11" s="292">
        <f t="shared" si="0"/>
        <v>11.584000000000001</v>
      </c>
      <c r="J11" s="301">
        <f t="shared" si="0"/>
        <v>1.4480000000000002</v>
      </c>
      <c r="L11" s="234">
        <v>2022</v>
      </c>
      <c r="M11" s="235">
        <v>8760</v>
      </c>
      <c r="N11" s="245"/>
      <c r="O11" s="238">
        <f t="shared" si="1"/>
        <v>8760</v>
      </c>
      <c r="P11" s="239">
        <f t="shared" si="4"/>
        <v>8.2648401826484026</v>
      </c>
      <c r="Q11" s="238">
        <f t="shared" si="2"/>
        <v>2628</v>
      </c>
      <c r="R11" s="239">
        <f t="shared" si="5"/>
        <v>4.4079147640791483</v>
      </c>
      <c r="S11" s="310">
        <f t="shared" si="3"/>
        <v>2277.6</v>
      </c>
      <c r="T11" s="239">
        <f t="shared" si="6"/>
        <v>0.63575693712680026</v>
      </c>
      <c r="V11" s="253">
        <f t="shared" si="7"/>
        <v>0</v>
      </c>
      <c r="W11" s="253">
        <f t="shared" si="8"/>
        <v>0</v>
      </c>
      <c r="X11" s="253">
        <f t="shared" si="9"/>
        <v>0</v>
      </c>
    </row>
    <row r="12" spans="1:24" x14ac:dyDescent="0.25">
      <c r="A12" s="247"/>
      <c r="B12" s="254">
        <v>5</v>
      </c>
      <c r="C12" s="255">
        <f t="shared" si="10"/>
        <v>2023</v>
      </c>
      <c r="D12" s="273" t="s">
        <v>48</v>
      </c>
      <c r="E12" s="267">
        <v>93</v>
      </c>
      <c r="F12" s="252">
        <v>0.10236603221083454</v>
      </c>
      <c r="H12" s="293">
        <f t="shared" si="0"/>
        <v>93</v>
      </c>
      <c r="I12" s="292">
        <f t="shared" si="0"/>
        <v>14.88</v>
      </c>
      <c r="J12" s="301">
        <f t="shared" si="0"/>
        <v>1.86</v>
      </c>
      <c r="L12" s="234">
        <v>2023</v>
      </c>
      <c r="M12" s="235">
        <v>8760</v>
      </c>
      <c r="N12" s="245"/>
      <c r="O12" s="238">
        <f t="shared" si="1"/>
        <v>8760</v>
      </c>
      <c r="P12" s="239">
        <f t="shared" si="4"/>
        <v>10.616438356164384</v>
      </c>
      <c r="Q12" s="238">
        <f t="shared" si="2"/>
        <v>2628</v>
      </c>
      <c r="R12" s="239">
        <f t="shared" si="5"/>
        <v>5.6621004566210047</v>
      </c>
      <c r="S12" s="310">
        <f t="shared" si="3"/>
        <v>2277.6</v>
      </c>
      <c r="T12" s="239">
        <f t="shared" si="6"/>
        <v>0.81664910432033722</v>
      </c>
      <c r="V12" s="253">
        <f>H12*1000-P12*O12</f>
        <v>0</v>
      </c>
      <c r="W12" s="253">
        <f t="shared" si="8"/>
        <v>0</v>
      </c>
      <c r="X12" s="253">
        <f t="shared" si="9"/>
        <v>0</v>
      </c>
    </row>
    <row r="13" spans="1:24" x14ac:dyDescent="0.25">
      <c r="A13" s="247"/>
      <c r="B13" s="254">
        <v>6</v>
      </c>
      <c r="C13" s="255">
        <f t="shared" si="10"/>
        <v>2024</v>
      </c>
      <c r="D13" s="273" t="s">
        <v>48</v>
      </c>
      <c r="E13" s="267">
        <v>93</v>
      </c>
      <c r="F13" s="252">
        <v>0.10236603221083454</v>
      </c>
      <c r="H13" s="293">
        <f t="shared" si="0"/>
        <v>93</v>
      </c>
      <c r="I13" s="292">
        <f t="shared" si="0"/>
        <v>14.88</v>
      </c>
      <c r="J13" s="301">
        <f t="shared" si="0"/>
        <v>1.86</v>
      </c>
      <c r="L13" s="234">
        <v>2024</v>
      </c>
      <c r="M13" s="235">
        <v>8784</v>
      </c>
      <c r="N13" s="245"/>
      <c r="O13" s="238">
        <f t="shared" si="1"/>
        <v>8784</v>
      </c>
      <c r="P13" s="239">
        <f t="shared" si="4"/>
        <v>10.587431693989071</v>
      </c>
      <c r="Q13" s="238">
        <f t="shared" si="2"/>
        <v>2635.2</v>
      </c>
      <c r="R13" s="239">
        <f t="shared" si="5"/>
        <v>5.6466302367941719</v>
      </c>
      <c r="S13" s="310">
        <f t="shared" si="3"/>
        <v>2283.84</v>
      </c>
      <c r="T13" s="239">
        <f t="shared" si="6"/>
        <v>0.81441782261454387</v>
      </c>
      <c r="V13" s="253">
        <f t="shared" si="7"/>
        <v>0</v>
      </c>
      <c r="W13" s="253">
        <f t="shared" si="8"/>
        <v>0</v>
      </c>
      <c r="X13" s="253">
        <f t="shared" si="9"/>
        <v>0</v>
      </c>
    </row>
    <row r="14" spans="1:24" x14ac:dyDescent="0.25">
      <c r="A14" s="247"/>
      <c r="B14" s="254">
        <v>7</v>
      </c>
      <c r="C14" s="255">
        <f t="shared" si="10"/>
        <v>2025</v>
      </c>
      <c r="D14" s="273" t="s">
        <v>49</v>
      </c>
      <c r="E14" s="268">
        <v>80</v>
      </c>
      <c r="F14" s="252">
        <v>0.10236603221083454</v>
      </c>
      <c r="H14" s="293">
        <f t="shared" si="0"/>
        <v>80</v>
      </c>
      <c r="I14" s="292">
        <f t="shared" si="0"/>
        <v>12.8</v>
      </c>
      <c r="J14" s="301">
        <f t="shared" si="0"/>
        <v>1.6</v>
      </c>
      <c r="L14" s="234">
        <v>2025</v>
      </c>
      <c r="M14" s="235">
        <v>8760</v>
      </c>
      <c r="N14" s="245"/>
      <c r="O14" s="238">
        <f t="shared" si="1"/>
        <v>8760</v>
      </c>
      <c r="P14" s="239">
        <f t="shared" si="4"/>
        <v>9.1324200913242013</v>
      </c>
      <c r="Q14" s="238">
        <f t="shared" si="2"/>
        <v>2628</v>
      </c>
      <c r="R14" s="239">
        <f t="shared" si="5"/>
        <v>4.8706240487062402</v>
      </c>
      <c r="S14" s="310">
        <f t="shared" si="3"/>
        <v>2277.6</v>
      </c>
      <c r="T14" s="239">
        <f t="shared" si="6"/>
        <v>0.70249385317878477</v>
      </c>
      <c r="V14" s="253">
        <f t="shared" si="7"/>
        <v>0</v>
      </c>
      <c r="W14" s="253">
        <f t="shared" si="8"/>
        <v>0</v>
      </c>
      <c r="X14" s="253">
        <f t="shared" si="9"/>
        <v>0</v>
      </c>
    </row>
    <row r="15" spans="1:24" x14ac:dyDescent="0.25">
      <c r="A15" s="247"/>
      <c r="B15" s="254">
        <v>8</v>
      </c>
      <c r="C15" s="255">
        <f t="shared" si="10"/>
        <v>2026</v>
      </c>
      <c r="D15" s="273" t="s">
        <v>49</v>
      </c>
      <c r="E15" s="267">
        <v>80</v>
      </c>
      <c r="F15" s="252">
        <v>0.10236603221083454</v>
      </c>
      <c r="H15" s="293">
        <f t="shared" si="0"/>
        <v>80</v>
      </c>
      <c r="I15" s="292">
        <f t="shared" si="0"/>
        <v>12.8</v>
      </c>
      <c r="J15" s="301">
        <f t="shared" si="0"/>
        <v>1.6</v>
      </c>
      <c r="L15" s="234">
        <v>2026</v>
      </c>
      <c r="M15" s="235">
        <v>8760</v>
      </c>
      <c r="N15" s="245"/>
      <c r="O15" s="238">
        <f t="shared" si="1"/>
        <v>8760</v>
      </c>
      <c r="P15" s="239">
        <f t="shared" si="4"/>
        <v>9.1324200913242013</v>
      </c>
      <c r="Q15" s="238">
        <f t="shared" si="2"/>
        <v>2628</v>
      </c>
      <c r="R15" s="239">
        <f t="shared" si="5"/>
        <v>4.8706240487062402</v>
      </c>
      <c r="S15" s="310">
        <f t="shared" si="3"/>
        <v>2277.6</v>
      </c>
      <c r="T15" s="239">
        <f t="shared" si="6"/>
        <v>0.70249385317878477</v>
      </c>
      <c r="V15" s="253">
        <f t="shared" si="7"/>
        <v>0</v>
      </c>
      <c r="W15" s="253">
        <f t="shared" si="8"/>
        <v>0</v>
      </c>
      <c r="X15" s="253">
        <f t="shared" si="9"/>
        <v>0</v>
      </c>
    </row>
    <row r="16" spans="1:24" x14ac:dyDescent="0.25">
      <c r="A16" s="247"/>
      <c r="B16" s="254">
        <v>9</v>
      </c>
      <c r="C16" s="255">
        <f t="shared" si="10"/>
        <v>2027</v>
      </c>
      <c r="D16" s="273" t="s">
        <v>49</v>
      </c>
      <c r="E16" s="267">
        <v>80.477938899565444</v>
      </c>
      <c r="F16" s="252">
        <v>0.10236603221083454</v>
      </c>
      <c r="H16" s="293">
        <f t="shared" si="0"/>
        <v>80.477938899565444</v>
      </c>
      <c r="I16" s="292">
        <f t="shared" si="0"/>
        <v>12.876470223930472</v>
      </c>
      <c r="J16" s="301">
        <f t="shared" si="0"/>
        <v>1.609558777991309</v>
      </c>
      <c r="L16" s="234">
        <v>2027</v>
      </c>
      <c r="M16" s="235">
        <v>8760</v>
      </c>
      <c r="N16" s="245"/>
      <c r="O16" s="238">
        <f t="shared" si="1"/>
        <v>8760</v>
      </c>
      <c r="P16" s="239">
        <f t="shared" si="4"/>
        <v>9.1869793264344111</v>
      </c>
      <c r="Q16" s="238">
        <f t="shared" si="2"/>
        <v>2628</v>
      </c>
      <c r="R16" s="239">
        <f t="shared" si="5"/>
        <v>4.899722307431686</v>
      </c>
      <c r="S16" s="310">
        <f t="shared" si="3"/>
        <v>2277.6</v>
      </c>
      <c r="T16" s="239">
        <f t="shared" si="6"/>
        <v>0.70669071741803169</v>
      </c>
      <c r="V16" s="253">
        <f t="shared" si="7"/>
        <v>0</v>
      </c>
      <c r="W16" s="253">
        <f t="shared" si="8"/>
        <v>0</v>
      </c>
      <c r="X16" s="253">
        <f t="shared" si="9"/>
        <v>0</v>
      </c>
    </row>
    <row r="17" spans="1:24" x14ac:dyDescent="0.25">
      <c r="A17" s="247"/>
      <c r="B17" s="254">
        <v>10</v>
      </c>
      <c r="C17" s="255">
        <f t="shared" si="10"/>
        <v>2028</v>
      </c>
      <c r="D17" s="273"/>
      <c r="E17" s="267">
        <v>80.477938899565444</v>
      </c>
      <c r="F17" s="252">
        <v>0.10236603221083454</v>
      </c>
      <c r="H17" s="293">
        <f t="shared" si="0"/>
        <v>80.477938899565444</v>
      </c>
      <c r="I17" s="292">
        <f t="shared" si="0"/>
        <v>12.876470223930472</v>
      </c>
      <c r="J17" s="301">
        <f t="shared" si="0"/>
        <v>1.609558777991309</v>
      </c>
      <c r="L17" s="234">
        <v>2028</v>
      </c>
      <c r="M17" s="235">
        <v>8784</v>
      </c>
      <c r="N17" s="245"/>
      <c r="O17" s="238">
        <f t="shared" si="1"/>
        <v>8784</v>
      </c>
      <c r="P17" s="239">
        <f t="shared" si="4"/>
        <v>9.1618782900233882</v>
      </c>
      <c r="Q17" s="238">
        <f t="shared" si="2"/>
        <v>2635.2</v>
      </c>
      <c r="R17" s="239">
        <f t="shared" si="5"/>
        <v>4.8863350880124745</v>
      </c>
      <c r="S17" s="310">
        <f t="shared" si="3"/>
        <v>2283.84</v>
      </c>
      <c r="T17" s="239">
        <f t="shared" si="6"/>
        <v>0.7047598684633376</v>
      </c>
      <c r="V17" s="253">
        <f t="shared" si="7"/>
        <v>0</v>
      </c>
      <c r="W17" s="253">
        <f t="shared" si="8"/>
        <v>0</v>
      </c>
      <c r="X17" s="253">
        <f t="shared" si="9"/>
        <v>0</v>
      </c>
    </row>
    <row r="18" spans="1:24" x14ac:dyDescent="0.25">
      <c r="A18" s="247"/>
      <c r="B18" s="254">
        <v>11</v>
      </c>
      <c r="C18" s="255">
        <f t="shared" si="10"/>
        <v>2029</v>
      </c>
      <c r="D18" s="273"/>
      <c r="E18" s="267">
        <v>80.477938899565444</v>
      </c>
      <c r="F18" s="252">
        <v>0.10236603221083454</v>
      </c>
      <c r="H18" s="293">
        <f t="shared" si="0"/>
        <v>80.477938899565444</v>
      </c>
      <c r="I18" s="292">
        <f t="shared" si="0"/>
        <v>12.876470223930472</v>
      </c>
      <c r="J18" s="301">
        <f t="shared" si="0"/>
        <v>1.609558777991309</v>
      </c>
      <c r="L18" s="234">
        <v>2029</v>
      </c>
      <c r="M18" s="235">
        <v>8760</v>
      </c>
      <c r="N18" s="245"/>
      <c r="O18" s="238">
        <f t="shared" si="1"/>
        <v>8760</v>
      </c>
      <c r="P18" s="239">
        <f t="shared" si="4"/>
        <v>9.1869793264344111</v>
      </c>
      <c r="Q18" s="238">
        <f t="shared" si="2"/>
        <v>2628</v>
      </c>
      <c r="R18" s="239">
        <f t="shared" si="5"/>
        <v>4.899722307431686</v>
      </c>
      <c r="S18" s="310">
        <f t="shared" si="3"/>
        <v>2277.6</v>
      </c>
      <c r="T18" s="239">
        <f t="shared" si="6"/>
        <v>0.70669071741803169</v>
      </c>
      <c r="V18" s="253">
        <f t="shared" si="7"/>
        <v>0</v>
      </c>
      <c r="W18" s="253">
        <f t="shared" si="8"/>
        <v>0</v>
      </c>
      <c r="X18" s="253">
        <f t="shared" si="9"/>
        <v>0</v>
      </c>
    </row>
    <row r="19" spans="1:24" x14ac:dyDescent="0.25">
      <c r="A19" s="247"/>
      <c r="B19" s="254">
        <v>12</v>
      </c>
      <c r="C19" s="255">
        <f t="shared" si="10"/>
        <v>2030</v>
      </c>
      <c r="D19" s="273"/>
      <c r="E19" s="267">
        <v>80.477938899565444</v>
      </c>
      <c r="F19" s="252">
        <v>0.10236603221083454</v>
      </c>
      <c r="H19" s="293">
        <f t="shared" si="0"/>
        <v>80.477938899565444</v>
      </c>
      <c r="I19" s="292">
        <f t="shared" si="0"/>
        <v>12.876470223930472</v>
      </c>
      <c r="J19" s="301">
        <f t="shared" si="0"/>
        <v>1.609558777991309</v>
      </c>
      <c r="L19" s="234">
        <v>2030</v>
      </c>
      <c r="M19" s="235">
        <v>8760</v>
      </c>
      <c r="N19" s="245"/>
      <c r="O19" s="238">
        <f t="shared" si="1"/>
        <v>8760</v>
      </c>
      <c r="P19" s="239">
        <f t="shared" si="4"/>
        <v>9.1869793264344111</v>
      </c>
      <c r="Q19" s="238">
        <f t="shared" si="2"/>
        <v>2628</v>
      </c>
      <c r="R19" s="239">
        <f t="shared" si="5"/>
        <v>4.899722307431686</v>
      </c>
      <c r="S19" s="310">
        <f t="shared" si="3"/>
        <v>2277.6</v>
      </c>
      <c r="T19" s="239">
        <f t="shared" si="6"/>
        <v>0.70669071741803169</v>
      </c>
      <c r="V19" s="253">
        <f t="shared" si="7"/>
        <v>0</v>
      </c>
      <c r="W19" s="253">
        <f t="shared" si="8"/>
        <v>0</v>
      </c>
      <c r="X19" s="253">
        <f t="shared" si="9"/>
        <v>0</v>
      </c>
    </row>
    <row r="20" spans="1:24" x14ac:dyDescent="0.25">
      <c r="A20" s="247"/>
      <c r="B20" s="254">
        <v>13</v>
      </c>
      <c r="C20" s="255">
        <f t="shared" si="10"/>
        <v>2031</v>
      </c>
      <c r="D20" s="273" t="s">
        <v>49</v>
      </c>
      <c r="E20" s="267">
        <v>84.157096346974001</v>
      </c>
      <c r="F20" s="252">
        <v>0.10236603221083454</v>
      </c>
      <c r="H20" s="293">
        <f t="shared" si="0"/>
        <v>84.157096346974001</v>
      </c>
      <c r="I20" s="292">
        <f t="shared" si="0"/>
        <v>13.46513541551584</v>
      </c>
      <c r="J20" s="301">
        <f t="shared" si="0"/>
        <v>1.6831419269394801</v>
      </c>
      <c r="L20" s="234">
        <v>2031</v>
      </c>
      <c r="M20" s="235">
        <v>8760</v>
      </c>
      <c r="N20" s="245"/>
      <c r="O20" s="238">
        <f t="shared" si="1"/>
        <v>8760</v>
      </c>
      <c r="P20" s="239">
        <f t="shared" si="4"/>
        <v>9.6069744688326484</v>
      </c>
      <c r="Q20" s="238">
        <f t="shared" si="2"/>
        <v>2628</v>
      </c>
      <c r="R20" s="239">
        <f t="shared" si="5"/>
        <v>5.1237197167107462</v>
      </c>
      <c r="S20" s="310">
        <f t="shared" si="3"/>
        <v>2277.6</v>
      </c>
      <c r="T20" s="239">
        <f t="shared" si="6"/>
        <v>0.7389980360640499</v>
      </c>
      <c r="V20" s="253">
        <f t="shared" si="7"/>
        <v>0</v>
      </c>
      <c r="W20" s="253">
        <f t="shared" si="8"/>
        <v>0</v>
      </c>
      <c r="X20" s="253">
        <f t="shared" si="9"/>
        <v>0</v>
      </c>
    </row>
    <row r="21" spans="1:24" x14ac:dyDescent="0.25">
      <c r="A21" s="247"/>
      <c r="B21" s="254">
        <v>14</v>
      </c>
      <c r="C21" s="255">
        <f t="shared" si="10"/>
        <v>2032</v>
      </c>
      <c r="D21" s="273"/>
      <c r="E21" s="267">
        <v>84.157096346974001</v>
      </c>
      <c r="F21" s="252">
        <v>0.10236603221083454</v>
      </c>
      <c r="H21" s="293">
        <f t="shared" si="0"/>
        <v>84.157096346974001</v>
      </c>
      <c r="I21" s="292">
        <f t="shared" si="0"/>
        <v>13.46513541551584</v>
      </c>
      <c r="J21" s="301">
        <f t="shared" si="0"/>
        <v>1.6831419269394801</v>
      </c>
      <c r="L21" s="234">
        <v>2032</v>
      </c>
      <c r="M21" s="235">
        <v>8784</v>
      </c>
      <c r="N21" s="245"/>
      <c r="O21" s="238">
        <f t="shared" si="1"/>
        <v>8784</v>
      </c>
      <c r="P21" s="239">
        <f t="shared" si="4"/>
        <v>9.5807259047101549</v>
      </c>
      <c r="Q21" s="238">
        <f t="shared" si="2"/>
        <v>2635.2</v>
      </c>
      <c r="R21" s="239">
        <f t="shared" si="5"/>
        <v>5.109720482512083</v>
      </c>
      <c r="S21" s="310">
        <f t="shared" si="3"/>
        <v>2283.84</v>
      </c>
      <c r="T21" s="239">
        <f t="shared" si="6"/>
        <v>0.73697891574693497</v>
      </c>
      <c r="V21" s="253">
        <f t="shared" si="7"/>
        <v>0</v>
      </c>
      <c r="W21" s="253">
        <f t="shared" si="8"/>
        <v>0</v>
      </c>
      <c r="X21" s="253">
        <f t="shared" si="9"/>
        <v>0</v>
      </c>
    </row>
    <row r="22" spans="1:24" x14ac:dyDescent="0.25">
      <c r="A22" s="247"/>
      <c r="B22" s="254">
        <v>15</v>
      </c>
      <c r="C22" s="255">
        <f t="shared" si="10"/>
        <v>2033</v>
      </c>
      <c r="D22" s="273"/>
      <c r="E22" s="267">
        <v>84.157096346974001</v>
      </c>
      <c r="F22" s="252">
        <v>0.10236603221083454</v>
      </c>
      <c r="H22" s="293">
        <f t="shared" si="0"/>
        <v>84.157096346974001</v>
      </c>
      <c r="I22" s="292">
        <f t="shared" si="0"/>
        <v>13.46513541551584</v>
      </c>
      <c r="J22" s="301">
        <f t="shared" si="0"/>
        <v>1.6831419269394801</v>
      </c>
      <c r="L22" s="234">
        <v>2033</v>
      </c>
      <c r="M22" s="235">
        <v>8760</v>
      </c>
      <c r="N22" s="245"/>
      <c r="O22" s="238">
        <f t="shared" si="1"/>
        <v>8760</v>
      </c>
      <c r="P22" s="239">
        <f t="shared" si="4"/>
        <v>9.6069744688326484</v>
      </c>
      <c r="Q22" s="238">
        <f t="shared" si="2"/>
        <v>2628</v>
      </c>
      <c r="R22" s="239">
        <f t="shared" si="5"/>
        <v>5.1237197167107462</v>
      </c>
      <c r="S22" s="310">
        <f t="shared" si="3"/>
        <v>2277.6</v>
      </c>
      <c r="T22" s="239">
        <f t="shared" si="6"/>
        <v>0.7389980360640499</v>
      </c>
      <c r="V22" s="253">
        <f t="shared" si="7"/>
        <v>0</v>
      </c>
      <c r="W22" s="253">
        <f t="shared" si="8"/>
        <v>0</v>
      </c>
      <c r="X22" s="253">
        <f t="shared" si="9"/>
        <v>0</v>
      </c>
    </row>
    <row r="23" spans="1:24" x14ac:dyDescent="0.25">
      <c r="A23" s="247"/>
      <c r="B23" s="254">
        <v>16</v>
      </c>
      <c r="C23" s="255">
        <f t="shared" si="10"/>
        <v>2034</v>
      </c>
      <c r="D23" s="273" t="s">
        <v>49</v>
      </c>
      <c r="E23" s="267">
        <v>88.306829270347322</v>
      </c>
      <c r="F23" s="252">
        <v>0.10236603221083454</v>
      </c>
      <c r="H23" s="293">
        <f t="shared" si="0"/>
        <v>88.306829270347322</v>
      </c>
      <c r="I23" s="292">
        <f t="shared" si="0"/>
        <v>14.129092683255571</v>
      </c>
      <c r="J23" s="301">
        <f t="shared" si="0"/>
        <v>1.7661365854069464</v>
      </c>
      <c r="L23" s="234">
        <v>2034</v>
      </c>
      <c r="M23" s="235">
        <v>8760</v>
      </c>
      <c r="N23" s="245"/>
      <c r="O23" s="238">
        <f t="shared" si="1"/>
        <v>8760</v>
      </c>
      <c r="P23" s="239">
        <f t="shared" si="4"/>
        <v>10.080688272870699</v>
      </c>
      <c r="Q23" s="238">
        <f t="shared" si="2"/>
        <v>2628</v>
      </c>
      <c r="R23" s="239">
        <f t="shared" si="5"/>
        <v>5.376367078864372</v>
      </c>
      <c r="S23" s="310">
        <f t="shared" si="3"/>
        <v>2277.6</v>
      </c>
      <c r="T23" s="239">
        <f t="shared" si="6"/>
        <v>0.77543755945159221</v>
      </c>
      <c r="V23" s="253">
        <f t="shared" si="7"/>
        <v>0</v>
      </c>
      <c r="W23" s="253">
        <f t="shared" si="8"/>
        <v>0</v>
      </c>
      <c r="X23" s="253">
        <f t="shared" si="9"/>
        <v>0</v>
      </c>
    </row>
    <row r="24" spans="1:24" x14ac:dyDescent="0.25">
      <c r="A24" s="247"/>
      <c r="B24" s="254">
        <v>17</v>
      </c>
      <c r="C24" s="255">
        <f t="shared" si="10"/>
        <v>2035</v>
      </c>
      <c r="D24" s="273"/>
      <c r="E24" s="267">
        <v>88.306829270347322</v>
      </c>
      <c r="F24" s="252">
        <v>0.10236603221083454</v>
      </c>
      <c r="H24" s="293">
        <f t="shared" si="0"/>
        <v>88.306829270347322</v>
      </c>
      <c r="I24" s="292">
        <f t="shared" si="0"/>
        <v>14.129092683255571</v>
      </c>
      <c r="J24" s="301">
        <f t="shared" si="0"/>
        <v>1.7661365854069464</v>
      </c>
      <c r="L24" s="234">
        <v>2035</v>
      </c>
      <c r="M24" s="235">
        <v>8760</v>
      </c>
      <c r="N24" s="245"/>
      <c r="O24" s="238">
        <f t="shared" si="1"/>
        <v>8760</v>
      </c>
      <c r="P24" s="239">
        <f t="shared" si="4"/>
        <v>10.080688272870699</v>
      </c>
      <c r="Q24" s="238">
        <f t="shared" si="2"/>
        <v>2628</v>
      </c>
      <c r="R24" s="239">
        <f t="shared" si="5"/>
        <v>5.376367078864372</v>
      </c>
      <c r="S24" s="310">
        <f t="shared" si="3"/>
        <v>2277.6</v>
      </c>
      <c r="T24" s="239">
        <f t="shared" si="6"/>
        <v>0.77543755945159221</v>
      </c>
      <c r="V24" s="253">
        <f t="shared" si="7"/>
        <v>0</v>
      </c>
      <c r="W24" s="253">
        <f t="shared" si="8"/>
        <v>0</v>
      </c>
      <c r="X24" s="253">
        <f t="shared" si="9"/>
        <v>0</v>
      </c>
    </row>
    <row r="25" spans="1:24" x14ac:dyDescent="0.25">
      <c r="A25" s="247"/>
      <c r="B25" s="254">
        <v>18</v>
      </c>
      <c r="C25" s="255">
        <f t="shared" si="10"/>
        <v>2036</v>
      </c>
      <c r="D25" s="273" t="s">
        <v>49</v>
      </c>
      <c r="E25" s="269">
        <v>91.089450907608253</v>
      </c>
      <c r="F25" s="252">
        <v>0.10236603221083454</v>
      </c>
      <c r="H25" s="293">
        <f t="shared" si="0"/>
        <v>91.089450907608253</v>
      </c>
      <c r="I25" s="292">
        <f t="shared" si="0"/>
        <v>14.57431214521732</v>
      </c>
      <c r="J25" s="301">
        <f t="shared" si="0"/>
        <v>1.821789018152165</v>
      </c>
      <c r="L25" s="234">
        <v>2036</v>
      </c>
      <c r="M25" s="235">
        <v>8784</v>
      </c>
      <c r="N25" s="245"/>
      <c r="O25" s="238">
        <f t="shared" si="1"/>
        <v>8784</v>
      </c>
      <c r="P25" s="239">
        <f t="shared" si="4"/>
        <v>10.36992838201369</v>
      </c>
      <c r="Q25" s="238">
        <f t="shared" si="2"/>
        <v>2635.2</v>
      </c>
      <c r="R25" s="239">
        <f t="shared" si="5"/>
        <v>5.5306284704073017</v>
      </c>
      <c r="S25" s="310">
        <f t="shared" si="3"/>
        <v>2283.84</v>
      </c>
      <c r="T25" s="239">
        <f t="shared" si="6"/>
        <v>0.79768679861643765</v>
      </c>
      <c r="V25" s="253">
        <f t="shared" si="7"/>
        <v>0</v>
      </c>
      <c r="W25" s="253">
        <f t="shared" si="8"/>
        <v>0</v>
      </c>
      <c r="X25" s="253">
        <f t="shared" si="9"/>
        <v>0</v>
      </c>
    </row>
    <row r="26" spans="1:24" x14ac:dyDescent="0.25">
      <c r="A26" s="247"/>
      <c r="B26" s="254">
        <v>19</v>
      </c>
      <c r="C26" s="255">
        <f t="shared" si="10"/>
        <v>2037</v>
      </c>
      <c r="D26" s="273"/>
      <c r="E26" s="270">
        <v>91.089450907608253</v>
      </c>
      <c r="F26" s="256">
        <v>0.10236603221083454</v>
      </c>
      <c r="H26" s="294">
        <f t="shared" si="0"/>
        <v>91.089450907608253</v>
      </c>
      <c r="I26" s="305">
        <f t="shared" si="0"/>
        <v>14.57431214521732</v>
      </c>
      <c r="J26" s="302">
        <f t="shared" si="0"/>
        <v>1.821789018152165</v>
      </c>
      <c r="L26" s="234">
        <v>2037</v>
      </c>
      <c r="M26" s="235">
        <v>8760</v>
      </c>
      <c r="N26" s="245"/>
      <c r="O26" s="238">
        <f t="shared" si="1"/>
        <v>8760</v>
      </c>
      <c r="P26" s="239">
        <f t="shared" si="4"/>
        <v>10.398339144704138</v>
      </c>
      <c r="Q26" s="238">
        <f t="shared" si="2"/>
        <v>2628</v>
      </c>
      <c r="R26" s="239">
        <f t="shared" si="5"/>
        <v>5.5457808771755399</v>
      </c>
      <c r="S26" s="310">
        <f t="shared" si="3"/>
        <v>2277.6</v>
      </c>
      <c r="T26" s="239">
        <f t="shared" si="6"/>
        <v>0.79987224190031836</v>
      </c>
      <c r="V26" s="253">
        <f t="shared" si="7"/>
        <v>0</v>
      </c>
      <c r="W26" s="253">
        <f t="shared" si="8"/>
        <v>0</v>
      </c>
      <c r="X26" s="253">
        <f t="shared" si="9"/>
        <v>0</v>
      </c>
    </row>
    <row r="27" spans="1:24" x14ac:dyDescent="0.25">
      <c r="A27" s="247"/>
      <c r="B27" s="257">
        <v>20</v>
      </c>
      <c r="C27" s="258">
        <f t="shared" si="10"/>
        <v>2038</v>
      </c>
      <c r="D27" s="274"/>
      <c r="E27" s="271">
        <v>91.089450907608253</v>
      </c>
      <c r="F27" s="259">
        <v>0.10236603221083454</v>
      </c>
      <c r="H27" s="295">
        <f t="shared" si="0"/>
        <v>91.089450907608253</v>
      </c>
      <c r="I27" s="295">
        <f t="shared" si="0"/>
        <v>14.57431214521732</v>
      </c>
      <c r="J27" s="303">
        <f t="shared" si="0"/>
        <v>1.821789018152165</v>
      </c>
      <c r="L27" s="234">
        <v>2038</v>
      </c>
      <c r="M27" s="235">
        <v>8760</v>
      </c>
      <c r="N27" s="245"/>
      <c r="O27" s="238">
        <f t="shared" si="1"/>
        <v>8760</v>
      </c>
      <c r="P27" s="239">
        <f t="shared" si="4"/>
        <v>10.398339144704138</v>
      </c>
      <c r="Q27" s="238">
        <f t="shared" si="2"/>
        <v>2628</v>
      </c>
      <c r="R27" s="239">
        <f t="shared" si="5"/>
        <v>5.5457808771755399</v>
      </c>
      <c r="S27" s="310">
        <f t="shared" si="3"/>
        <v>2277.6</v>
      </c>
      <c r="T27" s="239">
        <f t="shared" si="6"/>
        <v>0.79987224190031836</v>
      </c>
      <c r="V27" s="253">
        <f t="shared" si="7"/>
        <v>0</v>
      </c>
      <c r="W27" s="253">
        <f t="shared" si="8"/>
        <v>0</v>
      </c>
      <c r="X27" s="253">
        <f t="shared" si="9"/>
        <v>0</v>
      </c>
    </row>
    <row r="28" spans="1:24" ht="13.8" thickBot="1" x14ac:dyDescent="0.3">
      <c r="A28" s="247"/>
      <c r="B28" s="260">
        <v>21</v>
      </c>
      <c r="C28" s="275">
        <v>2039</v>
      </c>
      <c r="D28" s="276"/>
      <c r="E28" s="272">
        <f>E27</f>
        <v>91.089450907608253</v>
      </c>
      <c r="F28" s="261">
        <f>F27</f>
        <v>0.10236603221083454</v>
      </c>
      <c r="G28" s="262"/>
      <c r="H28" s="296">
        <f>H27</f>
        <v>91.089450907608253</v>
      </c>
      <c r="I28" s="296">
        <f>I27</f>
        <v>14.57431214521732</v>
      </c>
      <c r="J28" s="304">
        <f>J27</f>
        <v>1.821789018152165</v>
      </c>
      <c r="K28" s="262"/>
      <c r="L28" s="232">
        <v>2039</v>
      </c>
      <c r="M28" s="236">
        <v>8760</v>
      </c>
      <c r="N28" s="246"/>
      <c r="O28" s="240">
        <f t="shared" si="1"/>
        <v>8760</v>
      </c>
      <c r="P28" s="241">
        <f t="shared" si="4"/>
        <v>10.398339144704138</v>
      </c>
      <c r="Q28" s="240">
        <f t="shared" si="2"/>
        <v>2628</v>
      </c>
      <c r="R28" s="241">
        <f t="shared" si="5"/>
        <v>5.5457808771755399</v>
      </c>
      <c r="S28" s="311">
        <f t="shared" si="3"/>
        <v>2277.6</v>
      </c>
      <c r="T28" s="241">
        <f t="shared" si="6"/>
        <v>0.79987224190031836</v>
      </c>
      <c r="V28" s="253">
        <f t="shared" si="7"/>
        <v>0</v>
      </c>
      <c r="W28" s="253">
        <f t="shared" si="8"/>
        <v>0</v>
      </c>
      <c r="X28" s="253">
        <f t="shared" si="9"/>
        <v>0</v>
      </c>
    </row>
    <row r="29" spans="1:24" x14ac:dyDescent="0.25">
      <c r="B29" s="247"/>
      <c r="C29" s="247"/>
      <c r="D29" s="247"/>
      <c r="E29" s="247"/>
      <c r="F29" s="247"/>
      <c r="H29" s="247"/>
      <c r="I29" s="247"/>
      <c r="J29" s="247"/>
    </row>
    <row r="30" spans="1:24" x14ac:dyDescent="0.25">
      <c r="B30" s="364" t="s">
        <v>143</v>
      </c>
      <c r="C30" s="364"/>
      <c r="D30" s="364"/>
      <c r="E30" s="364"/>
      <c r="F30" s="364"/>
      <c r="G30" s="364"/>
      <c r="H30" s="364"/>
      <c r="I30" s="364"/>
      <c r="J30" s="364"/>
      <c r="K30" s="364"/>
      <c r="L30" s="364"/>
      <c r="M30" s="364"/>
      <c r="N30" s="364"/>
      <c r="O30" s="364"/>
      <c r="P30" s="364"/>
      <c r="Q30" s="364"/>
      <c r="R30" s="364"/>
      <c r="S30" s="364"/>
      <c r="T30" s="263"/>
    </row>
    <row r="31" spans="1:24" x14ac:dyDescent="0.25">
      <c r="C31" s="366" t="s">
        <v>142</v>
      </c>
      <c r="D31" s="366"/>
      <c r="E31" s="366"/>
      <c r="F31" s="366"/>
      <c r="G31" s="366"/>
      <c r="H31" s="366"/>
      <c r="I31" s="366"/>
      <c r="J31" s="366"/>
      <c r="K31" s="366"/>
      <c r="L31" s="366"/>
      <c r="M31" s="366"/>
      <c r="N31" s="366"/>
      <c r="O31" s="366"/>
      <c r="P31" s="366"/>
      <c r="Q31" s="366"/>
      <c r="R31" s="366"/>
      <c r="S31" s="366"/>
    </row>
    <row r="32" spans="1:24" x14ac:dyDescent="0.25">
      <c r="C32" s="366" t="s">
        <v>152</v>
      </c>
      <c r="D32" s="366"/>
      <c r="E32" s="366"/>
      <c r="F32" s="366"/>
      <c r="G32" s="366"/>
      <c r="H32" s="366"/>
      <c r="I32" s="366"/>
      <c r="J32" s="366"/>
      <c r="K32" s="366"/>
      <c r="L32" s="366"/>
      <c r="M32" s="366"/>
      <c r="N32" s="366"/>
      <c r="O32" s="366"/>
      <c r="P32" s="366"/>
      <c r="Q32" s="366"/>
      <c r="R32" s="366"/>
      <c r="S32" s="366"/>
    </row>
    <row r="33" spans="2:19" x14ac:dyDescent="0.25">
      <c r="C33" s="315"/>
      <c r="D33" s="363" t="s">
        <v>144</v>
      </c>
      <c r="E33" s="363"/>
      <c r="F33" s="363"/>
      <c r="G33" s="363"/>
      <c r="H33" s="363"/>
      <c r="I33" s="363"/>
      <c r="J33" s="363"/>
      <c r="K33" s="363"/>
      <c r="L33" s="363"/>
      <c r="M33" s="363"/>
      <c r="N33" s="363"/>
      <c r="O33" s="363"/>
      <c r="P33" s="363"/>
      <c r="Q33" s="363"/>
      <c r="R33" s="363"/>
      <c r="S33" s="363"/>
    </row>
    <row r="34" spans="2:19" x14ac:dyDescent="0.25">
      <c r="C34" s="315"/>
      <c r="D34" s="363"/>
      <c r="E34" s="363"/>
      <c r="F34" s="363"/>
      <c r="G34" s="363"/>
      <c r="H34" s="363"/>
      <c r="I34" s="363"/>
      <c r="J34" s="363"/>
      <c r="K34" s="363"/>
      <c r="L34" s="363"/>
      <c r="M34" s="363"/>
      <c r="N34" s="363"/>
      <c r="O34" s="363"/>
      <c r="P34" s="363"/>
      <c r="Q34" s="363"/>
      <c r="R34" s="363"/>
      <c r="S34" s="363"/>
    </row>
    <row r="35" spans="2:19" x14ac:dyDescent="0.25">
      <c r="C35" s="315"/>
      <c r="D35" s="363" t="s">
        <v>145</v>
      </c>
      <c r="E35" s="363"/>
      <c r="F35" s="363"/>
      <c r="G35" s="363"/>
      <c r="H35" s="363"/>
      <c r="I35" s="363"/>
      <c r="J35" s="363"/>
      <c r="K35" s="363"/>
      <c r="L35" s="363"/>
      <c r="M35" s="363"/>
      <c r="N35" s="363"/>
      <c r="O35" s="363"/>
      <c r="P35" s="363"/>
      <c r="Q35" s="363"/>
      <c r="R35" s="363"/>
      <c r="S35" s="363"/>
    </row>
    <row r="36" spans="2:19" x14ac:dyDescent="0.25">
      <c r="C36" s="315"/>
      <c r="D36" s="363"/>
      <c r="E36" s="363"/>
      <c r="F36" s="363"/>
      <c r="G36" s="363"/>
      <c r="H36" s="363"/>
      <c r="I36" s="363"/>
      <c r="J36" s="363"/>
      <c r="K36" s="363"/>
      <c r="L36" s="363"/>
      <c r="M36" s="363"/>
      <c r="N36" s="363"/>
      <c r="O36" s="363"/>
      <c r="P36" s="363"/>
      <c r="Q36" s="363"/>
      <c r="R36" s="363"/>
      <c r="S36" s="363"/>
    </row>
    <row r="37" spans="2:19" x14ac:dyDescent="0.25">
      <c r="C37" s="315"/>
      <c r="D37" s="363" t="s">
        <v>146</v>
      </c>
      <c r="E37" s="363"/>
      <c r="F37" s="363"/>
      <c r="G37" s="363"/>
      <c r="H37" s="363"/>
      <c r="I37" s="363"/>
      <c r="J37" s="363"/>
      <c r="K37" s="363"/>
      <c r="L37" s="363"/>
      <c r="M37" s="363"/>
      <c r="N37" s="363"/>
      <c r="O37" s="363"/>
      <c r="P37" s="363"/>
      <c r="Q37" s="363"/>
      <c r="R37" s="363"/>
      <c r="S37" s="363"/>
    </row>
    <row r="38" spans="2:19" ht="12.75" customHeight="1" x14ac:dyDescent="0.25">
      <c r="B38" s="364" t="s">
        <v>147</v>
      </c>
      <c r="C38" s="364"/>
      <c r="D38" s="364"/>
      <c r="E38" s="364"/>
      <c r="F38" s="364"/>
      <c r="G38" s="364"/>
      <c r="H38" s="364"/>
      <c r="I38" s="364"/>
      <c r="J38" s="364"/>
      <c r="K38" s="364"/>
      <c r="L38" s="364"/>
      <c r="M38" s="364"/>
      <c r="N38" s="364"/>
      <c r="O38" s="364"/>
      <c r="P38" s="364"/>
      <c r="Q38" s="364"/>
      <c r="R38" s="364"/>
      <c r="S38" s="364"/>
    </row>
    <row r="39" spans="2:19" x14ac:dyDescent="0.25">
      <c r="B39" s="316"/>
      <c r="C39" s="314" t="s">
        <v>148</v>
      </c>
      <c r="D39" s="316"/>
      <c r="E39" s="316"/>
      <c r="F39" s="316"/>
      <c r="G39" s="316"/>
      <c r="H39" s="316"/>
      <c r="I39" s="316"/>
      <c r="J39" s="316"/>
      <c r="K39" s="316"/>
      <c r="L39" s="316"/>
      <c r="M39" s="316"/>
      <c r="N39" s="316"/>
      <c r="O39" s="316"/>
      <c r="P39" s="316"/>
      <c r="Q39" s="316"/>
      <c r="R39" s="316"/>
      <c r="S39" s="316"/>
    </row>
    <row r="40" spans="2:19" x14ac:dyDescent="0.25">
      <c r="D40" s="313" t="s">
        <v>150</v>
      </c>
    </row>
    <row r="41" spans="2:19" x14ac:dyDescent="0.25">
      <c r="D41" s="314" t="s">
        <v>149</v>
      </c>
    </row>
    <row r="42" spans="2:19" x14ac:dyDescent="0.25">
      <c r="D42" s="264"/>
    </row>
    <row r="43" spans="2:19" x14ac:dyDescent="0.25">
      <c r="D43" s="264"/>
    </row>
    <row r="44" spans="2:19" x14ac:dyDescent="0.25">
      <c r="D44" s="264"/>
    </row>
    <row r="45" spans="2:19" x14ac:dyDescent="0.25">
      <c r="D45" s="264"/>
    </row>
    <row r="46" spans="2:19" x14ac:dyDescent="0.25">
      <c r="D46" s="264"/>
    </row>
    <row r="47" spans="2:19" x14ac:dyDescent="0.25">
      <c r="D47" s="264"/>
    </row>
    <row r="48" spans="2:19" x14ac:dyDescent="0.25">
      <c r="D48" s="264"/>
    </row>
    <row r="49" spans="4:4" x14ac:dyDescent="0.25">
      <c r="D49" s="264"/>
    </row>
    <row r="50" spans="4:4" x14ac:dyDescent="0.25">
      <c r="D50" s="264"/>
    </row>
  </sheetData>
  <mergeCells count="12">
    <mergeCell ref="D35:S36"/>
    <mergeCell ref="D37:S37"/>
    <mergeCell ref="B30:S30"/>
    <mergeCell ref="B38:S38"/>
    <mergeCell ref="D3:F3"/>
    <mergeCell ref="C31:S31"/>
    <mergeCell ref="C32:S32"/>
    <mergeCell ref="D33:S34"/>
    <mergeCell ref="H3:J3"/>
    <mergeCell ref="O3:T3"/>
    <mergeCell ref="L4:L6"/>
    <mergeCell ref="M4:M6"/>
  </mergeCells>
  <pageMargins left="0.75" right="0.5" top="0.76" bottom="0.79" header="0.5" footer="0.26"/>
  <pageSetup paperSize="5" scale="73" orientation="landscape" r:id="rId1"/>
  <headerFooter alignWithMargins="0">
    <oddFooter>&amp;L&amp;F&amp;C&amp;A&amp;RPSE Advice No. 2018-48 &amp;D
Page &amp;P of &amp;N</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G21"/>
  <sheetViews>
    <sheetView workbookViewId="0">
      <selection activeCell="F23" sqref="F23"/>
    </sheetView>
  </sheetViews>
  <sheetFormatPr defaultColWidth="9.109375" defaultRowHeight="14.4" x14ac:dyDescent="0.3"/>
  <cols>
    <col min="1" max="1" width="2.6640625" style="83" customWidth="1"/>
    <col min="2" max="2" width="41.33203125" style="83" bestFit="1" customWidth="1"/>
    <col min="3" max="3" width="32.88671875" style="83" bestFit="1" customWidth="1"/>
    <col min="4" max="4" width="11.5546875" style="83" bestFit="1" customWidth="1"/>
    <col min="5" max="5" width="7.5546875" style="83" bestFit="1" customWidth="1"/>
    <col min="6" max="6" width="19.88671875" style="83" bestFit="1" customWidth="1"/>
    <col min="7" max="16384" width="9.109375" style="83"/>
  </cols>
  <sheetData>
    <row r="1" spans="2:6" ht="15" thickBot="1" x14ac:dyDescent="0.35"/>
    <row r="2" spans="2:6" x14ac:dyDescent="0.3">
      <c r="B2" s="84"/>
      <c r="C2" s="85"/>
      <c r="D2" s="85"/>
      <c r="E2" s="85"/>
      <c r="F2" s="86" t="s">
        <v>70</v>
      </c>
    </row>
    <row r="3" spans="2:6" x14ac:dyDescent="0.3">
      <c r="B3" s="87"/>
      <c r="C3" s="88"/>
      <c r="D3" s="88"/>
      <c r="E3" s="88"/>
      <c r="F3" s="89"/>
    </row>
    <row r="4" spans="2:6" x14ac:dyDescent="0.3">
      <c r="B4" s="90"/>
      <c r="C4" s="88"/>
      <c r="D4" s="88"/>
      <c r="E4" s="88"/>
      <c r="F4" s="89" t="s">
        <v>71</v>
      </c>
    </row>
    <row r="5" spans="2:6" x14ac:dyDescent="0.3">
      <c r="B5" s="91" t="s">
        <v>72</v>
      </c>
      <c r="C5" s="88"/>
      <c r="D5" s="88"/>
      <c r="E5" s="88"/>
      <c r="F5" s="92"/>
    </row>
    <row r="6" spans="2:6" x14ac:dyDescent="0.3">
      <c r="B6" s="374" t="s">
        <v>73</v>
      </c>
      <c r="C6" s="375"/>
      <c r="D6" s="375"/>
      <c r="E6" s="375"/>
      <c r="F6" s="376"/>
    </row>
    <row r="7" spans="2:6" x14ac:dyDescent="0.3">
      <c r="B7" s="374" t="s">
        <v>74</v>
      </c>
      <c r="C7" s="375"/>
      <c r="D7" s="375"/>
      <c r="E7" s="375"/>
      <c r="F7" s="376"/>
    </row>
    <row r="8" spans="2:6" x14ac:dyDescent="0.3">
      <c r="B8" s="91" t="s">
        <v>75</v>
      </c>
      <c r="C8" s="88"/>
      <c r="D8" s="88"/>
      <c r="E8" s="88"/>
      <c r="F8" s="92"/>
    </row>
    <row r="9" spans="2:6" x14ac:dyDescent="0.3">
      <c r="B9" s="91" t="s">
        <v>76</v>
      </c>
      <c r="C9" s="88"/>
      <c r="D9" s="88"/>
      <c r="E9" s="88"/>
      <c r="F9" s="92"/>
    </row>
    <row r="10" spans="2:6" x14ac:dyDescent="0.3">
      <c r="B10" s="90"/>
      <c r="C10" s="88"/>
      <c r="D10" s="88"/>
      <c r="E10" s="88"/>
      <c r="F10" s="93"/>
    </row>
    <row r="11" spans="2:6" x14ac:dyDescent="0.3">
      <c r="B11" s="91" t="s">
        <v>77</v>
      </c>
      <c r="C11" s="88"/>
      <c r="D11" s="94" t="s">
        <v>78</v>
      </c>
      <c r="E11" s="88"/>
      <c r="F11" s="95" t="s">
        <v>79</v>
      </c>
    </row>
    <row r="12" spans="2:6" ht="15" thickBot="1" x14ac:dyDescent="0.35">
      <c r="B12" s="96" t="s">
        <v>80</v>
      </c>
      <c r="C12" s="97" t="s">
        <v>81</v>
      </c>
      <c r="D12" s="98" t="s">
        <v>82</v>
      </c>
      <c r="E12" s="98" t="s">
        <v>83</v>
      </c>
      <c r="F12" s="99" t="s">
        <v>84</v>
      </c>
    </row>
    <row r="13" spans="2:6" x14ac:dyDescent="0.3">
      <c r="B13" s="90"/>
      <c r="C13" s="88"/>
      <c r="D13" s="88"/>
      <c r="E13" s="88"/>
      <c r="F13" s="93"/>
    </row>
    <row r="14" spans="2:6" x14ac:dyDescent="0.3">
      <c r="B14" s="100">
        <v>1</v>
      </c>
      <c r="C14" s="101" t="s">
        <v>85</v>
      </c>
      <c r="D14" s="102">
        <v>0.51500000000000001</v>
      </c>
      <c r="E14" s="102">
        <v>5.8099999999999999E-2</v>
      </c>
      <c r="F14" s="103">
        <f>ROUND(D14*E14,4)</f>
        <v>2.9899999999999999E-2</v>
      </c>
    </row>
    <row r="15" spans="2:6" ht="15" thickBot="1" x14ac:dyDescent="0.35">
      <c r="B15" s="100">
        <v>2</v>
      </c>
      <c r="C15" s="101" t="s">
        <v>86</v>
      </c>
      <c r="D15" s="102">
        <v>0.48499999999999999</v>
      </c>
      <c r="E15" s="104">
        <v>9.5000000000000001E-2</v>
      </c>
      <c r="F15" s="103">
        <f>ROUND(D15*E15,4)</f>
        <v>4.6100000000000002E-2</v>
      </c>
    </row>
    <row r="16" spans="2:6" x14ac:dyDescent="0.3">
      <c r="B16" s="100">
        <v>3</v>
      </c>
      <c r="C16" s="101" t="s">
        <v>87</v>
      </c>
      <c r="D16" s="105">
        <v>1</v>
      </c>
      <c r="E16" s="106"/>
      <c r="F16" s="116">
        <f>SUM(F14:F15)</f>
        <v>7.5999999999999998E-2</v>
      </c>
    </row>
    <row r="17" spans="2:7" x14ac:dyDescent="0.3">
      <c r="B17" s="100">
        <v>4</v>
      </c>
      <c r="C17" s="88"/>
      <c r="D17" s="88"/>
      <c r="E17" s="88"/>
      <c r="F17" s="93"/>
    </row>
    <row r="18" spans="2:7" x14ac:dyDescent="0.3">
      <c r="B18" s="100">
        <v>5</v>
      </c>
      <c r="C18" s="101" t="s">
        <v>88</v>
      </c>
      <c r="D18" s="107">
        <v>0.51500000000000001</v>
      </c>
      <c r="E18" s="107">
        <f>E14</f>
        <v>5.8099999999999999E-2</v>
      </c>
      <c r="F18" s="108">
        <f>ROUND(D18*E18*0.79,4)</f>
        <v>2.3599999999999999E-2</v>
      </c>
      <c r="G18" s="109"/>
    </row>
    <row r="19" spans="2:7" ht="15" thickBot="1" x14ac:dyDescent="0.35">
      <c r="B19" s="100">
        <v>6</v>
      </c>
      <c r="C19" s="101" t="s">
        <v>86</v>
      </c>
      <c r="D19" s="107">
        <v>0.48499999999999999</v>
      </c>
      <c r="E19" s="110">
        <v>9.5000000000000001E-2</v>
      </c>
      <c r="F19" s="108">
        <f>ROUND(D19*E19,4)</f>
        <v>4.6100000000000002E-2</v>
      </c>
    </row>
    <row r="20" spans="2:7" x14ac:dyDescent="0.3">
      <c r="B20" s="100">
        <v>7</v>
      </c>
      <c r="C20" s="101" t="s">
        <v>89</v>
      </c>
      <c r="D20" s="111">
        <v>1</v>
      </c>
      <c r="E20" s="88"/>
      <c r="F20" s="112">
        <f>SUM(F18:F19)</f>
        <v>6.9699999999999998E-2</v>
      </c>
    </row>
    <row r="21" spans="2:7" ht="15" thickBot="1" x14ac:dyDescent="0.35">
      <c r="B21" s="113"/>
      <c r="C21" s="114"/>
      <c r="D21" s="114"/>
      <c r="E21" s="114"/>
      <c r="F21" s="115"/>
    </row>
  </sheetData>
  <mergeCells count="2">
    <mergeCell ref="B6:F6"/>
    <mergeCell ref="B7:F7"/>
  </mergeCells>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0"/>
  <sheetViews>
    <sheetView topLeftCell="A7" zoomScale="70" zoomScaleNormal="70" workbookViewId="0">
      <selection activeCell="C24" sqref="C24"/>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29" width="12.33203125" style="59" customWidth="1"/>
    <col min="30" max="16384" width="9.109375" style="59"/>
  </cols>
  <sheetData>
    <row r="2" spans="2:29" ht="19.5" customHeight="1" x14ac:dyDescent="0.3">
      <c r="C2" s="231" t="s">
        <v>121</v>
      </c>
      <c r="D2" s="231"/>
      <c r="E2" s="231"/>
      <c r="F2" s="231"/>
      <c r="G2" s="231"/>
      <c r="H2" s="231"/>
      <c r="I2" s="231"/>
      <c r="J2" s="231"/>
      <c r="K2" s="231"/>
      <c r="L2" s="231"/>
    </row>
    <row r="3" spans="2:29" ht="15.6" x14ac:dyDescent="0.3">
      <c r="C3" s="48" t="s">
        <v>122</v>
      </c>
    </row>
    <row r="4" spans="2:29" s="118" customFormat="1" ht="45" x14ac:dyDescent="0.25">
      <c r="B4" s="117"/>
      <c r="C4" s="152" t="s">
        <v>0</v>
      </c>
      <c r="D4" s="152"/>
      <c r="E4" s="152" t="s">
        <v>1</v>
      </c>
      <c r="F4" s="152" t="s">
        <v>2</v>
      </c>
      <c r="G4" s="152" t="s">
        <v>3</v>
      </c>
      <c r="H4" s="152" t="s">
        <v>4</v>
      </c>
      <c r="I4" s="152" t="s">
        <v>5</v>
      </c>
      <c r="J4" s="152" t="s">
        <v>6</v>
      </c>
      <c r="K4" s="152" t="s">
        <v>7</v>
      </c>
      <c r="L4" s="153" t="s">
        <v>14</v>
      </c>
      <c r="M4" s="153"/>
    </row>
    <row r="5" spans="2:29" ht="15.6" thickBot="1" x14ac:dyDescent="0.3">
      <c r="C5" s="155"/>
      <c r="D5" s="156"/>
      <c r="E5" s="157">
        <v>5</v>
      </c>
      <c r="F5" s="158">
        <v>1</v>
      </c>
      <c r="G5" s="159" t="s">
        <v>8</v>
      </c>
      <c r="H5" s="160">
        <f>'Electric EES CE Std Energy'!D13</f>
        <v>2.148959418736375E-2</v>
      </c>
      <c r="I5" s="161">
        <f>'Baseload Avoided Capacity Calcs'!X11</f>
        <v>8.6688956679283422E-3</v>
      </c>
      <c r="J5" s="161">
        <f>H5+I5</f>
        <v>3.0158489855292091E-2</v>
      </c>
      <c r="K5" s="162">
        <f>J5</f>
        <v>3.0158489855292091E-2</v>
      </c>
      <c r="L5" s="163">
        <f>K5*1000</f>
        <v>30.158489855292089</v>
      </c>
      <c r="M5" s="146"/>
    </row>
    <row r="6" spans="2:29" ht="16.2" thickBot="1" x14ac:dyDescent="0.35">
      <c r="C6" s="154"/>
      <c r="D6" s="154"/>
      <c r="E6" s="121"/>
      <c r="F6" s="121"/>
      <c r="G6" s="121"/>
      <c r="H6" s="33">
        <f>H5*1000</f>
        <v>21.48959418736375</v>
      </c>
      <c r="I6" s="33">
        <f t="shared" ref="I6:K6" si="0">I5*1000</f>
        <v>8.6688956679283429</v>
      </c>
      <c r="J6" s="33">
        <f t="shared" si="0"/>
        <v>30.158489855292089</v>
      </c>
      <c r="K6" s="33">
        <f t="shared" si="0"/>
        <v>30.158489855292089</v>
      </c>
      <c r="L6" s="342">
        <f>L5*(1-M6)</f>
        <v>29.253735159633326</v>
      </c>
      <c r="M6" s="317">
        <v>0.03</v>
      </c>
      <c r="N6" s="124" t="s">
        <v>42</v>
      </c>
    </row>
    <row r="7" spans="2:29" x14ac:dyDescent="0.25">
      <c r="C7" s="125"/>
      <c r="D7" s="122"/>
      <c r="H7" s="44"/>
      <c r="I7" s="120"/>
      <c r="J7" s="44"/>
      <c r="K7" s="120"/>
      <c r="L7" s="120"/>
      <c r="M7" s="121"/>
    </row>
    <row r="8" spans="2:29" ht="15.6" x14ac:dyDescent="0.3">
      <c r="C8" s="121"/>
      <c r="D8" s="121"/>
      <c r="E8" s="121"/>
      <c r="F8" s="121"/>
      <c r="G8" s="121"/>
      <c r="H8" s="126"/>
      <c r="I8" s="126"/>
      <c r="J8" s="126"/>
      <c r="K8" s="126"/>
      <c r="L8" s="126"/>
      <c r="M8" s="126"/>
      <c r="N8" s="126"/>
      <c r="O8" s="126"/>
      <c r="P8" s="126"/>
      <c r="S8" s="126"/>
      <c r="T8" s="126"/>
      <c r="U8" s="127"/>
      <c r="V8" s="127"/>
      <c r="X8" s="214" t="s">
        <v>95</v>
      </c>
      <c r="Y8" s="126"/>
      <c r="Z8" s="127"/>
      <c r="AA8" s="127"/>
      <c r="AB8" s="126"/>
      <c r="AC8" s="121"/>
    </row>
    <row r="9" spans="2:29" x14ac:dyDescent="0.25">
      <c r="C9" s="128" t="s">
        <v>9</v>
      </c>
      <c r="D9" s="128"/>
      <c r="E9" s="128"/>
      <c r="F9" s="129">
        <f>+L6</f>
        <v>29.253735159633326</v>
      </c>
      <c r="G9" s="129">
        <f t="shared" ref="G9:J9" si="1">F9</f>
        <v>29.253735159633326</v>
      </c>
      <c r="H9" s="129">
        <f t="shared" si="1"/>
        <v>29.253735159633326</v>
      </c>
      <c r="I9" s="129">
        <f t="shared" si="1"/>
        <v>29.253735159633326</v>
      </c>
      <c r="J9" s="129">
        <f t="shared" si="1"/>
        <v>29.253735159633326</v>
      </c>
      <c r="K9" s="126"/>
      <c r="L9" s="126"/>
      <c r="M9" s="126"/>
      <c r="N9" s="126"/>
      <c r="O9" s="127"/>
      <c r="P9" s="44"/>
      <c r="S9" s="44"/>
      <c r="T9" s="44"/>
      <c r="U9" s="44"/>
      <c r="X9" s="213">
        <f>NPV(Rate_of_Return,F9:J9)</f>
        <v>118.04349946740882</v>
      </c>
      <c r="Y9" s="213">
        <f>-PMT(Rate_of_Return,E5,X9)</f>
        <v>29.253735159633319</v>
      </c>
    </row>
    <row r="10" spans="2:29" x14ac:dyDescent="0.25">
      <c r="C10" s="121"/>
      <c r="D10" s="121"/>
      <c r="E10" s="121"/>
      <c r="F10" s="130"/>
      <c r="G10" s="130"/>
      <c r="H10" s="130"/>
      <c r="I10" s="130"/>
      <c r="J10" s="130"/>
      <c r="K10" s="126"/>
      <c r="L10" s="126"/>
      <c r="M10" s="126"/>
      <c r="N10" s="126"/>
      <c r="O10" s="127"/>
      <c r="P10" s="44"/>
      <c r="S10" s="44"/>
      <c r="T10" s="44"/>
      <c r="U10" s="44"/>
      <c r="X10" s="33"/>
      <c r="Y10" s="33"/>
    </row>
    <row r="11" spans="2:29" x14ac:dyDescent="0.25">
      <c r="C11" s="59" t="s">
        <v>68</v>
      </c>
      <c r="F11" s="226">
        <v>1</v>
      </c>
      <c r="G11" s="226">
        <v>2</v>
      </c>
      <c r="H11" s="226">
        <v>3</v>
      </c>
      <c r="I11" s="226">
        <v>4</v>
      </c>
      <c r="J11" s="226">
        <v>5</v>
      </c>
      <c r="K11" s="226">
        <v>6</v>
      </c>
      <c r="L11" s="226">
        <v>7</v>
      </c>
      <c r="M11" s="126"/>
      <c r="N11" s="126"/>
      <c r="O11" s="127"/>
      <c r="P11" s="44"/>
      <c r="S11" s="44"/>
      <c r="T11" s="44"/>
      <c r="U11" s="44"/>
      <c r="X11" s="44"/>
      <c r="Y11" s="44"/>
    </row>
    <row r="12" spans="2:29" ht="15.6" x14ac:dyDescent="0.3">
      <c r="C12" s="121"/>
      <c r="D12" s="119"/>
      <c r="E12" s="121"/>
      <c r="F12" s="131">
        <f>'Energy Prices'!$C$6</f>
        <v>2019</v>
      </c>
      <c r="G12" s="131">
        <f>F12+1</f>
        <v>2020</v>
      </c>
      <c r="H12" s="131">
        <f>G12+1</f>
        <v>2021</v>
      </c>
      <c r="I12" s="131">
        <f t="shared" ref="I12:L12" si="2">H12+1</f>
        <v>2022</v>
      </c>
      <c r="J12" s="131">
        <f t="shared" si="2"/>
        <v>2023</v>
      </c>
      <c r="K12" s="131">
        <f t="shared" si="2"/>
        <v>2024</v>
      </c>
      <c r="L12" s="131">
        <f t="shared" si="2"/>
        <v>2025</v>
      </c>
      <c r="M12" s="126"/>
      <c r="N12" s="126"/>
      <c r="O12" s="127"/>
      <c r="P12" s="220"/>
      <c r="S12" s="127"/>
      <c r="T12" s="127"/>
      <c r="U12" s="127"/>
      <c r="X12" s="214" t="s">
        <v>95</v>
      </c>
      <c r="Y12" s="33"/>
    </row>
    <row r="13" spans="2:29" ht="52.95" customHeight="1" x14ac:dyDescent="0.25">
      <c r="B13" s="121"/>
      <c r="C13" s="227" t="s">
        <v>153</v>
      </c>
      <c r="D13" s="121"/>
      <c r="F13" s="164">
        <f>F$9*F$20</f>
        <v>27.927860712595674</v>
      </c>
      <c r="G13" s="165">
        <f t="shared" ref="G13:J13" si="3">G$9*G$20</f>
        <v>28.626057230410563</v>
      </c>
      <c r="H13" s="166">
        <f t="shared" si="3"/>
        <v>29.341708661170824</v>
      </c>
      <c r="I13" s="166">
        <f t="shared" si="3"/>
        <v>30.075251377700091</v>
      </c>
      <c r="J13" s="166">
        <f t="shared" si="3"/>
        <v>30.827132662142592</v>
      </c>
      <c r="K13" s="219">
        <f>J13*1.025</f>
        <v>31.597810978696153</v>
      </c>
      <c r="L13" s="219">
        <f>K13*1.025</f>
        <v>32.387756253163552</v>
      </c>
      <c r="M13" s="126"/>
      <c r="N13" s="126"/>
      <c r="O13" s="127"/>
      <c r="P13" s="133"/>
      <c r="S13" s="133"/>
      <c r="T13" s="133"/>
      <c r="U13" s="133"/>
      <c r="X13" s="213">
        <f>NPV(Rate_of_Return,F13:J13)</f>
        <v>118.04349946740885</v>
      </c>
      <c r="Y13" s="213">
        <f>-PMT(Rate_of_Return,E5,X13)</f>
        <v>29.253735159633322</v>
      </c>
    </row>
    <row r="14" spans="2:29" x14ac:dyDescent="0.25">
      <c r="C14" s="132"/>
      <c r="E14" s="135"/>
      <c r="F14" s="133"/>
      <c r="G14" s="133"/>
      <c r="H14" s="133"/>
      <c r="I14" s="133"/>
      <c r="J14" s="133"/>
      <c r="K14" s="126"/>
      <c r="L14" s="126"/>
      <c r="M14" s="126"/>
      <c r="N14" s="126"/>
      <c r="O14" s="127"/>
      <c r="P14" s="133"/>
      <c r="S14" s="127"/>
      <c r="T14" s="127"/>
      <c r="U14" s="127"/>
      <c r="V14" s="126"/>
      <c r="W14" s="121"/>
      <c r="X14" s="127"/>
      <c r="Y14" s="127"/>
    </row>
    <row r="15" spans="2:29" x14ac:dyDescent="0.25">
      <c r="C15" s="136"/>
      <c r="E15" s="135"/>
      <c r="F15" s="133"/>
      <c r="G15" s="133"/>
      <c r="H15" s="133"/>
      <c r="I15" s="133"/>
      <c r="J15" s="133"/>
      <c r="K15" s="126"/>
      <c r="L15" s="126"/>
      <c r="M15" s="126"/>
      <c r="N15" s="126"/>
      <c r="O15" s="127"/>
      <c r="P15" s="133"/>
      <c r="S15" s="127"/>
      <c r="T15" s="127"/>
      <c r="U15" s="127"/>
      <c r="V15" s="127"/>
      <c r="X15" s="127"/>
      <c r="Y15" s="127"/>
    </row>
    <row r="16" spans="2:29" x14ac:dyDescent="0.25">
      <c r="C16" s="59" t="s">
        <v>10</v>
      </c>
      <c r="K16" s="126"/>
      <c r="L16" s="126"/>
      <c r="M16" s="126"/>
      <c r="N16" s="126"/>
      <c r="O16" s="127"/>
    </row>
    <row r="17" spans="2:25" x14ac:dyDescent="0.25">
      <c r="K17" s="126"/>
      <c r="L17" s="126"/>
      <c r="M17" s="126"/>
      <c r="N17" s="126"/>
      <c r="O17" s="127"/>
    </row>
    <row r="18" spans="2:25" ht="15.6" x14ac:dyDescent="0.3">
      <c r="C18" s="121"/>
      <c r="D18" s="121"/>
      <c r="E18" s="121"/>
      <c r="F18" s="121"/>
      <c r="G18" s="121"/>
      <c r="H18" s="121"/>
      <c r="I18" s="121"/>
      <c r="J18" s="121"/>
      <c r="K18" s="126"/>
      <c r="L18" s="126"/>
      <c r="M18" s="126"/>
      <c r="N18" s="126"/>
      <c r="O18" s="127"/>
      <c r="X18" s="214" t="s">
        <v>95</v>
      </c>
      <c r="Y18" s="121"/>
    </row>
    <row r="19" spans="2:25" x14ac:dyDescent="0.25">
      <c r="C19" s="128" t="s">
        <v>11</v>
      </c>
      <c r="D19" s="128"/>
      <c r="E19" s="128"/>
      <c r="F19" s="147">
        <v>100</v>
      </c>
      <c r="G19" s="147">
        <f t="shared" ref="G19:J19" si="4">F19*1.025</f>
        <v>102.49999999999999</v>
      </c>
      <c r="H19" s="147">
        <f t="shared" si="4"/>
        <v>105.06249999999997</v>
      </c>
      <c r="I19" s="147">
        <f t="shared" si="4"/>
        <v>107.68906249999996</v>
      </c>
      <c r="J19" s="147">
        <f t="shared" si="4"/>
        <v>110.38128906249996</v>
      </c>
      <c r="K19" s="126"/>
      <c r="L19" s="126"/>
      <c r="M19" s="126"/>
      <c r="N19" s="126"/>
      <c r="O19" s="127"/>
      <c r="P19" s="137"/>
      <c r="S19" s="127"/>
      <c r="T19" s="127"/>
      <c r="U19" s="127"/>
      <c r="X19" s="168">
        <f>NPV(Rate_of_Return,F19:J19)</f>
        <v>422.67290245460998</v>
      </c>
      <c r="Y19" s="168">
        <f>-PMT(Rate_of_Return,E5,X19)</f>
        <v>104.74749734926769</v>
      </c>
    </row>
    <row r="20" spans="2:25" x14ac:dyDescent="0.25">
      <c r="C20" s="150" t="s">
        <v>12</v>
      </c>
      <c r="D20" s="150"/>
      <c r="E20" s="150"/>
      <c r="F20" s="151">
        <f>F19/$Y$19</f>
        <v>0.95467674675378889</v>
      </c>
      <c r="G20" s="151">
        <f>G19/$Y$19</f>
        <v>0.97854366542263349</v>
      </c>
      <c r="H20" s="151">
        <f>H19/$Y$19</f>
        <v>1.0030072570581992</v>
      </c>
      <c r="I20" s="151">
        <f>I19/$Y$19</f>
        <v>1.0280824384846541</v>
      </c>
      <c r="J20" s="151">
        <f>J19/$Y$19</f>
        <v>1.0537844994467704</v>
      </c>
      <c r="K20" s="126"/>
      <c r="L20" s="126"/>
      <c r="M20" s="126"/>
      <c r="N20" s="126"/>
      <c r="O20" s="127"/>
      <c r="P20" s="138"/>
      <c r="S20" s="127"/>
      <c r="T20" s="127"/>
      <c r="U20" s="127"/>
      <c r="X20" s="167">
        <f>NPV(Rate_of_Return,F20:J20)</f>
        <v>4.0351599145634864</v>
      </c>
      <c r="Y20" s="167">
        <f>-PMT(Rate_of_Return,E5,X20)</f>
        <v>1.0000000000000002</v>
      </c>
    </row>
    <row r="21" spans="2:25" x14ac:dyDescent="0.25">
      <c r="C21" s="121"/>
      <c r="D21" s="121"/>
      <c r="E21" s="148"/>
      <c r="F21" s="148"/>
      <c r="G21" s="148"/>
      <c r="H21" s="148"/>
      <c r="I21" s="148"/>
      <c r="J21" s="148"/>
      <c r="K21" s="148"/>
      <c r="L21" s="148"/>
      <c r="M21" s="149"/>
      <c r="N21" s="149"/>
      <c r="O21" s="149"/>
      <c r="P21" s="126"/>
      <c r="S21" s="126"/>
      <c r="T21" s="126"/>
      <c r="U21" s="127"/>
      <c r="W21" s="121"/>
      <c r="X21" s="126"/>
      <c r="Y21" s="126"/>
    </row>
    <row r="22" spans="2:25" x14ac:dyDescent="0.25">
      <c r="B22" s="139" t="s">
        <v>13</v>
      </c>
      <c r="C22" s="140"/>
      <c r="D22" s="141"/>
      <c r="E22" s="141"/>
      <c r="F22" s="141"/>
      <c r="G22" s="141"/>
      <c r="H22" s="141"/>
      <c r="I22" s="141"/>
      <c r="J22" s="141"/>
      <c r="K22" s="141"/>
      <c r="L22" s="141"/>
      <c r="M22" s="141"/>
      <c r="N22" s="141"/>
      <c r="O22" s="141"/>
      <c r="Y22" s="136"/>
    </row>
    <row r="23" spans="2:25" x14ac:dyDescent="0.25">
      <c r="B23" s="142">
        <v>1</v>
      </c>
      <c r="C23" s="141" t="s">
        <v>53</v>
      </c>
      <c r="D23" s="141"/>
      <c r="E23" s="141"/>
      <c r="F23" s="141"/>
      <c r="G23" s="141"/>
      <c r="H23" s="141"/>
      <c r="I23" s="141"/>
      <c r="J23" s="141"/>
      <c r="K23" s="141"/>
      <c r="L23" s="141"/>
      <c r="M23" s="141"/>
      <c r="N23" s="141"/>
      <c r="O23" s="141"/>
      <c r="Y23" s="132"/>
    </row>
    <row r="24" spans="2:25" x14ac:dyDescent="0.25">
      <c r="B24" s="142">
        <v>2</v>
      </c>
      <c r="C24" s="141" t="s">
        <v>168</v>
      </c>
      <c r="D24" s="141"/>
      <c r="E24" s="141"/>
      <c r="F24" s="141"/>
      <c r="G24" s="141"/>
      <c r="H24" s="141"/>
      <c r="I24" s="141"/>
      <c r="J24" s="141"/>
      <c r="K24" s="141"/>
      <c r="L24" s="141"/>
      <c r="M24" s="141"/>
      <c r="N24" s="141"/>
      <c r="O24" s="141"/>
      <c r="Y24" s="133"/>
    </row>
    <row r="25" spans="2:25" x14ac:dyDescent="0.25">
      <c r="B25" s="142">
        <v>3</v>
      </c>
      <c r="C25" s="141" t="s">
        <v>52</v>
      </c>
      <c r="D25" s="141"/>
      <c r="E25" s="141"/>
      <c r="F25" s="141"/>
      <c r="G25" s="141"/>
      <c r="H25" s="141"/>
      <c r="I25" s="141"/>
      <c r="J25" s="141"/>
      <c r="K25" s="141"/>
      <c r="L25" s="141"/>
      <c r="M25" s="141"/>
      <c r="N25" s="141"/>
      <c r="O25" s="141"/>
      <c r="Y25" s="143"/>
    </row>
    <row r="26" spans="2:25" x14ac:dyDescent="0.25">
      <c r="B26" s="142">
        <v>4</v>
      </c>
      <c r="C26" s="141" t="s">
        <v>165</v>
      </c>
      <c r="D26" s="141"/>
      <c r="E26" s="141"/>
      <c r="F26" s="141"/>
      <c r="G26" s="141"/>
      <c r="H26" s="141"/>
      <c r="I26" s="141"/>
      <c r="J26" s="141"/>
      <c r="K26" s="141"/>
      <c r="L26" s="141"/>
      <c r="M26" s="141"/>
      <c r="N26" s="141"/>
      <c r="O26" s="141"/>
      <c r="Y26" s="143"/>
    </row>
    <row r="27" spans="2:25" x14ac:dyDescent="0.25">
      <c r="B27" s="142">
        <v>5</v>
      </c>
      <c r="C27" s="141" t="s">
        <v>116</v>
      </c>
      <c r="D27" s="141"/>
      <c r="E27" s="141"/>
      <c r="F27" s="141"/>
      <c r="G27" s="141"/>
      <c r="H27" s="141"/>
      <c r="I27" s="141"/>
      <c r="J27" s="141"/>
      <c r="K27" s="141"/>
      <c r="L27" s="141"/>
      <c r="M27" s="141"/>
      <c r="N27" s="141"/>
      <c r="O27" s="141"/>
      <c r="Y27" s="132"/>
    </row>
    <row r="28" spans="2:25" x14ac:dyDescent="0.25">
      <c r="B28" s="142">
        <v>6</v>
      </c>
      <c r="C28" s="141" t="s">
        <v>117</v>
      </c>
      <c r="D28" s="141"/>
      <c r="E28" s="141"/>
      <c r="F28" s="141"/>
      <c r="G28" s="141"/>
      <c r="H28" s="141"/>
      <c r="I28" s="141"/>
      <c r="J28" s="141"/>
      <c r="K28" s="141"/>
      <c r="L28" s="141"/>
      <c r="M28" s="141"/>
      <c r="N28" s="141"/>
      <c r="O28" s="141"/>
      <c r="Y28" s="133"/>
    </row>
    <row r="29" spans="2:25" x14ac:dyDescent="0.25">
      <c r="B29" s="142">
        <v>7</v>
      </c>
      <c r="C29" s="141" t="s">
        <v>118</v>
      </c>
      <c r="D29" s="141"/>
      <c r="E29" s="141"/>
      <c r="F29" s="141"/>
      <c r="G29" s="141"/>
      <c r="H29" s="141"/>
      <c r="I29" s="141"/>
      <c r="J29" s="141"/>
      <c r="K29" s="141"/>
      <c r="L29" s="141"/>
      <c r="M29" s="141"/>
      <c r="N29" s="141"/>
      <c r="O29" s="141"/>
      <c r="P29" s="141"/>
      <c r="Q29" s="141"/>
    </row>
    <row r="30" spans="2:25" x14ac:dyDescent="0.25">
      <c r="B30" s="142">
        <v>8</v>
      </c>
      <c r="C30" s="141" t="s">
        <v>62</v>
      </c>
      <c r="D30" s="141"/>
      <c r="E30" s="141"/>
      <c r="F30" s="141"/>
      <c r="G30" s="141"/>
      <c r="H30" s="141"/>
      <c r="I30" s="141"/>
      <c r="J30" s="141"/>
      <c r="K30" s="141"/>
      <c r="L30" s="141"/>
      <c r="M30" s="141"/>
      <c r="N30" s="141"/>
      <c r="O30" s="141"/>
      <c r="P30" s="141"/>
      <c r="Q30" s="141"/>
    </row>
    <row r="31" spans="2:25" x14ac:dyDescent="0.25">
      <c r="B31" s="142">
        <v>9</v>
      </c>
      <c r="C31" s="141" t="s">
        <v>119</v>
      </c>
      <c r="D31" s="141"/>
      <c r="E31" s="141"/>
      <c r="F31" s="141"/>
      <c r="G31" s="141"/>
      <c r="H31" s="141"/>
      <c r="I31" s="141"/>
      <c r="J31" s="141"/>
      <c r="K31" s="141"/>
      <c r="L31" s="141"/>
      <c r="M31" s="141"/>
      <c r="N31" s="141"/>
      <c r="O31" s="141"/>
      <c r="P31" s="141"/>
      <c r="Q31" s="141"/>
    </row>
    <row r="32" spans="2:25" x14ac:dyDescent="0.25">
      <c r="B32" s="142">
        <v>10</v>
      </c>
      <c r="C32" s="59" t="s">
        <v>120</v>
      </c>
    </row>
    <row r="33" spans="2:20" x14ac:dyDescent="0.25">
      <c r="B33" s="142">
        <v>11</v>
      </c>
      <c r="C33" s="59" t="s">
        <v>166</v>
      </c>
    </row>
    <row r="34" spans="2:20" ht="15.6" x14ac:dyDescent="0.3">
      <c r="B34" s="144"/>
      <c r="C34" s="5"/>
      <c r="D34" s="5"/>
      <c r="E34" s="5"/>
      <c r="F34" s="5"/>
    </row>
    <row r="35" spans="2:20" ht="15.6" x14ac:dyDescent="0.3">
      <c r="B35" s="144"/>
      <c r="C35" s="5"/>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zoomScale="70" zoomScaleNormal="70" workbookViewId="0">
      <selection activeCell="C25" sqref="C25"/>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29" width="12.33203125" style="59" customWidth="1"/>
    <col min="30" max="16384" width="9.109375" style="59"/>
  </cols>
  <sheetData>
    <row r="2" spans="2:30" ht="19.5" customHeight="1" x14ac:dyDescent="0.3">
      <c r="C2" s="231" t="s">
        <v>121</v>
      </c>
      <c r="D2" s="231"/>
      <c r="E2" s="231"/>
      <c r="F2" s="231"/>
      <c r="G2" s="231"/>
      <c r="H2" s="231"/>
      <c r="I2" s="231"/>
      <c r="J2" s="231"/>
      <c r="K2" s="231"/>
      <c r="L2" s="231"/>
    </row>
    <row r="3" spans="2:30" ht="15.6" x14ac:dyDescent="0.3">
      <c r="C3" s="48" t="s">
        <v>122</v>
      </c>
    </row>
    <row r="4" spans="2:30" s="118" customFormat="1" ht="45" x14ac:dyDescent="0.25">
      <c r="B4" s="117"/>
      <c r="C4" s="152" t="s">
        <v>0</v>
      </c>
      <c r="D4" s="152"/>
      <c r="E4" s="152" t="s">
        <v>1</v>
      </c>
      <c r="F4" s="152" t="s">
        <v>2</v>
      </c>
      <c r="G4" s="152" t="s">
        <v>3</v>
      </c>
      <c r="H4" s="152" t="s">
        <v>4</v>
      </c>
      <c r="I4" s="152" t="s">
        <v>5</v>
      </c>
      <c r="J4" s="152" t="s">
        <v>6</v>
      </c>
      <c r="K4" s="152" t="s">
        <v>7</v>
      </c>
      <c r="L4" s="153" t="s">
        <v>14</v>
      </c>
      <c r="M4" s="153"/>
    </row>
    <row r="5" spans="2:30" ht="15.6" thickBot="1" x14ac:dyDescent="0.3">
      <c r="C5" s="155"/>
      <c r="D5" s="156"/>
      <c r="E5" s="157">
        <v>10</v>
      </c>
      <c r="F5" s="158">
        <v>1</v>
      </c>
      <c r="G5" s="159" t="s">
        <v>8</v>
      </c>
      <c r="H5" s="160">
        <f>'Electric EES CE Std Energy'!D18</f>
        <v>2.1784188702760568E-2</v>
      </c>
      <c r="I5" s="161">
        <f>'Baseload Avoided Capacity Calcs'!X16</f>
        <v>8.9819915844035134E-3</v>
      </c>
      <c r="J5" s="161">
        <f>H5+I5</f>
        <v>3.0766180287164081E-2</v>
      </c>
      <c r="K5" s="162">
        <f>J5</f>
        <v>3.0766180287164081E-2</v>
      </c>
      <c r="L5" s="163">
        <f>K5*1000</f>
        <v>30.766180287164083</v>
      </c>
      <c r="M5" s="146"/>
    </row>
    <row r="6" spans="2:30" ht="16.2" thickBot="1" x14ac:dyDescent="0.35">
      <c r="C6" s="154"/>
      <c r="D6" s="154"/>
      <c r="E6" s="121"/>
      <c r="F6" s="121"/>
      <c r="G6" s="121"/>
      <c r="H6" s="33">
        <f>H5*1000</f>
        <v>21.784188702760567</v>
      </c>
      <c r="I6" s="33">
        <f t="shared" ref="I6:K6" si="0">I5*1000</f>
        <v>8.981991584403513</v>
      </c>
      <c r="J6" s="33">
        <f t="shared" si="0"/>
        <v>30.766180287164083</v>
      </c>
      <c r="K6" s="33">
        <f t="shared" si="0"/>
        <v>30.766180287164083</v>
      </c>
      <c r="L6" s="342">
        <f>L5*(1-M6)</f>
        <v>29.843194878549159</v>
      </c>
      <c r="M6" s="317">
        <v>0.03</v>
      </c>
      <c r="N6" s="124" t="s">
        <v>42</v>
      </c>
    </row>
    <row r="7" spans="2:30" x14ac:dyDescent="0.25">
      <c r="C7" s="125"/>
      <c r="D7" s="122"/>
      <c r="H7" s="44"/>
      <c r="I7" s="120"/>
      <c r="J7" s="44"/>
      <c r="K7" s="120"/>
      <c r="L7" s="120"/>
      <c r="M7" s="121"/>
    </row>
    <row r="8" spans="2:30" ht="15.6" x14ac:dyDescent="0.3">
      <c r="C8" s="121"/>
      <c r="D8" s="121"/>
      <c r="E8" s="121"/>
      <c r="F8" s="121"/>
      <c r="G8" s="121"/>
      <c r="H8" s="126"/>
      <c r="I8" s="126"/>
      <c r="J8" s="126"/>
      <c r="K8" s="126"/>
      <c r="L8" s="126"/>
      <c r="M8" s="126"/>
      <c r="N8" s="126"/>
      <c r="O8" s="126"/>
      <c r="P8" s="126"/>
      <c r="Q8" s="126"/>
      <c r="R8" s="126"/>
      <c r="U8" s="127"/>
      <c r="V8" s="127"/>
      <c r="X8" s="214" t="s">
        <v>95</v>
      </c>
      <c r="Y8" s="127"/>
      <c r="Z8" s="127"/>
      <c r="AA8" s="127"/>
      <c r="AB8" s="126"/>
      <c r="AC8" s="121"/>
    </row>
    <row r="9" spans="2:30" x14ac:dyDescent="0.25">
      <c r="C9" s="128" t="s">
        <v>9</v>
      </c>
      <c r="D9" s="128"/>
      <c r="E9" s="128"/>
      <c r="F9" s="129">
        <f>+L6</f>
        <v>29.843194878549159</v>
      </c>
      <c r="G9" s="129">
        <f t="shared" ref="G9:O9" si="1">F9</f>
        <v>29.843194878549159</v>
      </c>
      <c r="H9" s="129">
        <f t="shared" si="1"/>
        <v>29.843194878549159</v>
      </c>
      <c r="I9" s="129">
        <f t="shared" si="1"/>
        <v>29.843194878549159</v>
      </c>
      <c r="J9" s="129">
        <f t="shared" si="1"/>
        <v>29.843194878549159</v>
      </c>
      <c r="K9" s="129">
        <f t="shared" si="1"/>
        <v>29.843194878549159</v>
      </c>
      <c r="L9" s="129">
        <f t="shared" si="1"/>
        <v>29.843194878549159</v>
      </c>
      <c r="M9" s="129">
        <f t="shared" si="1"/>
        <v>29.843194878549159</v>
      </c>
      <c r="N9" s="129">
        <f t="shared" si="1"/>
        <v>29.843194878549159</v>
      </c>
      <c r="O9" s="129">
        <f t="shared" si="1"/>
        <v>29.843194878549159</v>
      </c>
      <c r="P9" s="126"/>
      <c r="Q9" s="126"/>
      <c r="R9" s="126"/>
      <c r="U9" s="127"/>
      <c r="V9" s="44"/>
      <c r="X9" s="213">
        <f>NPV(Rate_of_Return,F9:O9)</f>
        <v>203.91403378933612</v>
      </c>
      <c r="Y9" s="213">
        <f>-PMT(Rate_of_Return,10,X9)</f>
        <v>29.843194878549156</v>
      </c>
      <c r="Z9" s="44"/>
      <c r="AA9" s="44"/>
    </row>
    <row r="10" spans="2:30" x14ac:dyDescent="0.25">
      <c r="C10" s="121"/>
      <c r="D10" s="121"/>
      <c r="E10" s="121"/>
      <c r="F10" s="130"/>
      <c r="G10" s="130"/>
      <c r="H10" s="130"/>
      <c r="I10" s="130"/>
      <c r="J10" s="130"/>
      <c r="K10" s="130"/>
      <c r="L10" s="130"/>
      <c r="M10" s="130"/>
      <c r="N10" s="130"/>
      <c r="O10" s="130"/>
      <c r="P10" s="126"/>
      <c r="Q10" s="126"/>
      <c r="R10" s="126"/>
      <c r="U10" s="127"/>
      <c r="V10" s="44"/>
      <c r="X10" s="33"/>
      <c r="Y10" s="33"/>
      <c r="Z10" s="44"/>
      <c r="AA10" s="44"/>
    </row>
    <row r="11" spans="2:30" x14ac:dyDescent="0.25">
      <c r="C11" s="59" t="s">
        <v>68</v>
      </c>
      <c r="F11" s="226">
        <v>1</v>
      </c>
      <c r="G11" s="226">
        <v>2</v>
      </c>
      <c r="H11" s="226">
        <v>3</v>
      </c>
      <c r="I11" s="226">
        <v>4</v>
      </c>
      <c r="J11" s="226">
        <v>5</v>
      </c>
      <c r="K11" s="226">
        <v>6</v>
      </c>
      <c r="L11" s="226">
        <v>7</v>
      </c>
      <c r="M11" s="226">
        <v>8</v>
      </c>
      <c r="N11" s="226">
        <v>9</v>
      </c>
      <c r="O11" s="226">
        <v>10</v>
      </c>
      <c r="P11" s="226">
        <v>11</v>
      </c>
      <c r="Q11" s="226">
        <v>12</v>
      </c>
      <c r="R11" s="126"/>
      <c r="U11" s="127"/>
      <c r="V11" s="44"/>
      <c r="X11" s="44"/>
      <c r="Y11" s="44"/>
      <c r="Z11" s="44"/>
      <c r="AA11" s="44"/>
    </row>
    <row r="12" spans="2:30" ht="15.6" x14ac:dyDescent="0.3">
      <c r="C12" s="121"/>
      <c r="D12" s="119"/>
      <c r="E12" s="121"/>
      <c r="F12" s="131">
        <f>'Energy Prices'!$C$6</f>
        <v>2019</v>
      </c>
      <c r="G12" s="131">
        <f>F12+1</f>
        <v>2020</v>
      </c>
      <c r="H12" s="131">
        <f>G12+1</f>
        <v>2021</v>
      </c>
      <c r="I12" s="131">
        <f t="shared" ref="I12:O12" si="2">H12+1</f>
        <v>2022</v>
      </c>
      <c r="J12" s="131">
        <f t="shared" si="2"/>
        <v>2023</v>
      </c>
      <c r="K12" s="131">
        <f t="shared" si="2"/>
        <v>2024</v>
      </c>
      <c r="L12" s="131">
        <f t="shared" si="2"/>
        <v>2025</v>
      </c>
      <c r="M12" s="131">
        <f t="shared" si="2"/>
        <v>2026</v>
      </c>
      <c r="N12" s="131">
        <f t="shared" si="2"/>
        <v>2027</v>
      </c>
      <c r="O12" s="131">
        <f t="shared" si="2"/>
        <v>2028</v>
      </c>
      <c r="P12" s="131">
        <f t="shared" ref="P12:Q12" si="3">O12+1</f>
        <v>2029</v>
      </c>
      <c r="Q12" s="131">
        <f t="shared" si="3"/>
        <v>2030</v>
      </c>
      <c r="R12" s="126"/>
      <c r="U12" s="127"/>
      <c r="V12" s="220"/>
      <c r="X12" s="214" t="s">
        <v>95</v>
      </c>
      <c r="Y12" s="33"/>
      <c r="Z12" s="127"/>
      <c r="AA12" s="127"/>
    </row>
    <row r="13" spans="2:30" ht="52.95" customHeight="1" x14ac:dyDescent="0.25">
      <c r="B13" s="121"/>
      <c r="C13" s="227" t="s">
        <v>153</v>
      </c>
      <c r="D13" s="121"/>
      <c r="F13" s="164">
        <f>F$9*F$20</f>
        <v>27.035943733248008</v>
      </c>
      <c r="G13" s="165">
        <f t="shared" ref="G13:O13" si="4">G$9*G$20</f>
        <v>27.711842326579205</v>
      </c>
      <c r="H13" s="166">
        <f t="shared" si="4"/>
        <v>28.404638384743684</v>
      </c>
      <c r="I13" s="166">
        <f t="shared" si="4"/>
        <v>29.114754344362272</v>
      </c>
      <c r="J13" s="166">
        <f t="shared" si="4"/>
        <v>29.842623202971328</v>
      </c>
      <c r="K13" s="166">
        <f t="shared" si="4"/>
        <v>30.588688783045608</v>
      </c>
      <c r="L13" s="166">
        <f t="shared" si="4"/>
        <v>31.353406002621746</v>
      </c>
      <c r="M13" s="166">
        <f t="shared" si="4"/>
        <v>32.137241152687281</v>
      </c>
      <c r="N13" s="166">
        <f t="shared" si="4"/>
        <v>32.940672181504461</v>
      </c>
      <c r="O13" s="166">
        <f t="shared" si="4"/>
        <v>33.764188986042072</v>
      </c>
      <c r="P13" s="219">
        <f>O13*1.025</f>
        <v>34.608293710693118</v>
      </c>
      <c r="Q13" s="219">
        <f>P13*1.025</f>
        <v>35.473501053460446</v>
      </c>
      <c r="R13" s="126"/>
      <c r="U13" s="127"/>
      <c r="V13" s="133"/>
      <c r="X13" s="213">
        <f>NPV(Rate_of_Return,F13:O13)</f>
        <v>203.91403378933617</v>
      </c>
      <c r="Y13" s="213">
        <f>-PMT(Rate_of_Return,10,X13)</f>
        <v>29.843194878549163</v>
      </c>
      <c r="Z13" s="133"/>
      <c r="AA13" s="133"/>
      <c r="AD13" s="134"/>
    </row>
    <row r="14" spans="2:30" x14ac:dyDescent="0.25">
      <c r="C14" s="132"/>
      <c r="E14" s="135"/>
      <c r="F14" s="133"/>
      <c r="G14" s="133"/>
      <c r="H14" s="133"/>
      <c r="I14" s="133"/>
      <c r="J14" s="133"/>
      <c r="K14" s="133"/>
      <c r="L14" s="133"/>
      <c r="M14" s="133"/>
      <c r="N14" s="133"/>
      <c r="O14" s="133"/>
      <c r="P14" s="126"/>
      <c r="Q14" s="126"/>
      <c r="R14" s="126"/>
      <c r="U14" s="127"/>
      <c r="V14" s="133"/>
      <c r="X14" s="127"/>
      <c r="Y14" s="127"/>
      <c r="Z14" s="127"/>
      <c r="AA14" s="127"/>
      <c r="AB14" s="126"/>
      <c r="AC14" s="121"/>
    </row>
    <row r="15" spans="2:30" x14ac:dyDescent="0.25">
      <c r="C15" s="136"/>
      <c r="E15" s="135"/>
      <c r="F15" s="133"/>
      <c r="G15" s="133"/>
      <c r="H15" s="133"/>
      <c r="I15" s="133"/>
      <c r="J15" s="133"/>
      <c r="K15" s="133"/>
      <c r="L15" s="133"/>
      <c r="M15" s="133"/>
      <c r="N15" s="133"/>
      <c r="O15" s="133"/>
      <c r="P15" s="126"/>
      <c r="Q15" s="126"/>
      <c r="R15" s="126"/>
      <c r="U15" s="127"/>
      <c r="V15" s="133"/>
      <c r="X15" s="127"/>
      <c r="Y15" s="127"/>
      <c r="Z15" s="127"/>
      <c r="AA15" s="127"/>
      <c r="AB15" s="127"/>
    </row>
    <row r="16" spans="2:30" x14ac:dyDescent="0.25">
      <c r="C16" s="59" t="s">
        <v>10</v>
      </c>
      <c r="P16" s="126"/>
      <c r="Q16" s="126"/>
      <c r="R16" s="126"/>
      <c r="U16" s="127"/>
    </row>
    <row r="17" spans="2:27" x14ac:dyDescent="0.25">
      <c r="P17" s="126"/>
      <c r="Q17" s="126"/>
      <c r="R17" s="126"/>
      <c r="U17" s="127"/>
    </row>
    <row r="18" spans="2:27" ht="15.6" x14ac:dyDescent="0.3">
      <c r="C18" s="121"/>
      <c r="D18" s="121"/>
      <c r="E18" s="121"/>
      <c r="F18" s="121"/>
      <c r="G18" s="121"/>
      <c r="H18" s="121"/>
      <c r="I18" s="121"/>
      <c r="J18" s="121"/>
      <c r="K18" s="121"/>
      <c r="L18" s="121"/>
      <c r="M18" s="121"/>
      <c r="N18" s="121"/>
      <c r="O18" s="121"/>
      <c r="P18" s="126"/>
      <c r="Q18" s="126"/>
      <c r="R18" s="126"/>
      <c r="U18" s="127"/>
      <c r="X18" s="214" t="s">
        <v>95</v>
      </c>
      <c r="Y18" s="121"/>
    </row>
    <row r="19" spans="2:27" x14ac:dyDescent="0.25">
      <c r="C19" s="128" t="s">
        <v>11</v>
      </c>
      <c r="D19" s="128"/>
      <c r="E19" s="128"/>
      <c r="F19" s="147">
        <v>100</v>
      </c>
      <c r="G19" s="147">
        <f t="shared" ref="G19:O19" si="5">F19*1.025</f>
        <v>102.49999999999999</v>
      </c>
      <c r="H19" s="147">
        <f t="shared" si="5"/>
        <v>105.06249999999997</v>
      </c>
      <c r="I19" s="147">
        <f t="shared" si="5"/>
        <v>107.68906249999996</v>
      </c>
      <c r="J19" s="147">
        <f t="shared" si="5"/>
        <v>110.38128906249996</v>
      </c>
      <c r="K19" s="147">
        <f t="shared" si="5"/>
        <v>113.14082128906244</v>
      </c>
      <c r="L19" s="147">
        <f t="shared" si="5"/>
        <v>115.96934182128899</v>
      </c>
      <c r="M19" s="147">
        <f t="shared" si="5"/>
        <v>118.8685753668212</v>
      </c>
      <c r="N19" s="147">
        <f t="shared" si="5"/>
        <v>121.84028975099173</v>
      </c>
      <c r="O19" s="147">
        <f t="shared" si="5"/>
        <v>124.88629699476651</v>
      </c>
      <c r="P19" s="126"/>
      <c r="Q19" s="126"/>
      <c r="R19" s="126"/>
      <c r="U19" s="127"/>
      <c r="V19" s="137"/>
      <c r="X19" s="168">
        <f>NPV(Rate_of_Return,F19:O19)</f>
        <v>754.23308984982339</v>
      </c>
      <c r="Y19" s="168">
        <f>-PMT(Rate_of_Return,10,X19)</f>
        <v>110.38340356452538</v>
      </c>
      <c r="Z19" s="127"/>
      <c r="AA19" s="127"/>
    </row>
    <row r="20" spans="2:27" x14ac:dyDescent="0.25">
      <c r="C20" s="150" t="s">
        <v>12</v>
      </c>
      <c r="D20" s="150"/>
      <c r="E20" s="150"/>
      <c r="F20" s="151">
        <f t="shared" ref="F20:O20" si="6">F19/$Y$19</f>
        <v>0.90593329042933801</v>
      </c>
      <c r="G20" s="151">
        <f t="shared" si="6"/>
        <v>0.92858162269007138</v>
      </c>
      <c r="H20" s="151">
        <f t="shared" si="6"/>
        <v>0.95179616325732308</v>
      </c>
      <c r="I20" s="151">
        <f t="shared" si="6"/>
        <v>0.975591067338756</v>
      </c>
      <c r="J20" s="151">
        <f t="shared" si="6"/>
        <v>0.99998084402222487</v>
      </c>
      <c r="K20" s="151">
        <f t="shared" si="6"/>
        <v>1.0249803651227805</v>
      </c>
      <c r="L20" s="151">
        <f t="shared" si="6"/>
        <v>1.0506048742508498</v>
      </c>
      <c r="M20" s="151">
        <f t="shared" si="6"/>
        <v>1.0768699961071209</v>
      </c>
      <c r="N20" s="151">
        <f t="shared" si="6"/>
        <v>1.1037917460097988</v>
      </c>
      <c r="O20" s="151">
        <f t="shared" si="6"/>
        <v>1.1313865396600438</v>
      </c>
      <c r="P20" s="126"/>
      <c r="Q20" s="126"/>
      <c r="R20" s="126"/>
      <c r="U20" s="127"/>
      <c r="V20" s="138"/>
      <c r="X20" s="167">
        <f>NPV(Rate_of_Return,F20:O20)</f>
        <v>6.8328486483833712</v>
      </c>
      <c r="Y20" s="167">
        <f>-PMT(Rate_of_Return,10,X20)</f>
        <v>1.0000000000000002</v>
      </c>
      <c r="Z20" s="127"/>
      <c r="AA20" s="127"/>
    </row>
    <row r="21" spans="2:27" x14ac:dyDescent="0.25">
      <c r="C21" s="121"/>
      <c r="D21" s="121"/>
      <c r="E21" s="148"/>
      <c r="F21" s="148"/>
      <c r="G21" s="148"/>
      <c r="H21" s="148"/>
      <c r="I21" s="148"/>
      <c r="J21" s="148"/>
      <c r="K21" s="148"/>
      <c r="L21" s="148"/>
      <c r="M21" s="149"/>
      <c r="N21" s="149"/>
      <c r="O21" s="149"/>
      <c r="P21" s="126"/>
      <c r="Q21" s="126"/>
      <c r="R21" s="126"/>
      <c r="S21" s="126"/>
      <c r="T21" s="126"/>
      <c r="U21" s="127"/>
      <c r="W21" s="121"/>
      <c r="X21" s="121"/>
    </row>
    <row r="22" spans="2:27" x14ac:dyDescent="0.25">
      <c r="B22" s="139" t="s">
        <v>13</v>
      </c>
      <c r="C22" s="140"/>
      <c r="D22" s="141"/>
      <c r="E22" s="141"/>
      <c r="F22" s="141"/>
      <c r="G22" s="141"/>
      <c r="H22" s="141"/>
      <c r="I22" s="141"/>
      <c r="J22" s="141"/>
      <c r="K22" s="141"/>
      <c r="L22" s="141"/>
      <c r="M22" s="141"/>
      <c r="N22" s="141"/>
      <c r="O22" s="141"/>
      <c r="Y22" s="136"/>
    </row>
    <row r="23" spans="2:27" x14ac:dyDescent="0.25">
      <c r="B23" s="142">
        <v>1</v>
      </c>
      <c r="C23" s="141" t="s">
        <v>53</v>
      </c>
      <c r="D23" s="141"/>
      <c r="E23" s="141"/>
      <c r="F23" s="141"/>
      <c r="G23" s="141"/>
      <c r="H23" s="141"/>
      <c r="I23" s="141"/>
      <c r="J23" s="141"/>
      <c r="K23" s="141"/>
      <c r="L23" s="141"/>
      <c r="M23" s="141"/>
      <c r="N23" s="141"/>
      <c r="O23" s="141"/>
      <c r="Y23" s="132"/>
    </row>
    <row r="24" spans="2:27" x14ac:dyDescent="0.25">
      <c r="B24" s="142">
        <v>2</v>
      </c>
      <c r="C24" s="141" t="s">
        <v>168</v>
      </c>
      <c r="D24" s="141"/>
      <c r="E24" s="141"/>
      <c r="F24" s="141"/>
      <c r="G24" s="141"/>
      <c r="H24" s="141"/>
      <c r="I24" s="141"/>
      <c r="J24" s="141"/>
      <c r="K24" s="141"/>
      <c r="L24" s="141"/>
      <c r="M24" s="141"/>
      <c r="N24" s="141"/>
      <c r="O24" s="141"/>
      <c r="Y24" s="133"/>
    </row>
    <row r="25" spans="2:27" x14ac:dyDescent="0.25">
      <c r="B25" s="142">
        <v>3</v>
      </c>
      <c r="C25" s="141" t="s">
        <v>52</v>
      </c>
      <c r="D25" s="141"/>
      <c r="E25" s="141"/>
      <c r="F25" s="141"/>
      <c r="G25" s="141"/>
      <c r="H25" s="141"/>
      <c r="I25" s="141"/>
      <c r="J25" s="141"/>
      <c r="K25" s="141"/>
      <c r="L25" s="141"/>
      <c r="M25" s="141"/>
      <c r="N25" s="141"/>
      <c r="O25" s="141"/>
      <c r="Y25" s="143"/>
    </row>
    <row r="26" spans="2:27" x14ac:dyDescent="0.25">
      <c r="B26" s="142">
        <v>4</v>
      </c>
      <c r="C26" s="141" t="s">
        <v>165</v>
      </c>
      <c r="D26" s="141"/>
      <c r="E26" s="141"/>
      <c r="F26" s="141"/>
      <c r="G26" s="141"/>
      <c r="H26" s="141"/>
      <c r="I26" s="141"/>
      <c r="J26" s="141"/>
      <c r="K26" s="141"/>
      <c r="L26" s="141"/>
      <c r="M26" s="141"/>
      <c r="N26" s="141"/>
      <c r="O26" s="141"/>
      <c r="Y26" s="143"/>
    </row>
    <row r="27" spans="2:27" x14ac:dyDescent="0.25">
      <c r="B27" s="142">
        <v>5</v>
      </c>
      <c r="C27" s="141" t="s">
        <v>116</v>
      </c>
      <c r="D27" s="141"/>
      <c r="E27" s="141"/>
      <c r="F27" s="141"/>
      <c r="G27" s="141"/>
      <c r="H27" s="141"/>
      <c r="I27" s="141"/>
      <c r="J27" s="141"/>
      <c r="K27" s="141"/>
      <c r="L27" s="141"/>
      <c r="M27" s="141"/>
      <c r="N27" s="141"/>
      <c r="O27" s="141"/>
      <c r="Y27" s="132"/>
    </row>
    <row r="28" spans="2:27" x14ac:dyDescent="0.25">
      <c r="B28" s="142">
        <v>6</v>
      </c>
      <c r="C28" s="141" t="s">
        <v>117</v>
      </c>
      <c r="D28" s="141"/>
      <c r="E28" s="141"/>
      <c r="F28" s="141"/>
      <c r="G28" s="141"/>
      <c r="H28" s="141"/>
      <c r="I28" s="141"/>
      <c r="J28" s="141"/>
      <c r="K28" s="141"/>
      <c r="L28" s="141"/>
      <c r="M28" s="141"/>
      <c r="N28" s="141"/>
      <c r="O28" s="141"/>
      <c r="Y28" s="133"/>
    </row>
    <row r="29" spans="2:27" x14ac:dyDescent="0.25">
      <c r="B29" s="142">
        <v>7</v>
      </c>
      <c r="C29" s="141" t="s">
        <v>118</v>
      </c>
      <c r="D29" s="141"/>
      <c r="E29" s="141"/>
      <c r="F29" s="141"/>
      <c r="G29" s="141"/>
      <c r="H29" s="141"/>
      <c r="I29" s="141"/>
      <c r="J29" s="141"/>
      <c r="K29" s="141"/>
      <c r="L29" s="141"/>
      <c r="M29" s="141"/>
      <c r="N29" s="141"/>
      <c r="O29" s="141"/>
      <c r="P29" s="141"/>
      <c r="Q29" s="141"/>
    </row>
    <row r="30" spans="2:27" x14ac:dyDescent="0.25">
      <c r="B30" s="142">
        <v>8</v>
      </c>
      <c r="C30" s="141" t="s">
        <v>62</v>
      </c>
      <c r="D30" s="141"/>
      <c r="E30" s="141"/>
      <c r="F30" s="141"/>
      <c r="G30" s="141"/>
      <c r="H30" s="141"/>
      <c r="I30" s="141"/>
      <c r="J30" s="141"/>
      <c r="K30" s="141"/>
      <c r="L30" s="141"/>
      <c r="M30" s="141"/>
      <c r="N30" s="141"/>
      <c r="O30" s="141"/>
      <c r="P30" s="141"/>
      <c r="Q30" s="141"/>
    </row>
    <row r="31" spans="2:27" x14ac:dyDescent="0.25">
      <c r="B31" s="142">
        <v>9</v>
      </c>
      <c r="C31" s="141" t="s">
        <v>119</v>
      </c>
      <c r="D31" s="141"/>
      <c r="E31" s="141"/>
      <c r="F31" s="141"/>
      <c r="G31" s="141"/>
      <c r="H31" s="141"/>
      <c r="I31" s="141"/>
      <c r="J31" s="141"/>
      <c r="K31" s="141"/>
      <c r="L31" s="141"/>
      <c r="M31" s="141"/>
      <c r="N31" s="141"/>
      <c r="O31" s="141"/>
      <c r="P31" s="141"/>
      <c r="Q31" s="141"/>
    </row>
    <row r="32" spans="2:27" x14ac:dyDescent="0.25">
      <c r="B32" s="142">
        <v>10</v>
      </c>
      <c r="C32" s="59" t="s">
        <v>120</v>
      </c>
    </row>
    <row r="33" spans="2:20" x14ac:dyDescent="0.25">
      <c r="B33" s="142">
        <v>11</v>
      </c>
      <c r="C33" s="59" t="s">
        <v>166</v>
      </c>
    </row>
    <row r="34" spans="2:20" ht="15.6" x14ac:dyDescent="0.3">
      <c r="B34" s="144"/>
      <c r="C34" s="5"/>
      <c r="D34" s="5"/>
      <c r="E34" s="5"/>
      <c r="F34" s="5"/>
    </row>
    <row r="35" spans="2:20" ht="15.6" x14ac:dyDescent="0.3">
      <c r="B35" s="144"/>
      <c r="C35" s="5"/>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zoomScale="70" zoomScaleNormal="70" workbookViewId="0">
      <selection activeCell="C25" sqref="C25"/>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30" width="12.33203125" style="59" customWidth="1"/>
    <col min="31" max="16384" width="9.109375" style="59"/>
  </cols>
  <sheetData>
    <row r="2" spans="2:31" ht="19.5" customHeight="1" x14ac:dyDescent="0.3">
      <c r="C2" s="231" t="s">
        <v>121</v>
      </c>
      <c r="D2" s="231"/>
      <c r="E2" s="231"/>
      <c r="F2" s="231"/>
      <c r="G2" s="231"/>
      <c r="H2" s="231"/>
      <c r="I2" s="231"/>
      <c r="J2" s="231"/>
      <c r="K2" s="231"/>
      <c r="L2" s="231"/>
    </row>
    <row r="3" spans="2:31" ht="15.6" x14ac:dyDescent="0.3">
      <c r="C3" s="48" t="s">
        <v>122</v>
      </c>
    </row>
    <row r="4" spans="2:31" s="118" customFormat="1" ht="45" x14ac:dyDescent="0.25">
      <c r="B4" s="117"/>
      <c r="C4" s="152" t="s">
        <v>0</v>
      </c>
      <c r="D4" s="152"/>
      <c r="E4" s="152" t="s">
        <v>1</v>
      </c>
      <c r="F4" s="152" t="s">
        <v>2</v>
      </c>
      <c r="G4" s="152" t="s">
        <v>3</v>
      </c>
      <c r="H4" s="152" t="s">
        <v>4</v>
      </c>
      <c r="I4" s="152" t="s">
        <v>5</v>
      </c>
      <c r="J4" s="152" t="s">
        <v>6</v>
      </c>
      <c r="K4" s="152" t="s">
        <v>7</v>
      </c>
      <c r="L4" s="153" t="s">
        <v>14</v>
      </c>
      <c r="M4" s="153"/>
    </row>
    <row r="5" spans="2:31" ht="15.6" thickBot="1" x14ac:dyDescent="0.3">
      <c r="C5" s="155"/>
      <c r="D5" s="156"/>
      <c r="E5" s="157">
        <v>15</v>
      </c>
      <c r="F5" s="158">
        <v>1</v>
      </c>
      <c r="G5" s="159" t="s">
        <v>8</v>
      </c>
      <c r="H5" s="160">
        <f>'Electric EES CE Std Energy'!D23</f>
        <v>2.2664104755183958E-2</v>
      </c>
      <c r="I5" s="161">
        <f>'Baseload Avoided Capacity Calcs'!X21</f>
        <v>9.0980830590520045E-3</v>
      </c>
      <c r="J5" s="161">
        <f>H5+I5</f>
        <v>3.1762187814235961E-2</v>
      </c>
      <c r="K5" s="162">
        <f>J5</f>
        <v>3.1762187814235961E-2</v>
      </c>
      <c r="L5" s="163">
        <f>K5*1000</f>
        <v>31.762187814235961</v>
      </c>
      <c r="M5" s="146"/>
    </row>
    <row r="6" spans="2:31" ht="16.2" thickBot="1" x14ac:dyDescent="0.35">
      <c r="C6" s="154"/>
      <c r="D6" s="154"/>
      <c r="E6" s="121"/>
      <c r="F6" s="121"/>
      <c r="G6" s="121"/>
      <c r="H6" s="33">
        <f>H5*1000</f>
        <v>22.664104755183956</v>
      </c>
      <c r="I6" s="33">
        <f t="shared" ref="I6:K6" si="0">I5*1000</f>
        <v>9.098083059052005</v>
      </c>
      <c r="J6" s="33">
        <f t="shared" si="0"/>
        <v>31.762187814235961</v>
      </c>
      <c r="K6" s="33">
        <f t="shared" si="0"/>
        <v>31.762187814235961</v>
      </c>
      <c r="L6" s="342">
        <f>L5*(1-M6)</f>
        <v>30.809322179808881</v>
      </c>
      <c r="M6" s="317">
        <v>0.03</v>
      </c>
      <c r="N6" s="124" t="s">
        <v>42</v>
      </c>
    </row>
    <row r="7" spans="2:31" x14ac:dyDescent="0.25">
      <c r="C7" s="125"/>
      <c r="D7" s="122"/>
      <c r="H7" s="44"/>
      <c r="I7" s="120"/>
      <c r="J7" s="44"/>
      <c r="K7" s="120"/>
      <c r="L7" s="120"/>
      <c r="M7" s="121"/>
    </row>
    <row r="8" spans="2:31" ht="15.6" x14ac:dyDescent="0.3">
      <c r="C8" s="121"/>
      <c r="D8" s="121"/>
      <c r="E8" s="121"/>
      <c r="F8" s="121"/>
      <c r="G8" s="121"/>
      <c r="H8" s="126"/>
      <c r="I8" s="126"/>
      <c r="J8" s="126"/>
      <c r="K8" s="126"/>
      <c r="L8" s="126"/>
      <c r="M8" s="126"/>
      <c r="N8" s="126"/>
      <c r="O8" s="126"/>
      <c r="P8" s="126"/>
      <c r="Q8" s="126"/>
      <c r="R8" s="126"/>
      <c r="S8" s="126"/>
      <c r="T8" s="126"/>
      <c r="U8" s="127"/>
      <c r="V8" s="127"/>
      <c r="W8" s="127"/>
      <c r="X8" s="214" t="s">
        <v>95</v>
      </c>
      <c r="Y8" s="127"/>
      <c r="Z8" s="127"/>
      <c r="AA8" s="127"/>
      <c r="AB8" s="127"/>
      <c r="AC8" s="126"/>
      <c r="AD8" s="121"/>
    </row>
    <row r="9" spans="2:31" x14ac:dyDescent="0.25">
      <c r="C9" s="128" t="s">
        <v>9</v>
      </c>
      <c r="D9" s="128"/>
      <c r="E9" s="128"/>
      <c r="F9" s="129">
        <f>+L6</f>
        <v>30.809322179808881</v>
      </c>
      <c r="G9" s="129">
        <f t="shared" ref="G9:T9" si="1">F9</f>
        <v>30.809322179808881</v>
      </c>
      <c r="H9" s="129">
        <f t="shared" si="1"/>
        <v>30.809322179808881</v>
      </c>
      <c r="I9" s="129">
        <f t="shared" si="1"/>
        <v>30.809322179808881</v>
      </c>
      <c r="J9" s="129">
        <f t="shared" si="1"/>
        <v>30.809322179808881</v>
      </c>
      <c r="K9" s="129">
        <f t="shared" si="1"/>
        <v>30.809322179808881</v>
      </c>
      <c r="L9" s="129">
        <f t="shared" si="1"/>
        <v>30.809322179808881</v>
      </c>
      <c r="M9" s="129">
        <f t="shared" si="1"/>
        <v>30.809322179808881</v>
      </c>
      <c r="N9" s="129">
        <f t="shared" si="1"/>
        <v>30.809322179808881</v>
      </c>
      <c r="O9" s="129">
        <f t="shared" si="1"/>
        <v>30.809322179808881</v>
      </c>
      <c r="P9" s="129">
        <f t="shared" si="1"/>
        <v>30.809322179808881</v>
      </c>
      <c r="Q9" s="129">
        <f t="shared" si="1"/>
        <v>30.809322179808881</v>
      </c>
      <c r="R9" s="129">
        <f t="shared" si="1"/>
        <v>30.809322179808881</v>
      </c>
      <c r="S9" s="129">
        <f t="shared" si="1"/>
        <v>30.809322179808881</v>
      </c>
      <c r="T9" s="129">
        <f t="shared" si="1"/>
        <v>30.809322179808881</v>
      </c>
      <c r="U9" s="44"/>
      <c r="V9" s="44"/>
      <c r="W9" s="44"/>
      <c r="X9" s="213">
        <f>NPV(Rate_of_Return,F9:T9)</f>
        <v>270.27675534393916</v>
      </c>
      <c r="Y9" s="213">
        <f>-PMT(Rate_of_Return,15,X9)</f>
        <v>30.80932217980887</v>
      </c>
      <c r="Z9" s="44"/>
      <c r="AA9" s="44"/>
      <c r="AB9" s="44"/>
    </row>
    <row r="10" spans="2:31" x14ac:dyDescent="0.25">
      <c r="C10" s="121"/>
      <c r="D10" s="121"/>
      <c r="E10" s="121"/>
      <c r="F10" s="130"/>
      <c r="G10" s="130"/>
      <c r="H10" s="130"/>
      <c r="I10" s="130"/>
      <c r="J10" s="130"/>
      <c r="K10" s="130"/>
      <c r="L10" s="130"/>
      <c r="M10" s="130"/>
      <c r="N10" s="130"/>
      <c r="O10" s="130"/>
      <c r="P10" s="130"/>
      <c r="Q10" s="130"/>
      <c r="R10" s="130"/>
      <c r="S10" s="130"/>
      <c r="T10" s="130"/>
      <c r="U10" s="44"/>
      <c r="V10" s="44"/>
      <c r="W10" s="44"/>
      <c r="X10" s="33"/>
      <c r="Y10" s="33"/>
      <c r="Z10" s="44"/>
      <c r="AA10" s="44"/>
      <c r="AB10" s="44"/>
    </row>
    <row r="11" spans="2:31" x14ac:dyDescent="0.25">
      <c r="C11" s="59" t="s">
        <v>68</v>
      </c>
      <c r="F11" s="226">
        <v>1</v>
      </c>
      <c r="G11" s="226">
        <v>2</v>
      </c>
      <c r="H11" s="226">
        <v>3</v>
      </c>
      <c r="I11" s="226">
        <v>4</v>
      </c>
      <c r="J11" s="226">
        <v>5</v>
      </c>
      <c r="K11" s="226">
        <v>6</v>
      </c>
      <c r="L11" s="226">
        <v>7</v>
      </c>
      <c r="M11" s="226">
        <v>8</v>
      </c>
      <c r="N11" s="226">
        <v>9</v>
      </c>
      <c r="O11" s="226">
        <v>10</v>
      </c>
      <c r="P11" s="226">
        <v>11</v>
      </c>
      <c r="Q11" s="226">
        <v>12</v>
      </c>
      <c r="R11" s="226">
        <v>13</v>
      </c>
      <c r="S11" s="226">
        <v>14</v>
      </c>
      <c r="T11" s="226">
        <v>15</v>
      </c>
      <c r="U11" s="226">
        <v>16</v>
      </c>
      <c r="V11" s="226">
        <v>17</v>
      </c>
      <c r="W11" s="44"/>
      <c r="X11" s="44"/>
      <c r="Y11" s="44"/>
      <c r="Z11" s="44"/>
      <c r="AA11" s="44"/>
      <c r="AB11" s="44"/>
    </row>
    <row r="12" spans="2:31" ht="15.6" x14ac:dyDescent="0.3">
      <c r="C12" s="121"/>
      <c r="D12" s="119"/>
      <c r="E12" s="121"/>
      <c r="F12" s="131">
        <f>'Energy Prices'!$C$6</f>
        <v>2019</v>
      </c>
      <c r="G12" s="131">
        <f>F12+1</f>
        <v>2020</v>
      </c>
      <c r="H12" s="131">
        <f>G12+1</f>
        <v>2021</v>
      </c>
      <c r="I12" s="131">
        <f t="shared" ref="I12:T12" si="2">H12+1</f>
        <v>2022</v>
      </c>
      <c r="J12" s="131">
        <f t="shared" si="2"/>
        <v>2023</v>
      </c>
      <c r="K12" s="131">
        <f t="shared" si="2"/>
        <v>2024</v>
      </c>
      <c r="L12" s="131">
        <f t="shared" si="2"/>
        <v>2025</v>
      </c>
      <c r="M12" s="131">
        <f t="shared" si="2"/>
        <v>2026</v>
      </c>
      <c r="N12" s="131">
        <f t="shared" si="2"/>
        <v>2027</v>
      </c>
      <c r="O12" s="131">
        <f t="shared" si="2"/>
        <v>2028</v>
      </c>
      <c r="P12" s="131">
        <f t="shared" si="2"/>
        <v>2029</v>
      </c>
      <c r="Q12" s="131">
        <f t="shared" si="2"/>
        <v>2030</v>
      </c>
      <c r="R12" s="131">
        <f t="shared" si="2"/>
        <v>2031</v>
      </c>
      <c r="S12" s="131">
        <f t="shared" si="2"/>
        <v>2032</v>
      </c>
      <c r="T12" s="131">
        <f t="shared" si="2"/>
        <v>2033</v>
      </c>
      <c r="U12" s="131">
        <f>T12+1</f>
        <v>2034</v>
      </c>
      <c r="V12" s="131">
        <f>U12+1</f>
        <v>2035</v>
      </c>
      <c r="W12" s="220"/>
      <c r="X12" s="214" t="s">
        <v>95</v>
      </c>
      <c r="Y12" s="33"/>
      <c r="Z12" s="127"/>
      <c r="AA12" s="127"/>
      <c r="AB12" s="127"/>
    </row>
    <row r="13" spans="2:31" ht="52.5" customHeight="1" x14ac:dyDescent="0.25">
      <c r="B13" s="121"/>
      <c r="C13" s="227" t="s">
        <v>153</v>
      </c>
      <c r="D13" s="121"/>
      <c r="F13" s="164">
        <f>F$9*F$20</f>
        <v>26.646074206451239</v>
      </c>
      <c r="G13" s="165">
        <f t="shared" ref="G13:T13" si="3">G$9*G$20</f>
        <v>27.312226061612517</v>
      </c>
      <c r="H13" s="166">
        <f t="shared" si="3"/>
        <v>27.995031713152827</v>
      </c>
      <c r="I13" s="166">
        <f t="shared" si="3"/>
        <v>28.694907505981647</v>
      </c>
      <c r="J13" s="166">
        <f t="shared" si="3"/>
        <v>29.412280193631183</v>
      </c>
      <c r="K13" s="166">
        <f t="shared" si="3"/>
        <v>30.147587198471964</v>
      </c>
      <c r="L13" s="166">
        <f t="shared" si="3"/>
        <v>30.901276878433755</v>
      </c>
      <c r="M13" s="166">
        <f t="shared" si="3"/>
        <v>31.6738088003946</v>
      </c>
      <c r="N13" s="166">
        <f t="shared" si="3"/>
        <v>32.465654020404457</v>
      </c>
      <c r="O13" s="166">
        <f t="shared" si="3"/>
        <v>33.277295370914565</v>
      </c>
      <c r="P13" s="166">
        <f t="shared" si="3"/>
        <v>34.109227755187433</v>
      </c>
      <c r="Q13" s="166">
        <f t="shared" si="3"/>
        <v>34.961958449067112</v>
      </c>
      <c r="R13" s="166">
        <f t="shared" si="3"/>
        <v>35.836007410293789</v>
      </c>
      <c r="S13" s="166">
        <f t="shared" si="3"/>
        <v>36.731907595551121</v>
      </c>
      <c r="T13" s="166">
        <f t="shared" si="3"/>
        <v>37.650205285439895</v>
      </c>
      <c r="U13" s="219">
        <f>T13*1.025</f>
        <v>38.591460417575888</v>
      </c>
      <c r="V13" s="219">
        <f>U13*1.025</f>
        <v>39.556246928015284</v>
      </c>
      <c r="W13" s="133"/>
      <c r="X13" s="213">
        <f>NPV(Rate_of_Return,F13:T13)</f>
        <v>270.27675534393927</v>
      </c>
      <c r="Y13" s="213">
        <f>-PMT(Rate_of_Return,15,X13)</f>
        <v>30.809322179808881</v>
      </c>
      <c r="Z13" s="133"/>
      <c r="AA13" s="133"/>
      <c r="AB13" s="133"/>
      <c r="AE13" s="134"/>
    </row>
    <row r="14" spans="2:31" x14ac:dyDescent="0.25">
      <c r="C14" s="132"/>
      <c r="E14" s="135"/>
      <c r="F14" s="133"/>
      <c r="G14" s="133"/>
      <c r="H14" s="133"/>
      <c r="I14" s="133"/>
      <c r="J14" s="133"/>
      <c r="K14" s="133"/>
      <c r="L14" s="133"/>
      <c r="M14" s="133"/>
      <c r="N14" s="133"/>
      <c r="O14" s="133"/>
      <c r="P14" s="133"/>
      <c r="Q14" s="133"/>
      <c r="R14" s="133"/>
      <c r="S14" s="133"/>
      <c r="T14" s="133"/>
      <c r="U14" s="133"/>
      <c r="V14" s="133"/>
      <c r="W14" s="133"/>
      <c r="X14" s="127"/>
      <c r="Y14" s="127"/>
      <c r="Z14" s="127"/>
      <c r="AA14" s="127"/>
      <c r="AB14" s="127"/>
      <c r="AC14" s="126"/>
      <c r="AD14" s="121"/>
    </row>
    <row r="15" spans="2:31" x14ac:dyDescent="0.25">
      <c r="C15" s="136"/>
      <c r="E15" s="135"/>
      <c r="F15" s="133"/>
      <c r="G15" s="133"/>
      <c r="H15" s="133"/>
      <c r="I15" s="133"/>
      <c r="J15" s="133"/>
      <c r="K15" s="133"/>
      <c r="L15" s="133"/>
      <c r="M15" s="133"/>
      <c r="N15" s="133"/>
      <c r="O15" s="133"/>
      <c r="P15" s="133"/>
      <c r="Q15" s="133"/>
      <c r="R15" s="133"/>
      <c r="S15" s="133"/>
      <c r="T15" s="133"/>
      <c r="U15" s="133"/>
      <c r="V15" s="133"/>
      <c r="W15" s="133"/>
      <c r="X15" s="127"/>
      <c r="Y15" s="127"/>
      <c r="Z15" s="127"/>
      <c r="AA15" s="127"/>
      <c r="AB15" s="127"/>
      <c r="AC15" s="127"/>
    </row>
    <row r="16" spans="2:31" x14ac:dyDescent="0.25">
      <c r="C16" s="59" t="s">
        <v>10</v>
      </c>
      <c r="Q16" s="127"/>
      <c r="R16" s="127"/>
    </row>
    <row r="17" spans="2:28" x14ac:dyDescent="0.25">
      <c r="Q17" s="127"/>
      <c r="R17" s="127"/>
    </row>
    <row r="18" spans="2:28" ht="15.6" x14ac:dyDescent="0.3">
      <c r="C18" s="121"/>
      <c r="D18" s="121"/>
      <c r="E18" s="121"/>
      <c r="F18" s="121"/>
      <c r="G18" s="121"/>
      <c r="H18" s="121"/>
      <c r="I18" s="121"/>
      <c r="J18" s="121"/>
      <c r="K18" s="121"/>
      <c r="L18" s="121"/>
      <c r="M18" s="121"/>
      <c r="N18" s="121"/>
      <c r="O18" s="121"/>
      <c r="P18" s="121"/>
      <c r="Q18" s="126"/>
      <c r="R18" s="126"/>
      <c r="S18" s="121"/>
      <c r="T18" s="121"/>
      <c r="X18" s="214" t="s">
        <v>95</v>
      </c>
      <c r="Y18" s="121"/>
    </row>
    <row r="19" spans="2:28" x14ac:dyDescent="0.25">
      <c r="C19" s="128" t="s">
        <v>11</v>
      </c>
      <c r="D19" s="128"/>
      <c r="E19" s="128"/>
      <c r="F19" s="147">
        <v>100</v>
      </c>
      <c r="G19" s="147">
        <f t="shared" ref="G19:T19" si="4">F19*1.025</f>
        <v>102.49999999999999</v>
      </c>
      <c r="H19" s="147">
        <f t="shared" si="4"/>
        <v>105.06249999999997</v>
      </c>
      <c r="I19" s="147">
        <f t="shared" si="4"/>
        <v>107.68906249999996</v>
      </c>
      <c r="J19" s="147">
        <f t="shared" si="4"/>
        <v>110.38128906249996</v>
      </c>
      <c r="K19" s="147">
        <f t="shared" si="4"/>
        <v>113.14082128906244</v>
      </c>
      <c r="L19" s="147">
        <f t="shared" si="4"/>
        <v>115.96934182128899</v>
      </c>
      <c r="M19" s="147">
        <f t="shared" si="4"/>
        <v>118.8685753668212</v>
      </c>
      <c r="N19" s="147">
        <f t="shared" si="4"/>
        <v>121.84028975099173</v>
      </c>
      <c r="O19" s="147">
        <f t="shared" si="4"/>
        <v>124.88629699476651</v>
      </c>
      <c r="P19" s="147">
        <f t="shared" si="4"/>
        <v>128.00845441963565</v>
      </c>
      <c r="Q19" s="147">
        <f t="shared" si="4"/>
        <v>131.20866578012652</v>
      </c>
      <c r="R19" s="147">
        <f t="shared" si="4"/>
        <v>134.48888242462968</v>
      </c>
      <c r="S19" s="147">
        <f t="shared" si="4"/>
        <v>137.8511044852454</v>
      </c>
      <c r="T19" s="147">
        <f t="shared" si="4"/>
        <v>141.29738209737653</v>
      </c>
      <c r="U19" s="137"/>
      <c r="V19" s="137"/>
      <c r="W19" s="137"/>
      <c r="X19" s="168">
        <f>NPV(Rate_of_Return,F19:T19)</f>
        <v>1014.3211088052249</v>
      </c>
      <c r="Y19" s="168">
        <f>-PMT(Rate_of_Return,15,X19)</f>
        <v>115.62424521188822</v>
      </c>
      <c r="Z19" s="127"/>
      <c r="AA19" s="127"/>
      <c r="AB19" s="127"/>
    </row>
    <row r="20" spans="2:28" x14ac:dyDescent="0.25">
      <c r="C20" s="150" t="s">
        <v>12</v>
      </c>
      <c r="D20" s="150"/>
      <c r="E20" s="150"/>
      <c r="F20" s="151">
        <f>F19/$Y$19</f>
        <v>0.86487051065063492</v>
      </c>
      <c r="G20" s="151">
        <f t="shared" ref="G20:T20" si="5">G19/$Y$19</f>
        <v>0.88649227341690073</v>
      </c>
      <c r="H20" s="151">
        <f t="shared" si="5"/>
        <v>0.90865458025232315</v>
      </c>
      <c r="I20" s="151">
        <f t="shared" si="5"/>
        <v>0.93137094475863114</v>
      </c>
      <c r="J20" s="151">
        <f t="shared" si="5"/>
        <v>0.95465521837759681</v>
      </c>
      <c r="K20" s="151">
        <f t="shared" si="5"/>
        <v>0.97852159883703671</v>
      </c>
      <c r="L20" s="151">
        <f t="shared" si="5"/>
        <v>1.0029846388079624</v>
      </c>
      <c r="M20" s="151">
        <f t="shared" si="5"/>
        <v>1.0280592547781615</v>
      </c>
      <c r="N20" s="151">
        <f t="shared" si="5"/>
        <v>1.0537607361476153</v>
      </c>
      <c r="O20" s="151">
        <f t="shared" si="5"/>
        <v>1.0801047545513056</v>
      </c>
      <c r="P20" s="151">
        <f t="shared" si="5"/>
        <v>1.1071073734150882</v>
      </c>
      <c r="Q20" s="151">
        <f t="shared" si="5"/>
        <v>1.1347850577504652</v>
      </c>
      <c r="R20" s="151">
        <f t="shared" si="5"/>
        <v>1.1631546841942269</v>
      </c>
      <c r="S20" s="151">
        <f t="shared" si="5"/>
        <v>1.1922335512990823</v>
      </c>
      <c r="T20" s="151">
        <f t="shared" si="5"/>
        <v>1.2220393900815592</v>
      </c>
      <c r="U20" s="138"/>
      <c r="V20" s="138"/>
      <c r="W20" s="138"/>
      <c r="X20" s="167">
        <f>NPV(Rate_of_Return,F20:T20)</f>
        <v>8.7725641533609284</v>
      </c>
      <c r="Y20" s="167">
        <f>-PMT(Rate_of_Return,15,X20)</f>
        <v>0.99999999999999967</v>
      </c>
      <c r="Z20" s="127"/>
      <c r="AA20" s="127"/>
      <c r="AB20" s="127"/>
    </row>
    <row r="21" spans="2:28" x14ac:dyDescent="0.25">
      <c r="C21" s="121"/>
      <c r="D21" s="121"/>
      <c r="E21" s="148"/>
      <c r="F21" s="148"/>
      <c r="G21" s="148"/>
      <c r="H21" s="148"/>
      <c r="I21" s="148"/>
      <c r="J21" s="148"/>
      <c r="K21" s="148"/>
      <c r="L21" s="148"/>
      <c r="M21" s="149"/>
      <c r="N21" s="149"/>
      <c r="O21" s="149"/>
      <c r="P21" s="149"/>
      <c r="Q21" s="149"/>
      <c r="R21" s="149"/>
      <c r="S21" s="149"/>
      <c r="T21" s="149"/>
      <c r="X21" s="121"/>
      <c r="Y21" s="121"/>
    </row>
    <row r="22" spans="2:28" x14ac:dyDescent="0.25">
      <c r="B22" s="139" t="s">
        <v>13</v>
      </c>
      <c r="C22" s="140"/>
      <c r="D22" s="141"/>
      <c r="E22" s="141"/>
      <c r="F22" s="141"/>
      <c r="G22" s="141"/>
      <c r="H22" s="141"/>
      <c r="I22" s="141"/>
      <c r="J22" s="141"/>
      <c r="K22" s="141"/>
      <c r="L22" s="141"/>
      <c r="M22" s="141"/>
      <c r="N22" s="141"/>
      <c r="O22" s="141"/>
      <c r="Z22" s="136"/>
    </row>
    <row r="23" spans="2:28" x14ac:dyDescent="0.25">
      <c r="B23" s="142">
        <v>1</v>
      </c>
      <c r="C23" s="141" t="s">
        <v>53</v>
      </c>
      <c r="D23" s="141"/>
      <c r="E23" s="141"/>
      <c r="F23" s="141"/>
      <c r="G23" s="141"/>
      <c r="H23" s="141"/>
      <c r="I23" s="141"/>
      <c r="J23" s="141"/>
      <c r="K23" s="141"/>
      <c r="L23" s="141"/>
      <c r="M23" s="141"/>
      <c r="N23" s="141"/>
      <c r="O23" s="141"/>
      <c r="Z23" s="132"/>
    </row>
    <row r="24" spans="2:28" x14ac:dyDescent="0.25">
      <c r="B24" s="142">
        <v>2</v>
      </c>
      <c r="C24" s="141" t="s">
        <v>168</v>
      </c>
      <c r="D24" s="141"/>
      <c r="E24" s="141"/>
      <c r="F24" s="141"/>
      <c r="G24" s="141"/>
      <c r="H24" s="141"/>
      <c r="I24" s="141"/>
      <c r="J24" s="141"/>
      <c r="K24" s="141"/>
      <c r="L24" s="141"/>
      <c r="M24" s="141"/>
      <c r="N24" s="141"/>
      <c r="O24" s="141"/>
      <c r="Z24" s="133"/>
    </row>
    <row r="25" spans="2:28" x14ac:dyDescent="0.25">
      <c r="B25" s="142">
        <v>3</v>
      </c>
      <c r="C25" s="141" t="s">
        <v>52</v>
      </c>
      <c r="D25" s="141"/>
      <c r="E25" s="141"/>
      <c r="F25" s="141"/>
      <c r="G25" s="141"/>
      <c r="H25" s="141"/>
      <c r="I25" s="141"/>
      <c r="J25" s="141"/>
      <c r="K25" s="141"/>
      <c r="L25" s="141"/>
      <c r="M25" s="141"/>
      <c r="N25" s="141"/>
      <c r="O25" s="141"/>
      <c r="Z25" s="143"/>
    </row>
    <row r="26" spans="2:28" x14ac:dyDescent="0.25">
      <c r="B26" s="142">
        <v>4</v>
      </c>
      <c r="C26" s="141" t="s">
        <v>165</v>
      </c>
      <c r="D26" s="141"/>
      <c r="E26" s="141"/>
      <c r="F26" s="141"/>
      <c r="G26" s="141"/>
      <c r="H26" s="141"/>
      <c r="I26" s="141"/>
      <c r="J26" s="141"/>
      <c r="K26" s="141"/>
      <c r="L26" s="141"/>
      <c r="M26" s="141"/>
      <c r="N26" s="141"/>
      <c r="O26" s="141"/>
      <c r="Z26" s="143"/>
    </row>
    <row r="27" spans="2:28" x14ac:dyDescent="0.25">
      <c r="B27" s="142">
        <v>5</v>
      </c>
      <c r="C27" s="141" t="s">
        <v>116</v>
      </c>
      <c r="D27" s="141"/>
      <c r="E27" s="141"/>
      <c r="F27" s="141"/>
      <c r="G27" s="141"/>
      <c r="H27" s="141"/>
      <c r="I27" s="141"/>
      <c r="J27" s="141"/>
      <c r="K27" s="141"/>
      <c r="L27" s="141"/>
      <c r="M27" s="141"/>
      <c r="N27" s="141"/>
      <c r="O27" s="141"/>
      <c r="Z27" s="132"/>
    </row>
    <row r="28" spans="2:28" x14ac:dyDescent="0.25">
      <c r="B28" s="142">
        <v>6</v>
      </c>
      <c r="C28" s="141" t="s">
        <v>117</v>
      </c>
      <c r="D28" s="141"/>
      <c r="E28" s="141"/>
      <c r="F28" s="141"/>
      <c r="G28" s="141"/>
      <c r="H28" s="141"/>
      <c r="I28" s="141"/>
      <c r="J28" s="141"/>
      <c r="K28" s="141"/>
      <c r="L28" s="141"/>
      <c r="M28" s="141"/>
      <c r="N28" s="141"/>
      <c r="O28" s="141"/>
      <c r="Z28" s="133"/>
    </row>
    <row r="29" spans="2:28" x14ac:dyDescent="0.25">
      <c r="B29" s="142">
        <v>7</v>
      </c>
      <c r="C29" s="141" t="s">
        <v>118</v>
      </c>
      <c r="D29" s="141"/>
      <c r="E29" s="141"/>
      <c r="F29" s="141"/>
      <c r="G29" s="141"/>
      <c r="H29" s="141"/>
      <c r="I29" s="141"/>
      <c r="J29" s="141"/>
      <c r="K29" s="141"/>
      <c r="L29" s="141"/>
      <c r="M29" s="141"/>
      <c r="N29" s="141"/>
      <c r="O29" s="141"/>
      <c r="P29" s="141"/>
      <c r="Q29" s="141"/>
    </row>
    <row r="30" spans="2:28" x14ac:dyDescent="0.25">
      <c r="B30" s="142">
        <v>8</v>
      </c>
      <c r="C30" s="141" t="s">
        <v>62</v>
      </c>
      <c r="D30" s="141"/>
      <c r="E30" s="141"/>
      <c r="F30" s="141"/>
      <c r="G30" s="141"/>
      <c r="H30" s="141"/>
      <c r="I30" s="141"/>
      <c r="J30" s="141"/>
      <c r="K30" s="141"/>
      <c r="L30" s="141"/>
      <c r="M30" s="141"/>
      <c r="N30" s="141"/>
      <c r="O30" s="141"/>
      <c r="P30" s="141"/>
      <c r="Q30" s="141"/>
    </row>
    <row r="31" spans="2:28" x14ac:dyDescent="0.25">
      <c r="B31" s="142">
        <v>9</v>
      </c>
      <c r="C31" s="141" t="s">
        <v>119</v>
      </c>
      <c r="D31" s="141"/>
      <c r="E31" s="141"/>
      <c r="F31" s="141"/>
      <c r="G31" s="141"/>
      <c r="H31" s="141"/>
      <c r="I31" s="141"/>
      <c r="J31" s="141"/>
      <c r="K31" s="141"/>
      <c r="L31" s="141"/>
      <c r="M31" s="141"/>
      <c r="N31" s="141"/>
      <c r="O31" s="141"/>
      <c r="P31" s="141"/>
      <c r="Q31" s="141"/>
    </row>
    <row r="32" spans="2:28" x14ac:dyDescent="0.25">
      <c r="B32" s="142">
        <v>10</v>
      </c>
      <c r="C32" s="59" t="s">
        <v>120</v>
      </c>
    </row>
    <row r="33" spans="2:20" x14ac:dyDescent="0.25">
      <c r="B33" s="142">
        <v>11</v>
      </c>
      <c r="C33" s="59" t="s">
        <v>166</v>
      </c>
    </row>
    <row r="34" spans="2:20" ht="15.6" x14ac:dyDescent="0.3">
      <c r="B34" s="144"/>
      <c r="C34" s="5"/>
      <c r="D34" s="5"/>
      <c r="E34" s="5"/>
      <c r="F34" s="5"/>
    </row>
    <row r="35" spans="2:20" ht="15.6" x14ac:dyDescent="0.3">
      <c r="B35" s="144"/>
      <c r="C35" s="5"/>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phoneticPr fontId="7" type="noConversion"/>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7" zoomScale="70" zoomScaleNormal="70" workbookViewId="0">
      <selection activeCell="C24" sqref="C24"/>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29" width="12.33203125" style="59" customWidth="1"/>
    <col min="30" max="16384" width="9.109375" style="59"/>
  </cols>
  <sheetData>
    <row r="2" spans="2:30" ht="19.5" customHeight="1" x14ac:dyDescent="0.3">
      <c r="C2" s="231" t="s">
        <v>121</v>
      </c>
      <c r="D2" s="231"/>
      <c r="E2" s="231"/>
      <c r="F2" s="231"/>
      <c r="G2" s="231"/>
      <c r="H2" s="231"/>
      <c r="I2" s="231"/>
      <c r="J2" s="231"/>
      <c r="K2" s="231"/>
      <c r="L2" s="231"/>
    </row>
    <row r="3" spans="2:30" ht="15.6" x14ac:dyDescent="0.3">
      <c r="C3" s="48" t="s">
        <v>50</v>
      </c>
    </row>
    <row r="4" spans="2:30" s="118" customFormat="1" ht="45" x14ac:dyDescent="0.25">
      <c r="B4" s="117"/>
      <c r="C4" s="152" t="s">
        <v>0</v>
      </c>
      <c r="D4" s="152"/>
      <c r="E4" s="152" t="s">
        <v>1</v>
      </c>
      <c r="F4" s="152" t="s">
        <v>2</v>
      </c>
      <c r="G4" s="152" t="s">
        <v>3</v>
      </c>
      <c r="H4" s="152" t="s">
        <v>4</v>
      </c>
      <c r="I4" s="152" t="s">
        <v>5</v>
      </c>
      <c r="J4" s="152" t="s">
        <v>6</v>
      </c>
      <c r="K4" s="152" t="s">
        <v>7</v>
      </c>
      <c r="L4" s="153" t="s">
        <v>14</v>
      </c>
      <c r="M4" s="153"/>
    </row>
    <row r="5" spans="2:30" ht="15.6" thickBot="1" x14ac:dyDescent="0.3">
      <c r="C5" s="155"/>
      <c r="D5" s="156"/>
      <c r="E5" s="157">
        <v>10</v>
      </c>
      <c r="F5" s="158">
        <v>0.16</v>
      </c>
      <c r="G5" s="159" t="s">
        <v>8</v>
      </c>
      <c r="H5" s="160">
        <f>'Electric EES CE Std Energy'!D18</f>
        <v>2.1784188702760568E-2</v>
      </c>
      <c r="I5" s="161">
        <f>'Wind Avoided Capacity Calcs'!X16</f>
        <v>4.7903955116818742E-3</v>
      </c>
      <c r="J5" s="161">
        <f>H5+I5</f>
        <v>2.6574584214442441E-2</v>
      </c>
      <c r="K5" s="162">
        <f>J5</f>
        <v>2.6574584214442441E-2</v>
      </c>
      <c r="L5" s="163">
        <f>K5*1000</f>
        <v>26.574584214442442</v>
      </c>
      <c r="M5" s="146"/>
    </row>
    <row r="6" spans="2:30" ht="16.2" thickBot="1" x14ac:dyDescent="0.35">
      <c r="C6" s="154"/>
      <c r="D6" s="154"/>
      <c r="E6" s="121"/>
      <c r="F6" s="121"/>
      <c r="G6" s="121"/>
      <c r="H6" s="33">
        <f>H5*1000</f>
        <v>21.784188702760567</v>
      </c>
      <c r="I6" s="33">
        <f t="shared" ref="I6:K6" si="0">I5*1000</f>
        <v>4.7903955116818739</v>
      </c>
      <c r="J6" s="33">
        <f t="shared" si="0"/>
        <v>26.574584214442442</v>
      </c>
      <c r="K6" s="33">
        <f t="shared" si="0"/>
        <v>26.574584214442442</v>
      </c>
      <c r="L6" s="342">
        <f>L5*(1-M6)</f>
        <v>25.777346688009168</v>
      </c>
      <c r="M6" s="317">
        <v>0.03</v>
      </c>
      <c r="N6" s="124" t="s">
        <v>42</v>
      </c>
    </row>
    <row r="7" spans="2:30" x14ac:dyDescent="0.25">
      <c r="C7" s="125"/>
      <c r="D7" s="122"/>
      <c r="H7" s="44"/>
      <c r="I7" s="120"/>
      <c r="J7" s="44"/>
      <c r="K7" s="120"/>
      <c r="L7" s="120"/>
      <c r="M7" s="121"/>
    </row>
    <row r="8" spans="2:30" ht="15.6" x14ac:dyDescent="0.3">
      <c r="C8" s="121"/>
      <c r="D8" s="121"/>
      <c r="E8" s="121"/>
      <c r="F8" s="121"/>
      <c r="G8" s="121"/>
      <c r="H8" s="126"/>
      <c r="I8" s="126"/>
      <c r="J8" s="126"/>
      <c r="K8" s="126"/>
      <c r="L8" s="126"/>
      <c r="M8" s="126"/>
      <c r="N8" s="126"/>
      <c r="O8" s="126"/>
      <c r="P8" s="126"/>
      <c r="Q8" s="126"/>
      <c r="R8" s="126"/>
      <c r="U8" s="127"/>
      <c r="V8" s="127"/>
      <c r="X8" s="214" t="s">
        <v>95</v>
      </c>
      <c r="Y8" s="127"/>
      <c r="Z8" s="127"/>
      <c r="AA8" s="127"/>
      <c r="AB8" s="127"/>
    </row>
    <row r="9" spans="2:30" x14ac:dyDescent="0.25">
      <c r="C9" s="128" t="s">
        <v>9</v>
      </c>
      <c r="D9" s="128"/>
      <c r="E9" s="128"/>
      <c r="F9" s="129">
        <f>+L6</f>
        <v>25.777346688009168</v>
      </c>
      <c r="G9" s="129">
        <f t="shared" ref="G9:O9" si="1">F9</f>
        <v>25.777346688009168</v>
      </c>
      <c r="H9" s="129">
        <f t="shared" si="1"/>
        <v>25.777346688009168</v>
      </c>
      <c r="I9" s="129">
        <f t="shared" si="1"/>
        <v>25.777346688009168</v>
      </c>
      <c r="J9" s="129">
        <f t="shared" si="1"/>
        <v>25.777346688009168</v>
      </c>
      <c r="K9" s="129">
        <f t="shared" si="1"/>
        <v>25.777346688009168</v>
      </c>
      <c r="L9" s="129">
        <f t="shared" si="1"/>
        <v>25.777346688009168</v>
      </c>
      <c r="M9" s="129">
        <f t="shared" si="1"/>
        <v>25.777346688009168</v>
      </c>
      <c r="N9" s="129">
        <f t="shared" si="1"/>
        <v>25.777346688009168</v>
      </c>
      <c r="O9" s="129">
        <f t="shared" si="1"/>
        <v>25.777346688009168</v>
      </c>
      <c r="P9" s="126"/>
      <c r="Q9" s="126"/>
      <c r="R9" s="126"/>
      <c r="U9" s="127"/>
      <c r="V9" s="44"/>
      <c r="X9" s="213">
        <f>NPV(Rate_of_Return,F9:O9)</f>
        <v>176.13270847607296</v>
      </c>
      <c r="Y9" s="213">
        <f>-PMT(Rate_of_Return,$E$5,X9)</f>
        <v>25.777346688009164</v>
      </c>
      <c r="Z9" s="44"/>
      <c r="AA9" s="44"/>
    </row>
    <row r="10" spans="2:30" x14ac:dyDescent="0.25">
      <c r="C10" s="121"/>
      <c r="D10" s="121"/>
      <c r="E10" s="121"/>
      <c r="F10" s="130"/>
      <c r="G10" s="130"/>
      <c r="H10" s="130"/>
      <c r="I10" s="130"/>
      <c r="J10" s="130"/>
      <c r="K10" s="130"/>
      <c r="L10" s="130"/>
      <c r="M10" s="130"/>
      <c r="N10" s="130"/>
      <c r="O10" s="130"/>
      <c r="P10" s="126"/>
      <c r="Q10" s="126"/>
      <c r="R10" s="126"/>
      <c r="U10" s="127"/>
      <c r="V10" s="44"/>
      <c r="X10" s="33"/>
      <c r="Y10" s="33"/>
      <c r="Z10" s="44"/>
      <c r="AA10" s="44"/>
    </row>
    <row r="11" spans="2:30" x14ac:dyDescent="0.25">
      <c r="C11" s="59" t="s">
        <v>68</v>
      </c>
      <c r="F11" s="226">
        <v>1</v>
      </c>
      <c r="G11" s="226">
        <v>2</v>
      </c>
      <c r="H11" s="226">
        <v>3</v>
      </c>
      <c r="I11" s="226">
        <v>4</v>
      </c>
      <c r="J11" s="226">
        <v>5</v>
      </c>
      <c r="K11" s="226">
        <v>6</v>
      </c>
      <c r="L11" s="226">
        <v>7</v>
      </c>
      <c r="M11" s="226">
        <v>8</v>
      </c>
      <c r="N11" s="226">
        <v>9</v>
      </c>
      <c r="O11" s="226">
        <v>10</v>
      </c>
      <c r="P11" s="226">
        <v>11</v>
      </c>
      <c r="Q11" s="226">
        <v>12</v>
      </c>
      <c r="R11" s="126"/>
      <c r="U11" s="127"/>
      <c r="V11" s="44"/>
      <c r="X11" s="44"/>
      <c r="Y11" s="44"/>
      <c r="Z11" s="44"/>
      <c r="AA11" s="44"/>
    </row>
    <row r="12" spans="2:30" ht="15.6" x14ac:dyDescent="0.3">
      <c r="C12" s="121"/>
      <c r="D12" s="119"/>
      <c r="E12" s="121"/>
      <c r="F12" s="131">
        <f>'Energy Prices'!$C$6</f>
        <v>2019</v>
      </c>
      <c r="G12" s="131">
        <f>F12+1</f>
        <v>2020</v>
      </c>
      <c r="H12" s="131">
        <f>G12+1</f>
        <v>2021</v>
      </c>
      <c r="I12" s="131">
        <f t="shared" ref="I12:O12" si="2">H12+1</f>
        <v>2022</v>
      </c>
      <c r="J12" s="131">
        <f t="shared" si="2"/>
        <v>2023</v>
      </c>
      <c r="K12" s="131">
        <f t="shared" si="2"/>
        <v>2024</v>
      </c>
      <c r="L12" s="131">
        <f t="shared" si="2"/>
        <v>2025</v>
      </c>
      <c r="M12" s="131">
        <f t="shared" si="2"/>
        <v>2026</v>
      </c>
      <c r="N12" s="131">
        <f t="shared" si="2"/>
        <v>2027</v>
      </c>
      <c r="O12" s="131">
        <f t="shared" si="2"/>
        <v>2028</v>
      </c>
      <c r="P12" s="131">
        <f>O12+1</f>
        <v>2029</v>
      </c>
      <c r="Q12" s="131">
        <f>P12+1</f>
        <v>2030</v>
      </c>
      <c r="R12" s="126"/>
      <c r="U12" s="127"/>
      <c r="V12" s="220"/>
      <c r="X12" s="214" t="s">
        <v>95</v>
      </c>
      <c r="Y12" s="33"/>
      <c r="Z12" s="127"/>
      <c r="AA12" s="127"/>
    </row>
    <row r="13" spans="2:30" ht="52.95" customHeight="1" x14ac:dyDescent="0.25">
      <c r="B13" s="121"/>
      <c r="C13" s="228" t="s">
        <v>114</v>
      </c>
      <c r="D13" s="121"/>
      <c r="F13" s="164">
        <f t="shared" ref="F13:O13" si="3">F$9*F$20</f>
        <v>23.352556503605943</v>
      </c>
      <c r="G13" s="165">
        <f t="shared" si="3"/>
        <v>23.936370416196091</v>
      </c>
      <c r="H13" s="166">
        <f t="shared" si="3"/>
        <v>24.534779676600991</v>
      </c>
      <c r="I13" s="166">
        <f t="shared" si="3"/>
        <v>25.14814916851601</v>
      </c>
      <c r="J13" s="166">
        <f t="shared" si="3"/>
        <v>25.776852897728912</v>
      </c>
      <c r="K13" s="166">
        <f t="shared" si="3"/>
        <v>26.421274220172133</v>
      </c>
      <c r="L13" s="166">
        <f t="shared" si="3"/>
        <v>27.081806075676432</v>
      </c>
      <c r="M13" s="166">
        <f t="shared" si="3"/>
        <v>27.758851227568336</v>
      </c>
      <c r="N13" s="166">
        <f t="shared" si="3"/>
        <v>28.452822508257544</v>
      </c>
      <c r="O13" s="166">
        <f t="shared" si="3"/>
        <v>29.164143070963981</v>
      </c>
      <c r="P13" s="219">
        <f>O13*1.025</f>
        <v>29.893246647738078</v>
      </c>
      <c r="Q13" s="219">
        <f>P13*1.025</f>
        <v>30.640577813931529</v>
      </c>
      <c r="R13" s="126"/>
      <c r="U13" s="127"/>
      <c r="V13" s="133"/>
      <c r="X13" s="213">
        <f>NPV(Rate_of_Return,F13:O13)</f>
        <v>176.13270847607302</v>
      </c>
      <c r="Y13" s="213">
        <f>-PMT(Rate_of_Return,$E$5,X13)</f>
        <v>25.777346688009175</v>
      </c>
      <c r="Z13" s="133"/>
      <c r="AA13" s="133"/>
      <c r="AD13" s="134"/>
    </row>
    <row r="14" spans="2:30" x14ac:dyDescent="0.25">
      <c r="C14" s="132"/>
      <c r="E14" s="135"/>
      <c r="F14" s="133"/>
      <c r="G14" s="133"/>
      <c r="H14" s="133"/>
      <c r="I14" s="133"/>
      <c r="J14" s="133"/>
      <c r="K14" s="133"/>
      <c r="L14" s="133"/>
      <c r="M14" s="133"/>
      <c r="N14" s="133"/>
      <c r="O14" s="133"/>
      <c r="P14" s="126"/>
      <c r="Q14" s="126"/>
      <c r="R14" s="126"/>
      <c r="U14" s="127"/>
      <c r="V14" s="133"/>
      <c r="X14" s="127"/>
      <c r="Y14" s="127"/>
      <c r="Z14" s="127"/>
      <c r="AA14" s="127"/>
      <c r="AB14" s="127"/>
    </row>
    <row r="15" spans="2:30" x14ac:dyDescent="0.25">
      <c r="C15" s="136"/>
      <c r="E15" s="135"/>
      <c r="F15" s="133"/>
      <c r="G15" s="133"/>
      <c r="H15" s="133"/>
      <c r="I15" s="133"/>
      <c r="J15" s="133"/>
      <c r="K15" s="133"/>
      <c r="L15" s="133"/>
      <c r="M15" s="133"/>
      <c r="N15" s="133"/>
      <c r="O15" s="133"/>
      <c r="P15" s="126"/>
      <c r="Q15" s="126"/>
      <c r="R15" s="126"/>
      <c r="U15" s="127"/>
      <c r="V15" s="133"/>
      <c r="X15" s="127"/>
      <c r="Y15" s="127"/>
      <c r="Z15" s="127"/>
      <c r="AA15" s="127"/>
      <c r="AB15" s="127"/>
    </row>
    <row r="16" spans="2:30" x14ac:dyDescent="0.25">
      <c r="C16" s="59" t="s">
        <v>10</v>
      </c>
      <c r="P16" s="126"/>
      <c r="Q16" s="126"/>
      <c r="R16" s="126"/>
      <c r="U16" s="127"/>
    </row>
    <row r="17" spans="2:27" x14ac:dyDescent="0.25">
      <c r="P17" s="126"/>
      <c r="Q17" s="126"/>
      <c r="R17" s="126"/>
      <c r="U17" s="127"/>
    </row>
    <row r="18" spans="2:27" ht="15.6" x14ac:dyDescent="0.3">
      <c r="C18" s="121"/>
      <c r="D18" s="121"/>
      <c r="E18" s="121"/>
      <c r="F18" s="121"/>
      <c r="G18" s="121"/>
      <c r="H18" s="121"/>
      <c r="I18" s="121"/>
      <c r="J18" s="121"/>
      <c r="K18" s="121"/>
      <c r="L18" s="121"/>
      <c r="M18" s="121"/>
      <c r="N18" s="121"/>
      <c r="O18" s="121"/>
      <c r="P18" s="126"/>
      <c r="Q18" s="126"/>
      <c r="R18" s="126"/>
      <c r="U18" s="127"/>
      <c r="X18" s="214" t="s">
        <v>95</v>
      </c>
      <c r="Y18" s="121"/>
    </row>
    <row r="19" spans="2:27" x14ac:dyDescent="0.25">
      <c r="C19" s="128" t="s">
        <v>11</v>
      </c>
      <c r="D19" s="128"/>
      <c r="E19" s="128"/>
      <c r="F19" s="147">
        <v>100</v>
      </c>
      <c r="G19" s="147">
        <f t="shared" ref="G19:O19" si="4">F19*1.025</f>
        <v>102.49999999999999</v>
      </c>
      <c r="H19" s="147">
        <f t="shared" si="4"/>
        <v>105.06249999999997</v>
      </c>
      <c r="I19" s="147">
        <f t="shared" si="4"/>
        <v>107.68906249999996</v>
      </c>
      <c r="J19" s="147">
        <f t="shared" si="4"/>
        <v>110.38128906249996</v>
      </c>
      <c r="K19" s="147">
        <f t="shared" si="4"/>
        <v>113.14082128906244</v>
      </c>
      <c r="L19" s="147">
        <f>K19*1.025</f>
        <v>115.96934182128899</v>
      </c>
      <c r="M19" s="147">
        <f t="shared" si="4"/>
        <v>118.8685753668212</v>
      </c>
      <c r="N19" s="147">
        <f t="shared" si="4"/>
        <v>121.84028975099173</v>
      </c>
      <c r="O19" s="147">
        <f t="shared" si="4"/>
        <v>124.88629699476651</v>
      </c>
      <c r="P19" s="126"/>
      <c r="Q19" s="126"/>
      <c r="R19" s="126"/>
      <c r="U19" s="127"/>
      <c r="V19" s="137"/>
      <c r="X19" s="213">
        <f>NPV(Rate_of_Return,F19:O19)</f>
        <v>754.23308984982339</v>
      </c>
      <c r="Y19" s="213">
        <f>-PMT(Rate_of_Return,$E$5,X19)</f>
        <v>110.38340356452538</v>
      </c>
      <c r="Z19" s="127"/>
      <c r="AA19" s="127"/>
    </row>
    <row r="20" spans="2:27" x14ac:dyDescent="0.25">
      <c r="C20" s="150" t="s">
        <v>12</v>
      </c>
      <c r="D20" s="150"/>
      <c r="E20" s="150"/>
      <c r="F20" s="151">
        <f t="shared" ref="F20:O20" si="5">F19/$Y$19</f>
        <v>0.90593329042933801</v>
      </c>
      <c r="G20" s="151">
        <f t="shared" si="5"/>
        <v>0.92858162269007138</v>
      </c>
      <c r="H20" s="151">
        <f t="shared" si="5"/>
        <v>0.95179616325732308</v>
      </c>
      <c r="I20" s="151">
        <f t="shared" si="5"/>
        <v>0.975591067338756</v>
      </c>
      <c r="J20" s="151">
        <f t="shared" si="5"/>
        <v>0.99998084402222487</v>
      </c>
      <c r="K20" s="151">
        <f t="shared" si="5"/>
        <v>1.0249803651227805</v>
      </c>
      <c r="L20" s="151">
        <f t="shared" si="5"/>
        <v>1.0506048742508498</v>
      </c>
      <c r="M20" s="151">
        <f t="shared" si="5"/>
        <v>1.0768699961071209</v>
      </c>
      <c r="N20" s="151">
        <f t="shared" si="5"/>
        <v>1.1037917460097988</v>
      </c>
      <c r="O20" s="151">
        <f t="shared" si="5"/>
        <v>1.1313865396600438</v>
      </c>
      <c r="P20" s="126"/>
      <c r="Q20" s="126"/>
      <c r="R20" s="126"/>
      <c r="U20" s="127"/>
      <c r="V20" s="138"/>
      <c r="X20" s="213">
        <f>NPV(Rate_of_Return,F20:O20)</f>
        <v>6.8328486483833712</v>
      </c>
      <c r="Y20" s="213">
        <f>-PMT(Rate_of_Return,$E$5,X20)</f>
        <v>1.0000000000000002</v>
      </c>
      <c r="Z20" s="127"/>
      <c r="AA20" s="127"/>
    </row>
    <row r="21" spans="2:27" x14ac:dyDescent="0.25">
      <c r="C21" s="121"/>
      <c r="D21" s="121"/>
      <c r="E21" s="148"/>
      <c r="F21" s="148"/>
      <c r="G21" s="148"/>
      <c r="H21" s="148"/>
      <c r="I21" s="148"/>
      <c r="J21" s="148"/>
      <c r="K21" s="148"/>
      <c r="L21" s="148"/>
      <c r="M21" s="149"/>
      <c r="N21" s="149"/>
      <c r="O21" s="149"/>
      <c r="P21" s="149"/>
      <c r="Q21" s="149"/>
      <c r="R21" s="149"/>
      <c r="S21" s="149"/>
      <c r="T21" s="149"/>
      <c r="W21" s="121"/>
      <c r="X21" s="121"/>
    </row>
    <row r="22" spans="2:27" x14ac:dyDescent="0.25">
      <c r="B22" s="139" t="s">
        <v>13</v>
      </c>
      <c r="C22" s="140"/>
      <c r="D22" s="141"/>
      <c r="E22" s="141"/>
      <c r="F22" s="141"/>
      <c r="G22" s="141"/>
      <c r="H22" s="141"/>
      <c r="I22" s="141"/>
      <c r="J22" s="141"/>
      <c r="K22" s="141"/>
      <c r="L22" s="141"/>
      <c r="M22" s="141"/>
      <c r="N22" s="141"/>
      <c r="O22" s="141"/>
      <c r="Y22" s="136"/>
    </row>
    <row r="23" spans="2:27" x14ac:dyDescent="0.25">
      <c r="B23" s="142">
        <v>1</v>
      </c>
      <c r="C23" s="141" t="s">
        <v>53</v>
      </c>
      <c r="D23" s="141"/>
      <c r="E23" s="141"/>
      <c r="F23" s="141"/>
      <c r="G23" s="141"/>
      <c r="H23" s="141"/>
      <c r="I23" s="141"/>
      <c r="J23" s="141"/>
      <c r="K23" s="141"/>
      <c r="L23" s="141"/>
      <c r="M23" s="141"/>
      <c r="N23" s="141"/>
      <c r="O23" s="141"/>
      <c r="Y23" s="132"/>
    </row>
    <row r="24" spans="2:27" x14ac:dyDescent="0.25">
      <c r="B24" s="142">
        <v>2</v>
      </c>
      <c r="C24" s="141" t="s">
        <v>169</v>
      </c>
      <c r="D24" s="141"/>
      <c r="E24" s="141"/>
      <c r="F24" s="141"/>
      <c r="G24" s="141"/>
      <c r="H24" s="141"/>
      <c r="I24" s="141"/>
      <c r="J24" s="141"/>
      <c r="K24" s="141"/>
      <c r="L24" s="141"/>
      <c r="M24" s="141"/>
      <c r="N24" s="141"/>
      <c r="O24" s="141"/>
      <c r="Y24" s="133"/>
    </row>
    <row r="25" spans="2:27" x14ac:dyDescent="0.25">
      <c r="B25" s="142">
        <v>3</v>
      </c>
      <c r="C25" s="141" t="s">
        <v>52</v>
      </c>
      <c r="D25" s="141"/>
      <c r="E25" s="141"/>
      <c r="F25" s="141"/>
      <c r="G25" s="141"/>
      <c r="H25" s="141"/>
      <c r="I25" s="141"/>
      <c r="J25" s="141"/>
      <c r="K25" s="141"/>
      <c r="L25" s="141"/>
      <c r="M25" s="141"/>
      <c r="N25" s="141"/>
      <c r="O25" s="141"/>
      <c r="Y25" s="143"/>
    </row>
    <row r="26" spans="2:27" x14ac:dyDescent="0.25">
      <c r="B26" s="142">
        <v>4</v>
      </c>
      <c r="C26" s="141" t="s">
        <v>165</v>
      </c>
      <c r="D26" s="141"/>
      <c r="E26" s="141"/>
      <c r="F26" s="141"/>
      <c r="G26" s="141"/>
      <c r="H26" s="141"/>
      <c r="I26" s="141"/>
      <c r="J26" s="141"/>
      <c r="K26" s="141"/>
      <c r="L26" s="141"/>
      <c r="M26" s="141"/>
      <c r="N26" s="141"/>
      <c r="O26" s="141"/>
      <c r="Y26" s="143"/>
    </row>
    <row r="27" spans="2:27" x14ac:dyDescent="0.25">
      <c r="B27" s="142">
        <v>5</v>
      </c>
      <c r="C27" s="141" t="s">
        <v>116</v>
      </c>
      <c r="D27" s="141"/>
      <c r="E27" s="141"/>
      <c r="F27" s="141"/>
      <c r="G27" s="141"/>
      <c r="H27" s="141"/>
      <c r="I27" s="141"/>
      <c r="J27" s="141"/>
      <c r="K27" s="141"/>
      <c r="L27" s="141"/>
      <c r="M27" s="141"/>
      <c r="N27" s="141"/>
      <c r="O27" s="141"/>
      <c r="Y27" s="132"/>
    </row>
    <row r="28" spans="2:27" x14ac:dyDescent="0.25">
      <c r="B28" s="142">
        <v>6</v>
      </c>
      <c r="C28" s="141" t="s">
        <v>117</v>
      </c>
      <c r="D28" s="141"/>
      <c r="E28" s="141"/>
      <c r="F28" s="141"/>
      <c r="G28" s="141"/>
      <c r="H28" s="141"/>
      <c r="I28" s="141"/>
      <c r="J28" s="141"/>
      <c r="K28" s="141"/>
      <c r="L28" s="141"/>
      <c r="M28" s="141"/>
      <c r="N28" s="141"/>
      <c r="O28" s="141"/>
      <c r="Y28" s="133"/>
    </row>
    <row r="29" spans="2:27" x14ac:dyDescent="0.25">
      <c r="B29" s="142">
        <v>7</v>
      </c>
      <c r="C29" s="141" t="s">
        <v>118</v>
      </c>
      <c r="D29" s="141"/>
      <c r="E29" s="141"/>
      <c r="F29" s="141"/>
      <c r="G29" s="141"/>
      <c r="H29" s="141"/>
      <c r="I29" s="141"/>
      <c r="J29" s="141"/>
      <c r="K29" s="141"/>
      <c r="L29" s="141"/>
      <c r="M29" s="141"/>
      <c r="N29" s="141"/>
      <c r="O29" s="141"/>
      <c r="P29" s="141"/>
      <c r="Q29" s="141"/>
    </row>
    <row r="30" spans="2:27" x14ac:dyDescent="0.25">
      <c r="B30" s="142">
        <v>8</v>
      </c>
      <c r="C30" s="141" t="s">
        <v>62</v>
      </c>
      <c r="D30" s="141"/>
      <c r="E30" s="141"/>
      <c r="F30" s="141"/>
      <c r="G30" s="141"/>
      <c r="H30" s="141"/>
      <c r="I30" s="141"/>
      <c r="J30" s="141"/>
      <c r="K30" s="141"/>
      <c r="L30" s="141"/>
      <c r="M30" s="141"/>
      <c r="N30" s="141"/>
      <c r="O30" s="141"/>
      <c r="P30" s="141"/>
      <c r="Q30" s="141"/>
    </row>
    <row r="31" spans="2:27" x14ac:dyDescent="0.25">
      <c r="B31" s="142">
        <v>9</v>
      </c>
      <c r="C31" s="141" t="s">
        <v>119</v>
      </c>
      <c r="D31" s="141"/>
      <c r="E31" s="141"/>
      <c r="F31" s="141"/>
      <c r="G31" s="141"/>
      <c r="H31" s="141"/>
      <c r="I31" s="141"/>
      <c r="J31" s="141"/>
      <c r="K31" s="141"/>
      <c r="L31" s="141"/>
      <c r="M31" s="141"/>
      <c r="N31" s="141"/>
      <c r="O31" s="141"/>
      <c r="P31" s="141"/>
      <c r="Q31" s="141"/>
    </row>
    <row r="32" spans="2:27" x14ac:dyDescent="0.25">
      <c r="B32" s="142">
        <v>10</v>
      </c>
      <c r="C32" s="59" t="s">
        <v>120</v>
      </c>
    </row>
    <row r="33" spans="2:20" x14ac:dyDescent="0.25">
      <c r="B33" s="142">
        <v>11</v>
      </c>
      <c r="C33" s="59" t="s">
        <v>166</v>
      </c>
    </row>
    <row r="34" spans="2:20" ht="15.6" x14ac:dyDescent="0.3">
      <c r="B34" s="144"/>
      <c r="C34" s="5"/>
      <c r="D34" s="5"/>
      <c r="E34" s="5"/>
      <c r="F34" s="5"/>
    </row>
    <row r="35" spans="2:20" ht="15.6" x14ac:dyDescent="0.3">
      <c r="B35" s="144"/>
      <c r="C35" s="221"/>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dataValidations count="3">
    <dataValidation type="decimal" operator="greaterThan" allowBlank="1" showInputMessage="1" showErrorMessage="1" sqref="C5:D5">
      <formula1>0</formula1>
    </dataValidation>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7" zoomScale="70" zoomScaleNormal="70" workbookViewId="0">
      <selection activeCell="C25" sqref="C25"/>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30" width="12.33203125" style="59" customWidth="1"/>
    <col min="31" max="16384" width="9.109375" style="59"/>
  </cols>
  <sheetData>
    <row r="2" spans="2:31" ht="19.5" customHeight="1" x14ac:dyDescent="0.3">
      <c r="C2" s="231" t="s">
        <v>121</v>
      </c>
      <c r="D2" s="231"/>
      <c r="E2" s="231"/>
      <c r="F2" s="231"/>
      <c r="G2" s="231"/>
      <c r="H2" s="231"/>
      <c r="I2" s="231"/>
      <c r="J2" s="231"/>
      <c r="K2" s="231"/>
      <c r="L2" s="231"/>
    </row>
    <row r="3" spans="2:31" ht="15.6" x14ac:dyDescent="0.3">
      <c r="C3" s="48" t="s">
        <v>50</v>
      </c>
    </row>
    <row r="4" spans="2:31" s="118" customFormat="1" ht="45" x14ac:dyDescent="0.25">
      <c r="B4" s="117"/>
      <c r="C4" s="152" t="s">
        <v>0</v>
      </c>
      <c r="D4" s="152"/>
      <c r="E4" s="152" t="s">
        <v>1</v>
      </c>
      <c r="F4" s="152" t="s">
        <v>2</v>
      </c>
      <c r="G4" s="152" t="s">
        <v>3</v>
      </c>
      <c r="H4" s="152" t="s">
        <v>4</v>
      </c>
      <c r="I4" s="152" t="s">
        <v>5</v>
      </c>
      <c r="J4" s="152" t="s">
        <v>6</v>
      </c>
      <c r="K4" s="152" t="s">
        <v>7</v>
      </c>
      <c r="L4" s="153" t="s">
        <v>14</v>
      </c>
      <c r="M4" s="153"/>
    </row>
    <row r="5" spans="2:31" ht="15.6" thickBot="1" x14ac:dyDescent="0.3">
      <c r="C5" s="155"/>
      <c r="D5" s="156"/>
      <c r="E5" s="157">
        <v>15</v>
      </c>
      <c r="F5" s="158">
        <v>0.16</v>
      </c>
      <c r="G5" s="159" t="s">
        <v>8</v>
      </c>
      <c r="H5" s="160">
        <f>'Electric EES CE Std Energy'!D23</f>
        <v>2.2664104755183958E-2</v>
      </c>
      <c r="I5" s="161">
        <f>'Wind Avoided Capacity Calcs'!X21</f>
        <v>4.8523109648277362E-3</v>
      </c>
      <c r="J5" s="161">
        <f>H5+I5</f>
        <v>2.7516415720011695E-2</v>
      </c>
      <c r="K5" s="162">
        <f>J5</f>
        <v>2.7516415720011695E-2</v>
      </c>
      <c r="L5" s="163">
        <f>K5*1000</f>
        <v>27.516415720011697</v>
      </c>
      <c r="M5" s="146"/>
    </row>
    <row r="6" spans="2:31" ht="16.2" thickBot="1" x14ac:dyDescent="0.35">
      <c r="C6" s="154"/>
      <c r="D6" s="154"/>
      <c r="E6" s="121"/>
      <c r="F6" s="121"/>
      <c r="G6" s="121"/>
      <c r="H6" s="33">
        <f>H5*1000</f>
        <v>22.664104755183956</v>
      </c>
      <c r="I6" s="33">
        <f t="shared" ref="I6:K6" si="0">I5*1000</f>
        <v>4.8523109648277361</v>
      </c>
      <c r="J6" s="33">
        <f t="shared" si="0"/>
        <v>27.516415720011697</v>
      </c>
      <c r="K6" s="33">
        <f t="shared" si="0"/>
        <v>27.516415720011697</v>
      </c>
      <c r="L6" s="342">
        <f>L5*(1-M6)</f>
        <v>26.690923248411345</v>
      </c>
      <c r="M6" s="317">
        <v>0.03</v>
      </c>
      <c r="N6" s="124" t="s">
        <v>42</v>
      </c>
    </row>
    <row r="7" spans="2:31" x14ac:dyDescent="0.25">
      <c r="C7" s="125"/>
      <c r="D7" s="122"/>
      <c r="H7" s="44"/>
      <c r="I7" s="120"/>
      <c r="J7" s="44"/>
      <c r="K7" s="120"/>
      <c r="L7" s="120"/>
      <c r="M7" s="121"/>
    </row>
    <row r="8" spans="2:31" ht="15.6" x14ac:dyDescent="0.3">
      <c r="C8" s="121"/>
      <c r="D8" s="121"/>
      <c r="E8" s="121"/>
      <c r="F8" s="121"/>
      <c r="G8" s="121"/>
      <c r="H8" s="126"/>
      <c r="I8" s="126"/>
      <c r="J8" s="126"/>
      <c r="K8" s="126"/>
      <c r="L8" s="126"/>
      <c r="M8" s="126"/>
      <c r="N8" s="126"/>
      <c r="O8" s="126"/>
      <c r="P8" s="126"/>
      <c r="Q8" s="126"/>
      <c r="R8" s="126"/>
      <c r="S8" s="126"/>
      <c r="T8" s="126"/>
      <c r="U8" s="127"/>
      <c r="V8" s="127"/>
      <c r="W8" s="127"/>
      <c r="X8" s="214" t="s">
        <v>95</v>
      </c>
      <c r="Y8" s="127"/>
      <c r="Z8" s="127"/>
      <c r="AA8" s="127"/>
      <c r="AB8" s="127"/>
      <c r="AC8" s="127"/>
    </row>
    <row r="9" spans="2:31" x14ac:dyDescent="0.25">
      <c r="C9" s="128" t="s">
        <v>9</v>
      </c>
      <c r="D9" s="128"/>
      <c r="E9" s="128"/>
      <c r="F9" s="129">
        <f>+L6</f>
        <v>26.690923248411345</v>
      </c>
      <c r="G9" s="129">
        <f t="shared" ref="G9:T9" si="1">F9</f>
        <v>26.690923248411345</v>
      </c>
      <c r="H9" s="129">
        <f t="shared" si="1"/>
        <v>26.690923248411345</v>
      </c>
      <c r="I9" s="129">
        <f t="shared" si="1"/>
        <v>26.690923248411345</v>
      </c>
      <c r="J9" s="129">
        <f t="shared" si="1"/>
        <v>26.690923248411345</v>
      </c>
      <c r="K9" s="129">
        <f t="shared" si="1"/>
        <v>26.690923248411345</v>
      </c>
      <c r="L9" s="129">
        <f t="shared" si="1"/>
        <v>26.690923248411345</v>
      </c>
      <c r="M9" s="129">
        <f t="shared" si="1"/>
        <v>26.690923248411345</v>
      </c>
      <c r="N9" s="129">
        <f t="shared" si="1"/>
        <v>26.690923248411345</v>
      </c>
      <c r="O9" s="129">
        <f t="shared" si="1"/>
        <v>26.690923248411345</v>
      </c>
      <c r="P9" s="129">
        <f t="shared" si="1"/>
        <v>26.690923248411345</v>
      </c>
      <c r="Q9" s="129">
        <f t="shared" si="1"/>
        <v>26.690923248411345</v>
      </c>
      <c r="R9" s="129">
        <f t="shared" si="1"/>
        <v>26.690923248411345</v>
      </c>
      <c r="S9" s="129">
        <f t="shared" si="1"/>
        <v>26.690923248411345</v>
      </c>
      <c r="T9" s="129">
        <f t="shared" si="1"/>
        <v>26.690923248411345</v>
      </c>
      <c r="U9" s="44"/>
      <c r="V9" s="44"/>
      <c r="W9" s="44"/>
      <c r="X9" s="213">
        <f>NPV(Rate_of_Return,F9:T9)</f>
        <v>234.14783650912113</v>
      </c>
      <c r="Y9" s="213">
        <f>-PMT(Rate_of_Return,15,X9)</f>
        <v>26.69092324841133</v>
      </c>
      <c r="Z9" s="44"/>
      <c r="AA9" s="44"/>
      <c r="AB9" s="44"/>
    </row>
    <row r="10" spans="2:31" x14ac:dyDescent="0.25">
      <c r="C10" s="121"/>
      <c r="D10" s="121"/>
      <c r="E10" s="121"/>
      <c r="F10" s="130"/>
      <c r="G10" s="130"/>
      <c r="H10" s="130"/>
      <c r="I10" s="130"/>
      <c r="J10" s="130"/>
      <c r="K10" s="130"/>
      <c r="L10" s="130"/>
      <c r="M10" s="130"/>
      <c r="N10" s="130"/>
      <c r="O10" s="130"/>
      <c r="P10" s="130"/>
      <c r="Q10" s="130"/>
      <c r="R10" s="130"/>
      <c r="S10" s="130"/>
      <c r="T10" s="130"/>
      <c r="U10" s="44"/>
      <c r="V10" s="44"/>
      <c r="W10" s="44"/>
      <c r="X10" s="33"/>
      <c r="Y10" s="33"/>
      <c r="Z10" s="44"/>
      <c r="AA10" s="44"/>
      <c r="AB10" s="44"/>
    </row>
    <row r="11" spans="2:31" x14ac:dyDescent="0.25">
      <c r="C11" s="59" t="s">
        <v>68</v>
      </c>
      <c r="F11" s="226">
        <v>1</v>
      </c>
      <c r="G11" s="226">
        <v>2</v>
      </c>
      <c r="H11" s="226">
        <v>3</v>
      </c>
      <c r="I11" s="226">
        <v>4</v>
      </c>
      <c r="J11" s="226">
        <v>5</v>
      </c>
      <c r="K11" s="226">
        <v>6</v>
      </c>
      <c r="L11" s="226">
        <v>7</v>
      </c>
      <c r="M11" s="226">
        <v>8</v>
      </c>
      <c r="N11" s="226">
        <v>9</v>
      </c>
      <c r="O11" s="226">
        <v>10</v>
      </c>
      <c r="P11" s="226">
        <v>11</v>
      </c>
      <c r="Q11" s="226">
        <v>12</v>
      </c>
      <c r="R11" s="226">
        <v>13</v>
      </c>
      <c r="S11" s="226">
        <v>14</v>
      </c>
      <c r="T11" s="226">
        <v>15</v>
      </c>
      <c r="U11" s="226">
        <v>16</v>
      </c>
      <c r="V11" s="226">
        <v>17</v>
      </c>
      <c r="W11" s="44"/>
      <c r="X11" s="44"/>
      <c r="Y11" s="44"/>
      <c r="Z11" s="44"/>
      <c r="AA11" s="44"/>
      <c r="AB11" s="44"/>
    </row>
    <row r="12" spans="2:31" ht="15.6" x14ac:dyDescent="0.3">
      <c r="C12" s="121"/>
      <c r="D12" s="119"/>
      <c r="E12" s="121"/>
      <c r="F12" s="131">
        <f>'Energy Prices'!$C$6</f>
        <v>2019</v>
      </c>
      <c r="G12" s="131">
        <f>F12+1</f>
        <v>2020</v>
      </c>
      <c r="H12" s="131">
        <f>G12+1</f>
        <v>2021</v>
      </c>
      <c r="I12" s="131">
        <f t="shared" ref="I12:T12" si="2">H12+1</f>
        <v>2022</v>
      </c>
      <c r="J12" s="131">
        <f t="shared" si="2"/>
        <v>2023</v>
      </c>
      <c r="K12" s="131">
        <f t="shared" si="2"/>
        <v>2024</v>
      </c>
      <c r="L12" s="131">
        <f t="shared" si="2"/>
        <v>2025</v>
      </c>
      <c r="M12" s="131">
        <f t="shared" si="2"/>
        <v>2026</v>
      </c>
      <c r="N12" s="131">
        <f t="shared" si="2"/>
        <v>2027</v>
      </c>
      <c r="O12" s="131">
        <f t="shared" si="2"/>
        <v>2028</v>
      </c>
      <c r="P12" s="131">
        <f t="shared" si="2"/>
        <v>2029</v>
      </c>
      <c r="Q12" s="131">
        <f t="shared" si="2"/>
        <v>2030</v>
      </c>
      <c r="R12" s="131">
        <f t="shared" si="2"/>
        <v>2031</v>
      </c>
      <c r="S12" s="131">
        <f t="shared" si="2"/>
        <v>2032</v>
      </c>
      <c r="T12" s="131">
        <f t="shared" si="2"/>
        <v>2033</v>
      </c>
      <c r="U12" s="131">
        <f>T12+1</f>
        <v>2034</v>
      </c>
      <c r="V12" s="131">
        <f>U12+1</f>
        <v>2035</v>
      </c>
      <c r="W12" s="220"/>
      <c r="X12" s="214" t="s">
        <v>95</v>
      </c>
      <c r="Y12" s="33"/>
      <c r="Z12" s="127"/>
      <c r="AA12" s="127"/>
      <c r="AB12" s="127"/>
    </row>
    <row r="13" spans="2:31" ht="52.95" customHeight="1" x14ac:dyDescent="0.25">
      <c r="B13" s="121"/>
      <c r="C13" s="228" t="s">
        <v>114</v>
      </c>
      <c r="D13" s="121"/>
      <c r="F13" s="164">
        <f t="shared" ref="F13:T13" si="3">F$9*F$20</f>
        <v>23.084192419590423</v>
      </c>
      <c r="G13" s="165">
        <f t="shared" si="3"/>
        <v>23.661297230080184</v>
      </c>
      <c r="H13" s="166">
        <f t="shared" si="3"/>
        <v>24.252829660832184</v>
      </c>
      <c r="I13" s="166">
        <f t="shared" si="3"/>
        <v>24.859150402352984</v>
      </c>
      <c r="J13" s="166">
        <f t="shared" si="3"/>
        <v>25.480629162411809</v>
      </c>
      <c r="K13" s="166">
        <f t="shared" si="3"/>
        <v>26.117644891472104</v>
      </c>
      <c r="L13" s="166">
        <f t="shared" si="3"/>
        <v>26.770586013758898</v>
      </c>
      <c r="M13" s="166">
        <f t="shared" si="3"/>
        <v>27.439850664102874</v>
      </c>
      <c r="N13" s="166">
        <f t="shared" si="3"/>
        <v>28.125846930705439</v>
      </c>
      <c r="O13" s="166">
        <f t="shared" si="3"/>
        <v>28.828993103973072</v>
      </c>
      <c r="P13" s="166">
        <f t="shared" si="3"/>
        <v>29.549717931572399</v>
      </c>
      <c r="Q13" s="166">
        <f t="shared" si="3"/>
        <v>30.288460879861702</v>
      </c>
      <c r="R13" s="166">
        <f t="shared" si="3"/>
        <v>31.045672401858244</v>
      </c>
      <c r="S13" s="166">
        <f t="shared" si="3"/>
        <v>31.821814211904695</v>
      </c>
      <c r="T13" s="166">
        <f t="shared" si="3"/>
        <v>32.617359567202307</v>
      </c>
      <c r="U13" s="219">
        <f>T13*1.025</f>
        <v>33.432793556382364</v>
      </c>
      <c r="V13" s="219">
        <f>U13*1.025</f>
        <v>34.268613395291922</v>
      </c>
      <c r="W13" s="133"/>
      <c r="X13" s="213">
        <f>NPV(Rate_of_Return,F13:T13)</f>
        <v>234.14783650912125</v>
      </c>
      <c r="Y13" s="213">
        <f>-PMT(Rate_of_Return,15,X13)</f>
        <v>26.690923248411345</v>
      </c>
      <c r="Z13" s="133"/>
      <c r="AA13" s="133"/>
      <c r="AB13" s="133"/>
      <c r="AE13" s="134"/>
    </row>
    <row r="14" spans="2:31" x14ac:dyDescent="0.25">
      <c r="C14" s="132"/>
      <c r="E14" s="135"/>
      <c r="F14" s="133"/>
      <c r="G14" s="133"/>
      <c r="H14" s="133"/>
      <c r="I14" s="133"/>
      <c r="J14" s="133"/>
      <c r="K14" s="133"/>
      <c r="L14" s="133"/>
      <c r="M14" s="133"/>
      <c r="N14" s="133"/>
      <c r="O14" s="133"/>
      <c r="P14" s="133"/>
      <c r="Q14" s="133"/>
      <c r="R14" s="133"/>
      <c r="S14" s="133"/>
      <c r="T14" s="133"/>
      <c r="U14" s="133"/>
      <c r="V14" s="133"/>
      <c r="W14" s="133"/>
      <c r="X14" s="127"/>
      <c r="Y14" s="127"/>
      <c r="Z14" s="127"/>
      <c r="AA14" s="127"/>
      <c r="AB14" s="127"/>
      <c r="AC14" s="127"/>
    </row>
    <row r="15" spans="2:31" x14ac:dyDescent="0.25">
      <c r="C15" s="136"/>
      <c r="E15" s="135"/>
      <c r="F15" s="133"/>
      <c r="G15" s="133"/>
      <c r="H15" s="133"/>
      <c r="I15" s="133"/>
      <c r="J15" s="133"/>
      <c r="K15" s="133"/>
      <c r="L15" s="133"/>
      <c r="M15" s="133"/>
      <c r="N15" s="133"/>
      <c r="O15" s="133"/>
      <c r="P15" s="133"/>
      <c r="Q15" s="133"/>
      <c r="R15" s="133"/>
      <c r="S15" s="133"/>
      <c r="T15" s="133"/>
      <c r="U15" s="133"/>
      <c r="V15" s="133"/>
      <c r="W15" s="133"/>
      <c r="X15" s="127"/>
      <c r="Y15" s="127"/>
      <c r="Z15" s="127"/>
      <c r="AA15" s="127"/>
      <c r="AB15" s="127"/>
      <c r="AC15" s="127"/>
    </row>
    <row r="16" spans="2:31" x14ac:dyDescent="0.25">
      <c r="C16" s="59" t="s">
        <v>10</v>
      </c>
      <c r="Q16" s="127"/>
      <c r="R16" s="127"/>
    </row>
    <row r="17" spans="2:28" x14ac:dyDescent="0.25">
      <c r="Q17" s="127"/>
      <c r="R17" s="127"/>
    </row>
    <row r="18" spans="2:28" ht="15.6" x14ac:dyDescent="0.3">
      <c r="C18" s="121"/>
      <c r="D18" s="121"/>
      <c r="E18" s="121"/>
      <c r="F18" s="121"/>
      <c r="G18" s="121"/>
      <c r="H18" s="121"/>
      <c r="I18" s="121"/>
      <c r="J18" s="121"/>
      <c r="K18" s="121"/>
      <c r="L18" s="121"/>
      <c r="M18" s="121"/>
      <c r="N18" s="121"/>
      <c r="O18" s="121"/>
      <c r="P18" s="121"/>
      <c r="Q18" s="126"/>
      <c r="R18" s="126"/>
      <c r="S18" s="121"/>
      <c r="T18" s="121"/>
      <c r="X18" s="214" t="s">
        <v>95</v>
      </c>
      <c r="Y18" s="121"/>
    </row>
    <row r="19" spans="2:28" x14ac:dyDescent="0.25">
      <c r="C19" s="128" t="s">
        <v>11</v>
      </c>
      <c r="D19" s="128"/>
      <c r="E19" s="128"/>
      <c r="F19" s="147">
        <v>100</v>
      </c>
      <c r="G19" s="147">
        <f t="shared" ref="G19:T19" si="4">F19*1.025</f>
        <v>102.49999999999999</v>
      </c>
      <c r="H19" s="147">
        <f t="shared" si="4"/>
        <v>105.06249999999997</v>
      </c>
      <c r="I19" s="147">
        <f t="shared" si="4"/>
        <v>107.68906249999996</v>
      </c>
      <c r="J19" s="147">
        <f t="shared" si="4"/>
        <v>110.38128906249996</v>
      </c>
      <c r="K19" s="147">
        <f t="shared" si="4"/>
        <v>113.14082128906244</v>
      </c>
      <c r="L19" s="147">
        <f>K19*1.025</f>
        <v>115.96934182128899</v>
      </c>
      <c r="M19" s="147">
        <f t="shared" si="4"/>
        <v>118.8685753668212</v>
      </c>
      <c r="N19" s="147">
        <f t="shared" si="4"/>
        <v>121.84028975099173</v>
      </c>
      <c r="O19" s="147">
        <f t="shared" si="4"/>
        <v>124.88629699476651</v>
      </c>
      <c r="P19" s="147">
        <f t="shared" si="4"/>
        <v>128.00845441963565</v>
      </c>
      <c r="Q19" s="147">
        <f t="shared" si="4"/>
        <v>131.20866578012652</v>
      </c>
      <c r="R19" s="147">
        <f t="shared" si="4"/>
        <v>134.48888242462968</v>
      </c>
      <c r="S19" s="147">
        <f t="shared" si="4"/>
        <v>137.8511044852454</v>
      </c>
      <c r="T19" s="147">
        <f t="shared" si="4"/>
        <v>141.29738209737653</v>
      </c>
      <c r="U19" s="137"/>
      <c r="V19" s="137"/>
      <c r="W19" s="137"/>
      <c r="X19" s="168">
        <f>NPV(Rate_of_Return,F19:T19)</f>
        <v>1014.3211088052249</v>
      </c>
      <c r="Y19" s="168">
        <f>-PMT(Rate_of_Return,15,X19)</f>
        <v>115.62424521188822</v>
      </c>
      <c r="Z19" s="127"/>
      <c r="AA19" s="127"/>
      <c r="AB19" s="127"/>
    </row>
    <row r="20" spans="2:28" x14ac:dyDescent="0.25">
      <c r="C20" s="150" t="s">
        <v>12</v>
      </c>
      <c r="D20" s="150"/>
      <c r="E20" s="150"/>
      <c r="F20" s="151">
        <f>F19/$Y$19</f>
        <v>0.86487051065063492</v>
      </c>
      <c r="G20" s="151">
        <f t="shared" ref="G20:T20" si="5">G19/$Y$19</f>
        <v>0.88649227341690073</v>
      </c>
      <c r="H20" s="151">
        <f t="shared" si="5"/>
        <v>0.90865458025232315</v>
      </c>
      <c r="I20" s="151">
        <f t="shared" si="5"/>
        <v>0.93137094475863114</v>
      </c>
      <c r="J20" s="151">
        <f t="shared" si="5"/>
        <v>0.95465521837759681</v>
      </c>
      <c r="K20" s="151">
        <f t="shared" si="5"/>
        <v>0.97852159883703671</v>
      </c>
      <c r="L20" s="151">
        <f t="shared" si="5"/>
        <v>1.0029846388079624</v>
      </c>
      <c r="M20" s="151">
        <f t="shared" si="5"/>
        <v>1.0280592547781615</v>
      </c>
      <c r="N20" s="151">
        <f t="shared" si="5"/>
        <v>1.0537607361476153</v>
      </c>
      <c r="O20" s="151">
        <f t="shared" si="5"/>
        <v>1.0801047545513056</v>
      </c>
      <c r="P20" s="151">
        <f t="shared" si="5"/>
        <v>1.1071073734150882</v>
      </c>
      <c r="Q20" s="151">
        <f t="shared" si="5"/>
        <v>1.1347850577504652</v>
      </c>
      <c r="R20" s="151">
        <f t="shared" si="5"/>
        <v>1.1631546841942269</v>
      </c>
      <c r="S20" s="151">
        <f t="shared" si="5"/>
        <v>1.1922335512990823</v>
      </c>
      <c r="T20" s="151">
        <f t="shared" si="5"/>
        <v>1.2220393900815592</v>
      </c>
      <c r="U20" s="138"/>
      <c r="V20" s="138"/>
      <c r="W20" s="138"/>
      <c r="X20" s="167">
        <f>NPV(Rate_of_Return,F20:T20)</f>
        <v>8.7725641533609284</v>
      </c>
      <c r="Y20" s="167">
        <f>-PMT(Rate_of_Return,15,X20)</f>
        <v>0.99999999999999967</v>
      </c>
      <c r="Z20" s="127"/>
      <c r="AA20" s="127"/>
      <c r="AB20" s="127"/>
    </row>
    <row r="21" spans="2:28" x14ac:dyDescent="0.25">
      <c r="C21" s="121"/>
      <c r="D21" s="121"/>
      <c r="E21" s="148"/>
      <c r="F21" s="148"/>
      <c r="G21" s="148"/>
      <c r="H21" s="148"/>
      <c r="I21" s="148"/>
      <c r="J21" s="148"/>
      <c r="K21" s="148"/>
      <c r="L21" s="148"/>
      <c r="M21" s="149"/>
      <c r="N21" s="149"/>
      <c r="O21" s="149"/>
      <c r="P21" s="149"/>
      <c r="Q21" s="149"/>
      <c r="R21" s="149"/>
      <c r="S21" s="149"/>
      <c r="T21" s="149"/>
      <c r="X21" s="121"/>
      <c r="Y21" s="121"/>
    </row>
    <row r="22" spans="2:28" x14ac:dyDescent="0.25">
      <c r="B22" s="139" t="s">
        <v>13</v>
      </c>
      <c r="C22" s="140"/>
      <c r="D22" s="141"/>
      <c r="E22" s="141"/>
      <c r="F22" s="141"/>
      <c r="G22" s="141"/>
      <c r="H22" s="141"/>
      <c r="I22" s="141"/>
      <c r="J22" s="141"/>
      <c r="K22" s="141"/>
      <c r="L22" s="141"/>
      <c r="M22" s="141"/>
      <c r="N22" s="141"/>
      <c r="O22" s="141"/>
      <c r="Z22" s="136"/>
    </row>
    <row r="23" spans="2:28" x14ac:dyDescent="0.25">
      <c r="B23" s="142">
        <v>1</v>
      </c>
      <c r="C23" s="141" t="s">
        <v>53</v>
      </c>
      <c r="D23" s="141"/>
      <c r="E23" s="141"/>
      <c r="F23" s="141"/>
      <c r="G23" s="141"/>
      <c r="H23" s="141"/>
      <c r="I23" s="141"/>
      <c r="J23" s="141"/>
      <c r="K23" s="141"/>
      <c r="L23" s="141"/>
      <c r="M23" s="141"/>
      <c r="N23" s="141"/>
      <c r="O23" s="141"/>
      <c r="Z23" s="132"/>
    </row>
    <row r="24" spans="2:28" x14ac:dyDescent="0.25">
      <c r="B24" s="142">
        <v>2</v>
      </c>
      <c r="C24" s="141" t="s">
        <v>168</v>
      </c>
      <c r="D24" s="141"/>
      <c r="E24" s="141"/>
      <c r="F24" s="141"/>
      <c r="G24" s="141"/>
      <c r="H24" s="141"/>
      <c r="I24" s="141"/>
      <c r="J24" s="141"/>
      <c r="K24" s="141"/>
      <c r="L24" s="141"/>
      <c r="M24" s="141"/>
      <c r="N24" s="141"/>
      <c r="O24" s="141"/>
      <c r="Z24" s="133"/>
    </row>
    <row r="25" spans="2:28" x14ac:dyDescent="0.25">
      <c r="B25" s="142">
        <v>3</v>
      </c>
      <c r="C25" s="141" t="s">
        <v>52</v>
      </c>
      <c r="D25" s="141"/>
      <c r="E25" s="141"/>
      <c r="F25" s="141"/>
      <c r="G25" s="141"/>
      <c r="H25" s="141"/>
      <c r="I25" s="141"/>
      <c r="J25" s="141"/>
      <c r="K25" s="141"/>
      <c r="L25" s="141"/>
      <c r="M25" s="141"/>
      <c r="N25" s="141"/>
      <c r="O25" s="141"/>
      <c r="Z25" s="143"/>
    </row>
    <row r="26" spans="2:28" x14ac:dyDescent="0.25">
      <c r="B26" s="142">
        <v>4</v>
      </c>
      <c r="C26" s="141" t="s">
        <v>165</v>
      </c>
      <c r="D26" s="141"/>
      <c r="E26" s="141"/>
      <c r="F26" s="141"/>
      <c r="G26" s="141"/>
      <c r="H26" s="141"/>
      <c r="I26" s="141"/>
      <c r="J26" s="141"/>
      <c r="K26" s="141"/>
      <c r="L26" s="141"/>
      <c r="M26" s="141"/>
      <c r="N26" s="141"/>
      <c r="O26" s="141"/>
      <c r="Z26" s="143"/>
    </row>
    <row r="27" spans="2:28" x14ac:dyDescent="0.25">
      <c r="B27" s="142">
        <v>5</v>
      </c>
      <c r="C27" s="141" t="s">
        <v>116</v>
      </c>
      <c r="D27" s="141"/>
      <c r="E27" s="141"/>
      <c r="F27" s="141"/>
      <c r="G27" s="141"/>
      <c r="H27" s="141"/>
      <c r="I27" s="141"/>
      <c r="J27" s="141"/>
      <c r="K27" s="141"/>
      <c r="L27" s="141"/>
      <c r="M27" s="141"/>
      <c r="N27" s="141"/>
      <c r="O27" s="141"/>
      <c r="Z27" s="132"/>
    </row>
    <row r="28" spans="2:28" x14ac:dyDescent="0.25">
      <c r="B28" s="142">
        <v>6</v>
      </c>
      <c r="C28" s="141" t="s">
        <v>117</v>
      </c>
      <c r="D28" s="141"/>
      <c r="E28" s="141"/>
      <c r="F28" s="141"/>
      <c r="G28" s="141"/>
      <c r="H28" s="141"/>
      <c r="I28" s="141"/>
      <c r="J28" s="141"/>
      <c r="K28" s="141"/>
      <c r="L28" s="141"/>
      <c r="M28" s="141"/>
      <c r="N28" s="141"/>
      <c r="O28" s="141"/>
      <c r="Z28" s="133"/>
    </row>
    <row r="29" spans="2:28" x14ac:dyDescent="0.25">
      <c r="B29" s="142">
        <v>7</v>
      </c>
      <c r="C29" s="141" t="s">
        <v>118</v>
      </c>
      <c r="D29" s="141"/>
      <c r="E29" s="141"/>
      <c r="F29" s="141"/>
      <c r="G29" s="141"/>
      <c r="H29" s="141"/>
      <c r="I29" s="141"/>
      <c r="J29" s="141"/>
      <c r="K29" s="141"/>
      <c r="L29" s="141"/>
      <c r="M29" s="141"/>
      <c r="N29" s="141"/>
      <c r="O29" s="141"/>
      <c r="P29" s="141"/>
      <c r="Q29" s="141"/>
    </row>
    <row r="30" spans="2:28" x14ac:dyDescent="0.25">
      <c r="B30" s="142">
        <v>8</v>
      </c>
      <c r="C30" s="141" t="s">
        <v>62</v>
      </c>
      <c r="D30" s="141"/>
      <c r="E30" s="141"/>
      <c r="F30" s="141"/>
      <c r="G30" s="141"/>
      <c r="H30" s="141"/>
      <c r="I30" s="141"/>
      <c r="J30" s="141"/>
      <c r="K30" s="141"/>
      <c r="L30" s="141"/>
      <c r="M30" s="141"/>
      <c r="N30" s="141"/>
      <c r="O30" s="141"/>
      <c r="P30" s="141"/>
      <c r="Q30" s="141"/>
    </row>
    <row r="31" spans="2:28" x14ac:dyDescent="0.25">
      <c r="B31" s="142">
        <v>9</v>
      </c>
      <c r="C31" s="141" t="s">
        <v>119</v>
      </c>
      <c r="D31" s="141"/>
      <c r="E31" s="141"/>
      <c r="F31" s="141"/>
      <c r="G31" s="141"/>
      <c r="H31" s="141"/>
      <c r="I31" s="141"/>
      <c r="J31" s="141"/>
      <c r="K31" s="141"/>
      <c r="L31" s="141"/>
      <c r="M31" s="141"/>
      <c r="N31" s="141"/>
      <c r="O31" s="141"/>
      <c r="P31" s="141"/>
      <c r="Q31" s="141"/>
    </row>
    <row r="32" spans="2:28" x14ac:dyDescent="0.25">
      <c r="B32" s="142">
        <v>10</v>
      </c>
      <c r="C32" s="59" t="s">
        <v>120</v>
      </c>
    </row>
    <row r="33" spans="2:20" x14ac:dyDescent="0.25">
      <c r="B33" s="142">
        <v>11</v>
      </c>
      <c r="C33" s="59" t="s">
        <v>166</v>
      </c>
    </row>
    <row r="34" spans="2:20" ht="15.6" x14ac:dyDescent="0.3">
      <c r="B34" s="144"/>
      <c r="C34" s="5"/>
      <c r="D34" s="5"/>
      <c r="E34" s="5"/>
      <c r="F34" s="5"/>
    </row>
    <row r="35" spans="2:20" ht="15.6" x14ac:dyDescent="0.3">
      <c r="B35" s="144"/>
      <c r="C35" s="221"/>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dataValidations count="3">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0" zoomScale="70" zoomScaleNormal="70" workbookViewId="0">
      <selection activeCell="C25" sqref="C25"/>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17" width="12.6640625" style="59" customWidth="1"/>
    <col min="18" max="20" width="12.6640625" customWidth="1"/>
    <col min="21" max="22" width="12.6640625" style="59" customWidth="1"/>
    <col min="23" max="23" width="2.6640625" style="59" customWidth="1"/>
    <col min="24" max="25" width="12.6640625" style="59" customWidth="1"/>
    <col min="26" max="29" width="12.33203125" style="59" customWidth="1"/>
    <col min="30" max="16384" width="9.109375" style="59"/>
  </cols>
  <sheetData>
    <row r="2" spans="2:30" ht="19.5" customHeight="1" x14ac:dyDescent="0.3">
      <c r="C2" s="231" t="s">
        <v>121</v>
      </c>
      <c r="D2" s="231"/>
      <c r="E2" s="231"/>
      <c r="F2" s="231"/>
      <c r="G2" s="231"/>
      <c r="H2" s="231"/>
      <c r="I2" s="231"/>
      <c r="J2" s="231"/>
      <c r="K2" s="231"/>
      <c r="L2" s="231"/>
    </row>
    <row r="3" spans="2:30" ht="15.6" x14ac:dyDescent="0.3">
      <c r="C3" s="48" t="s">
        <v>51</v>
      </c>
    </row>
    <row r="4" spans="2:30" s="118" customFormat="1" ht="45" x14ac:dyDescent="0.25">
      <c r="B4" s="117"/>
      <c r="C4" s="152" t="s">
        <v>0</v>
      </c>
      <c r="D4" s="152"/>
      <c r="E4" s="152" t="s">
        <v>1</v>
      </c>
      <c r="F4" s="152" t="s">
        <v>2</v>
      </c>
      <c r="G4" s="152" t="s">
        <v>3</v>
      </c>
      <c r="H4" s="152" t="s">
        <v>4</v>
      </c>
      <c r="I4" s="152" t="s">
        <v>5</v>
      </c>
      <c r="J4" s="152" t="s">
        <v>6</v>
      </c>
      <c r="K4" s="152" t="s">
        <v>7</v>
      </c>
      <c r="L4" s="153" t="s">
        <v>14</v>
      </c>
      <c r="M4" s="153"/>
    </row>
    <row r="5" spans="2:30" ht="15.6" thickBot="1" x14ac:dyDescent="0.3">
      <c r="C5" s="155"/>
      <c r="D5" s="156"/>
      <c r="E5" s="157">
        <v>10</v>
      </c>
      <c r="F5" s="158">
        <v>0.02</v>
      </c>
      <c r="G5" s="159" t="s">
        <v>8</v>
      </c>
      <c r="H5" s="160">
        <f>'Electric EES CE Std Energy'!D18</f>
        <v>2.1784188702760568E-2</v>
      </c>
      <c r="I5" s="161">
        <f>'Solar Avoided Capacity Calcs'!X16</f>
        <v>6.9092242956950102E-4</v>
      </c>
      <c r="J5" s="161">
        <f>H5+I5</f>
        <v>2.247511113233007E-2</v>
      </c>
      <c r="K5" s="162">
        <f>J5</f>
        <v>2.247511113233007E-2</v>
      </c>
      <c r="L5" s="163">
        <f>K5*1000</f>
        <v>22.475111132330071</v>
      </c>
      <c r="M5" s="146"/>
    </row>
    <row r="6" spans="2:30" ht="16.2" thickBot="1" x14ac:dyDescent="0.35">
      <c r="C6" s="154"/>
      <c r="D6" s="154"/>
      <c r="E6" s="121"/>
      <c r="F6" s="121"/>
      <c r="G6" s="121"/>
      <c r="H6" s="33">
        <f>H5*1000</f>
        <v>21.784188702760567</v>
      </c>
      <c r="I6" s="33">
        <f t="shared" ref="I6:K6" si="0">I5*1000</f>
        <v>0.69092242956950101</v>
      </c>
      <c r="J6" s="33">
        <f t="shared" si="0"/>
        <v>22.475111132330071</v>
      </c>
      <c r="K6" s="33">
        <f t="shared" si="0"/>
        <v>22.475111132330071</v>
      </c>
      <c r="L6" s="342">
        <f>L5*(1-M6)</f>
        <v>21.800857798360166</v>
      </c>
      <c r="M6" s="317">
        <v>0.03</v>
      </c>
      <c r="N6" s="124" t="s">
        <v>42</v>
      </c>
    </row>
    <row r="7" spans="2:30" x14ac:dyDescent="0.25">
      <c r="C7" s="125"/>
      <c r="D7" s="122"/>
      <c r="H7" s="44"/>
      <c r="I7" s="120"/>
      <c r="J7" s="44"/>
      <c r="K7" s="120"/>
      <c r="L7" s="120"/>
      <c r="M7" s="121"/>
    </row>
    <row r="8" spans="2:30" ht="15.6" x14ac:dyDescent="0.3">
      <c r="C8" s="121"/>
      <c r="D8" s="121"/>
      <c r="E8" s="121"/>
      <c r="F8" s="121"/>
      <c r="G8" s="121"/>
      <c r="H8" s="126"/>
      <c r="I8" s="126"/>
      <c r="J8" s="126"/>
      <c r="K8" s="126"/>
      <c r="L8" s="126"/>
      <c r="M8" s="126"/>
      <c r="N8" s="126"/>
      <c r="O8" s="126"/>
      <c r="P8" s="126"/>
      <c r="Q8" s="126"/>
      <c r="U8" s="127"/>
      <c r="V8" s="127"/>
      <c r="W8" s="126"/>
      <c r="X8" s="214" t="s">
        <v>95</v>
      </c>
      <c r="Y8" s="127"/>
      <c r="Z8" s="127"/>
    </row>
    <row r="9" spans="2:30" x14ac:dyDescent="0.25">
      <c r="C9" s="128" t="s">
        <v>9</v>
      </c>
      <c r="D9" s="128"/>
      <c r="E9" s="128"/>
      <c r="F9" s="129">
        <f>+L6</f>
        <v>21.800857798360166</v>
      </c>
      <c r="G9" s="129">
        <f t="shared" ref="G9:O9" si="1">F9</f>
        <v>21.800857798360166</v>
      </c>
      <c r="H9" s="129">
        <f t="shared" si="1"/>
        <v>21.800857798360166</v>
      </c>
      <c r="I9" s="129">
        <f t="shared" si="1"/>
        <v>21.800857798360166</v>
      </c>
      <c r="J9" s="129">
        <f t="shared" si="1"/>
        <v>21.800857798360166</v>
      </c>
      <c r="K9" s="129">
        <f t="shared" si="1"/>
        <v>21.800857798360166</v>
      </c>
      <c r="L9" s="129">
        <f t="shared" si="1"/>
        <v>21.800857798360166</v>
      </c>
      <c r="M9" s="129">
        <f t="shared" si="1"/>
        <v>21.800857798360166</v>
      </c>
      <c r="N9" s="129">
        <f t="shared" si="1"/>
        <v>21.800857798360166</v>
      </c>
      <c r="O9" s="129">
        <f t="shared" si="1"/>
        <v>21.800857798360166</v>
      </c>
      <c r="V9" s="44"/>
      <c r="X9" s="213">
        <f>NPV(Rate_of_Return,F9:O9)</f>
        <v>148.9619617411233</v>
      </c>
      <c r="Y9" s="213">
        <f>-PMT(Rate_of_Return,$E$5,X9)</f>
        <v>21.800857798360166</v>
      </c>
      <c r="Z9" s="44"/>
    </row>
    <row r="10" spans="2:30" x14ac:dyDescent="0.25">
      <c r="C10" s="121"/>
      <c r="D10" s="121"/>
      <c r="E10" s="121"/>
      <c r="F10" s="130"/>
      <c r="G10" s="130"/>
      <c r="H10" s="130"/>
      <c r="I10" s="130"/>
      <c r="J10" s="130"/>
      <c r="K10" s="130"/>
      <c r="L10" s="130"/>
      <c r="M10" s="130"/>
      <c r="N10" s="130"/>
      <c r="O10" s="130"/>
      <c r="P10" s="126"/>
      <c r="Q10" s="126"/>
      <c r="U10" s="127"/>
      <c r="V10" s="44"/>
      <c r="W10" s="126"/>
      <c r="X10" s="33"/>
      <c r="Y10" s="33"/>
      <c r="Z10" s="44"/>
    </row>
    <row r="11" spans="2:30" x14ac:dyDescent="0.25">
      <c r="C11" s="59" t="s">
        <v>68</v>
      </c>
      <c r="F11" s="226">
        <v>1</v>
      </c>
      <c r="G11" s="226">
        <v>2</v>
      </c>
      <c r="H11" s="226">
        <v>3</v>
      </c>
      <c r="I11" s="226">
        <v>4</v>
      </c>
      <c r="J11" s="226">
        <v>5</v>
      </c>
      <c r="K11" s="226">
        <v>6</v>
      </c>
      <c r="L11" s="226">
        <v>7</v>
      </c>
      <c r="M11" s="226">
        <v>8</v>
      </c>
      <c r="N11" s="226">
        <v>9</v>
      </c>
      <c r="O11" s="226">
        <v>10</v>
      </c>
      <c r="P11" s="226">
        <v>11</v>
      </c>
      <c r="Q11" s="226">
        <v>12</v>
      </c>
      <c r="V11" s="44"/>
      <c r="X11" s="44"/>
      <c r="Y11" s="44"/>
      <c r="Z11" s="44"/>
    </row>
    <row r="12" spans="2:30" ht="15.6" x14ac:dyDescent="0.3">
      <c r="C12" s="121"/>
      <c r="D12" s="119"/>
      <c r="E12" s="121"/>
      <c r="F12" s="131">
        <f>'Energy Prices'!$C$6</f>
        <v>2019</v>
      </c>
      <c r="G12" s="131">
        <f>F12+1</f>
        <v>2020</v>
      </c>
      <c r="H12" s="131">
        <f>G12+1</f>
        <v>2021</v>
      </c>
      <c r="I12" s="131">
        <f t="shared" ref="I12:O12" si="2">H12+1</f>
        <v>2022</v>
      </c>
      <c r="J12" s="131">
        <f t="shared" si="2"/>
        <v>2023</v>
      </c>
      <c r="K12" s="131">
        <f t="shared" si="2"/>
        <v>2024</v>
      </c>
      <c r="L12" s="131">
        <f t="shared" si="2"/>
        <v>2025</v>
      </c>
      <c r="M12" s="131">
        <f t="shared" si="2"/>
        <v>2026</v>
      </c>
      <c r="N12" s="131">
        <f t="shared" si="2"/>
        <v>2027</v>
      </c>
      <c r="O12" s="131">
        <f t="shared" si="2"/>
        <v>2028</v>
      </c>
      <c r="P12" s="131">
        <f>O12+1</f>
        <v>2029</v>
      </c>
      <c r="Q12" s="131">
        <f>P12+1</f>
        <v>2030</v>
      </c>
      <c r="U12" s="127"/>
      <c r="V12" s="220"/>
      <c r="W12" s="126"/>
      <c r="X12" s="214" t="s">
        <v>95</v>
      </c>
      <c r="Y12" s="33"/>
      <c r="Z12" s="127"/>
    </row>
    <row r="13" spans="2:30" ht="52.95" customHeight="1" x14ac:dyDescent="0.25">
      <c r="B13" s="121"/>
      <c r="C13" s="227" t="s">
        <v>115</v>
      </c>
      <c r="D13" s="121"/>
      <c r="F13" s="164">
        <f t="shared" ref="F13:O13" si="3">F$9*F$20</f>
        <v>19.750122839450519</v>
      </c>
      <c r="G13" s="165">
        <f t="shared" si="3"/>
        <v>20.243875910436781</v>
      </c>
      <c r="H13" s="166">
        <f t="shared" si="3"/>
        <v>20.749972808197697</v>
      </c>
      <c r="I13" s="166">
        <f t="shared" si="3"/>
        <v>21.268722128402636</v>
      </c>
      <c r="J13" s="166">
        <f t="shared" si="3"/>
        <v>21.800440181612704</v>
      </c>
      <c r="K13" s="166">
        <f t="shared" si="3"/>
        <v>22.345451186153017</v>
      </c>
      <c r="L13" s="166">
        <f t="shared" si="3"/>
        <v>22.904087465806839</v>
      </c>
      <c r="M13" s="166">
        <f t="shared" si="3"/>
        <v>23.476689652452009</v>
      </c>
      <c r="N13" s="166">
        <f t="shared" si="3"/>
        <v>24.063606893763307</v>
      </c>
      <c r="O13" s="166">
        <f t="shared" si="3"/>
        <v>24.665197066107389</v>
      </c>
      <c r="P13" s="219">
        <f>O13*1.025</f>
        <v>25.28182699276007</v>
      </c>
      <c r="Q13" s="219">
        <f>P13*1.025</f>
        <v>25.913872667579071</v>
      </c>
      <c r="V13" s="133"/>
      <c r="X13" s="213">
        <f>NPV(Rate_of_Return,F13:O13)</f>
        <v>148.96196174112336</v>
      </c>
      <c r="Y13" s="213">
        <f>-PMT(Rate_of_Return,$E$5,X13)</f>
        <v>21.800857798360173</v>
      </c>
      <c r="Z13" s="133"/>
      <c r="AD13" s="134"/>
    </row>
    <row r="14" spans="2:30" x14ac:dyDescent="0.25">
      <c r="C14" s="132"/>
      <c r="E14" s="135"/>
      <c r="F14" s="133"/>
      <c r="G14" s="133"/>
      <c r="H14" s="133"/>
      <c r="I14" s="133"/>
      <c r="J14" s="133"/>
      <c r="K14" s="133"/>
      <c r="L14" s="133"/>
      <c r="M14" s="133"/>
      <c r="N14" s="133"/>
      <c r="O14" s="133"/>
      <c r="P14" s="126"/>
      <c r="Q14" s="126"/>
      <c r="U14" s="127"/>
      <c r="V14" s="133"/>
      <c r="W14" s="126"/>
      <c r="X14" s="127"/>
      <c r="Y14" s="127"/>
      <c r="Z14" s="127"/>
    </row>
    <row r="15" spans="2:30" x14ac:dyDescent="0.25">
      <c r="C15" s="136"/>
      <c r="E15" s="135"/>
      <c r="F15" s="133"/>
      <c r="G15" s="133"/>
      <c r="H15" s="133"/>
      <c r="I15" s="133"/>
      <c r="J15" s="133"/>
      <c r="K15" s="133"/>
      <c r="L15" s="133"/>
      <c r="M15" s="133"/>
      <c r="N15" s="133"/>
      <c r="O15" s="133"/>
      <c r="V15" s="133"/>
      <c r="X15" s="127"/>
      <c r="Y15" s="127"/>
      <c r="Z15" s="127"/>
    </row>
    <row r="16" spans="2:30" x14ac:dyDescent="0.25">
      <c r="C16" s="59" t="s">
        <v>10</v>
      </c>
      <c r="P16" s="126"/>
      <c r="Q16" s="126"/>
      <c r="U16" s="127"/>
      <c r="W16" s="126"/>
    </row>
    <row r="18" spans="2:26" ht="15.6" x14ac:dyDescent="0.3">
      <c r="C18" s="121"/>
      <c r="D18" s="121"/>
      <c r="E18" s="121"/>
      <c r="F18" s="121"/>
      <c r="G18" s="121"/>
      <c r="H18" s="121"/>
      <c r="I18" s="121"/>
      <c r="J18" s="121"/>
      <c r="K18" s="121"/>
      <c r="L18" s="121"/>
      <c r="M18" s="121"/>
      <c r="N18" s="121"/>
      <c r="O18" s="121"/>
      <c r="P18" s="126"/>
      <c r="Q18" s="126"/>
      <c r="U18" s="127"/>
      <c r="W18" s="126"/>
      <c r="X18" s="214" t="s">
        <v>95</v>
      </c>
      <c r="Y18" s="121"/>
    </row>
    <row r="19" spans="2:26" x14ac:dyDescent="0.25">
      <c r="C19" s="128" t="s">
        <v>11</v>
      </c>
      <c r="D19" s="128"/>
      <c r="E19" s="128"/>
      <c r="F19" s="147">
        <v>100</v>
      </c>
      <c r="G19" s="147">
        <f t="shared" ref="G19:O19" si="4">F19*1.025</f>
        <v>102.49999999999999</v>
      </c>
      <c r="H19" s="147">
        <f t="shared" si="4"/>
        <v>105.06249999999997</v>
      </c>
      <c r="I19" s="147">
        <f t="shared" si="4"/>
        <v>107.68906249999996</v>
      </c>
      <c r="J19" s="147">
        <f t="shared" si="4"/>
        <v>110.38128906249996</v>
      </c>
      <c r="K19" s="147">
        <f t="shared" si="4"/>
        <v>113.14082128906244</v>
      </c>
      <c r="L19" s="147">
        <f t="shared" si="4"/>
        <v>115.96934182128899</v>
      </c>
      <c r="M19" s="147">
        <f t="shared" si="4"/>
        <v>118.8685753668212</v>
      </c>
      <c r="N19" s="147">
        <f t="shared" si="4"/>
        <v>121.84028975099173</v>
      </c>
      <c r="O19" s="147">
        <f t="shared" si="4"/>
        <v>124.88629699476651</v>
      </c>
      <c r="V19" s="137"/>
      <c r="X19" s="213">
        <f>NPV(Rate_of_Return,F19:O19)</f>
        <v>754.23308984982339</v>
      </c>
      <c r="Y19" s="213">
        <f>-PMT(Rate_of_Return,$E$5,X19)</f>
        <v>110.38340356452538</v>
      </c>
      <c r="Z19" s="127"/>
    </row>
    <row r="20" spans="2:26" x14ac:dyDescent="0.25">
      <c r="C20" s="150" t="s">
        <v>12</v>
      </c>
      <c r="D20" s="150"/>
      <c r="E20" s="150"/>
      <c r="F20" s="151">
        <f t="shared" ref="F20:O20" si="5">F19/$Y$19</f>
        <v>0.90593329042933801</v>
      </c>
      <c r="G20" s="151">
        <f t="shared" si="5"/>
        <v>0.92858162269007138</v>
      </c>
      <c r="H20" s="151">
        <f t="shared" si="5"/>
        <v>0.95179616325732308</v>
      </c>
      <c r="I20" s="151">
        <f t="shared" si="5"/>
        <v>0.975591067338756</v>
      </c>
      <c r="J20" s="151">
        <f t="shared" si="5"/>
        <v>0.99998084402222487</v>
      </c>
      <c r="K20" s="151">
        <f t="shared" si="5"/>
        <v>1.0249803651227805</v>
      </c>
      <c r="L20" s="151">
        <f t="shared" si="5"/>
        <v>1.0506048742508498</v>
      </c>
      <c r="M20" s="151">
        <f t="shared" si="5"/>
        <v>1.0768699961071209</v>
      </c>
      <c r="N20" s="151">
        <f t="shared" si="5"/>
        <v>1.1037917460097988</v>
      </c>
      <c r="O20" s="151">
        <f t="shared" si="5"/>
        <v>1.1313865396600438</v>
      </c>
      <c r="P20" s="126"/>
      <c r="Q20" s="126"/>
      <c r="U20" s="127"/>
      <c r="V20" s="138"/>
      <c r="W20" s="126"/>
      <c r="X20" s="213">
        <f>NPV(Rate_of_Return,F20:O20)</f>
        <v>6.8328486483833712</v>
      </c>
      <c r="Y20" s="213">
        <f>-PMT(Rate_of_Return,$E$5,X20)</f>
        <v>1.0000000000000002</v>
      </c>
      <c r="Z20" s="127"/>
    </row>
    <row r="21" spans="2:26" x14ac:dyDescent="0.25">
      <c r="C21" s="121"/>
      <c r="D21" s="121"/>
      <c r="E21" s="148"/>
      <c r="F21" s="148"/>
      <c r="G21" s="148"/>
      <c r="H21" s="148"/>
      <c r="I21" s="148"/>
      <c r="J21" s="148"/>
      <c r="K21" s="148"/>
      <c r="L21" s="148"/>
      <c r="M21" s="149"/>
      <c r="N21" s="149"/>
      <c r="O21" s="149"/>
      <c r="P21" s="149"/>
      <c r="Q21" s="149"/>
      <c r="W21" s="149"/>
      <c r="X21" s="149"/>
      <c r="Y21" s="149"/>
    </row>
    <row r="22" spans="2:26" x14ac:dyDescent="0.25">
      <c r="B22" s="139" t="s">
        <v>13</v>
      </c>
      <c r="C22" s="140"/>
      <c r="D22" s="141"/>
      <c r="E22" s="141"/>
      <c r="F22" s="141"/>
      <c r="G22" s="141"/>
      <c r="H22" s="141"/>
      <c r="I22" s="141"/>
      <c r="J22" s="141"/>
      <c r="K22" s="141"/>
      <c r="L22" s="141"/>
      <c r="M22" s="141"/>
      <c r="N22" s="141"/>
      <c r="O22" s="141"/>
    </row>
    <row r="23" spans="2:26" x14ac:dyDescent="0.25">
      <c r="B23" s="142">
        <v>1</v>
      </c>
      <c r="C23" s="141" t="s">
        <v>53</v>
      </c>
      <c r="D23" s="141"/>
      <c r="E23" s="141"/>
      <c r="F23" s="141"/>
      <c r="G23" s="141"/>
      <c r="H23" s="141"/>
      <c r="I23" s="141"/>
      <c r="J23" s="141"/>
      <c r="K23" s="141"/>
      <c r="L23" s="141"/>
      <c r="M23" s="141"/>
      <c r="N23" s="141"/>
      <c r="O23" s="141"/>
    </row>
    <row r="24" spans="2:26" x14ac:dyDescent="0.25">
      <c r="B24" s="142">
        <v>2</v>
      </c>
      <c r="C24" s="141" t="s">
        <v>168</v>
      </c>
      <c r="D24" s="141"/>
      <c r="E24" s="141"/>
      <c r="F24" s="141"/>
      <c r="G24" s="141"/>
      <c r="H24" s="141"/>
      <c r="I24" s="141"/>
      <c r="J24" s="141"/>
      <c r="K24" s="141"/>
      <c r="L24" s="141"/>
      <c r="M24" s="141"/>
      <c r="N24" s="141"/>
      <c r="O24" s="141"/>
    </row>
    <row r="25" spans="2:26" x14ac:dyDescent="0.25">
      <c r="B25" s="142">
        <v>3</v>
      </c>
      <c r="C25" s="141" t="s">
        <v>52</v>
      </c>
      <c r="D25" s="141"/>
      <c r="E25" s="141"/>
      <c r="F25" s="141"/>
      <c r="G25" s="141"/>
      <c r="H25" s="141"/>
      <c r="I25" s="141"/>
      <c r="J25" s="141"/>
      <c r="K25" s="141"/>
      <c r="L25" s="141"/>
      <c r="M25" s="141"/>
      <c r="N25" s="141"/>
      <c r="O25" s="141"/>
    </row>
    <row r="26" spans="2:26" x14ac:dyDescent="0.25">
      <c r="B26" s="142">
        <v>4</v>
      </c>
      <c r="C26" s="141" t="s">
        <v>165</v>
      </c>
      <c r="D26" s="141"/>
      <c r="E26" s="141"/>
      <c r="F26" s="141"/>
      <c r="G26" s="141"/>
      <c r="H26" s="141"/>
      <c r="I26" s="141"/>
      <c r="J26" s="141"/>
      <c r="K26" s="141"/>
      <c r="L26" s="141"/>
      <c r="M26" s="141"/>
      <c r="N26" s="141"/>
      <c r="O26" s="141"/>
    </row>
    <row r="27" spans="2:26" x14ac:dyDescent="0.25">
      <c r="B27" s="142">
        <v>5</v>
      </c>
      <c r="C27" s="141" t="s">
        <v>116</v>
      </c>
      <c r="D27" s="141"/>
      <c r="E27" s="141"/>
      <c r="F27" s="141"/>
      <c r="G27" s="141"/>
      <c r="H27" s="141"/>
      <c r="I27" s="141"/>
      <c r="J27" s="141"/>
      <c r="K27" s="141"/>
      <c r="L27" s="141"/>
      <c r="M27" s="141"/>
      <c r="N27" s="141"/>
      <c r="O27" s="141"/>
    </row>
    <row r="28" spans="2:26" x14ac:dyDescent="0.25">
      <c r="B28" s="142">
        <v>6</v>
      </c>
      <c r="C28" s="141" t="s">
        <v>117</v>
      </c>
      <c r="D28" s="141"/>
      <c r="E28" s="141"/>
      <c r="F28" s="141"/>
      <c r="G28" s="141"/>
      <c r="H28" s="141"/>
      <c r="I28" s="141"/>
      <c r="J28" s="141"/>
      <c r="K28" s="141"/>
      <c r="L28" s="141"/>
      <c r="M28" s="141"/>
      <c r="N28" s="141"/>
      <c r="O28" s="141"/>
    </row>
    <row r="29" spans="2:26" x14ac:dyDescent="0.25">
      <c r="B29" s="142">
        <v>7</v>
      </c>
      <c r="C29" s="141" t="s">
        <v>118</v>
      </c>
      <c r="D29" s="141"/>
      <c r="E29" s="141"/>
      <c r="F29" s="141"/>
      <c r="G29" s="141"/>
      <c r="H29" s="141"/>
      <c r="I29" s="141"/>
      <c r="J29" s="141"/>
      <c r="K29" s="141"/>
      <c r="L29" s="141"/>
      <c r="M29" s="141"/>
      <c r="N29" s="141"/>
      <c r="O29" s="141"/>
      <c r="P29" s="141"/>
      <c r="Q29" s="141"/>
    </row>
    <row r="30" spans="2:26" x14ac:dyDescent="0.25">
      <c r="B30" s="142">
        <v>8</v>
      </c>
      <c r="C30" s="141" t="s">
        <v>62</v>
      </c>
      <c r="D30" s="141"/>
      <c r="E30" s="141"/>
      <c r="F30" s="141"/>
      <c r="G30" s="141"/>
      <c r="H30" s="141"/>
      <c r="I30" s="141"/>
      <c r="J30" s="141"/>
      <c r="K30" s="141"/>
      <c r="L30" s="141"/>
      <c r="M30" s="141"/>
      <c r="N30" s="141"/>
      <c r="O30" s="141"/>
      <c r="P30" s="141"/>
      <c r="Q30" s="141"/>
    </row>
    <row r="31" spans="2:26" x14ac:dyDescent="0.25">
      <c r="B31" s="142">
        <v>9</v>
      </c>
      <c r="C31" s="141" t="s">
        <v>119</v>
      </c>
      <c r="D31" s="141"/>
      <c r="E31" s="141"/>
      <c r="F31" s="141"/>
      <c r="G31" s="141"/>
      <c r="H31" s="141"/>
      <c r="I31" s="141"/>
      <c r="J31" s="141"/>
      <c r="K31" s="141"/>
      <c r="L31" s="141"/>
      <c r="M31" s="141"/>
      <c r="N31" s="141"/>
      <c r="O31" s="141"/>
      <c r="P31" s="141"/>
      <c r="Q31" s="141"/>
    </row>
    <row r="32" spans="2:26" x14ac:dyDescent="0.25">
      <c r="B32" s="142">
        <v>10</v>
      </c>
      <c r="C32" s="59" t="s">
        <v>120</v>
      </c>
    </row>
    <row r="33" spans="2:25" x14ac:dyDescent="0.25">
      <c r="B33" s="142">
        <v>11</v>
      </c>
      <c r="C33" s="59" t="s">
        <v>166</v>
      </c>
    </row>
    <row r="34" spans="2:25" ht="15.6" x14ac:dyDescent="0.3">
      <c r="B34" s="144"/>
      <c r="C34" s="5"/>
      <c r="D34" s="5"/>
      <c r="E34" s="5"/>
      <c r="F34" s="5"/>
    </row>
    <row r="35" spans="2:25" ht="15.6" x14ac:dyDescent="0.3">
      <c r="B35" s="144"/>
      <c r="C35" s="5"/>
      <c r="D35" s="5"/>
      <c r="E35" s="5"/>
      <c r="F35" s="5"/>
    </row>
    <row r="37" spans="2:25" x14ac:dyDescent="0.25">
      <c r="F37" s="127"/>
      <c r="G37" s="145"/>
      <c r="H37" s="145"/>
      <c r="I37" s="145"/>
      <c r="J37" s="145"/>
      <c r="K37" s="145"/>
      <c r="L37" s="145"/>
      <c r="M37" s="145"/>
      <c r="N37" s="145"/>
      <c r="O37" s="145"/>
      <c r="P37" s="145"/>
      <c r="Q37" s="145"/>
      <c r="W37" s="145"/>
      <c r="X37" s="145"/>
      <c r="Y37" s="145"/>
    </row>
    <row r="38" spans="2:25" x14ac:dyDescent="0.25">
      <c r="G38" s="145"/>
      <c r="H38" s="145"/>
      <c r="I38" s="145"/>
      <c r="J38" s="145"/>
      <c r="K38" s="145"/>
      <c r="L38" s="145"/>
      <c r="M38" s="145"/>
      <c r="N38" s="145"/>
      <c r="O38" s="145"/>
      <c r="P38" s="145"/>
      <c r="Q38" s="145"/>
      <c r="W38" s="145"/>
      <c r="X38" s="145"/>
      <c r="Y38" s="145"/>
    </row>
    <row r="39" spans="2:25" x14ac:dyDescent="0.25">
      <c r="F39" s="127"/>
      <c r="G39" s="127"/>
      <c r="H39" s="127"/>
      <c r="I39" s="127"/>
      <c r="J39" s="127"/>
      <c r="K39" s="127"/>
      <c r="L39" s="127"/>
      <c r="M39" s="127"/>
      <c r="N39" s="127"/>
      <c r="O39" s="127"/>
      <c r="P39" s="127"/>
      <c r="Q39" s="127"/>
      <c r="W39" s="127"/>
      <c r="X39" s="127"/>
      <c r="Y39" s="127"/>
    </row>
    <row r="40" spans="2:25" x14ac:dyDescent="0.25">
      <c r="D40" s="137"/>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13" zoomScale="70" zoomScaleNormal="70" workbookViewId="0">
      <selection activeCell="C25" sqref="C25"/>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30" width="12.33203125" style="59" customWidth="1"/>
    <col min="31" max="16384" width="9.109375" style="59"/>
  </cols>
  <sheetData>
    <row r="2" spans="2:31" ht="19.5" customHeight="1" x14ac:dyDescent="0.3">
      <c r="C2" s="231" t="s">
        <v>121</v>
      </c>
      <c r="D2" s="231"/>
      <c r="E2" s="231"/>
      <c r="F2" s="231"/>
      <c r="G2" s="231"/>
      <c r="H2" s="231"/>
      <c r="I2" s="231"/>
      <c r="J2" s="231"/>
      <c r="K2" s="231"/>
      <c r="L2" s="231"/>
    </row>
    <row r="3" spans="2:31" ht="15.6" x14ac:dyDescent="0.3">
      <c r="C3" s="48" t="s">
        <v>51</v>
      </c>
    </row>
    <row r="4" spans="2:31" s="118" customFormat="1" ht="45" x14ac:dyDescent="0.25">
      <c r="B4" s="117"/>
      <c r="C4" s="152" t="s">
        <v>0</v>
      </c>
      <c r="D4" s="152"/>
      <c r="E4" s="152" t="s">
        <v>1</v>
      </c>
      <c r="F4" s="152" t="s">
        <v>2</v>
      </c>
      <c r="G4" s="152" t="s">
        <v>3</v>
      </c>
      <c r="H4" s="152" t="s">
        <v>4</v>
      </c>
      <c r="I4" s="152" t="s">
        <v>5</v>
      </c>
      <c r="J4" s="152" t="s">
        <v>6</v>
      </c>
      <c r="K4" s="152" t="s">
        <v>7</v>
      </c>
      <c r="L4" s="153" t="s">
        <v>14</v>
      </c>
      <c r="M4" s="153"/>
    </row>
    <row r="5" spans="2:31" ht="15.6" thickBot="1" x14ac:dyDescent="0.3">
      <c r="C5" s="155"/>
      <c r="D5" s="156"/>
      <c r="E5" s="157">
        <v>15</v>
      </c>
      <c r="F5" s="158">
        <v>0.02</v>
      </c>
      <c r="G5" s="159" t="s">
        <v>8</v>
      </c>
      <c r="H5" s="160">
        <f>'Electric EES CE Std Energy'!D23</f>
        <v>2.2664104755183958E-2</v>
      </c>
      <c r="I5" s="161">
        <f>'Solar Avoided Capacity Calcs'!X21</f>
        <v>6.9985254300400054E-4</v>
      </c>
      <c r="J5" s="161">
        <f>H5+I5</f>
        <v>2.3363957298187958E-2</v>
      </c>
      <c r="K5" s="162">
        <f>J5</f>
        <v>2.3363957298187958E-2</v>
      </c>
      <c r="L5" s="340">
        <f>K5*1000</f>
        <v>23.363957298187959</v>
      </c>
      <c r="M5" s="146"/>
    </row>
    <row r="6" spans="2:31" ht="16.2" thickBot="1" x14ac:dyDescent="0.35">
      <c r="C6" s="154"/>
      <c r="D6" s="154"/>
      <c r="E6" s="121"/>
      <c r="F6" s="121"/>
      <c r="G6" s="121"/>
      <c r="H6" s="33">
        <f>H5*1000</f>
        <v>22.664104755183956</v>
      </c>
      <c r="I6" s="33">
        <f t="shared" ref="I6:K6" si="0">I5*1000</f>
        <v>0.69985254300400057</v>
      </c>
      <c r="J6" s="33">
        <f t="shared" si="0"/>
        <v>23.363957298187959</v>
      </c>
      <c r="K6" s="33">
        <f t="shared" si="0"/>
        <v>23.363957298187959</v>
      </c>
      <c r="L6" s="342">
        <f>L5*(1-M6)</f>
        <v>22.663038579242318</v>
      </c>
      <c r="M6" s="341">
        <v>0.03</v>
      </c>
      <c r="N6" s="124" t="s">
        <v>42</v>
      </c>
    </row>
    <row r="7" spans="2:31" x14ac:dyDescent="0.25">
      <c r="C7" s="125"/>
      <c r="D7" s="122"/>
      <c r="H7" s="44"/>
      <c r="I7" s="120"/>
      <c r="J7" s="44"/>
      <c r="K7" s="120"/>
      <c r="L7" s="123"/>
      <c r="M7" s="121"/>
    </row>
    <row r="8" spans="2:31" ht="15.6" x14ac:dyDescent="0.3">
      <c r="C8" s="121"/>
      <c r="D8" s="121"/>
      <c r="E8" s="121"/>
      <c r="F8" s="121"/>
      <c r="G8" s="121"/>
      <c r="H8" s="126"/>
      <c r="I8" s="126"/>
      <c r="J8" s="126"/>
      <c r="K8" s="126"/>
      <c r="L8" s="126"/>
      <c r="M8" s="126"/>
      <c r="N8" s="126"/>
      <c r="O8" s="126"/>
      <c r="P8" s="126"/>
      <c r="Q8" s="126"/>
      <c r="R8" s="126"/>
      <c r="S8" s="126"/>
      <c r="T8" s="126"/>
      <c r="U8" s="127"/>
      <c r="V8" s="127"/>
      <c r="W8" s="127"/>
      <c r="X8" s="214" t="s">
        <v>95</v>
      </c>
      <c r="Y8" s="127"/>
      <c r="Z8" s="127"/>
      <c r="AA8" s="127"/>
    </row>
    <row r="9" spans="2:31" x14ac:dyDescent="0.25">
      <c r="C9" s="128" t="s">
        <v>9</v>
      </c>
      <c r="D9" s="128"/>
      <c r="E9" s="128"/>
      <c r="F9" s="129">
        <f>+L6</f>
        <v>22.663038579242318</v>
      </c>
      <c r="G9" s="129">
        <f t="shared" ref="G9:T9" si="1">F9</f>
        <v>22.663038579242318</v>
      </c>
      <c r="H9" s="129">
        <f t="shared" si="1"/>
        <v>22.663038579242318</v>
      </c>
      <c r="I9" s="129">
        <f t="shared" si="1"/>
        <v>22.663038579242318</v>
      </c>
      <c r="J9" s="129">
        <f t="shared" si="1"/>
        <v>22.663038579242318</v>
      </c>
      <c r="K9" s="129">
        <f t="shared" si="1"/>
        <v>22.663038579242318</v>
      </c>
      <c r="L9" s="129">
        <f t="shared" si="1"/>
        <v>22.663038579242318</v>
      </c>
      <c r="M9" s="129">
        <f t="shared" si="1"/>
        <v>22.663038579242318</v>
      </c>
      <c r="N9" s="129">
        <f t="shared" si="1"/>
        <v>22.663038579242318</v>
      </c>
      <c r="O9" s="129">
        <f t="shared" si="1"/>
        <v>22.663038579242318</v>
      </c>
      <c r="P9" s="129">
        <f t="shared" si="1"/>
        <v>22.663038579242318</v>
      </c>
      <c r="Q9" s="129">
        <f t="shared" si="1"/>
        <v>22.663038579242318</v>
      </c>
      <c r="R9" s="129">
        <f t="shared" si="1"/>
        <v>22.663038579242318</v>
      </c>
      <c r="S9" s="129">
        <f t="shared" si="1"/>
        <v>22.663038579242318</v>
      </c>
      <c r="T9" s="129">
        <f t="shared" si="1"/>
        <v>22.663038579242318</v>
      </c>
      <c r="U9" s="44"/>
      <c r="V9" s="44"/>
      <c r="W9" s="44"/>
      <c r="X9" s="213">
        <f>NPV(Rate_of_Return,F9:T9)</f>
        <v>198.81295984649688</v>
      </c>
      <c r="Y9" s="213">
        <f>-PMT(Rate_of_Return,15,X9)</f>
        <v>22.663038579242304</v>
      </c>
      <c r="Z9" s="44"/>
      <c r="AA9" s="44"/>
    </row>
    <row r="10" spans="2:31" x14ac:dyDescent="0.25">
      <c r="C10" s="121"/>
      <c r="D10" s="121"/>
      <c r="E10" s="121"/>
      <c r="F10" s="130"/>
      <c r="G10" s="130"/>
      <c r="H10" s="130"/>
      <c r="I10" s="130"/>
      <c r="J10" s="130"/>
      <c r="K10" s="130"/>
      <c r="L10" s="130"/>
      <c r="M10" s="130"/>
      <c r="N10" s="130"/>
      <c r="O10" s="130"/>
      <c r="P10" s="130"/>
      <c r="Q10" s="130"/>
      <c r="R10" s="130"/>
      <c r="S10" s="130"/>
      <c r="T10" s="130"/>
      <c r="U10" s="44"/>
      <c r="V10" s="44"/>
      <c r="W10" s="44"/>
      <c r="X10" s="33"/>
      <c r="Y10" s="33"/>
      <c r="Z10" s="44"/>
      <c r="AA10" s="44"/>
    </row>
    <row r="11" spans="2:31" x14ac:dyDescent="0.25">
      <c r="C11" s="59" t="s">
        <v>68</v>
      </c>
      <c r="F11" s="226">
        <v>1</v>
      </c>
      <c r="G11" s="226">
        <v>2</v>
      </c>
      <c r="H11" s="226">
        <v>3</v>
      </c>
      <c r="I11" s="226">
        <v>4</v>
      </c>
      <c r="J11" s="226">
        <v>5</v>
      </c>
      <c r="K11" s="226">
        <v>6</v>
      </c>
      <c r="L11" s="226">
        <v>7</v>
      </c>
      <c r="M11" s="226">
        <v>8</v>
      </c>
      <c r="N11" s="226">
        <v>9</v>
      </c>
      <c r="O11" s="226">
        <v>10</v>
      </c>
      <c r="P11" s="226">
        <v>11</v>
      </c>
      <c r="Q11" s="226">
        <v>12</v>
      </c>
      <c r="R11" s="226">
        <v>13</v>
      </c>
      <c r="S11" s="226">
        <v>14</v>
      </c>
      <c r="T11" s="226">
        <v>15</v>
      </c>
      <c r="U11" s="226">
        <v>16</v>
      </c>
      <c r="V11" s="226">
        <v>17</v>
      </c>
      <c r="W11" s="44"/>
      <c r="X11" s="44"/>
      <c r="Y11" s="44"/>
      <c r="Z11" s="44"/>
      <c r="AA11" s="44"/>
    </row>
    <row r="12" spans="2:31" ht="15.6" x14ac:dyDescent="0.3">
      <c r="C12" s="121"/>
      <c r="D12" s="119"/>
      <c r="E12" s="121"/>
      <c r="F12" s="131">
        <f>'Energy Prices'!$C$6</f>
        <v>2019</v>
      </c>
      <c r="G12" s="131">
        <f>F12+1</f>
        <v>2020</v>
      </c>
      <c r="H12" s="131">
        <f>G12+1</f>
        <v>2021</v>
      </c>
      <c r="I12" s="131">
        <f t="shared" ref="I12:T12" si="2">H12+1</f>
        <v>2022</v>
      </c>
      <c r="J12" s="131">
        <f t="shared" si="2"/>
        <v>2023</v>
      </c>
      <c r="K12" s="131">
        <f t="shared" si="2"/>
        <v>2024</v>
      </c>
      <c r="L12" s="131">
        <f t="shared" si="2"/>
        <v>2025</v>
      </c>
      <c r="M12" s="131">
        <f t="shared" si="2"/>
        <v>2026</v>
      </c>
      <c r="N12" s="131">
        <f t="shared" si="2"/>
        <v>2027</v>
      </c>
      <c r="O12" s="131">
        <f t="shared" si="2"/>
        <v>2028</v>
      </c>
      <c r="P12" s="131">
        <f t="shared" si="2"/>
        <v>2029</v>
      </c>
      <c r="Q12" s="131">
        <f t="shared" si="2"/>
        <v>2030</v>
      </c>
      <c r="R12" s="131">
        <f t="shared" si="2"/>
        <v>2031</v>
      </c>
      <c r="S12" s="131">
        <f t="shared" si="2"/>
        <v>2032</v>
      </c>
      <c r="T12" s="131">
        <f t="shared" si="2"/>
        <v>2033</v>
      </c>
      <c r="U12" s="131">
        <f>T12+1</f>
        <v>2034</v>
      </c>
      <c r="V12" s="131">
        <f>U12+1</f>
        <v>2035</v>
      </c>
      <c r="W12" s="220"/>
      <c r="X12" s="214" t="s">
        <v>95</v>
      </c>
      <c r="Y12" s="33"/>
      <c r="Z12" s="127"/>
      <c r="AA12" s="127"/>
    </row>
    <row r="13" spans="2:31" ht="52.95" customHeight="1" x14ac:dyDescent="0.25">
      <c r="B13" s="121"/>
      <c r="C13" s="227" t="s">
        <v>115</v>
      </c>
      <c r="D13" s="121"/>
      <c r="F13" s="164">
        <f t="shared" ref="F13:T13" si="3">F$9*F$20</f>
        <v>19.600593748924343</v>
      </c>
      <c r="G13" s="165">
        <f>G$9*G$20</f>
        <v>20.090608592647452</v>
      </c>
      <c r="H13" s="166">
        <f t="shared" si="3"/>
        <v>20.592873807463636</v>
      </c>
      <c r="I13" s="166">
        <f t="shared" si="3"/>
        <v>21.107695652650225</v>
      </c>
      <c r="J13" s="166">
        <f t="shared" si="3"/>
        <v>21.635388043966476</v>
      </c>
      <c r="K13" s="166">
        <f t="shared" si="3"/>
        <v>22.176272745065639</v>
      </c>
      <c r="L13" s="166">
        <f t="shared" si="3"/>
        <v>22.730679563692274</v>
      </c>
      <c r="M13" s="166">
        <f t="shared" si="3"/>
        <v>23.298946552784582</v>
      </c>
      <c r="N13" s="166">
        <f t="shared" si="3"/>
        <v>23.881420216604191</v>
      </c>
      <c r="O13" s="166">
        <f t="shared" si="3"/>
        <v>24.478455722019294</v>
      </c>
      <c r="P13" s="166">
        <f t="shared" si="3"/>
        <v>25.090417115069776</v>
      </c>
      <c r="Q13" s="166">
        <f t="shared" si="3"/>
        <v>25.717677542946515</v>
      </c>
      <c r="R13" s="166">
        <f t="shared" si="3"/>
        <v>26.360619481520178</v>
      </c>
      <c r="S13" s="166">
        <f t="shared" si="3"/>
        <v>27.019634968558176</v>
      </c>
      <c r="T13" s="166">
        <f t="shared" si="3"/>
        <v>27.695125842772129</v>
      </c>
      <c r="U13" s="219">
        <f>T13*1.025</f>
        <v>28.387503988841431</v>
      </c>
      <c r="V13" s="219">
        <f>U13*1.025</f>
        <v>29.097191588562463</v>
      </c>
      <c r="W13" s="133"/>
      <c r="X13" s="213">
        <f>NPV(Rate_of_Return,F13:T13)</f>
        <v>198.81295984649699</v>
      </c>
      <c r="Y13" s="213">
        <f>-PMT(Rate_of_Return,15,X13)</f>
        <v>22.663038579242318</v>
      </c>
      <c r="Z13" s="133"/>
      <c r="AA13" s="133"/>
      <c r="AE13" s="134"/>
    </row>
    <row r="14" spans="2:31" x14ac:dyDescent="0.25">
      <c r="C14" s="132"/>
      <c r="E14" s="135"/>
      <c r="F14" s="133"/>
      <c r="G14" s="133"/>
      <c r="H14" s="133"/>
      <c r="I14" s="133"/>
      <c r="J14" s="133"/>
      <c r="K14" s="133"/>
      <c r="L14" s="133"/>
      <c r="M14" s="133"/>
      <c r="N14" s="133"/>
      <c r="O14" s="133"/>
      <c r="P14" s="133"/>
      <c r="Q14" s="133"/>
      <c r="R14" s="133"/>
      <c r="S14" s="133"/>
      <c r="T14" s="133"/>
      <c r="U14" s="133"/>
      <c r="V14" s="133"/>
      <c r="W14" s="133"/>
      <c r="X14" s="127"/>
      <c r="Y14" s="127"/>
      <c r="Z14" s="127"/>
      <c r="AA14" s="127"/>
    </row>
    <row r="15" spans="2:31" x14ac:dyDescent="0.25">
      <c r="C15" s="136"/>
      <c r="E15" s="135"/>
      <c r="F15" s="133"/>
      <c r="G15" s="230"/>
      <c r="H15" s="133"/>
      <c r="I15" s="133"/>
      <c r="J15" s="133"/>
      <c r="K15" s="133"/>
      <c r="L15" s="133"/>
      <c r="M15" s="133"/>
      <c r="N15" s="133"/>
      <c r="O15" s="133"/>
      <c r="P15" s="133"/>
      <c r="Q15" s="133"/>
      <c r="R15" s="133"/>
      <c r="S15" s="133"/>
      <c r="T15" s="133"/>
      <c r="U15" s="133"/>
      <c r="V15" s="133"/>
      <c r="W15" s="133"/>
      <c r="X15" s="127"/>
      <c r="Y15" s="127"/>
      <c r="Z15" s="127"/>
      <c r="AA15" s="127"/>
    </row>
    <row r="16" spans="2:31" x14ac:dyDescent="0.25">
      <c r="C16" s="59" t="s">
        <v>10</v>
      </c>
      <c r="Q16" s="127"/>
      <c r="R16" s="127"/>
    </row>
    <row r="17" spans="2:27" x14ac:dyDescent="0.25">
      <c r="Q17" s="127"/>
      <c r="R17" s="127"/>
    </row>
    <row r="18" spans="2:27" ht="15.6" x14ac:dyDescent="0.3">
      <c r="C18" s="121"/>
      <c r="D18" s="121"/>
      <c r="E18" s="121"/>
      <c r="F18" s="121"/>
      <c r="G18" s="121"/>
      <c r="H18" s="121"/>
      <c r="I18" s="121"/>
      <c r="J18" s="121"/>
      <c r="K18" s="121"/>
      <c r="L18" s="121"/>
      <c r="M18" s="121"/>
      <c r="N18" s="121"/>
      <c r="O18" s="121"/>
      <c r="P18" s="121"/>
      <c r="Q18" s="126"/>
      <c r="R18" s="126"/>
      <c r="S18" s="121"/>
      <c r="T18" s="121"/>
      <c r="X18" s="214" t="s">
        <v>95</v>
      </c>
      <c r="Y18" s="121"/>
    </row>
    <row r="19" spans="2:27" x14ac:dyDescent="0.25">
      <c r="C19" s="128" t="s">
        <v>11</v>
      </c>
      <c r="D19" s="128"/>
      <c r="E19" s="128"/>
      <c r="F19" s="147">
        <v>100</v>
      </c>
      <c r="G19" s="147">
        <f t="shared" ref="G19:T19" si="4">F19*1.025</f>
        <v>102.49999999999999</v>
      </c>
      <c r="H19" s="147">
        <f t="shared" si="4"/>
        <v>105.06249999999997</v>
      </c>
      <c r="I19" s="147">
        <f t="shared" si="4"/>
        <v>107.68906249999996</v>
      </c>
      <c r="J19" s="147">
        <f t="shared" si="4"/>
        <v>110.38128906249996</v>
      </c>
      <c r="K19" s="147">
        <f t="shared" si="4"/>
        <v>113.14082128906244</v>
      </c>
      <c r="L19" s="147">
        <f t="shared" si="4"/>
        <v>115.96934182128899</v>
      </c>
      <c r="M19" s="147">
        <f t="shared" si="4"/>
        <v>118.8685753668212</v>
      </c>
      <c r="N19" s="147">
        <f t="shared" si="4"/>
        <v>121.84028975099173</v>
      </c>
      <c r="O19" s="147">
        <f t="shared" si="4"/>
        <v>124.88629699476651</v>
      </c>
      <c r="P19" s="147">
        <f t="shared" si="4"/>
        <v>128.00845441963565</v>
      </c>
      <c r="Q19" s="147">
        <f t="shared" si="4"/>
        <v>131.20866578012652</v>
      </c>
      <c r="R19" s="147">
        <f t="shared" si="4"/>
        <v>134.48888242462968</v>
      </c>
      <c r="S19" s="147">
        <f t="shared" si="4"/>
        <v>137.8511044852454</v>
      </c>
      <c r="T19" s="147">
        <f t="shared" si="4"/>
        <v>141.29738209737653</v>
      </c>
      <c r="U19" s="137"/>
      <c r="V19" s="137"/>
      <c r="W19" s="137"/>
      <c r="X19" s="168">
        <f>NPV(Rate_of_Return,F19:T19)</f>
        <v>1014.3211088052249</v>
      </c>
      <c r="Y19" s="168">
        <f>-PMT(Rate_of_Return,15,X19)</f>
        <v>115.62424521188822</v>
      </c>
      <c r="Z19" s="127"/>
      <c r="AA19" s="127"/>
    </row>
    <row r="20" spans="2:27" x14ac:dyDescent="0.25">
      <c r="C20" s="150" t="s">
        <v>12</v>
      </c>
      <c r="D20" s="150"/>
      <c r="E20" s="150"/>
      <c r="F20" s="151">
        <f>F19/$Y$19</f>
        <v>0.86487051065063492</v>
      </c>
      <c r="G20" s="151">
        <f t="shared" ref="G20:T20" si="5">G19/$Y$19</f>
        <v>0.88649227341690073</v>
      </c>
      <c r="H20" s="151">
        <f t="shared" si="5"/>
        <v>0.90865458025232315</v>
      </c>
      <c r="I20" s="151">
        <f t="shared" si="5"/>
        <v>0.93137094475863114</v>
      </c>
      <c r="J20" s="151">
        <f t="shared" si="5"/>
        <v>0.95465521837759681</v>
      </c>
      <c r="K20" s="151">
        <f t="shared" si="5"/>
        <v>0.97852159883703671</v>
      </c>
      <c r="L20" s="151">
        <f t="shared" si="5"/>
        <v>1.0029846388079624</v>
      </c>
      <c r="M20" s="151">
        <f t="shared" si="5"/>
        <v>1.0280592547781615</v>
      </c>
      <c r="N20" s="151">
        <f t="shared" si="5"/>
        <v>1.0537607361476153</v>
      </c>
      <c r="O20" s="151">
        <f t="shared" si="5"/>
        <v>1.0801047545513056</v>
      </c>
      <c r="P20" s="151">
        <f t="shared" si="5"/>
        <v>1.1071073734150882</v>
      </c>
      <c r="Q20" s="151">
        <f t="shared" si="5"/>
        <v>1.1347850577504652</v>
      </c>
      <c r="R20" s="151">
        <f t="shared" si="5"/>
        <v>1.1631546841942269</v>
      </c>
      <c r="S20" s="151">
        <f t="shared" si="5"/>
        <v>1.1922335512990823</v>
      </c>
      <c r="T20" s="151">
        <f t="shared" si="5"/>
        <v>1.2220393900815592</v>
      </c>
      <c r="U20" s="138"/>
      <c r="V20" s="138"/>
      <c r="W20" s="138"/>
      <c r="X20" s="167">
        <f>NPV(Rate_of_Return,F20:T20)</f>
        <v>8.7725641533609284</v>
      </c>
      <c r="Y20" s="167">
        <f>-PMT(Rate_of_Return,15,X20)</f>
        <v>0.99999999999999967</v>
      </c>
      <c r="Z20" s="127"/>
      <c r="AA20" s="127"/>
    </row>
    <row r="21" spans="2:27" x14ac:dyDescent="0.25">
      <c r="C21" s="121"/>
      <c r="D21" s="121"/>
      <c r="E21" s="148"/>
      <c r="F21" s="148"/>
      <c r="G21" s="148"/>
      <c r="H21" s="148"/>
      <c r="I21" s="148"/>
      <c r="J21" s="148"/>
      <c r="K21" s="148"/>
      <c r="L21" s="148"/>
      <c r="M21" s="149"/>
      <c r="N21" s="149"/>
      <c r="O21" s="149"/>
      <c r="P21" s="149"/>
      <c r="Q21" s="149"/>
      <c r="R21" s="149"/>
      <c r="S21" s="149"/>
      <c r="T21" s="149"/>
      <c r="X21" s="121"/>
      <c r="Y21" s="121"/>
    </row>
    <row r="22" spans="2:27" x14ac:dyDescent="0.25">
      <c r="B22" s="139" t="s">
        <v>13</v>
      </c>
      <c r="C22" s="140"/>
      <c r="D22" s="141"/>
      <c r="E22" s="141"/>
      <c r="F22" s="141"/>
      <c r="G22" s="141"/>
      <c r="H22" s="141"/>
      <c r="I22" s="141"/>
      <c r="J22" s="141"/>
      <c r="K22" s="141"/>
      <c r="L22" s="141"/>
      <c r="M22" s="141"/>
      <c r="N22" s="141"/>
      <c r="O22" s="141"/>
      <c r="Z22" s="136"/>
    </row>
    <row r="23" spans="2:27" x14ac:dyDescent="0.25">
      <c r="B23" s="142">
        <v>1</v>
      </c>
      <c r="C23" s="141" t="s">
        <v>53</v>
      </c>
      <c r="D23" s="141"/>
      <c r="E23" s="141"/>
      <c r="F23" s="141"/>
      <c r="G23" s="141"/>
      <c r="H23" s="141"/>
      <c r="I23" s="141"/>
      <c r="J23" s="141"/>
      <c r="K23" s="141"/>
      <c r="L23" s="141"/>
      <c r="M23" s="141"/>
      <c r="N23" s="141"/>
      <c r="O23" s="141"/>
      <c r="Z23" s="132"/>
    </row>
    <row r="24" spans="2:27" x14ac:dyDescent="0.25">
      <c r="B24" s="142">
        <v>2</v>
      </c>
      <c r="C24" s="141" t="s">
        <v>168</v>
      </c>
      <c r="D24" s="141"/>
      <c r="E24" s="141"/>
      <c r="F24" s="141"/>
      <c r="G24" s="141"/>
      <c r="H24" s="141"/>
      <c r="I24" s="141"/>
      <c r="J24" s="141"/>
      <c r="K24" s="141"/>
      <c r="L24" s="141"/>
      <c r="M24" s="141"/>
      <c r="N24" s="141"/>
      <c r="O24" s="141"/>
      <c r="Z24" s="133"/>
    </row>
    <row r="25" spans="2:27" x14ac:dyDescent="0.25">
      <c r="B25" s="142">
        <v>3</v>
      </c>
      <c r="C25" s="141" t="s">
        <v>52</v>
      </c>
      <c r="D25" s="141"/>
      <c r="E25" s="141"/>
      <c r="F25" s="141"/>
      <c r="G25" s="141"/>
      <c r="H25" s="141"/>
      <c r="I25" s="141"/>
      <c r="J25" s="141"/>
      <c r="K25" s="141"/>
      <c r="L25" s="141"/>
      <c r="M25" s="141"/>
      <c r="N25" s="141"/>
      <c r="O25" s="141"/>
      <c r="Z25" s="143"/>
    </row>
    <row r="26" spans="2:27" x14ac:dyDescent="0.25">
      <c r="B26" s="142">
        <v>4</v>
      </c>
      <c r="C26" s="141" t="s">
        <v>165</v>
      </c>
      <c r="D26" s="141"/>
      <c r="E26" s="141"/>
      <c r="F26" s="141"/>
      <c r="G26" s="141"/>
      <c r="H26" s="141"/>
      <c r="I26" s="141"/>
      <c r="J26" s="141"/>
      <c r="K26" s="141"/>
      <c r="L26" s="141"/>
      <c r="M26" s="141"/>
      <c r="N26" s="141"/>
      <c r="O26" s="141"/>
      <c r="Z26" s="143"/>
    </row>
    <row r="27" spans="2:27" x14ac:dyDescent="0.25">
      <c r="B27" s="142">
        <v>5</v>
      </c>
      <c r="C27" s="141" t="s">
        <v>116</v>
      </c>
      <c r="D27" s="141"/>
      <c r="E27" s="141"/>
      <c r="F27" s="141"/>
      <c r="G27" s="141"/>
      <c r="H27" s="141"/>
      <c r="I27" s="141"/>
      <c r="J27" s="141"/>
      <c r="K27" s="141"/>
      <c r="L27" s="141"/>
      <c r="M27" s="141"/>
      <c r="N27" s="141"/>
      <c r="O27" s="141"/>
      <c r="Z27" s="132"/>
    </row>
    <row r="28" spans="2:27" x14ac:dyDescent="0.25">
      <c r="B28" s="142">
        <v>6</v>
      </c>
      <c r="C28" s="141" t="s">
        <v>117</v>
      </c>
      <c r="D28" s="141"/>
      <c r="E28" s="141"/>
      <c r="F28" s="141"/>
      <c r="G28" s="141"/>
      <c r="H28" s="141"/>
      <c r="I28" s="141"/>
      <c r="J28" s="141"/>
      <c r="K28" s="141"/>
      <c r="L28" s="141"/>
      <c r="M28" s="141"/>
      <c r="N28" s="141"/>
      <c r="O28" s="141"/>
      <c r="Z28" s="133"/>
    </row>
    <row r="29" spans="2:27" x14ac:dyDescent="0.25">
      <c r="B29" s="142">
        <v>7</v>
      </c>
      <c r="C29" s="141" t="s">
        <v>118</v>
      </c>
      <c r="D29" s="141"/>
      <c r="E29" s="141"/>
      <c r="F29" s="141"/>
      <c r="G29" s="141"/>
      <c r="H29" s="141"/>
      <c r="I29" s="141"/>
      <c r="J29" s="141"/>
      <c r="K29" s="141"/>
      <c r="L29" s="141"/>
      <c r="M29" s="141"/>
      <c r="N29" s="141"/>
      <c r="O29" s="141"/>
      <c r="P29" s="141"/>
      <c r="Q29" s="141"/>
    </row>
    <row r="30" spans="2:27" x14ac:dyDescent="0.25">
      <c r="B30" s="142">
        <v>8</v>
      </c>
      <c r="C30" s="141" t="s">
        <v>62</v>
      </c>
      <c r="D30" s="141"/>
      <c r="E30" s="141"/>
      <c r="F30" s="141"/>
      <c r="G30" s="141"/>
      <c r="H30" s="141"/>
      <c r="I30" s="141"/>
      <c r="J30" s="141"/>
      <c r="K30" s="141"/>
      <c r="L30" s="141"/>
      <c r="M30" s="141"/>
      <c r="N30" s="141"/>
      <c r="O30" s="141"/>
      <c r="P30" s="141"/>
      <c r="Q30" s="141"/>
    </row>
    <row r="31" spans="2:27" x14ac:dyDescent="0.25">
      <c r="B31" s="142">
        <v>9</v>
      </c>
      <c r="C31" s="141" t="s">
        <v>119</v>
      </c>
      <c r="D31" s="141"/>
      <c r="E31" s="141"/>
      <c r="F31" s="141"/>
      <c r="G31" s="141"/>
      <c r="H31" s="141"/>
      <c r="I31" s="141"/>
      <c r="J31" s="141"/>
      <c r="K31" s="141"/>
      <c r="L31" s="141"/>
      <c r="M31" s="141"/>
      <c r="N31" s="141"/>
      <c r="O31" s="141"/>
      <c r="P31" s="141"/>
      <c r="Q31" s="141"/>
    </row>
    <row r="32" spans="2:27" x14ac:dyDescent="0.25">
      <c r="B32" s="142">
        <v>10</v>
      </c>
      <c r="C32" s="59" t="s">
        <v>120</v>
      </c>
    </row>
    <row r="33" spans="2:20" x14ac:dyDescent="0.25">
      <c r="B33" s="142">
        <v>11</v>
      </c>
      <c r="C33" s="59" t="s">
        <v>166</v>
      </c>
    </row>
    <row r="34" spans="2:20" ht="15.6" x14ac:dyDescent="0.3">
      <c r="B34" s="144"/>
      <c r="C34" s="5"/>
      <c r="D34" s="5"/>
      <c r="E34" s="5"/>
      <c r="F34" s="5"/>
    </row>
    <row r="35" spans="2:20" ht="15.6" x14ac:dyDescent="0.3">
      <c r="B35" s="144"/>
      <c r="C35" s="5"/>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dataValidations disablePrompts="1"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B2:F41"/>
  <sheetViews>
    <sheetView workbookViewId="0">
      <pane ySplit="8" topLeftCell="A9" activePane="bottomLeft" state="frozen"/>
      <selection activeCell="F13" sqref="F13"/>
      <selection pane="bottomLeft" activeCell="A25" sqref="A25"/>
    </sheetView>
  </sheetViews>
  <sheetFormatPr defaultRowHeight="13.2" x14ac:dyDescent="0.25"/>
  <cols>
    <col min="1" max="1" width="2.6640625" customWidth="1"/>
    <col min="2" max="2" width="12.44140625" customWidth="1"/>
    <col min="3" max="4" width="14.6640625" customWidth="1"/>
    <col min="5" max="5" width="12.44140625" customWidth="1"/>
  </cols>
  <sheetData>
    <row r="2" spans="2:6" ht="15.6" x14ac:dyDescent="0.3">
      <c r="B2" s="5" t="str">
        <f>+FlatLoadShapeEnergy_perMWh!P4</f>
        <v>Levelized Cost Effectiveness Standard-Energy</v>
      </c>
    </row>
    <row r="3" spans="2:6" ht="13.8" x14ac:dyDescent="0.25">
      <c r="B3" s="347" t="s">
        <v>63</v>
      </c>
      <c r="C3" s="347"/>
      <c r="D3" s="37"/>
    </row>
    <row r="4" spans="2:6" x14ac:dyDescent="0.25">
      <c r="B4" s="348" t="str">
        <f>+FlatLoadShapeEnergy_perMWh!C6</f>
        <v xml:space="preserve"> T&amp;D Line Loss Reduction [4]</v>
      </c>
      <c r="C4" s="349"/>
      <c r="D4" s="171">
        <f>+FlatLoadShapeEnergy_perMWh!E6</f>
        <v>2.7E-2</v>
      </c>
      <c r="E4" s="37"/>
    </row>
    <row r="5" spans="2:6" x14ac:dyDescent="0.25">
      <c r="B5" s="350" t="s">
        <v>56</v>
      </c>
      <c r="C5" s="350"/>
      <c r="D5" s="172">
        <f>Rate_of_Return</f>
        <v>7.5999999999999998E-2</v>
      </c>
      <c r="E5" s="49"/>
    </row>
    <row r="6" spans="2:6" x14ac:dyDescent="0.25">
      <c r="B6" s="7"/>
      <c r="C6" s="29"/>
      <c r="D6" s="49"/>
      <c r="E6" s="1"/>
    </row>
    <row r="7" spans="2:6" x14ac:dyDescent="0.25">
      <c r="C7" s="2"/>
      <c r="D7" s="2"/>
    </row>
    <row r="8" spans="2:6" s="7" customFormat="1" ht="45.75" customHeight="1" x14ac:dyDescent="0.25">
      <c r="B8" s="6" t="s">
        <v>1</v>
      </c>
      <c r="C8" s="6" t="s">
        <v>112</v>
      </c>
      <c r="D8" s="30" t="s">
        <v>113</v>
      </c>
      <c r="E8"/>
      <c r="F8"/>
    </row>
    <row r="9" spans="2:6" x14ac:dyDescent="0.25">
      <c r="B9" s="8">
        <v>1</v>
      </c>
      <c r="C9" s="38">
        <f>+FlatLoadShapeEnergy_perMWh!P7</f>
        <v>24.62902768126666</v>
      </c>
      <c r="D9" s="169">
        <f t="shared" ref="D9:D27" si="0">C9/1000</f>
        <v>2.4629027681266659E-2</v>
      </c>
    </row>
    <row r="10" spans="2:6" x14ac:dyDescent="0.25">
      <c r="B10" s="8">
        <v>2</v>
      </c>
      <c r="C10" s="38">
        <f>+FlatLoadShapeEnergy_perMWh!P8</f>
        <v>23.441374197415506</v>
      </c>
      <c r="D10" s="169">
        <f t="shared" si="0"/>
        <v>2.3441374197415505E-2</v>
      </c>
    </row>
    <row r="11" spans="2:6" x14ac:dyDescent="0.25">
      <c r="B11" s="8">
        <v>3</v>
      </c>
      <c r="C11" s="38">
        <f>+FlatLoadShapeEnergy_perMWh!P9</f>
        <v>22.638309555742577</v>
      </c>
      <c r="D11" s="169">
        <f t="shared" si="0"/>
        <v>2.2638309555742576E-2</v>
      </c>
    </row>
    <row r="12" spans="2:6" x14ac:dyDescent="0.25">
      <c r="B12" s="8">
        <v>4</v>
      </c>
      <c r="C12" s="38">
        <f>+FlatLoadShapeEnergy_perMWh!P10</f>
        <v>21.958969325419218</v>
      </c>
      <c r="D12" s="169">
        <f t="shared" si="0"/>
        <v>2.1958969325419218E-2</v>
      </c>
    </row>
    <row r="13" spans="2:6" x14ac:dyDescent="0.25">
      <c r="B13" s="8">
        <v>5</v>
      </c>
      <c r="C13" s="38">
        <f>+FlatLoadShapeEnergy_perMWh!P11</f>
        <v>21.48959418736375</v>
      </c>
      <c r="D13" s="169">
        <f t="shared" si="0"/>
        <v>2.148959418736375E-2</v>
      </c>
    </row>
    <row r="14" spans="2:6" x14ac:dyDescent="0.25">
      <c r="B14" s="8">
        <v>6</v>
      </c>
      <c r="C14" s="38">
        <f>+FlatLoadShapeEnergy_perMWh!P12</f>
        <v>21.298215985256455</v>
      </c>
      <c r="D14" s="169">
        <f t="shared" si="0"/>
        <v>2.1298215985256455E-2</v>
      </c>
    </row>
    <row r="15" spans="2:6" x14ac:dyDescent="0.25">
      <c r="B15" s="8">
        <v>7</v>
      </c>
      <c r="C15" s="38">
        <f>+FlatLoadShapeEnergy_perMWh!P13</f>
        <v>21.284804532058018</v>
      </c>
      <c r="D15" s="169">
        <f t="shared" si="0"/>
        <v>2.128480453205802E-2</v>
      </c>
    </row>
    <row r="16" spans="2:6" x14ac:dyDescent="0.25">
      <c r="B16" s="8">
        <v>8</v>
      </c>
      <c r="C16" s="38">
        <f>+FlatLoadShapeEnergy_perMWh!P14</f>
        <v>21.414279544753249</v>
      </c>
      <c r="D16" s="169">
        <f t="shared" si="0"/>
        <v>2.1414279544753251E-2</v>
      </c>
    </row>
    <row r="17" spans="2:4" x14ac:dyDescent="0.25">
      <c r="B17" s="8">
        <v>9</v>
      </c>
      <c r="C17" s="38">
        <f>+FlatLoadShapeEnergy_perMWh!P15</f>
        <v>21.608196468444284</v>
      </c>
      <c r="D17" s="169">
        <f t="shared" si="0"/>
        <v>2.1608196468444283E-2</v>
      </c>
    </row>
    <row r="18" spans="2:4" x14ac:dyDescent="0.25">
      <c r="B18" s="8">
        <v>10</v>
      </c>
      <c r="C18" s="38">
        <f>+FlatLoadShapeEnergy_perMWh!P16</f>
        <v>21.784188702760567</v>
      </c>
      <c r="D18" s="169">
        <f t="shared" si="0"/>
        <v>2.1784188702760568E-2</v>
      </c>
    </row>
    <row r="19" spans="2:4" x14ac:dyDescent="0.25">
      <c r="B19" s="8">
        <v>11</v>
      </c>
      <c r="C19" s="38">
        <f>+FlatLoadShapeEnergy_perMWh!P17</f>
        <v>21.94200272948823</v>
      </c>
      <c r="D19" s="169">
        <f t="shared" si="0"/>
        <v>2.1942002729488229E-2</v>
      </c>
    </row>
    <row r="20" spans="2:4" x14ac:dyDescent="0.25">
      <c r="B20" s="8">
        <v>12</v>
      </c>
      <c r="C20" s="38">
        <f>+FlatLoadShapeEnergy_perMWh!P18</f>
        <v>22.095684821163388</v>
      </c>
      <c r="D20" s="169">
        <f t="shared" si="0"/>
        <v>2.2095684821163388E-2</v>
      </c>
    </row>
    <row r="21" spans="2:4" x14ac:dyDescent="0.25">
      <c r="B21" s="8">
        <v>13</v>
      </c>
      <c r="C21" s="38">
        <f>+FlatLoadShapeEnergy_perMWh!P19</f>
        <v>22.244690955186421</v>
      </c>
      <c r="D21" s="169">
        <f t="shared" si="0"/>
        <v>2.2244690955186421E-2</v>
      </c>
    </row>
    <row r="22" spans="2:4" x14ac:dyDescent="0.25">
      <c r="B22" s="8">
        <v>14</v>
      </c>
      <c r="C22" s="38">
        <f>+FlatLoadShapeEnergy_perMWh!P20</f>
        <v>22.437916040197152</v>
      </c>
      <c r="D22" s="169">
        <f t="shared" si="0"/>
        <v>2.2437916040197153E-2</v>
      </c>
    </row>
    <row r="23" spans="2:4" x14ac:dyDescent="0.25">
      <c r="B23" s="32">
        <v>15</v>
      </c>
      <c r="C23" s="39">
        <f>+FlatLoadShapeEnergy_perMWh!P21</f>
        <v>22.664104755183956</v>
      </c>
      <c r="D23" s="170">
        <f>C23/1000</f>
        <v>2.2664104755183958E-2</v>
      </c>
    </row>
    <row r="24" spans="2:4" x14ac:dyDescent="0.25">
      <c r="B24" s="8">
        <v>16</v>
      </c>
      <c r="C24" s="38">
        <f>+FlatLoadShapeEnergy_perMWh!P22</f>
        <v>22.924073860773518</v>
      </c>
      <c r="D24" s="169">
        <f t="shared" si="0"/>
        <v>2.2924073860773518E-2</v>
      </c>
    </row>
    <row r="25" spans="2:4" x14ac:dyDescent="0.25">
      <c r="B25" s="8">
        <v>17</v>
      </c>
      <c r="C25" s="38">
        <f>+FlatLoadShapeEnergy_perMWh!P23</f>
        <v>23.216111140296942</v>
      </c>
      <c r="D25" s="169">
        <f t="shared" si="0"/>
        <v>2.3216111140296942E-2</v>
      </c>
    </row>
    <row r="26" spans="2:4" x14ac:dyDescent="0.25">
      <c r="B26" s="8">
        <v>18</v>
      </c>
      <c r="C26" s="38">
        <f>+FlatLoadShapeEnergy_perMWh!P24</f>
        <v>23.495162943190117</v>
      </c>
      <c r="D26" s="169">
        <f t="shared" si="0"/>
        <v>2.3495162943190116E-2</v>
      </c>
    </row>
    <row r="27" spans="2:4" x14ac:dyDescent="0.25">
      <c r="B27" s="8">
        <v>19</v>
      </c>
      <c r="C27" s="38">
        <f>+FlatLoadShapeEnergy_perMWh!P25</f>
        <v>23.761296636294222</v>
      </c>
      <c r="D27" s="169">
        <f t="shared" si="0"/>
        <v>2.3761296636294223E-2</v>
      </c>
    </row>
    <row r="28" spans="2:4" x14ac:dyDescent="0.25">
      <c r="B28" s="8">
        <v>20</v>
      </c>
      <c r="C28" s="38">
        <f>+FlatLoadShapeEnergy_perMWh!P26</f>
        <v>24.06144892147092</v>
      </c>
      <c r="D28" s="169">
        <f t="shared" ref="D28:D29" si="1">C28/1000</f>
        <v>2.406144892147092E-2</v>
      </c>
    </row>
    <row r="29" spans="2:4" x14ac:dyDescent="0.25">
      <c r="B29" s="8">
        <v>21</v>
      </c>
      <c r="C29" s="38">
        <f>+FlatLoadShapeEnergy_perMWh!P27</f>
        <v>24.349208412079477</v>
      </c>
      <c r="D29" s="169">
        <f t="shared" si="1"/>
        <v>2.4349208412079479E-2</v>
      </c>
    </row>
    <row r="39" spans="2:3" x14ac:dyDescent="0.25">
      <c r="C39" s="9"/>
    </row>
    <row r="40" spans="2:3" x14ac:dyDescent="0.25">
      <c r="C40" s="10"/>
    </row>
    <row r="41" spans="2:3" s="13" customFormat="1" x14ac:dyDescent="0.25">
      <c r="B41" s="11"/>
      <c r="C41" s="12"/>
    </row>
  </sheetData>
  <mergeCells count="3">
    <mergeCell ref="B3:C3"/>
    <mergeCell ref="B4:C4"/>
    <mergeCell ref="B5:C5"/>
  </mergeCells>
  <phoneticPr fontId="0" type="noConversion"/>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Replacement Page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2019-08-09T07:00:00+00:00</OpenedDate>
    <SignificantOrder xmlns="dc463f71-b30c-4ab2-9473-d307f9d35888">false</SignificantOrder>
    <Date1 xmlns="dc463f71-b30c-4ab2-9473-d307f9d35888">2019-11-22T08:00:00+00:00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190665</DocketNumber>
    <DelegatedOrder xmlns="dc463f71-b30c-4ab2-9473-d307f9d35888">false</DelegatedOrder>
  </documentManagement>
</p:properti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1C975A9AA97448711F499A0B4ED62" ma:contentTypeVersion="56" ma:contentTypeDescription="" ma:contentTypeScope="" ma:versionID="1635275def88c02ac089c8c7e3eef0d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AE01BA9-141D-41B1-9010-9F5A6F197A79}">
  <ds:schemaRefs>
    <ds:schemaRef ds:uri="http://schemas.microsoft.com/sharepoint/v3/contenttype/forms"/>
  </ds:schemaRefs>
</ds:datastoreItem>
</file>

<file path=customXml/itemProps2.xml><?xml version="1.0" encoding="utf-8"?>
<ds:datastoreItem xmlns:ds="http://schemas.openxmlformats.org/officeDocument/2006/customXml" ds:itemID="{03E0F919-B37F-4217-AEE8-BC978C1FFF41}">
  <ds:schemaRefs>
    <ds:schemaRef ds:uri="http://purl.org/dc/terms/"/>
    <ds:schemaRef ds:uri="dc463f71-b30c-4ab2-9473-d307f9d35888"/>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sharepoint/v3"/>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5B9B014-23FA-49E8-8BD2-C0C7AA3F2050}"/>
</file>

<file path=customXml/itemProps4.xml><?xml version="1.0" encoding="utf-8"?>
<ds:datastoreItem xmlns:ds="http://schemas.openxmlformats.org/officeDocument/2006/customXml" ds:itemID="{C247FD0D-074A-45A9-93BC-638BEEA2D7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Output - Summary</vt:lpstr>
      <vt:lpstr>Output - 5yr Baseload</vt:lpstr>
      <vt:lpstr>Output - 10yr Baseload</vt:lpstr>
      <vt:lpstr>Output - 15yr Baseload</vt:lpstr>
      <vt:lpstr>Output - 10yr Wind</vt:lpstr>
      <vt:lpstr>Output - 15yr Wind</vt:lpstr>
      <vt:lpstr>Output - 10yr Solar</vt:lpstr>
      <vt:lpstr>Output - 15yr Solar</vt:lpstr>
      <vt:lpstr>Electric EES CE Std Energy</vt:lpstr>
      <vt:lpstr>FlatLoadShapeEnergy_perMWh</vt:lpstr>
      <vt:lpstr>Baseload Avoided Capacity Calcs</vt:lpstr>
      <vt:lpstr>Wind Avoided Capacity Calcs</vt:lpstr>
      <vt:lpstr>Solar Avoided Capacity Calcs</vt:lpstr>
      <vt:lpstr>Inputs-----&gt;</vt:lpstr>
      <vt:lpstr>Energy Prices</vt:lpstr>
      <vt:lpstr>Capacity Delivered</vt:lpstr>
      <vt:lpstr>Cost of Capital</vt:lpstr>
      <vt:lpstr>'Baseload Avoided Capacity Calcs'!Print_Area</vt:lpstr>
      <vt:lpstr>'Capacity Delivered'!Print_Area</vt:lpstr>
      <vt:lpstr>'Electric EES CE Std Energy'!Print_Area</vt:lpstr>
      <vt:lpstr>FlatLoadShapeEnergy_perMWh!Print_Area</vt:lpstr>
      <vt:lpstr>'Output - 10yr Baseload'!Print_Area</vt:lpstr>
      <vt:lpstr>'Output - 10yr Solar'!Print_Area</vt:lpstr>
      <vt:lpstr>'Output - 10yr Wind'!Print_Area</vt:lpstr>
      <vt:lpstr>'Output - 15yr Baseload'!Print_Area</vt:lpstr>
      <vt:lpstr>'Output - 15yr Solar'!Print_Area</vt:lpstr>
      <vt:lpstr>'Output - 15yr Wind'!Print_Area</vt:lpstr>
      <vt:lpstr>'Output - 5yr Baseload'!Print_Area</vt:lpstr>
      <vt:lpstr>'Output - Summary'!Print_Area</vt:lpstr>
      <vt:lpstr>'Solar Avoided Capacity Calcs'!Print_Area</vt:lpstr>
      <vt:lpstr>'Wind Avoided Capacity Calcs'!Print_Area</vt:lpstr>
      <vt:lpstr>Rate_of_Return</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Elsea</dc:creator>
  <cp:lastModifiedBy>Cass, Mei</cp:lastModifiedBy>
  <cp:lastPrinted>2019-09-23T18:45:11Z</cp:lastPrinted>
  <dcterms:created xsi:type="dcterms:W3CDTF">2011-10-18T17:21:29Z</dcterms:created>
  <dcterms:modified xsi:type="dcterms:W3CDTF">2019-11-22T17:10:22Z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0x0101006E56B4D1795A2E4DB2F0B01679ED314A0076D1C975A9AA97448711F499A0B4ED62</vt:lpwstr>
  </property>
  <property fmtid="{D5CDD505-2E9C-101B-9397-08002B2CF9AE}" pid="3" name="_docset_NoMedatataSyncRequired">
    <vt:lpwstr>False</vt:lpwstr>
  </property>
  <property fmtid="{D5CDD505-2E9C-101B-9397-08002B2CF9AE}" pid="4" name="IsEFSEC">
    <vt:bool>false</vt:bool>
  </property>
</Properties>
</file>