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2004" sheetId="1" r:id="rId1"/>
    <sheet name="2003" sheetId="2" r:id="rId2"/>
    <sheet name="2002" sheetId="3" r:id="rId3"/>
    <sheet name="2001" sheetId="4" r:id="rId4"/>
  </sheets>
  <definedNames>
    <definedName name="_xlnm.Print_Area" localSheetId="0">'2004'!$A$1:$Q$99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<sst xmlns="http://schemas.openxmlformats.org/spreadsheetml/2006/main" count="892" uniqueCount="58">
  <si>
    <t>Murrey's Disposal Co., Inc.</t>
  </si>
  <si>
    <t>CURBSIDE RECYCLABLE MATERIAL 2001</t>
  </si>
  <si>
    <t xml:space="preserve"> </t>
  </si>
  <si>
    <t>Total Year 2001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</si>
  <si>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</si>
  <si>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</si>
  <si>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</si>
  <si>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</si>
  <si>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</si>
  <si>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</si>
  <si>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</si>
  <si>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</si>
  <si>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</si>
  <si>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October</t>
  </si>
  <si>
    <t>November</t>
  </si>
  <si>
    <t>December</t>
  </si>
  <si>
    <t>Total</t>
  </si>
  <si>
    <t>Tons</t>
  </si>
  <si>
    <t>Newspaper</t>
  </si>
  <si>
    <t>Lbs</t>
  </si>
  <si>
    <t>Mixed Paper</t>
  </si>
  <si>
    <t>Cardboard</t>
  </si>
  <si>
    <t xml:space="preserve">Aluminum Cans   </t>
  </si>
  <si>
    <t>Tin</t>
  </si>
  <si>
    <t>GLOB</t>
  </si>
  <si>
    <t>Co Mingled</t>
  </si>
  <si>
    <t>Glass</t>
  </si>
  <si>
    <t>American Disposal Co Inc</t>
  </si>
  <si>
    <t>Combined Total Collected 2001</t>
  </si>
  <si>
    <t>CURBSIDE RECYCLABLE MATERIAL 2002</t>
  </si>
  <si>
    <t>Total Year 2002</t>
  </si>
  <si>
    <t>CoMingled</t>
  </si>
  <si>
    <t>Combined Total Collected 2002</t>
  </si>
  <si>
    <t>Murrey's/American</t>
  </si>
  <si>
    <t>CURBSIDE RECYCLABLE MATERIAL 2003</t>
  </si>
  <si>
    <t>Total Year 2003</t>
  </si>
  <si>
    <t>% of Mat</t>
  </si>
  <si>
    <t>Combined Total Collected 2003</t>
  </si>
  <si>
    <t>CURBSIDE RECYCLABLE MATERIAL 2004</t>
  </si>
  <si>
    <t>Total Year 2004</t>
  </si>
  <si>
    <t>Combined Total Collected 2004</t>
  </si>
  <si>
    <t>Murrey's Disposal/American Disposal</t>
  </si>
  <si>
    <t>CURBSIDE RECYCLABLE MATERIAL Revenue 2001</t>
  </si>
  <si>
    <t>CURBSIDE RECYCLABLE MATERIAL Revenue  2002</t>
  </si>
  <si>
    <t>CURBSIDE RECYCLABLE MATERIAL Revenue 2003</t>
  </si>
  <si>
    <t>Combined Total Revenue 2003</t>
  </si>
  <si>
    <t>Combined Total Revenue 2002</t>
  </si>
  <si>
    <t>Combined Total Revenue 2001</t>
  </si>
  <si>
    <t>Combined Total Revenue 2004</t>
  </si>
  <si>
    <t>CURBSIDE RECYCLABLE REVENUE 2004</t>
  </si>
  <si>
    <t>Customers Recycling w/Bins</t>
  </si>
  <si>
    <t>Total per Month</t>
  </si>
  <si>
    <t>Customers Recycl w/bins</t>
  </si>
  <si>
    <r>
      <t>Average</t>
    </r>
    <r>
      <rPr>
        <sz val="9"/>
        <color indexed="48"/>
        <rFont val="Arial"/>
        <family val="2"/>
      </rPr>
      <t xml:space="preserve"> lbs</t>
    </r>
    <r>
      <rPr>
        <sz val="9"/>
        <color indexed="8"/>
        <rFont val="Arial"/>
        <family val="2"/>
      </rPr>
      <t xml:space="preserve"> per month</t>
    </r>
  </si>
  <si>
    <t>Total Customer Base</t>
  </si>
  <si>
    <t>Average lbs per household per month</t>
  </si>
  <si>
    <r>
      <t>Average</t>
    </r>
    <r>
      <rPr>
        <sz val="8"/>
        <color indexed="48"/>
        <rFont val="Arial"/>
        <family val="2"/>
      </rPr>
      <t xml:space="preserve"> lbs</t>
    </r>
    <r>
      <rPr>
        <sz val="8"/>
        <color indexed="8"/>
        <rFont val="Arial"/>
        <family val="2"/>
      </rPr>
      <t xml:space="preserve"> per month</t>
    </r>
  </si>
  <si>
    <t>Reported to Pierce County December 2004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</si>
</sst>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mm/dd/yy"/>
    <numFmt numFmtId="166" formatCode="0.000"/>
    <numFmt numFmtId="167" formatCode="&quot;$&quot;#,##0"/>
  </numFmts>
  <fonts count="18">
    <font>
      <sz val="12"/>
      <name val="Arial"/>
      <family val="0"/>
    </font>
    <font>
      <sz val="14"/>
      <color indexed="8"/>
      <name val="Arial"/>
      <family val="0"/>
    </font>
    <font>
      <b/>
      <sz val="18"/>
      <color indexed="8"/>
      <name val="Arial"/>
      <family val="0"/>
    </font>
    <font>
      <i/>
      <sz val="14"/>
      <color indexed="8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sz val="9"/>
      <color indexed="48"/>
      <name val="Arial"/>
      <family val="2"/>
    </font>
    <font>
      <sz val="9"/>
      <color indexed="14"/>
      <name val="Arial"/>
      <family val="2"/>
    </font>
    <font>
      <sz val="8"/>
      <color indexed="14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6"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/>
    </xf>
    <xf numFmtId="0" fontId="5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165" fontId="4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 horizontal="center"/>
    </xf>
    <xf numFmtId="37" fontId="4" fillId="2" borderId="1" xfId="0" applyNumberFormat="1" applyFont="1" applyBorder="1" applyAlignment="1">
      <alignment/>
    </xf>
    <xf numFmtId="39" fontId="4" fillId="2" borderId="1" xfId="0" applyNumberFormat="1" applyFont="1" applyBorder="1" applyAlignment="1">
      <alignment/>
    </xf>
    <xf numFmtId="10" fontId="4" fillId="2" borderId="1" xfId="0" applyNumberFormat="1" applyFont="1" applyBorder="1" applyAlignment="1">
      <alignment/>
    </xf>
    <xf numFmtId="37" fontId="8" fillId="2" borderId="1" xfId="0" applyNumberFormat="1" applyFont="1" applyBorder="1" applyAlignment="1">
      <alignment/>
    </xf>
    <xf numFmtId="39" fontId="8" fillId="2" borderId="1" xfId="0" applyNumberFormat="1" applyFont="1" applyBorder="1" applyAlignment="1">
      <alignment/>
    </xf>
    <xf numFmtId="10" fontId="8" fillId="2" borderId="1" xfId="0" applyNumberFormat="1" applyFont="1" applyBorder="1" applyAlignment="1">
      <alignment/>
    </xf>
    <xf numFmtId="37" fontId="7" fillId="2" borderId="1" xfId="0" applyNumberFormat="1" applyFont="1" applyBorder="1" applyAlignment="1">
      <alignment/>
    </xf>
    <xf numFmtId="39" fontId="7" fillId="2" borderId="1" xfId="0" applyNumberFormat="1" applyFont="1" applyBorder="1" applyAlignment="1">
      <alignment/>
    </xf>
    <xf numFmtId="10" fontId="7" fillId="2" borderId="1" xfId="0" applyNumberFormat="1" applyFont="1" applyBorder="1" applyAlignment="1">
      <alignment/>
    </xf>
    <xf numFmtId="164" fontId="4" fillId="2" borderId="1" xfId="0" applyNumberFormat="1" applyFont="1" applyBorder="1" applyAlignment="1">
      <alignment/>
    </xf>
    <xf numFmtId="37" fontId="5" fillId="2" borderId="1" xfId="0" applyNumberFormat="1" applyFont="1" applyBorder="1" applyAlignment="1">
      <alignment/>
    </xf>
    <xf numFmtId="37" fontId="4" fillId="2" borderId="1" xfId="0" applyNumberFormat="1" applyFont="1" applyBorder="1" applyAlignment="1">
      <alignment horizontal="center"/>
    </xf>
    <xf numFmtId="39" fontId="4" fillId="2" borderId="1" xfId="0" applyNumberFormat="1" applyFont="1" applyBorder="1" applyAlignment="1">
      <alignment horizontal="center"/>
    </xf>
    <xf numFmtId="0" fontId="4" fillId="2" borderId="1" xfId="0" applyNumberFormat="1" applyFont="1" applyBorder="1" applyAlignment="1">
      <alignment horizontal="left"/>
    </xf>
    <xf numFmtId="14" fontId="5" fillId="2" borderId="1" xfId="0" applyNumberFormat="1" applyFont="1" applyBorder="1" applyAlignment="1">
      <alignment/>
    </xf>
    <xf numFmtId="3" fontId="5" fillId="2" borderId="1" xfId="0" applyNumberFormat="1" applyFont="1" applyBorder="1" applyAlignment="1">
      <alignment/>
    </xf>
    <xf numFmtId="4" fontId="5" fillId="2" borderId="1" xfId="0" applyNumberFormat="1" applyFont="1" applyBorder="1" applyAlignment="1">
      <alignment/>
    </xf>
    <xf numFmtId="10" fontId="5" fillId="2" borderId="1" xfId="0" applyNumberFormat="1" applyFont="1" applyBorder="1" applyAlignment="1">
      <alignment/>
    </xf>
    <xf numFmtId="0" fontId="9" fillId="2" borderId="1" xfId="0" applyNumberFormat="1" applyFont="1" applyBorder="1" applyAlignment="1">
      <alignment/>
    </xf>
    <xf numFmtId="3" fontId="9" fillId="2" borderId="1" xfId="0" applyNumberFormat="1" applyFont="1" applyBorder="1" applyAlignment="1">
      <alignment/>
    </xf>
    <xf numFmtId="4" fontId="9" fillId="2" borderId="1" xfId="0" applyNumberFormat="1" applyFont="1" applyBorder="1" applyAlignment="1">
      <alignment/>
    </xf>
    <xf numFmtId="10" fontId="9" fillId="2" borderId="1" xfId="0" applyNumberFormat="1" applyFont="1" applyBorder="1" applyAlignment="1">
      <alignment/>
    </xf>
    <xf numFmtId="166" fontId="4" fillId="2" borderId="1" xfId="0" applyNumberFormat="1" applyFont="1" applyBorder="1" applyAlignment="1">
      <alignment/>
    </xf>
    <xf numFmtId="166" fontId="5" fillId="2" borderId="1" xfId="0" applyNumberFormat="1" applyFont="1" applyBorder="1" applyAlignment="1">
      <alignment/>
    </xf>
    <xf numFmtId="4" fontId="4" fillId="2" borderId="1" xfId="0" applyNumberFormat="1" applyFont="1" applyBorder="1" applyAlignment="1">
      <alignment/>
    </xf>
    <xf numFmtId="37" fontId="5" fillId="2" borderId="1" xfId="0" applyNumberFormat="1" applyFont="1" applyBorder="1" applyAlignment="1">
      <alignment horizontal="center"/>
    </xf>
    <xf numFmtId="0" fontId="5" fillId="2" borderId="1" xfId="0" applyNumberFormat="1" applyFont="1" applyBorder="1" applyAlignment="1">
      <alignment horizontal="center"/>
    </xf>
    <xf numFmtId="37" fontId="10" fillId="2" borderId="1" xfId="0" applyNumberFormat="1" applyFont="1" applyBorder="1" applyAlignment="1">
      <alignment/>
    </xf>
    <xf numFmtId="37" fontId="6" fillId="2" borderId="1" xfId="0" applyNumberFormat="1" applyFont="1" applyBorder="1" applyAlignment="1">
      <alignment/>
    </xf>
    <xf numFmtId="39" fontId="6" fillId="2" borderId="1" xfId="0" applyNumberFormat="1" applyFont="1" applyBorder="1" applyAlignment="1">
      <alignment/>
    </xf>
    <xf numFmtId="10" fontId="6" fillId="2" borderId="1" xfId="0" applyNumberFormat="1" applyFont="1" applyBorder="1" applyAlignment="1">
      <alignment/>
    </xf>
    <xf numFmtId="37" fontId="4" fillId="2" borderId="1" xfId="0" applyNumberFormat="1" applyFont="1" applyBorder="1" applyAlignment="1">
      <alignment horizontal="right"/>
    </xf>
    <xf numFmtId="4" fontId="7" fillId="2" borderId="1" xfId="0" applyNumberFormat="1" applyFont="1" applyBorder="1" applyAlignment="1">
      <alignment/>
    </xf>
    <xf numFmtId="43" fontId="4" fillId="2" borderId="1" xfId="0" applyNumberFormat="1" applyFont="1" applyBorder="1" applyAlignment="1">
      <alignment/>
    </xf>
    <xf numFmtId="43" fontId="7" fillId="2" borderId="1" xfId="0" applyNumberFormat="1" applyFont="1" applyBorder="1" applyAlignment="1">
      <alignment/>
    </xf>
    <xf numFmtId="5" fontId="4" fillId="2" borderId="1" xfId="0" applyNumberFormat="1" applyFont="1" applyBorder="1" applyAlignment="1">
      <alignment/>
    </xf>
    <xf numFmtId="5" fontId="6" fillId="2" borderId="1" xfId="0" applyNumberFormat="1" applyFont="1" applyBorder="1" applyAlignment="1">
      <alignment/>
    </xf>
    <xf numFmtId="167" fontId="5" fillId="2" borderId="1" xfId="0" applyNumberFormat="1" applyFont="1" applyBorder="1" applyAlignment="1">
      <alignment/>
    </xf>
    <xf numFmtId="167" fontId="9" fillId="2" borderId="1" xfId="0" applyNumberFormat="1" applyFont="1" applyBorder="1" applyAlignment="1">
      <alignment/>
    </xf>
    <xf numFmtId="5" fontId="8" fillId="2" borderId="1" xfId="0" applyNumberFormat="1" applyFont="1" applyBorder="1" applyAlignment="1">
      <alignment/>
    </xf>
    <xf numFmtId="5" fontId="7" fillId="2" borderId="1" xfId="0" applyNumberFormat="1" applyFont="1" applyBorder="1" applyAlignment="1">
      <alignment/>
    </xf>
    <xf numFmtId="0" fontId="12" fillId="2" borderId="1" xfId="0" applyNumberFormat="1" applyFont="1" applyBorder="1" applyAlignment="1">
      <alignment/>
    </xf>
    <xf numFmtId="3" fontId="4" fillId="2" borderId="1" xfId="0" applyNumberFormat="1" applyFont="1" applyBorder="1" applyAlignment="1">
      <alignment/>
    </xf>
    <xf numFmtId="0" fontId="13" fillId="2" borderId="1" xfId="0" applyNumberFormat="1" applyFont="1" applyBorder="1" applyAlignment="1">
      <alignment/>
    </xf>
    <xf numFmtId="0" fontId="14" fillId="2" borderId="1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/>
    </xf>
    <xf numFmtId="0" fontId="16" fillId="2" borderId="1" xfId="0" applyNumberFormat="1" applyFont="1" applyBorder="1" applyAlignment="1">
      <alignment/>
    </xf>
    <xf numFmtId="14" fontId="16" fillId="2" borderId="1" xfId="0" applyNumberFormat="1" applyFont="1" applyBorder="1" applyAlignment="1">
      <alignment/>
    </xf>
    <xf numFmtId="3" fontId="16" fillId="2" borderId="1" xfId="0" applyNumberFormat="1" applyFont="1" applyBorder="1" applyAlignment="1">
      <alignment/>
    </xf>
    <xf numFmtId="10" fontId="16" fillId="2" borderId="1" xfId="0" applyNumberFormat="1" applyFont="1" applyBorder="1" applyAlignment="1">
      <alignment/>
    </xf>
    <xf numFmtId="4" fontId="16" fillId="2" borderId="1" xfId="0" applyNumberFormat="1" applyFont="1" applyBorder="1" applyAlignment="1">
      <alignment/>
    </xf>
    <xf numFmtId="3" fontId="15" fillId="2" borderId="1" xfId="0" applyNumberFormat="1" applyFont="1" applyBorder="1" applyAlignment="1">
      <alignment/>
    </xf>
    <xf numFmtId="4" fontId="15" fillId="2" borderId="1" xfId="0" applyNumberFormat="1" applyFont="1" applyBorder="1" applyAlignment="1">
      <alignment/>
    </xf>
    <xf numFmtId="10" fontId="15" fillId="2" borderId="1" xfId="0" applyNumberFormat="1" applyFont="1" applyBorder="1" applyAlignment="1">
      <alignment/>
    </xf>
    <xf numFmtId="0" fontId="14" fillId="2" borderId="1" xfId="0" applyNumberFormat="1" applyFont="1" applyBorder="1" applyAlignment="1">
      <alignment/>
    </xf>
    <xf numFmtId="3" fontId="14" fillId="2" borderId="1" xfId="0" applyNumberFormat="1" applyFont="1" applyBorder="1" applyAlignment="1">
      <alignment/>
    </xf>
    <xf numFmtId="4" fontId="14" fillId="2" borderId="1" xfId="0" applyNumberFormat="1" applyFont="1" applyBorder="1" applyAlignment="1">
      <alignment/>
    </xf>
    <xf numFmtId="0" fontId="16" fillId="2" borderId="1" xfId="0" applyNumberFormat="1" applyFont="1" applyBorder="1" applyAlignment="1">
      <alignment horizontal="center"/>
    </xf>
    <xf numFmtId="167" fontId="16" fillId="2" borderId="1" xfId="0" applyNumberFormat="1" applyFont="1" applyBorder="1" applyAlignment="1">
      <alignment/>
    </xf>
    <xf numFmtId="167" fontId="15" fillId="2" borderId="1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8"/>
  <sheetViews>
    <sheetView tabSelected="1" showOutlineSymbols="0" zoomScale="87" zoomScaleNormal="87" workbookViewId="0" topLeftCell="A1">
      <selection activeCell="A1" sqref="A1"/>
    </sheetView>
  </sheetViews>
  <sheetFormatPr defaultColWidth="8.6640625" defaultRowHeight="15"/>
  <cols>
    <col min="1" max="1" width="17.88671875" style="2" customWidth="1"/>
    <col min="2" max="2" width="6.6640625" style="2" customWidth="1"/>
    <col min="3" max="3" width="8.5546875" style="2" customWidth="1"/>
    <col min="4" max="4" width="9.88671875" style="2" customWidth="1"/>
    <col min="5" max="5" width="9.10546875" style="2" customWidth="1"/>
    <col min="6" max="6" width="9.88671875" style="2" customWidth="1"/>
    <col min="7" max="7" width="8.77734375" style="2" customWidth="1"/>
    <col min="8" max="8" width="8.5546875" style="2" customWidth="1"/>
    <col min="9" max="9" width="7.77734375" style="2" customWidth="1"/>
    <col min="10" max="10" width="7.88671875" style="2" customWidth="1"/>
    <col min="11" max="11" width="8.6640625" style="2" customWidth="1"/>
    <col min="12" max="12" width="8.21484375" style="2" customWidth="1"/>
    <col min="13" max="13" width="7.6640625" style="2" customWidth="1"/>
    <col min="14" max="14" width="7.99609375" style="2" customWidth="1"/>
    <col min="15" max="15" width="10.21484375" style="2" customWidth="1"/>
    <col min="16" max="16" width="8.88671875" style="2" customWidth="1"/>
    <col min="17" max="17" width="10.4453125" style="2" customWidth="1"/>
    <col min="18" max="16384" width="17.88671875" style="2" customWidth="1"/>
  </cols>
  <sheetData>
    <row r="1" spans="1:16" ht="12">
      <c r="A1" s="3" t="s">
        <v>0</v>
      </c>
      <c r="B1" s="1"/>
      <c r="C1" s="1"/>
      <c r="D1" s="1"/>
      <c r="F1" s="3" t="s">
        <v>38</v>
      </c>
      <c r="P1" s="4"/>
    </row>
    <row r="2" spans="1:16" ht="12">
      <c r="A2" s="3" t="s">
        <v>57</v>
      </c>
      <c r="B2" s="1"/>
      <c r="C2" s="1"/>
      <c r="D2" s="1"/>
      <c r="F2" s="3"/>
      <c r="P2" s="4"/>
    </row>
    <row r="3" spans="1:6" ht="12">
      <c r="A3" s="1"/>
      <c r="B3" s="1"/>
      <c r="C3" s="1"/>
      <c r="D3" s="1"/>
      <c r="F3" s="47" t="s">
        <v>2</v>
      </c>
    </row>
    <row r="4" spans="1:9" ht="12">
      <c r="A4" s="3" t="s">
        <v>39</v>
      </c>
      <c r="B4" s="1"/>
      <c r="C4" s="1"/>
      <c r="D4" s="1"/>
      <c r="I4" s="2" t="s">
        <v>2</v>
      </c>
    </row>
    <row r="5" spans="1:17" ht="12">
      <c r="A5" s="1"/>
      <c r="B5" s="1"/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36</v>
      </c>
    </row>
    <row r="6" spans="1:17" ht="12">
      <c r="A6" s="1" t="s">
        <v>18</v>
      </c>
      <c r="B6" s="5" t="s">
        <v>19</v>
      </c>
      <c r="C6" s="6">
        <v>154180</v>
      </c>
      <c r="D6" s="6">
        <v>167880</v>
      </c>
      <c r="E6" s="6">
        <v>173310</v>
      </c>
      <c r="F6" s="6">
        <v>171725</v>
      </c>
      <c r="G6" s="6">
        <v>133805</v>
      </c>
      <c r="H6" s="6">
        <v>110530</v>
      </c>
      <c r="I6" s="6">
        <v>79570</v>
      </c>
      <c r="J6" s="6">
        <v>69770</v>
      </c>
      <c r="K6" s="6">
        <v>105840</v>
      </c>
      <c r="L6" s="6">
        <v>78810</v>
      </c>
      <c r="M6" s="6">
        <v>69390</v>
      </c>
      <c r="N6" s="6">
        <f>114030+11420</f>
        <v>125450</v>
      </c>
      <c r="O6" s="6">
        <f>SUM(C6:N6)</f>
        <v>1440260</v>
      </c>
      <c r="P6" s="7">
        <f>O6/2000</f>
        <v>720.13</v>
      </c>
      <c r="Q6" s="8">
        <f>O6/$O$14</f>
        <v>0.15881953109941058</v>
      </c>
    </row>
    <row r="7" spans="1:17" ht="12">
      <c r="A7" s="1" t="s">
        <v>20</v>
      </c>
      <c r="B7" s="5" t="s">
        <v>19</v>
      </c>
      <c r="C7" s="6">
        <v>372090</v>
      </c>
      <c r="D7" s="6">
        <v>288040</v>
      </c>
      <c r="E7" s="6">
        <v>341200</v>
      </c>
      <c r="F7" s="6">
        <v>309550</v>
      </c>
      <c r="G7" s="6">
        <v>355145</v>
      </c>
      <c r="H7" s="6">
        <v>379230</v>
      </c>
      <c r="I7" s="6">
        <v>399610</v>
      </c>
      <c r="J7" s="6">
        <v>449220</v>
      </c>
      <c r="K7" s="6">
        <v>439760</v>
      </c>
      <c r="L7" s="6">
        <v>413370</v>
      </c>
      <c r="M7" s="6">
        <v>368470</v>
      </c>
      <c r="N7" s="6">
        <f>366180+36660</f>
        <v>402840</v>
      </c>
      <c r="O7" s="6">
        <f aca="true" t="shared" si="0" ref="O7:O13">SUM(C7:N7)</f>
        <v>4518525</v>
      </c>
      <c r="P7" s="7">
        <f aca="true" t="shared" si="1" ref="P7:P13">O7/2000</f>
        <v>2259.2625</v>
      </c>
      <c r="Q7" s="8">
        <f aca="true" t="shared" si="2" ref="Q7:Q13">O7/$O$14</f>
        <v>0.4982642174058602</v>
      </c>
    </row>
    <row r="8" spans="1:17" ht="12">
      <c r="A8" s="1" t="s">
        <v>21</v>
      </c>
      <c r="B8" s="5" t="s">
        <v>19</v>
      </c>
      <c r="C8" s="6">
        <v>42000</v>
      </c>
      <c r="D8" s="6">
        <v>31940</v>
      </c>
      <c r="E8" s="6">
        <v>33710</v>
      </c>
      <c r="F8" s="6">
        <v>31990</v>
      </c>
      <c r="G8" s="6">
        <v>30730</v>
      </c>
      <c r="H8" s="6">
        <v>28570</v>
      </c>
      <c r="I8" s="6">
        <v>25960</v>
      </c>
      <c r="J8" s="6">
        <v>26690</v>
      </c>
      <c r="K8" s="6">
        <v>35650</v>
      </c>
      <c r="L8" s="6">
        <v>22060</v>
      </c>
      <c r="M8" s="6">
        <v>15060</v>
      </c>
      <c r="N8" s="6">
        <f>27480+2750</f>
        <v>30230</v>
      </c>
      <c r="O8" s="6">
        <f t="shared" si="0"/>
        <v>354590</v>
      </c>
      <c r="P8" s="7">
        <f t="shared" si="1"/>
        <v>177.295</v>
      </c>
      <c r="Q8" s="8">
        <f t="shared" si="2"/>
        <v>0.03910114669055587</v>
      </c>
    </row>
    <row r="9" spans="1:18" ht="12">
      <c r="A9" s="1" t="s">
        <v>22</v>
      </c>
      <c r="B9" s="5" t="s">
        <v>19</v>
      </c>
      <c r="C9" s="6">
        <v>7524</v>
      </c>
      <c r="D9" s="6">
        <v>8559</v>
      </c>
      <c r="E9" s="6">
        <v>7304</v>
      </c>
      <c r="F9" s="6">
        <v>7403</v>
      </c>
      <c r="G9" s="6">
        <v>6593</v>
      </c>
      <c r="H9" s="6">
        <v>3912</v>
      </c>
      <c r="I9" s="6">
        <v>5925</v>
      </c>
      <c r="J9" s="6">
        <v>6698</v>
      </c>
      <c r="K9" s="6">
        <v>5509</v>
      </c>
      <c r="L9" s="6">
        <v>3589</v>
      </c>
      <c r="M9" s="6">
        <v>3618</v>
      </c>
      <c r="N9" s="6">
        <f>4134+413</f>
        <v>4547</v>
      </c>
      <c r="O9" s="6">
        <f t="shared" si="0"/>
        <v>71181</v>
      </c>
      <c r="P9" s="7">
        <f t="shared" si="1"/>
        <v>35.5905</v>
      </c>
      <c r="Q9" s="8">
        <f t="shared" si="2"/>
        <v>0.007849230724443603</v>
      </c>
      <c r="R9" s="1"/>
    </row>
    <row r="10" spans="1:18" ht="12">
      <c r="A10" s="1" t="s">
        <v>23</v>
      </c>
      <c r="B10" s="5" t="s">
        <v>19</v>
      </c>
      <c r="C10" s="6">
        <v>14939</v>
      </c>
      <c r="D10" s="6">
        <v>16994</v>
      </c>
      <c r="E10" s="6">
        <v>14502</v>
      </c>
      <c r="F10" s="6">
        <v>14701</v>
      </c>
      <c r="G10" s="6">
        <v>13091</v>
      </c>
      <c r="H10" s="6">
        <v>7761</v>
      </c>
      <c r="I10" s="6">
        <v>11757</v>
      </c>
      <c r="J10" s="6">
        <v>13299</v>
      </c>
      <c r="K10" s="6">
        <v>10942</v>
      </c>
      <c r="L10" s="6">
        <v>7123</v>
      </c>
      <c r="M10" s="6">
        <v>7181</v>
      </c>
      <c r="N10" s="6">
        <f>6464+647</f>
        <v>7111</v>
      </c>
      <c r="O10" s="6">
        <f t="shared" si="0"/>
        <v>139401</v>
      </c>
      <c r="P10" s="7">
        <f t="shared" si="1"/>
        <v>69.7005</v>
      </c>
      <c r="Q10" s="8">
        <f t="shared" si="2"/>
        <v>0.0153719477419278</v>
      </c>
      <c r="R10" s="1"/>
    </row>
    <row r="11" spans="1:18" ht="12">
      <c r="A11" s="1" t="s">
        <v>24</v>
      </c>
      <c r="B11" s="5" t="s">
        <v>19</v>
      </c>
      <c r="C11" s="6">
        <v>22300</v>
      </c>
      <c r="D11" s="6">
        <v>11500</v>
      </c>
      <c r="E11" s="6">
        <v>16080</v>
      </c>
      <c r="F11" s="6">
        <v>13000</v>
      </c>
      <c r="G11" s="6">
        <v>16070</v>
      </c>
      <c r="H11" s="6">
        <v>19080</v>
      </c>
      <c r="I11" s="6">
        <v>16170</v>
      </c>
      <c r="J11" s="6">
        <v>16820</v>
      </c>
      <c r="K11" s="6">
        <v>18185</v>
      </c>
      <c r="L11" s="6">
        <v>19310</v>
      </c>
      <c r="M11" s="6">
        <v>17750</v>
      </c>
      <c r="N11" s="6">
        <f>18725+1880</f>
        <v>20605</v>
      </c>
      <c r="O11" s="6">
        <f t="shared" si="0"/>
        <v>206870</v>
      </c>
      <c r="P11" s="7">
        <f t="shared" si="1"/>
        <v>103.435</v>
      </c>
      <c r="Q11" s="8">
        <f t="shared" si="2"/>
        <v>0.022811850914789735</v>
      </c>
      <c r="R11" s="1"/>
    </row>
    <row r="12" spans="1:18" ht="12">
      <c r="A12" s="1" t="s">
        <v>31</v>
      </c>
      <c r="B12" s="5" t="s">
        <v>19</v>
      </c>
      <c r="C12" s="6">
        <v>6620</v>
      </c>
      <c r="D12" s="6">
        <v>0</v>
      </c>
      <c r="E12" s="6">
        <v>1920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2615</v>
      </c>
      <c r="M12" s="6">
        <v>0</v>
      </c>
      <c r="N12" s="6">
        <v>0</v>
      </c>
      <c r="O12" s="6">
        <f t="shared" si="0"/>
        <v>11155</v>
      </c>
      <c r="P12" s="7">
        <f t="shared" si="1"/>
        <v>5.5775</v>
      </c>
      <c r="Q12" s="8">
        <f t="shared" si="2"/>
        <v>0.0012300778119325156</v>
      </c>
      <c r="R12" s="1"/>
    </row>
    <row r="13" spans="1:18" ht="12">
      <c r="A13" s="1" t="s">
        <v>26</v>
      </c>
      <c r="B13" s="5" t="s">
        <v>19</v>
      </c>
      <c r="C13" s="6">
        <v>233130</v>
      </c>
      <c r="D13" s="6">
        <v>176760</v>
      </c>
      <c r="E13" s="6">
        <v>212960</v>
      </c>
      <c r="F13" s="6">
        <v>221230</v>
      </c>
      <c r="G13" s="6">
        <v>269030</v>
      </c>
      <c r="H13" s="6">
        <v>244270</v>
      </c>
      <c r="I13" s="6">
        <v>267180</v>
      </c>
      <c r="J13" s="6">
        <v>146300</v>
      </c>
      <c r="K13" s="6">
        <v>128120</v>
      </c>
      <c r="L13" s="6">
        <v>128490</v>
      </c>
      <c r="M13" s="6">
        <v>138580</v>
      </c>
      <c r="N13" s="6">
        <f>145900+14600</f>
        <v>160500</v>
      </c>
      <c r="O13" s="6">
        <f t="shared" si="0"/>
        <v>2326550</v>
      </c>
      <c r="P13" s="7">
        <f t="shared" si="1"/>
        <v>1163.275</v>
      </c>
      <c r="Q13" s="8">
        <f t="shared" si="2"/>
        <v>0.2565519976110797</v>
      </c>
      <c r="R13" s="1"/>
    </row>
    <row r="14" spans="1:18" ht="12">
      <c r="A14" s="1" t="s">
        <v>51</v>
      </c>
      <c r="B14" s="5"/>
      <c r="C14" s="6">
        <f>SUM(C6:C13)</f>
        <v>852783</v>
      </c>
      <c r="D14" s="6">
        <f aca="true" t="shared" si="3" ref="D14:N14">SUM(D6:D13)</f>
        <v>701673</v>
      </c>
      <c r="E14" s="6">
        <f t="shared" si="3"/>
        <v>800986</v>
      </c>
      <c r="F14" s="6">
        <f t="shared" si="3"/>
        <v>769599</v>
      </c>
      <c r="G14" s="6">
        <f t="shared" si="3"/>
        <v>824464</v>
      </c>
      <c r="H14" s="6">
        <f t="shared" si="3"/>
        <v>793353</v>
      </c>
      <c r="I14" s="6">
        <f t="shared" si="3"/>
        <v>806172</v>
      </c>
      <c r="J14" s="6">
        <f t="shared" si="3"/>
        <v>728797</v>
      </c>
      <c r="K14" s="6">
        <f t="shared" si="3"/>
        <v>744006</v>
      </c>
      <c r="L14" s="6">
        <f t="shared" si="3"/>
        <v>675367</v>
      </c>
      <c r="M14" s="6">
        <f t="shared" si="3"/>
        <v>620049</v>
      </c>
      <c r="N14" s="6">
        <f t="shared" si="3"/>
        <v>751283</v>
      </c>
      <c r="O14" s="34">
        <f>SUM(O6:O13)</f>
        <v>9068532</v>
      </c>
      <c r="P14" s="35">
        <f>SUM(P6:P13)</f>
        <v>4534.266</v>
      </c>
      <c r="Q14" s="36">
        <f>SUM(Q6:Q13)</f>
        <v>1</v>
      </c>
      <c r="R14" s="1"/>
    </row>
    <row r="15" spans="1:18" ht="12.75">
      <c r="A15" s="1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33"/>
      <c r="P15" s="13"/>
      <c r="Q15" s="14"/>
      <c r="R15" s="1"/>
    </row>
    <row r="16" spans="1:18" ht="12">
      <c r="A16" s="1" t="s">
        <v>50</v>
      </c>
      <c r="B16" s="5"/>
      <c r="C16" s="6">
        <v>25793</v>
      </c>
      <c r="D16" s="6">
        <v>25793</v>
      </c>
      <c r="E16" s="6">
        <v>25793</v>
      </c>
      <c r="F16" s="6">
        <v>26117</v>
      </c>
      <c r="G16" s="6">
        <v>26117</v>
      </c>
      <c r="H16" s="6">
        <v>26117</v>
      </c>
      <c r="I16" s="6">
        <v>26421</v>
      </c>
      <c r="J16" s="6">
        <v>26421</v>
      </c>
      <c r="K16" s="6">
        <v>26421</v>
      </c>
      <c r="L16" s="6">
        <v>26670</v>
      </c>
      <c r="M16" s="6">
        <v>26670</v>
      </c>
      <c r="N16" s="6">
        <v>26670</v>
      </c>
      <c r="O16" s="6">
        <f>SUM(C16:N16)/12</f>
        <v>26250.25</v>
      </c>
      <c r="P16" s="13"/>
      <c r="Q16" s="1"/>
      <c r="R16" s="1"/>
    </row>
    <row r="17" spans="1:18" ht="12">
      <c r="A17" s="1" t="s">
        <v>53</v>
      </c>
      <c r="B17" s="5"/>
      <c r="C17" s="39">
        <v>33.063</v>
      </c>
      <c r="D17" s="39">
        <v>27.204</v>
      </c>
      <c r="E17" s="39">
        <v>31.054</v>
      </c>
      <c r="F17" s="39">
        <v>29.467</v>
      </c>
      <c r="G17" s="39">
        <v>31.568</v>
      </c>
      <c r="H17" s="39">
        <v>30.377</v>
      </c>
      <c r="I17" s="39">
        <v>30.513</v>
      </c>
      <c r="J17" s="39">
        <v>27.584</v>
      </c>
      <c r="K17" s="39">
        <v>28.16</v>
      </c>
      <c r="L17" s="39">
        <v>25.323</v>
      </c>
      <c r="M17" s="39">
        <v>23.249</v>
      </c>
      <c r="N17" s="39">
        <f>N14/N16</f>
        <v>28.169591301087365</v>
      </c>
      <c r="O17" s="30">
        <f>SUM(C17:N17)/12</f>
        <v>28.810965941757285</v>
      </c>
      <c r="P17" s="13"/>
      <c r="Q17" s="1"/>
      <c r="R17" s="1"/>
    </row>
    <row r="18" spans="1:18" ht="12">
      <c r="A18" s="1"/>
      <c r="B18" s="5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13"/>
      <c r="Q18" s="1"/>
      <c r="R18" s="1"/>
    </row>
    <row r="19" spans="1:18" ht="12">
      <c r="A19" s="47" t="s">
        <v>54</v>
      </c>
      <c r="B19" s="5"/>
      <c r="C19" s="48">
        <v>29762</v>
      </c>
      <c r="D19" s="48">
        <v>29762</v>
      </c>
      <c r="E19" s="48">
        <v>29762</v>
      </c>
      <c r="F19" s="48">
        <v>30093</v>
      </c>
      <c r="G19" s="48">
        <v>30093</v>
      </c>
      <c r="H19" s="48">
        <v>30093</v>
      </c>
      <c r="I19" s="48">
        <v>30427</v>
      </c>
      <c r="J19" s="48">
        <v>30427</v>
      </c>
      <c r="K19" s="48">
        <v>30427</v>
      </c>
      <c r="L19" s="48">
        <v>30676</v>
      </c>
      <c r="M19" s="48">
        <v>30676</v>
      </c>
      <c r="N19" s="39"/>
      <c r="O19" s="6">
        <f>SUM(C19:N19)/11</f>
        <v>30199.81818181818</v>
      </c>
      <c r="P19" s="13"/>
      <c r="Q19" s="1"/>
      <c r="R19" s="1"/>
    </row>
    <row r="20" spans="1:18" ht="12">
      <c r="A20" s="47" t="s">
        <v>55</v>
      </c>
      <c r="B20" s="5"/>
      <c r="C20" s="30">
        <f aca="true" t="shared" si="4" ref="C20:M20">C14/C19</f>
        <v>28.653417109065252</v>
      </c>
      <c r="D20" s="30">
        <f t="shared" si="4"/>
        <v>23.57613735636046</v>
      </c>
      <c r="E20" s="30">
        <f t="shared" si="4"/>
        <v>26.91304347826087</v>
      </c>
      <c r="F20" s="30">
        <f t="shared" si="4"/>
        <v>25.574020536337354</v>
      </c>
      <c r="G20" s="30">
        <f t="shared" si="4"/>
        <v>27.39720200711129</v>
      </c>
      <c r="H20" s="30">
        <f t="shared" si="4"/>
        <v>26.36337354201974</v>
      </c>
      <c r="I20" s="30">
        <f t="shared" si="4"/>
        <v>26.49528379399875</v>
      </c>
      <c r="J20" s="30">
        <f t="shared" si="4"/>
        <v>23.95231209123476</v>
      </c>
      <c r="K20" s="30">
        <f t="shared" si="4"/>
        <v>24.452164196273046</v>
      </c>
      <c r="L20" s="30">
        <f t="shared" si="4"/>
        <v>22.016136393271612</v>
      </c>
      <c r="M20" s="30">
        <f t="shared" si="4"/>
        <v>20.212837397313862</v>
      </c>
      <c r="N20" s="6"/>
      <c r="O20" s="39">
        <f>SUM(C20:N20)/11</f>
        <v>25.05508435465882</v>
      </c>
      <c r="P20" s="13"/>
      <c r="Q20" s="1"/>
      <c r="R20" s="1"/>
    </row>
    <row r="21" spans="1:18" ht="12">
      <c r="A21" s="1" t="s">
        <v>2</v>
      </c>
      <c r="B21" s="1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  <c r="Q21" s="1"/>
      <c r="R21" s="1"/>
    </row>
    <row r="22" spans="1:54" ht="12">
      <c r="A22" s="3" t="s">
        <v>27</v>
      </c>
      <c r="B22" s="1"/>
      <c r="C22" s="17" t="s">
        <v>4</v>
      </c>
      <c r="D22" s="17" t="s">
        <v>5</v>
      </c>
      <c r="E22" s="31" t="s">
        <v>6</v>
      </c>
      <c r="F22" s="31" t="s">
        <v>7</v>
      </c>
      <c r="G22" s="31" t="s">
        <v>8</v>
      </c>
      <c r="H22" s="31" t="s">
        <v>9</v>
      </c>
      <c r="I22" s="31" t="s">
        <v>10</v>
      </c>
      <c r="J22" s="31" t="s">
        <v>11</v>
      </c>
      <c r="K22" s="31" t="s">
        <v>12</v>
      </c>
      <c r="L22" s="31" t="s">
        <v>13</v>
      </c>
      <c r="M22" s="31" t="s">
        <v>14</v>
      </c>
      <c r="N22" s="31" t="s">
        <v>15</v>
      </c>
      <c r="O22" s="31" t="s">
        <v>16</v>
      </c>
      <c r="P22" s="18" t="s">
        <v>17</v>
      </c>
      <c r="Q22" s="5" t="s">
        <v>36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</row>
    <row r="23" spans="1:17" ht="12">
      <c r="A23" s="1" t="s">
        <v>18</v>
      </c>
      <c r="B23" s="5" t="s">
        <v>19</v>
      </c>
      <c r="C23" s="37">
        <v>82970</v>
      </c>
      <c r="D23" s="37">
        <v>85840</v>
      </c>
      <c r="E23" s="37">
        <v>93500</v>
      </c>
      <c r="F23" s="37">
        <v>92500</v>
      </c>
      <c r="G23" s="37">
        <v>70600</v>
      </c>
      <c r="H23" s="37">
        <v>60500</v>
      </c>
      <c r="I23" s="37">
        <v>45640</v>
      </c>
      <c r="J23" s="37">
        <v>40970</v>
      </c>
      <c r="K23" s="37">
        <v>60200</v>
      </c>
      <c r="L23" s="37">
        <v>43700</v>
      </c>
      <c r="M23" s="37">
        <v>40860</v>
      </c>
      <c r="N23" s="37">
        <f>68170+5420</f>
        <v>73590</v>
      </c>
      <c r="O23" s="6">
        <f aca="true" t="shared" si="5" ref="O23:O30">SUM(C23:N23)</f>
        <v>790870</v>
      </c>
      <c r="P23" s="7">
        <f aca="true" t="shared" si="6" ref="P23:P30">O23/2000</f>
        <v>395.435</v>
      </c>
      <c r="Q23" s="8">
        <f>O23/$O$31</f>
        <v>0.19093791518017628</v>
      </c>
    </row>
    <row r="24" spans="1:17" ht="12">
      <c r="A24" s="1" t="s">
        <v>20</v>
      </c>
      <c r="B24" s="5" t="s">
        <v>19</v>
      </c>
      <c r="C24" s="6">
        <v>200620</v>
      </c>
      <c r="D24" s="6">
        <v>147270</v>
      </c>
      <c r="E24" s="6">
        <v>184370</v>
      </c>
      <c r="F24" s="6">
        <v>166710</v>
      </c>
      <c r="G24" s="6">
        <v>187560</v>
      </c>
      <c r="H24" s="6">
        <v>207540</v>
      </c>
      <c r="I24" s="6">
        <v>229910</v>
      </c>
      <c r="J24" s="6">
        <v>264790</v>
      </c>
      <c r="K24" s="6">
        <v>250150</v>
      </c>
      <c r="L24" s="6">
        <v>230800</v>
      </c>
      <c r="M24" s="6">
        <v>216760</v>
      </c>
      <c r="N24" s="6">
        <f>218820+17100</f>
        <v>235920</v>
      </c>
      <c r="O24" s="6">
        <f t="shared" si="5"/>
        <v>2522400</v>
      </c>
      <c r="P24" s="7">
        <f t="shared" si="6"/>
        <v>1261.2</v>
      </c>
      <c r="Q24" s="8">
        <f aca="true" t="shared" si="7" ref="Q24:Q30">O24/$O$31</f>
        <v>0.6089771988449134</v>
      </c>
    </row>
    <row r="25" spans="1:17" ht="12">
      <c r="A25" s="1" t="s">
        <v>21</v>
      </c>
      <c r="B25" s="5" t="s">
        <v>19</v>
      </c>
      <c r="C25" s="6">
        <v>22600</v>
      </c>
      <c r="D25" s="6">
        <v>16290</v>
      </c>
      <c r="E25" s="6">
        <v>18210</v>
      </c>
      <c r="F25" s="6">
        <v>17200</v>
      </c>
      <c r="G25" s="6">
        <v>16250</v>
      </c>
      <c r="H25" s="6">
        <v>15670</v>
      </c>
      <c r="I25" s="6">
        <v>14950</v>
      </c>
      <c r="J25" s="6">
        <v>15720</v>
      </c>
      <c r="K25" s="6">
        <v>20260</v>
      </c>
      <c r="L25" s="6">
        <v>12190</v>
      </c>
      <c r="M25" s="6">
        <v>8860</v>
      </c>
      <c r="N25" s="6">
        <f>16370+1360</f>
        <v>17730</v>
      </c>
      <c r="O25" s="6">
        <f t="shared" si="5"/>
        <v>195930</v>
      </c>
      <c r="P25" s="7">
        <f t="shared" si="6"/>
        <v>97.965</v>
      </c>
      <c r="Q25" s="8">
        <f t="shared" si="7"/>
        <v>0.047302926803712286</v>
      </c>
    </row>
    <row r="26" spans="1:17" ht="12">
      <c r="A26" s="1" t="s">
        <v>22</v>
      </c>
      <c r="B26" s="5" t="s">
        <v>19</v>
      </c>
      <c r="C26" s="6">
        <v>4046</v>
      </c>
      <c r="D26" s="6">
        <v>4359</v>
      </c>
      <c r="E26" s="6">
        <v>3932</v>
      </c>
      <c r="F26" s="6">
        <v>3985</v>
      </c>
      <c r="G26" s="6">
        <v>3482</v>
      </c>
      <c r="H26" s="6">
        <v>2146</v>
      </c>
      <c r="I26" s="6">
        <v>3410</v>
      </c>
      <c r="J26" s="6">
        <v>3950</v>
      </c>
      <c r="K26" s="6">
        <v>3141</v>
      </c>
      <c r="L26" s="6">
        <v>2000</v>
      </c>
      <c r="M26" s="6">
        <v>2132</v>
      </c>
      <c r="N26" s="6">
        <f>2443+216</f>
        <v>2659</v>
      </c>
      <c r="O26" s="6">
        <f t="shared" si="5"/>
        <v>39242</v>
      </c>
      <c r="P26" s="7">
        <f t="shared" si="6"/>
        <v>19.621</v>
      </c>
      <c r="Q26" s="8">
        <f t="shared" si="7"/>
        <v>0.009474105311240124</v>
      </c>
    </row>
    <row r="27" spans="1:17" ht="12">
      <c r="A27" s="1" t="s">
        <v>23</v>
      </c>
      <c r="B27" s="5" t="s">
        <v>19</v>
      </c>
      <c r="C27" s="6">
        <v>8031</v>
      </c>
      <c r="D27" s="6">
        <v>8661</v>
      </c>
      <c r="E27" s="6">
        <v>7782</v>
      </c>
      <c r="F27" s="6">
        <v>7910</v>
      </c>
      <c r="G27" s="6">
        <v>6913</v>
      </c>
      <c r="H27" s="6">
        <v>4260</v>
      </c>
      <c r="I27" s="6">
        <v>6772</v>
      </c>
      <c r="J27" s="6">
        <v>7842</v>
      </c>
      <c r="K27" s="6">
        <v>6236</v>
      </c>
      <c r="L27" s="6">
        <v>3970</v>
      </c>
      <c r="M27" s="6">
        <v>4232</v>
      </c>
      <c r="N27" s="6">
        <f>3820+339</f>
        <v>4159</v>
      </c>
      <c r="O27" s="6">
        <f t="shared" si="5"/>
        <v>76768</v>
      </c>
      <c r="P27" s="7">
        <f t="shared" si="6"/>
        <v>38.384</v>
      </c>
      <c r="Q27" s="8">
        <f t="shared" si="7"/>
        <v>0.01853392071080174</v>
      </c>
    </row>
    <row r="28" spans="1:17" ht="12">
      <c r="A28" s="1" t="s">
        <v>24</v>
      </c>
      <c r="B28" s="5" t="s">
        <v>19</v>
      </c>
      <c r="C28" s="6">
        <v>12000</v>
      </c>
      <c r="D28" s="6">
        <v>5810</v>
      </c>
      <c r="E28" s="6">
        <v>8670</v>
      </c>
      <c r="F28" s="6">
        <v>7000</v>
      </c>
      <c r="G28" s="6">
        <v>8490</v>
      </c>
      <c r="H28" s="6">
        <v>10440</v>
      </c>
      <c r="I28" s="6">
        <v>9310</v>
      </c>
      <c r="J28" s="6">
        <v>9910</v>
      </c>
      <c r="K28" s="6">
        <v>10310</v>
      </c>
      <c r="L28" s="6">
        <v>10705</v>
      </c>
      <c r="M28" s="6">
        <v>10450</v>
      </c>
      <c r="N28" s="6">
        <f>11145+910</f>
        <v>12055</v>
      </c>
      <c r="O28" s="6">
        <f t="shared" si="5"/>
        <v>115150</v>
      </c>
      <c r="P28" s="7">
        <f t="shared" si="6"/>
        <v>57.575</v>
      </c>
      <c r="Q28" s="8">
        <f t="shared" si="7"/>
        <v>0.027800398210827693</v>
      </c>
    </row>
    <row r="29" spans="1:17" ht="12">
      <c r="A29" s="1" t="s">
        <v>31</v>
      </c>
      <c r="B29" s="5" t="s">
        <v>19</v>
      </c>
      <c r="C29" s="6">
        <v>4300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f t="shared" si="5"/>
        <v>4300</v>
      </c>
      <c r="P29" s="7">
        <f t="shared" si="6"/>
        <v>2.15</v>
      </c>
      <c r="Q29" s="8">
        <f t="shared" si="7"/>
        <v>0.001038139056070856</v>
      </c>
    </row>
    <row r="30" spans="1:17" ht="12">
      <c r="A30" s="1" t="s">
        <v>26</v>
      </c>
      <c r="B30" s="5" t="s">
        <v>19</v>
      </c>
      <c r="C30" s="6">
        <v>46740</v>
      </c>
      <c r="D30" s="6">
        <v>35770</v>
      </c>
      <c r="E30" s="6">
        <v>6062</v>
      </c>
      <c r="F30" s="6">
        <v>43420</v>
      </c>
      <c r="G30" s="6">
        <v>35400</v>
      </c>
      <c r="H30" s="6">
        <v>20610</v>
      </c>
      <c r="I30" s="6">
        <v>32040</v>
      </c>
      <c r="J30" s="6">
        <v>50410</v>
      </c>
      <c r="K30" s="6">
        <v>16030</v>
      </c>
      <c r="L30" s="6">
        <v>22710</v>
      </c>
      <c r="M30" s="6">
        <v>26325</v>
      </c>
      <c r="N30" s="6">
        <f>57390+4460</f>
        <v>61850</v>
      </c>
      <c r="O30" s="6">
        <f t="shared" si="5"/>
        <v>397367</v>
      </c>
      <c r="P30" s="7">
        <f t="shared" si="6"/>
        <v>198.6835</v>
      </c>
      <c r="Q30" s="8">
        <f t="shared" si="7"/>
        <v>0.09593539588225765</v>
      </c>
    </row>
    <row r="31" spans="1:17" ht="12">
      <c r="A31" s="1" t="s">
        <v>51</v>
      </c>
      <c r="B31" s="5"/>
      <c r="C31" s="6">
        <f>SUM(C23:C30)</f>
        <v>381307</v>
      </c>
      <c r="D31" s="6">
        <f aca="true" t="shared" si="8" ref="D31:N31">SUM(D23:D30)</f>
        <v>304000</v>
      </c>
      <c r="E31" s="6">
        <f t="shared" si="8"/>
        <v>322526</v>
      </c>
      <c r="F31" s="6">
        <f t="shared" si="8"/>
        <v>338725</v>
      </c>
      <c r="G31" s="6">
        <f t="shared" si="8"/>
        <v>328695</v>
      </c>
      <c r="H31" s="6">
        <f t="shared" si="8"/>
        <v>321166</v>
      </c>
      <c r="I31" s="6">
        <f t="shared" si="8"/>
        <v>342032</v>
      </c>
      <c r="J31" s="6">
        <f t="shared" si="8"/>
        <v>393592</v>
      </c>
      <c r="K31" s="6">
        <f t="shared" si="8"/>
        <v>366327</v>
      </c>
      <c r="L31" s="6">
        <f t="shared" si="8"/>
        <v>326075</v>
      </c>
      <c r="M31" s="6">
        <f t="shared" si="8"/>
        <v>309619</v>
      </c>
      <c r="N31" s="6">
        <f t="shared" si="8"/>
        <v>407963</v>
      </c>
      <c r="O31" s="34">
        <f>SUM(O23:O30)</f>
        <v>4142027</v>
      </c>
      <c r="P31" s="34">
        <f>SUM(P23:P30)</f>
        <v>2071.0135</v>
      </c>
      <c r="Q31" s="36">
        <v>1</v>
      </c>
    </row>
    <row r="32" spans="1:17" ht="12">
      <c r="A32" s="1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4"/>
      <c r="P32" s="35"/>
      <c r="Q32" s="36"/>
    </row>
    <row r="33" spans="1:17" ht="12">
      <c r="A33" s="1" t="s">
        <v>50</v>
      </c>
      <c r="B33" s="5"/>
      <c r="C33" s="6">
        <v>12527</v>
      </c>
      <c r="D33" s="6">
        <v>12527</v>
      </c>
      <c r="E33" s="6">
        <v>12527</v>
      </c>
      <c r="F33" s="6">
        <v>12854</v>
      </c>
      <c r="G33" s="6">
        <v>12854</v>
      </c>
      <c r="H33" s="6">
        <v>12854</v>
      </c>
      <c r="I33" s="6">
        <v>13166</v>
      </c>
      <c r="J33" s="6">
        <v>13166</v>
      </c>
      <c r="K33" s="6">
        <v>13166</v>
      </c>
      <c r="L33" s="6">
        <v>13176</v>
      </c>
      <c r="M33" s="6">
        <v>13176</v>
      </c>
      <c r="N33" s="6">
        <v>13176</v>
      </c>
      <c r="O33" s="6">
        <f>SUM(C33:N33)/11</f>
        <v>14106.272727272728</v>
      </c>
      <c r="P33" s="13"/>
      <c r="Q33" s="14"/>
    </row>
    <row r="34" spans="1:28" ht="12">
      <c r="A34" s="1" t="s">
        <v>53</v>
      </c>
      <c r="B34" s="5"/>
      <c r="C34" s="39">
        <f>C31/C33</f>
        <v>30.43881216572204</v>
      </c>
      <c r="D34" s="39">
        <f aca="true" t="shared" si="9" ref="D34:N34">D31/D33</f>
        <v>24.267582022830684</v>
      </c>
      <c r="E34" s="39">
        <f t="shared" si="9"/>
        <v>25.746467629919373</v>
      </c>
      <c r="F34" s="39">
        <f t="shared" si="9"/>
        <v>26.351719309164462</v>
      </c>
      <c r="G34" s="39">
        <f t="shared" si="9"/>
        <v>25.571417457600745</v>
      </c>
      <c r="H34" s="39">
        <f t="shared" si="9"/>
        <v>24.98568538976194</v>
      </c>
      <c r="I34" s="39">
        <f t="shared" si="9"/>
        <v>25.978429287558864</v>
      </c>
      <c r="J34" s="39">
        <f t="shared" si="9"/>
        <v>29.894576940604587</v>
      </c>
      <c r="K34" s="39">
        <f t="shared" si="9"/>
        <v>27.823712593042686</v>
      </c>
      <c r="L34" s="39">
        <f t="shared" si="9"/>
        <v>24.747647237401335</v>
      </c>
      <c r="M34" s="39">
        <f t="shared" si="9"/>
        <v>23.49870977534912</v>
      </c>
      <c r="N34" s="39">
        <f t="shared" si="9"/>
        <v>30.96258348512447</v>
      </c>
      <c r="O34" s="30">
        <f>SUM(C34:N34)/11</f>
        <v>29.11521302673458</v>
      </c>
      <c r="P34" s="40"/>
      <c r="Q34" s="3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ht="12">
      <c r="A35" s="1"/>
      <c r="B35" s="5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0"/>
      <c r="P35" s="40"/>
      <c r="Q35" s="3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ht="12">
      <c r="A36" s="47" t="s">
        <v>54</v>
      </c>
      <c r="B36" s="5"/>
      <c r="C36" s="48">
        <v>14355</v>
      </c>
      <c r="D36" s="48">
        <v>14355</v>
      </c>
      <c r="E36" s="48">
        <v>14355</v>
      </c>
      <c r="F36" s="48">
        <v>14682</v>
      </c>
      <c r="G36" s="48">
        <v>14682</v>
      </c>
      <c r="H36" s="48">
        <v>14682</v>
      </c>
      <c r="I36" s="48">
        <v>14998</v>
      </c>
      <c r="J36" s="48">
        <v>14998</v>
      </c>
      <c r="K36" s="48">
        <v>14998</v>
      </c>
      <c r="L36" s="48">
        <v>15008</v>
      </c>
      <c r="M36" s="48">
        <v>15008</v>
      </c>
      <c r="N36" s="48">
        <v>15008</v>
      </c>
      <c r="O36" s="6">
        <f>SUM(C36:N36)/12</f>
        <v>14760.75</v>
      </c>
      <c r="P36" s="40"/>
      <c r="Q36" s="3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17" ht="12">
      <c r="A37" s="47" t="s">
        <v>55</v>
      </c>
      <c r="B37" s="5"/>
      <c r="C37" s="30">
        <f>C31/C36</f>
        <v>26.562661093695578</v>
      </c>
      <c r="D37" s="30">
        <f aca="true" t="shared" si="10" ref="D37:N37">D31/D36</f>
        <v>21.177290142807383</v>
      </c>
      <c r="E37" s="30">
        <f t="shared" si="10"/>
        <v>22.467850923023338</v>
      </c>
      <c r="F37" s="30">
        <f t="shared" si="10"/>
        <v>23.07076692548699</v>
      </c>
      <c r="G37" s="30">
        <f t="shared" si="10"/>
        <v>22.387617490805066</v>
      </c>
      <c r="H37" s="30">
        <f t="shared" si="10"/>
        <v>21.874812695818008</v>
      </c>
      <c r="I37" s="30">
        <f t="shared" si="10"/>
        <v>22.805174023203094</v>
      </c>
      <c r="J37" s="30">
        <f t="shared" si="10"/>
        <v>26.242965728763835</v>
      </c>
      <c r="K37" s="30">
        <f t="shared" si="10"/>
        <v>24.425056674223228</v>
      </c>
      <c r="L37" s="30">
        <f t="shared" si="10"/>
        <v>21.726745735607675</v>
      </c>
      <c r="M37" s="30">
        <f t="shared" si="10"/>
        <v>20.630263859275054</v>
      </c>
      <c r="N37" s="30">
        <f t="shared" si="10"/>
        <v>27.183035714285715</v>
      </c>
      <c r="O37" s="39">
        <f>SUM(C37:N37)/12</f>
        <v>23.379520083916244</v>
      </c>
      <c r="P37" s="13"/>
      <c r="Q37" s="1"/>
    </row>
    <row r="38" spans="1:17" ht="12">
      <c r="A38" s="3" t="s">
        <v>2</v>
      </c>
      <c r="B38" s="5"/>
      <c r="C38" s="6"/>
      <c r="D38" s="6"/>
      <c r="E38" s="6"/>
      <c r="F38" s="6"/>
      <c r="G38" s="6" t="s">
        <v>2</v>
      </c>
      <c r="H38" s="6"/>
      <c r="I38" s="6"/>
      <c r="J38" s="6"/>
      <c r="K38" s="6"/>
      <c r="L38" s="6"/>
      <c r="M38" s="6"/>
      <c r="N38" s="6"/>
      <c r="O38" s="12" t="s">
        <v>2</v>
      </c>
      <c r="P38" s="13"/>
      <c r="Q38" s="1"/>
    </row>
    <row r="39" spans="1:17" ht="12">
      <c r="A39" s="3" t="s">
        <v>40</v>
      </c>
      <c r="B39" s="5"/>
      <c r="C39" s="6"/>
      <c r="D39" s="6"/>
      <c r="E39" s="6"/>
      <c r="F39" s="6"/>
      <c r="G39" s="6" t="s">
        <v>2</v>
      </c>
      <c r="H39" s="6"/>
      <c r="I39" s="6"/>
      <c r="J39" s="6"/>
      <c r="K39" s="6"/>
      <c r="L39" s="6"/>
      <c r="M39" s="6"/>
      <c r="N39" s="6"/>
      <c r="O39" s="6" t="s">
        <v>2</v>
      </c>
      <c r="P39" s="7" t="s">
        <v>2</v>
      </c>
      <c r="Q39" s="1"/>
    </row>
    <row r="40" spans="1:23" ht="12">
      <c r="A40" s="3" t="s">
        <v>33</v>
      </c>
      <c r="B40" s="5"/>
      <c r="C40" s="17" t="s">
        <v>4</v>
      </c>
      <c r="D40" s="17" t="s">
        <v>5</v>
      </c>
      <c r="E40" s="31" t="s">
        <v>6</v>
      </c>
      <c r="F40" s="31" t="s">
        <v>7</v>
      </c>
      <c r="G40" s="31" t="s">
        <v>8</v>
      </c>
      <c r="H40" s="31" t="s">
        <v>9</v>
      </c>
      <c r="I40" s="31" t="s">
        <v>10</v>
      </c>
      <c r="J40" s="31" t="s">
        <v>11</v>
      </c>
      <c r="K40" s="31" t="s">
        <v>12</v>
      </c>
      <c r="L40" s="31" t="s">
        <v>13</v>
      </c>
      <c r="M40" s="31" t="s">
        <v>14</v>
      </c>
      <c r="N40" s="31" t="s">
        <v>15</v>
      </c>
      <c r="O40" s="31" t="s">
        <v>16</v>
      </c>
      <c r="P40" s="18" t="s">
        <v>17</v>
      </c>
      <c r="Q40" s="5" t="s">
        <v>36</v>
      </c>
      <c r="R40" s="32"/>
      <c r="S40" s="32"/>
      <c r="T40" s="32"/>
      <c r="U40" s="32"/>
      <c r="V40" s="32"/>
      <c r="W40" s="32"/>
    </row>
    <row r="41" spans="1:17" ht="12">
      <c r="A41" s="1" t="s">
        <v>18</v>
      </c>
      <c r="B41" s="5" t="s">
        <v>19</v>
      </c>
      <c r="C41" s="6">
        <f>C6+C23</f>
        <v>237150</v>
      </c>
      <c r="D41" s="6">
        <f>D6+D23</f>
        <v>253720</v>
      </c>
      <c r="E41" s="6">
        <v>266810</v>
      </c>
      <c r="F41" s="6">
        <v>264225</v>
      </c>
      <c r="G41" s="6">
        <v>204405</v>
      </c>
      <c r="H41" s="6">
        <v>171030</v>
      </c>
      <c r="I41" s="6">
        <v>125210</v>
      </c>
      <c r="J41" s="6">
        <v>110740</v>
      </c>
      <c r="K41" s="6">
        <v>166040</v>
      </c>
      <c r="L41" s="6">
        <v>122510</v>
      </c>
      <c r="M41" s="6">
        <v>110250</v>
      </c>
      <c r="N41" s="6">
        <f>N6+N23</f>
        <v>199040</v>
      </c>
      <c r="O41" s="6">
        <v>2032090</v>
      </c>
      <c r="P41" s="30">
        <v>1016.05</v>
      </c>
      <c r="Q41" s="8">
        <v>0.1686</v>
      </c>
    </row>
    <row r="42" spans="1:38" ht="12">
      <c r="A42" s="1" t="s">
        <v>20</v>
      </c>
      <c r="B42" s="5" t="s">
        <v>19</v>
      </c>
      <c r="C42" s="6">
        <v>572710</v>
      </c>
      <c r="D42" s="6">
        <v>435310</v>
      </c>
      <c r="E42" s="6">
        <v>525570</v>
      </c>
      <c r="F42" s="6">
        <v>476260</v>
      </c>
      <c r="G42" s="6">
        <v>542705</v>
      </c>
      <c r="H42" s="6">
        <v>586770</v>
      </c>
      <c r="I42" s="6">
        <v>629520</v>
      </c>
      <c r="J42" s="6">
        <v>714010</v>
      </c>
      <c r="K42" s="6">
        <v>689910</v>
      </c>
      <c r="L42" s="6">
        <v>644170</v>
      </c>
      <c r="M42" s="6">
        <v>585230</v>
      </c>
      <c r="N42" s="6">
        <f aca="true" t="shared" si="11" ref="N42:N48">N7+N24</f>
        <v>638760</v>
      </c>
      <c r="O42" s="6">
        <v>6402165</v>
      </c>
      <c r="P42" s="30">
        <v>3201.08</v>
      </c>
      <c r="Q42" s="8">
        <v>0.5312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2">
      <c r="A43" s="1" t="s">
        <v>21</v>
      </c>
      <c r="B43" s="5" t="s">
        <v>19</v>
      </c>
      <c r="C43" s="6">
        <v>64600</v>
      </c>
      <c r="D43" s="6">
        <v>48230</v>
      </c>
      <c r="E43" s="6">
        <v>51920</v>
      </c>
      <c r="F43" s="6">
        <v>49190</v>
      </c>
      <c r="G43" s="6">
        <v>46980</v>
      </c>
      <c r="H43" s="6">
        <v>44240</v>
      </c>
      <c r="I43" s="6">
        <v>40910</v>
      </c>
      <c r="J43" s="6">
        <v>42410</v>
      </c>
      <c r="K43" s="6">
        <v>55910</v>
      </c>
      <c r="L43" s="6">
        <v>34250</v>
      </c>
      <c r="M43" s="6">
        <v>23920</v>
      </c>
      <c r="N43" s="6">
        <f t="shared" si="11"/>
        <v>47960</v>
      </c>
      <c r="O43" s="6">
        <v>502560</v>
      </c>
      <c r="P43" s="7">
        <v>251.28</v>
      </c>
      <c r="Q43" s="8">
        <v>0.0417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2">
      <c r="A44" s="1" t="s">
        <v>22</v>
      </c>
      <c r="B44" s="5" t="s">
        <v>19</v>
      </c>
      <c r="C44" s="6">
        <v>11570</v>
      </c>
      <c r="D44" s="6">
        <v>12918</v>
      </c>
      <c r="E44" s="6">
        <v>11236</v>
      </c>
      <c r="F44" s="6">
        <v>11388</v>
      </c>
      <c r="G44" s="6">
        <v>10075</v>
      </c>
      <c r="H44" s="6">
        <v>6058</v>
      </c>
      <c r="I44" s="6">
        <v>9335</v>
      </c>
      <c r="J44" s="6">
        <v>10648</v>
      </c>
      <c r="K44" s="6">
        <v>8650</v>
      </c>
      <c r="L44" s="6">
        <v>5589</v>
      </c>
      <c r="M44" s="6">
        <v>5750</v>
      </c>
      <c r="N44" s="6">
        <f t="shared" si="11"/>
        <v>7206</v>
      </c>
      <c r="O44" s="6">
        <v>103217</v>
      </c>
      <c r="P44" s="7">
        <v>51.61</v>
      </c>
      <c r="Q44" s="8">
        <v>0.0086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2">
      <c r="A45" s="1" t="s">
        <v>23</v>
      </c>
      <c r="B45" s="5" t="s">
        <v>19</v>
      </c>
      <c r="C45" s="6">
        <v>22970</v>
      </c>
      <c r="D45" s="6">
        <v>25655</v>
      </c>
      <c r="E45" s="6">
        <v>22284</v>
      </c>
      <c r="F45" s="6">
        <v>22611</v>
      </c>
      <c r="G45" s="6">
        <v>20004</v>
      </c>
      <c r="H45" s="6">
        <v>12021</v>
      </c>
      <c r="I45" s="6">
        <v>18529</v>
      </c>
      <c r="J45" s="6">
        <v>21141</v>
      </c>
      <c r="K45" s="6">
        <v>17178</v>
      </c>
      <c r="L45" s="6">
        <v>11093</v>
      </c>
      <c r="M45" s="6">
        <v>11413</v>
      </c>
      <c r="N45" s="6">
        <f t="shared" si="11"/>
        <v>11270</v>
      </c>
      <c r="O45" s="6">
        <v>204899</v>
      </c>
      <c r="P45" s="7">
        <v>102.45</v>
      </c>
      <c r="Q45" s="8">
        <v>0.017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2">
      <c r="A46" s="1" t="s">
        <v>24</v>
      </c>
      <c r="B46" s="5" t="s">
        <v>19</v>
      </c>
      <c r="C46" s="6">
        <v>34300</v>
      </c>
      <c r="D46" s="6">
        <v>17310</v>
      </c>
      <c r="E46" s="6">
        <v>24750</v>
      </c>
      <c r="F46" s="6">
        <v>20000</v>
      </c>
      <c r="G46" s="6">
        <v>24560</v>
      </c>
      <c r="H46" s="6">
        <v>29520</v>
      </c>
      <c r="I46" s="6">
        <v>25480</v>
      </c>
      <c r="J46" s="6">
        <v>26730</v>
      </c>
      <c r="K46" s="6">
        <v>28495</v>
      </c>
      <c r="L46" s="6">
        <v>30015</v>
      </c>
      <c r="M46" s="6">
        <v>28200</v>
      </c>
      <c r="N46" s="6">
        <f t="shared" si="11"/>
        <v>32660</v>
      </c>
      <c r="O46" s="6">
        <v>289360</v>
      </c>
      <c r="P46" s="7">
        <v>144.68</v>
      </c>
      <c r="Q46" s="8">
        <v>0.024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2">
      <c r="A47" s="1" t="s">
        <v>31</v>
      </c>
      <c r="B47" s="5" t="s">
        <v>19</v>
      </c>
      <c r="C47" s="6">
        <v>10920</v>
      </c>
      <c r="D47" s="6">
        <v>0</v>
      </c>
      <c r="E47" s="6">
        <v>1920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2615</v>
      </c>
      <c r="M47" s="6">
        <v>0</v>
      </c>
      <c r="N47" s="6">
        <f t="shared" si="11"/>
        <v>0</v>
      </c>
      <c r="O47" s="6">
        <v>15455</v>
      </c>
      <c r="P47" s="7">
        <v>7.73</v>
      </c>
      <c r="Q47" s="8">
        <v>0.0013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2">
      <c r="A48" s="1" t="s">
        <v>26</v>
      </c>
      <c r="B48" s="5" t="s">
        <v>19</v>
      </c>
      <c r="C48" s="6">
        <v>279870</v>
      </c>
      <c r="D48" s="6">
        <v>212530</v>
      </c>
      <c r="E48" s="6">
        <v>219022</v>
      </c>
      <c r="F48" s="6">
        <v>264650</v>
      </c>
      <c r="G48" s="6">
        <v>304430</v>
      </c>
      <c r="H48" s="6">
        <v>264880</v>
      </c>
      <c r="I48" s="6">
        <v>299220</v>
      </c>
      <c r="J48" s="6">
        <v>196710</v>
      </c>
      <c r="K48" s="6">
        <v>144150</v>
      </c>
      <c r="L48" s="6">
        <v>151200</v>
      </c>
      <c r="M48" s="6">
        <v>164905</v>
      </c>
      <c r="N48" s="6">
        <f t="shared" si="11"/>
        <v>222350</v>
      </c>
      <c r="O48" s="6">
        <v>2501567</v>
      </c>
      <c r="P48" s="7">
        <v>1250.78</v>
      </c>
      <c r="Q48" s="8">
        <v>0.2076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2">
      <c r="A49" s="1" t="s">
        <v>51</v>
      </c>
      <c r="B49" s="19"/>
      <c r="C49" s="6">
        <f>SUM(C41:C48)</f>
        <v>1234090</v>
      </c>
      <c r="D49" s="6">
        <f aca="true" t="shared" si="12" ref="D49:N49">SUM(D41:D48)</f>
        <v>1005673</v>
      </c>
      <c r="E49" s="6">
        <f t="shared" si="12"/>
        <v>1123512</v>
      </c>
      <c r="F49" s="6">
        <f t="shared" si="12"/>
        <v>1108324</v>
      </c>
      <c r="G49" s="6">
        <f t="shared" si="12"/>
        <v>1153159</v>
      </c>
      <c r="H49" s="6">
        <f t="shared" si="12"/>
        <v>1114519</v>
      </c>
      <c r="I49" s="6">
        <f t="shared" si="12"/>
        <v>1148204</v>
      </c>
      <c r="J49" s="6">
        <f t="shared" si="12"/>
        <v>1122389</v>
      </c>
      <c r="K49" s="6">
        <f t="shared" si="12"/>
        <v>1110333</v>
      </c>
      <c r="L49" s="6">
        <f t="shared" si="12"/>
        <v>1001442</v>
      </c>
      <c r="M49" s="6">
        <f t="shared" si="12"/>
        <v>929668</v>
      </c>
      <c r="N49" s="6">
        <f t="shared" si="12"/>
        <v>1159246</v>
      </c>
      <c r="O49" s="34">
        <v>12051313</v>
      </c>
      <c r="P49" s="35">
        <v>6025.66</v>
      </c>
      <c r="Q49" s="36">
        <v>1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2">
      <c r="A50" s="1"/>
      <c r="B50" s="1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34"/>
      <c r="P50" s="35"/>
      <c r="Q50" s="36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2">
      <c r="A51" s="1" t="s">
        <v>50</v>
      </c>
      <c r="B51" s="1"/>
      <c r="C51" s="6">
        <v>38320</v>
      </c>
      <c r="D51" s="6">
        <v>38320</v>
      </c>
      <c r="E51" s="6">
        <v>38320</v>
      </c>
      <c r="F51" s="6">
        <v>38971</v>
      </c>
      <c r="G51" s="6">
        <v>38971</v>
      </c>
      <c r="H51" s="6">
        <v>38971</v>
      </c>
      <c r="I51" s="6">
        <v>39587</v>
      </c>
      <c r="J51" s="6">
        <v>39587</v>
      </c>
      <c r="K51" s="6">
        <v>39587</v>
      </c>
      <c r="L51" s="6">
        <v>39846</v>
      </c>
      <c r="M51" s="6">
        <v>39846</v>
      </c>
      <c r="N51" s="6">
        <v>39846</v>
      </c>
      <c r="O51" s="6">
        <f>SUM(C51:N51)/12</f>
        <v>39181</v>
      </c>
      <c r="P51" s="7" t="s">
        <v>2</v>
      </c>
      <c r="Q51" s="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2">
      <c r="A52" s="1" t="s">
        <v>53</v>
      </c>
      <c r="B52" s="1"/>
      <c r="C52" s="30">
        <f>C49/C51</f>
        <v>32.20485386221294</v>
      </c>
      <c r="D52" s="30">
        <f aca="true" t="shared" si="13" ref="D52:N52">D49/D51</f>
        <v>26.24407620041754</v>
      </c>
      <c r="E52" s="30">
        <f t="shared" si="13"/>
        <v>29.31920668058455</v>
      </c>
      <c r="F52" s="30">
        <f t="shared" si="13"/>
        <v>28.439711580405945</v>
      </c>
      <c r="G52" s="30">
        <f t="shared" si="13"/>
        <v>29.590182443355314</v>
      </c>
      <c r="H52" s="30">
        <f t="shared" si="13"/>
        <v>28.598675938518387</v>
      </c>
      <c r="I52" s="30">
        <f t="shared" si="13"/>
        <v>29.004572208048096</v>
      </c>
      <c r="J52" s="30">
        <f t="shared" si="13"/>
        <v>28.352464192790563</v>
      </c>
      <c r="K52" s="30">
        <f t="shared" si="13"/>
        <v>28.047919771642206</v>
      </c>
      <c r="L52" s="30">
        <f t="shared" si="13"/>
        <v>25.132811323595845</v>
      </c>
      <c r="M52" s="30">
        <f t="shared" si="13"/>
        <v>23.331526376549718</v>
      </c>
      <c r="N52" s="30">
        <f t="shared" si="13"/>
        <v>29.09315866084425</v>
      </c>
      <c r="O52" s="30">
        <f>SUM(C52:N52)/12</f>
        <v>28.113263269913784</v>
      </c>
      <c r="P52" s="13"/>
      <c r="Q52" s="14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53" ht="12">
      <c r="A53" s="1" t="s">
        <v>2</v>
      </c>
      <c r="B53" s="5"/>
      <c r="C53" s="39" t="s">
        <v>2</v>
      </c>
      <c r="D53" s="39" t="s">
        <v>2</v>
      </c>
      <c r="E53" s="39" t="s">
        <v>2</v>
      </c>
      <c r="F53" s="39" t="s">
        <v>2</v>
      </c>
      <c r="G53" s="39" t="s">
        <v>2</v>
      </c>
      <c r="H53" s="39" t="s">
        <v>2</v>
      </c>
      <c r="I53" s="39" t="s">
        <v>2</v>
      </c>
      <c r="J53" s="39" t="s">
        <v>2</v>
      </c>
      <c r="K53" s="39" t="s">
        <v>2</v>
      </c>
      <c r="L53" s="39" t="s">
        <v>2</v>
      </c>
      <c r="M53" s="39" t="s">
        <v>2</v>
      </c>
      <c r="N53" s="39" t="s">
        <v>2</v>
      </c>
      <c r="O53" s="39" t="s">
        <v>2</v>
      </c>
      <c r="P53" s="39" t="s">
        <v>2</v>
      </c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</row>
    <row r="54" spans="1:53" ht="12">
      <c r="A54" s="47" t="s">
        <v>54</v>
      </c>
      <c r="B54" s="5"/>
      <c r="C54" s="48">
        <f>C19+C36</f>
        <v>44117</v>
      </c>
      <c r="D54" s="48">
        <f aca="true" t="shared" si="14" ref="D54:M54">D19+D36</f>
        <v>44117</v>
      </c>
      <c r="E54" s="48">
        <f t="shared" si="14"/>
        <v>44117</v>
      </c>
      <c r="F54" s="48">
        <f t="shared" si="14"/>
        <v>44775</v>
      </c>
      <c r="G54" s="48">
        <f t="shared" si="14"/>
        <v>44775</v>
      </c>
      <c r="H54" s="48">
        <f t="shared" si="14"/>
        <v>44775</v>
      </c>
      <c r="I54" s="48">
        <f t="shared" si="14"/>
        <v>45425</v>
      </c>
      <c r="J54" s="48">
        <f t="shared" si="14"/>
        <v>45425</v>
      </c>
      <c r="K54" s="48">
        <f t="shared" si="14"/>
        <v>45425</v>
      </c>
      <c r="L54" s="48">
        <f t="shared" si="14"/>
        <v>45684</v>
      </c>
      <c r="M54" s="48">
        <f t="shared" si="14"/>
        <v>45684</v>
      </c>
      <c r="N54" s="39">
        <v>45684</v>
      </c>
      <c r="O54" s="6">
        <f>SUM(C54:N54)/12</f>
        <v>45000.25</v>
      </c>
      <c r="P54" s="39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</row>
    <row r="55" spans="1:38" ht="12">
      <c r="A55" s="47" t="s">
        <v>55</v>
      </c>
      <c r="B55" s="5"/>
      <c r="C55" s="30">
        <f>C49/C54</f>
        <v>27.973116939048438</v>
      </c>
      <c r="D55" s="30">
        <f aca="true" t="shared" si="15" ref="D55:N55">D49/D54</f>
        <v>22.79558900197203</v>
      </c>
      <c r="E55" s="30">
        <f t="shared" si="15"/>
        <v>25.466645510800824</v>
      </c>
      <c r="F55" s="30">
        <f t="shared" si="15"/>
        <v>24.75318816303741</v>
      </c>
      <c r="G55" s="30">
        <f t="shared" si="15"/>
        <v>25.754528196538246</v>
      </c>
      <c r="H55" s="30">
        <f t="shared" si="15"/>
        <v>24.891546621998884</v>
      </c>
      <c r="I55" s="30">
        <f t="shared" si="15"/>
        <v>25.276917996697854</v>
      </c>
      <c r="J55" s="30">
        <f t="shared" si="15"/>
        <v>24.70861860209136</v>
      </c>
      <c r="K55" s="30">
        <f t="shared" si="15"/>
        <v>24.44321408915795</v>
      </c>
      <c r="L55" s="30">
        <f t="shared" si="15"/>
        <v>21.92106645652745</v>
      </c>
      <c r="M55" s="30">
        <f t="shared" si="15"/>
        <v>20.349969354697485</v>
      </c>
      <c r="N55" s="30">
        <f t="shared" si="15"/>
        <v>25.375317397776026</v>
      </c>
      <c r="O55" s="30">
        <f>SUM(C55:N55)/12</f>
        <v>24.475809860861997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2">
      <c r="A56" s="1"/>
      <c r="B56" s="5"/>
      <c r="C56" s="28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2">
      <c r="A57" s="1"/>
      <c r="B57" s="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2">
      <c r="A58" s="3" t="s">
        <v>0</v>
      </c>
      <c r="B58" s="1"/>
      <c r="C58" s="1"/>
      <c r="D58" s="1"/>
      <c r="F58" s="3" t="s">
        <v>49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2">
      <c r="A59" s="1"/>
      <c r="B59" s="1"/>
      <c r="C59" s="1"/>
      <c r="D59" s="1"/>
      <c r="F59" s="2" t="s">
        <v>2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17" ht="12">
      <c r="A60" s="1" t="s">
        <v>39</v>
      </c>
      <c r="B60" s="1"/>
      <c r="C60" s="1"/>
      <c r="D60" s="1"/>
      <c r="I60" s="2" t="s">
        <v>2</v>
      </c>
      <c r="P60" s="1"/>
      <c r="Q60" s="1"/>
    </row>
    <row r="61" spans="1:15" ht="12">
      <c r="A61" s="1"/>
      <c r="B61" s="1"/>
      <c r="C61" s="5" t="s">
        <v>4</v>
      </c>
      <c r="D61" s="5" t="s">
        <v>5</v>
      </c>
      <c r="E61" s="5" t="s">
        <v>6</v>
      </c>
      <c r="F61" s="5" t="s">
        <v>7</v>
      </c>
      <c r="G61" s="5" t="s">
        <v>8</v>
      </c>
      <c r="H61" s="5" t="s">
        <v>9</v>
      </c>
      <c r="I61" s="5" t="s">
        <v>10</v>
      </c>
      <c r="J61" s="5" t="s">
        <v>11</v>
      </c>
      <c r="K61" s="5" t="s">
        <v>12</v>
      </c>
      <c r="L61" s="5" t="s">
        <v>13</v>
      </c>
      <c r="M61" s="5" t="s">
        <v>14</v>
      </c>
      <c r="N61" s="5" t="s">
        <v>15</v>
      </c>
      <c r="O61" s="5" t="s">
        <v>16</v>
      </c>
    </row>
    <row r="62" spans="1:15" ht="12">
      <c r="A62" s="1" t="s">
        <v>18</v>
      </c>
      <c r="B62" s="5"/>
      <c r="C62" s="6">
        <v>1450.28</v>
      </c>
      <c r="D62" s="6">
        <v>1895.46</v>
      </c>
      <c r="E62" s="6">
        <v>1677.15</v>
      </c>
      <c r="F62" s="6">
        <v>1938.77</v>
      </c>
      <c r="G62" s="6">
        <v>1798.58</v>
      </c>
      <c r="H62" s="6">
        <v>1782.75</v>
      </c>
      <c r="I62" s="6">
        <v>1411.91</v>
      </c>
      <c r="J62" s="6">
        <v>1012.91</v>
      </c>
      <c r="K62" s="6">
        <v>1707.3</v>
      </c>
      <c r="L62" s="6">
        <v>1377.19</v>
      </c>
      <c r="M62" s="6">
        <v>1306.03</v>
      </c>
      <c r="N62" s="6">
        <f>1995.53+199.85</f>
        <v>2195.38</v>
      </c>
      <c r="O62" s="6">
        <f>SUM(C62:N62)</f>
        <v>19553.71</v>
      </c>
    </row>
    <row r="63" spans="1:15" ht="12">
      <c r="A63" s="1" t="s">
        <v>20</v>
      </c>
      <c r="B63" s="5"/>
      <c r="C63" s="6">
        <v>1000.23</v>
      </c>
      <c r="D63" s="6">
        <v>774.3</v>
      </c>
      <c r="E63" s="6">
        <v>1467.52</v>
      </c>
      <c r="F63" s="6">
        <v>1331.4</v>
      </c>
      <c r="G63" s="6">
        <v>1432.07</v>
      </c>
      <c r="H63" s="6">
        <v>2038.95</v>
      </c>
      <c r="I63" s="6">
        <v>2578.14</v>
      </c>
      <c r="J63" s="6">
        <v>2898.224</v>
      </c>
      <c r="K63" s="6">
        <v>2364.3</v>
      </c>
      <c r="L63" s="6">
        <v>3333.67</v>
      </c>
      <c r="M63" s="6">
        <v>2971.57</v>
      </c>
      <c r="N63" s="6">
        <f>2380.17+238.29</f>
        <v>2618.46</v>
      </c>
      <c r="O63" s="6">
        <f aca="true" t="shared" si="16" ref="O63:O69">SUM(C63:N63)</f>
        <v>24808.834000000003</v>
      </c>
    </row>
    <row r="64" spans="1:15" ht="12">
      <c r="A64" s="1" t="s">
        <v>21</v>
      </c>
      <c r="B64" s="5"/>
      <c r="C64" s="6">
        <v>858.04</v>
      </c>
      <c r="D64" s="6">
        <v>721.14</v>
      </c>
      <c r="E64" s="6">
        <v>743.13</v>
      </c>
      <c r="F64" s="6">
        <v>687.8</v>
      </c>
      <c r="G64" s="6">
        <v>743.63</v>
      </c>
      <c r="H64" s="6">
        <v>845.08</v>
      </c>
      <c r="I64" s="6">
        <v>795.72</v>
      </c>
      <c r="J64" s="6">
        <v>746.2</v>
      </c>
      <c r="K64" s="6">
        <v>958.25</v>
      </c>
      <c r="L64" s="6">
        <v>622.65</v>
      </c>
      <c r="M64" s="6">
        <v>445.23</v>
      </c>
      <c r="N64" s="6">
        <f>755.7+75.63</f>
        <v>831.33</v>
      </c>
      <c r="O64" s="6">
        <f t="shared" si="16"/>
        <v>8998.199999999999</v>
      </c>
    </row>
    <row r="65" spans="1:15" ht="12">
      <c r="A65" s="1" t="s">
        <v>22</v>
      </c>
      <c r="B65" s="5"/>
      <c r="C65" s="6">
        <v>2022.5</v>
      </c>
      <c r="D65" s="6">
        <v>2300.75</v>
      </c>
      <c r="E65" s="6">
        <v>1963.25</v>
      </c>
      <c r="F65" s="6">
        <v>1990</v>
      </c>
      <c r="G65" s="6">
        <v>1772.25</v>
      </c>
      <c r="H65" s="6">
        <v>1050.75</v>
      </c>
      <c r="I65" s="6">
        <v>1592.75</v>
      </c>
      <c r="J65" s="6">
        <v>1800.5</v>
      </c>
      <c r="K65" s="6">
        <v>1481</v>
      </c>
      <c r="L65" s="6">
        <v>964.75</v>
      </c>
      <c r="M65" s="6">
        <v>972.5</v>
      </c>
      <c r="N65" s="6">
        <f>1033.5+103.25</f>
        <v>1136.75</v>
      </c>
      <c r="O65" s="6">
        <f t="shared" si="16"/>
        <v>19047.75</v>
      </c>
    </row>
    <row r="66" spans="1:15" ht="12">
      <c r="A66" s="1" t="s">
        <v>23</v>
      </c>
      <c r="B66" s="5"/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f t="shared" si="16"/>
        <v>0</v>
      </c>
    </row>
    <row r="67" spans="1:15" ht="12">
      <c r="A67" s="1" t="s">
        <v>24</v>
      </c>
      <c r="B67" s="5"/>
      <c r="C67" s="6">
        <v>1318.9</v>
      </c>
      <c r="D67" s="6">
        <v>680.35</v>
      </c>
      <c r="E67" s="6">
        <v>950.4</v>
      </c>
      <c r="F67" s="6">
        <v>768.9</v>
      </c>
      <c r="G67" s="6">
        <v>950.4</v>
      </c>
      <c r="H67" s="6">
        <v>1128.6</v>
      </c>
      <c r="I67" s="6">
        <v>956.45</v>
      </c>
      <c r="J67" s="6">
        <v>994.4</v>
      </c>
      <c r="K67" s="6">
        <v>1074.98</v>
      </c>
      <c r="L67" s="6">
        <v>1142.35</v>
      </c>
      <c r="M67" s="6">
        <v>1049.95</v>
      </c>
      <c r="N67" s="6">
        <f>1029.88+103.4</f>
        <v>1133.2800000000002</v>
      </c>
      <c r="O67" s="6">
        <f t="shared" si="16"/>
        <v>12148.960000000001</v>
      </c>
    </row>
    <row r="68" spans="1:15" ht="12">
      <c r="A68" s="1" t="s">
        <v>31</v>
      </c>
      <c r="B68" s="5"/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f t="shared" si="16"/>
        <v>0</v>
      </c>
    </row>
    <row r="69" spans="1:15" ht="12">
      <c r="A69" s="1" t="s">
        <v>26</v>
      </c>
      <c r="B69" s="5"/>
      <c r="C69" s="6">
        <v>0</v>
      </c>
      <c r="D69" s="6">
        <v>4110.12</v>
      </c>
      <c r="E69" s="6">
        <v>0</v>
      </c>
      <c r="F69" s="6">
        <v>2457.56</v>
      </c>
      <c r="G69" s="6">
        <v>3798.17</v>
      </c>
      <c r="H69" s="6">
        <v>1044.79</v>
      </c>
      <c r="I69" s="6">
        <v>1605.18</v>
      </c>
      <c r="J69" s="6">
        <v>1555.51</v>
      </c>
      <c r="K69" s="6">
        <v>0</v>
      </c>
      <c r="L69" s="6">
        <v>0</v>
      </c>
      <c r="M69" s="6">
        <v>0</v>
      </c>
      <c r="N69" s="6">
        <v>0</v>
      </c>
      <c r="O69" s="6">
        <f t="shared" si="16"/>
        <v>14571.33</v>
      </c>
    </row>
    <row r="70" spans="1:15" ht="12">
      <c r="A70" s="1" t="s">
        <v>51</v>
      </c>
      <c r="B70" s="5"/>
      <c r="C70" s="41">
        <f aca="true" t="shared" si="17" ref="C70:O70">SUM(C62:C69)</f>
        <v>6649.950000000001</v>
      </c>
      <c r="D70" s="41">
        <f t="shared" si="17"/>
        <v>10482.119999999999</v>
      </c>
      <c r="E70" s="41">
        <f t="shared" si="17"/>
        <v>6801.45</v>
      </c>
      <c r="F70" s="41">
        <f t="shared" si="17"/>
        <v>9174.43</v>
      </c>
      <c r="G70" s="41">
        <f t="shared" si="17"/>
        <v>10495.099999999999</v>
      </c>
      <c r="H70" s="41">
        <f t="shared" si="17"/>
        <v>7890.919999999999</v>
      </c>
      <c r="I70" s="41">
        <f t="shared" si="17"/>
        <v>8940.15</v>
      </c>
      <c r="J70" s="41">
        <f t="shared" si="17"/>
        <v>9007.743999999999</v>
      </c>
      <c r="K70" s="41">
        <f t="shared" si="17"/>
        <v>7585.83</v>
      </c>
      <c r="L70" s="41">
        <f t="shared" si="17"/>
        <v>7440.610000000001</v>
      </c>
      <c r="M70" s="41">
        <f t="shared" si="17"/>
        <v>6745.28</v>
      </c>
      <c r="N70" s="41">
        <f t="shared" si="17"/>
        <v>7915.200000000001</v>
      </c>
      <c r="O70" s="42">
        <f t="shared" si="17"/>
        <v>99128.78400000001</v>
      </c>
    </row>
    <row r="71" spans="1:15" ht="12.75">
      <c r="A71" s="1"/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3"/>
    </row>
    <row r="72" spans="1:15" ht="12.75">
      <c r="A72" s="1"/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33"/>
    </row>
    <row r="73" spans="1:15" ht="12">
      <c r="A73" s="1"/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12"/>
    </row>
    <row r="74" spans="1:15" ht="12">
      <c r="A74" s="3" t="s">
        <v>27</v>
      </c>
      <c r="B74" s="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2">
      <c r="A75" s="1"/>
      <c r="B75" s="1"/>
      <c r="C75" s="17" t="s">
        <v>4</v>
      </c>
      <c r="D75" s="17" t="s">
        <v>5</v>
      </c>
      <c r="E75" s="31" t="s">
        <v>6</v>
      </c>
      <c r="F75" s="31" t="s">
        <v>7</v>
      </c>
      <c r="G75" s="31" t="s">
        <v>8</v>
      </c>
      <c r="H75" s="31" t="s">
        <v>9</v>
      </c>
      <c r="I75" s="31" t="s">
        <v>10</v>
      </c>
      <c r="J75" s="31" t="s">
        <v>11</v>
      </c>
      <c r="K75" s="31" t="s">
        <v>12</v>
      </c>
      <c r="L75" s="31" t="s">
        <v>13</v>
      </c>
      <c r="M75" s="31" t="s">
        <v>14</v>
      </c>
      <c r="N75" s="31" t="s">
        <v>15</v>
      </c>
      <c r="O75" s="31" t="s">
        <v>16</v>
      </c>
    </row>
    <row r="76" spans="1:15" ht="12">
      <c r="A76" s="1" t="s">
        <v>18</v>
      </c>
      <c r="B76" s="5"/>
      <c r="C76" s="37">
        <v>780.67</v>
      </c>
      <c r="D76" s="37">
        <v>969.15</v>
      </c>
      <c r="E76" s="37">
        <v>904.86</v>
      </c>
      <c r="F76" s="37">
        <v>1044.336</v>
      </c>
      <c r="G76" s="37">
        <v>949.75</v>
      </c>
      <c r="H76" s="37">
        <v>975.9</v>
      </c>
      <c r="I76" s="37">
        <v>809.82</v>
      </c>
      <c r="J76" s="37">
        <v>594.68</v>
      </c>
      <c r="K76" s="37">
        <v>971.1</v>
      </c>
      <c r="L76" s="37">
        <v>763.43</v>
      </c>
      <c r="M76" s="37">
        <v>768.95</v>
      </c>
      <c r="N76" s="37">
        <v>1287.83</v>
      </c>
      <c r="O76" s="6">
        <f>SUM(C76:N76)</f>
        <v>10820.476</v>
      </c>
    </row>
    <row r="77" spans="1:15" ht="12">
      <c r="A77" s="1" t="s">
        <v>20</v>
      </c>
      <c r="B77" s="5"/>
      <c r="C77" s="6">
        <v>539.3</v>
      </c>
      <c r="D77" s="6">
        <v>395.88</v>
      </c>
      <c r="E77" s="6">
        <v>793</v>
      </c>
      <c r="F77" s="6">
        <v>717</v>
      </c>
      <c r="G77" s="6">
        <v>756.3</v>
      </c>
      <c r="H77" s="6">
        <v>1115.8</v>
      </c>
      <c r="I77" s="6">
        <v>1483.26</v>
      </c>
      <c r="J77" s="6">
        <v>1708.26</v>
      </c>
      <c r="K77" s="6">
        <v>1344.85</v>
      </c>
      <c r="L77" s="6">
        <v>1861.35</v>
      </c>
      <c r="M77" s="6">
        <v>1748.1</v>
      </c>
      <c r="N77" s="6">
        <v>1533.48</v>
      </c>
      <c r="O77" s="6">
        <f aca="true" t="shared" si="18" ref="O77:O83">SUM(C77:N77)</f>
        <v>13996.58</v>
      </c>
    </row>
    <row r="78" spans="1:15" ht="12">
      <c r="A78" s="1" t="s">
        <v>21</v>
      </c>
      <c r="B78" s="5"/>
      <c r="C78" s="6">
        <v>461.7</v>
      </c>
      <c r="D78" s="6">
        <v>367.92</v>
      </c>
      <c r="E78" s="6">
        <v>401.39</v>
      </c>
      <c r="F78" s="6">
        <v>370</v>
      </c>
      <c r="G78" s="6">
        <v>393.08</v>
      </c>
      <c r="H78" s="6">
        <v>467</v>
      </c>
      <c r="I78" s="6">
        <v>458.28</v>
      </c>
      <c r="J78" s="6">
        <v>439.4</v>
      </c>
      <c r="K78" s="6">
        <v>544.5</v>
      </c>
      <c r="L78" s="6">
        <v>344.13</v>
      </c>
      <c r="M78" s="6">
        <v>262.07</v>
      </c>
      <c r="N78" s="6">
        <v>487.58</v>
      </c>
      <c r="O78" s="6">
        <f t="shared" si="18"/>
        <v>4997.049999999999</v>
      </c>
    </row>
    <row r="79" spans="1:15" ht="12">
      <c r="A79" s="1" t="s">
        <v>22</v>
      </c>
      <c r="B79" s="5"/>
      <c r="C79" s="6">
        <v>1087.5</v>
      </c>
      <c r="D79" s="6">
        <v>1171.75</v>
      </c>
      <c r="E79" s="6">
        <v>1056.75</v>
      </c>
      <c r="F79" s="6">
        <v>1071.25</v>
      </c>
      <c r="G79" s="6">
        <v>936</v>
      </c>
      <c r="H79" s="6">
        <v>576.75</v>
      </c>
      <c r="I79" s="6">
        <v>916.75</v>
      </c>
      <c r="J79" s="6">
        <v>1061.75</v>
      </c>
      <c r="K79" s="6">
        <v>844.25</v>
      </c>
      <c r="L79" s="6">
        <v>537.5</v>
      </c>
      <c r="M79" s="6">
        <v>573.25</v>
      </c>
      <c r="N79" s="6">
        <v>664.75</v>
      </c>
      <c r="O79" s="6">
        <f t="shared" si="18"/>
        <v>10498.25</v>
      </c>
    </row>
    <row r="80" spans="1:15" ht="12">
      <c r="A80" s="1" t="s">
        <v>23</v>
      </c>
      <c r="B80" s="5"/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f t="shared" si="18"/>
        <v>0</v>
      </c>
    </row>
    <row r="81" spans="1:15" ht="12">
      <c r="A81" s="1" t="s">
        <v>24</v>
      </c>
      <c r="B81" s="5"/>
      <c r="C81" s="6">
        <v>709.5</v>
      </c>
      <c r="D81" s="6">
        <v>343.75</v>
      </c>
      <c r="E81" s="6">
        <v>513.15</v>
      </c>
      <c r="F81" s="6">
        <v>414.15</v>
      </c>
      <c r="G81" s="6">
        <v>502.15</v>
      </c>
      <c r="H81" s="6">
        <v>617.65</v>
      </c>
      <c r="I81" s="6">
        <v>550.55</v>
      </c>
      <c r="J81" s="6">
        <v>586.3</v>
      </c>
      <c r="K81" s="6">
        <v>609.95</v>
      </c>
      <c r="L81" s="6">
        <v>632.78</v>
      </c>
      <c r="M81" s="6">
        <v>617.65</v>
      </c>
      <c r="N81" s="6">
        <v>663.03</v>
      </c>
      <c r="O81" s="6">
        <f t="shared" si="18"/>
        <v>6760.61</v>
      </c>
    </row>
    <row r="82" spans="1:15" ht="12">
      <c r="A82" s="1" t="s">
        <v>31</v>
      </c>
      <c r="B82" s="5"/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f t="shared" si="18"/>
        <v>0</v>
      </c>
    </row>
    <row r="83" spans="1:15" ht="12">
      <c r="A83" s="1" t="s">
        <v>26</v>
      </c>
      <c r="B83" s="5"/>
      <c r="C83" s="6">
        <v>0</v>
      </c>
      <c r="D83" s="6">
        <v>401.29</v>
      </c>
      <c r="E83" s="6">
        <v>0</v>
      </c>
      <c r="F83" s="6">
        <v>704.21</v>
      </c>
      <c r="G83" s="6">
        <v>1009.82</v>
      </c>
      <c r="H83" s="6">
        <v>633.39</v>
      </c>
      <c r="I83" s="6">
        <v>520.41</v>
      </c>
      <c r="J83" s="6">
        <v>423.32</v>
      </c>
      <c r="K83" s="6">
        <v>0</v>
      </c>
      <c r="L83" s="6">
        <v>0</v>
      </c>
      <c r="M83" s="6">
        <v>0</v>
      </c>
      <c r="N83" s="6">
        <v>0</v>
      </c>
      <c r="O83" s="6">
        <f t="shared" si="18"/>
        <v>3692.44</v>
      </c>
    </row>
    <row r="84" spans="1:15" ht="12">
      <c r="A84" s="1" t="s">
        <v>51</v>
      </c>
      <c r="B84" s="5"/>
      <c r="C84" s="41">
        <f aca="true" t="shared" si="19" ref="C84:N84">SUM(C76:C83)</f>
        <v>3578.67</v>
      </c>
      <c r="D84" s="41">
        <f t="shared" si="19"/>
        <v>3649.74</v>
      </c>
      <c r="E84" s="41">
        <f t="shared" si="19"/>
        <v>3669.15</v>
      </c>
      <c r="F84" s="41">
        <f t="shared" si="19"/>
        <v>4320.946</v>
      </c>
      <c r="G84" s="41">
        <f t="shared" si="19"/>
        <v>4547.1</v>
      </c>
      <c r="H84" s="41">
        <f t="shared" si="19"/>
        <v>4386.49</v>
      </c>
      <c r="I84" s="41">
        <f t="shared" si="19"/>
        <v>4739.07</v>
      </c>
      <c r="J84" s="41">
        <f t="shared" si="19"/>
        <v>4813.71</v>
      </c>
      <c r="K84" s="41">
        <f t="shared" si="19"/>
        <v>4314.65</v>
      </c>
      <c r="L84" s="41">
        <f t="shared" si="19"/>
        <v>4139.19</v>
      </c>
      <c r="M84" s="41">
        <f t="shared" si="19"/>
        <v>3970.0200000000004</v>
      </c>
      <c r="N84" s="41">
        <f t="shared" si="19"/>
        <v>4636.67</v>
      </c>
      <c r="O84" s="42">
        <f>SUM(O76:O83)</f>
        <v>50765.406</v>
      </c>
    </row>
    <row r="85" spans="1:15" ht="12">
      <c r="A85" s="1"/>
      <c r="B85" s="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34"/>
    </row>
    <row r="86" spans="1:15" ht="12">
      <c r="A86" s="1"/>
      <c r="B86" s="5"/>
      <c r="C86" s="15" t="s">
        <v>2</v>
      </c>
      <c r="D86" s="15"/>
      <c r="E86" s="15"/>
      <c r="F86" s="15"/>
      <c r="G86" s="15" t="s">
        <v>2</v>
      </c>
      <c r="H86" s="15"/>
      <c r="I86" s="15"/>
      <c r="J86" s="15"/>
      <c r="K86" s="15"/>
      <c r="L86" s="15"/>
      <c r="M86" s="15"/>
      <c r="N86" s="15"/>
      <c r="O86" s="15" t="s">
        <v>2</v>
      </c>
    </row>
    <row r="87" spans="1:15" ht="12">
      <c r="A87" s="3" t="s">
        <v>48</v>
      </c>
      <c r="B87" s="5"/>
      <c r="C87" s="6"/>
      <c r="D87" s="6"/>
      <c r="E87" s="6"/>
      <c r="F87" s="6"/>
      <c r="G87" s="6" t="s">
        <v>2</v>
      </c>
      <c r="H87" s="6"/>
      <c r="I87" s="6"/>
      <c r="J87" s="6"/>
      <c r="K87" s="6"/>
      <c r="L87" s="6"/>
      <c r="M87" s="6"/>
      <c r="N87" s="6"/>
      <c r="O87" s="12" t="s">
        <v>2</v>
      </c>
    </row>
    <row r="88" spans="1:15" ht="12">
      <c r="A88" s="3" t="s">
        <v>33</v>
      </c>
      <c r="B88" s="5"/>
      <c r="C88" s="6"/>
      <c r="D88" s="6"/>
      <c r="E88" s="6"/>
      <c r="F88" s="6"/>
      <c r="G88" s="6" t="s">
        <v>2</v>
      </c>
      <c r="H88" s="6"/>
      <c r="I88" s="6"/>
      <c r="J88" s="6"/>
      <c r="K88" s="6"/>
      <c r="L88" s="6"/>
      <c r="M88" s="6"/>
      <c r="N88" s="6"/>
      <c r="O88" s="6" t="s">
        <v>2</v>
      </c>
    </row>
    <row r="89" spans="1:15" ht="12">
      <c r="A89" s="1"/>
      <c r="B89" s="5"/>
      <c r="C89" s="17" t="s">
        <v>4</v>
      </c>
      <c r="D89" s="17" t="s">
        <v>5</v>
      </c>
      <c r="E89" s="31" t="s">
        <v>6</v>
      </c>
      <c r="F89" s="31" t="s">
        <v>7</v>
      </c>
      <c r="G89" s="31" t="s">
        <v>8</v>
      </c>
      <c r="H89" s="31" t="s">
        <v>9</v>
      </c>
      <c r="I89" s="31" t="s">
        <v>10</v>
      </c>
      <c r="J89" s="31" t="s">
        <v>11</v>
      </c>
      <c r="K89" s="31" t="s">
        <v>12</v>
      </c>
      <c r="L89" s="31" t="s">
        <v>13</v>
      </c>
      <c r="M89" s="31" t="s">
        <v>14</v>
      </c>
      <c r="N89" s="31" t="s">
        <v>15</v>
      </c>
      <c r="O89" s="31" t="s">
        <v>16</v>
      </c>
    </row>
    <row r="90" spans="1:15" ht="12">
      <c r="A90" s="1" t="s">
        <v>18</v>
      </c>
      <c r="B90" s="5"/>
      <c r="C90" s="6">
        <f>C62+C76</f>
        <v>2230.95</v>
      </c>
      <c r="D90" s="6">
        <f aca="true" t="shared" si="20" ref="D90:N90">D62+D76</f>
        <v>2864.61</v>
      </c>
      <c r="E90" s="6">
        <f t="shared" si="20"/>
        <v>2582.01</v>
      </c>
      <c r="F90" s="6">
        <f t="shared" si="20"/>
        <v>2983.1059999999998</v>
      </c>
      <c r="G90" s="6">
        <f t="shared" si="20"/>
        <v>2748.33</v>
      </c>
      <c r="H90" s="6">
        <f t="shared" si="20"/>
        <v>2758.65</v>
      </c>
      <c r="I90" s="6">
        <f t="shared" si="20"/>
        <v>2221.73</v>
      </c>
      <c r="J90" s="6">
        <f t="shared" si="20"/>
        <v>1607.59</v>
      </c>
      <c r="K90" s="6">
        <f t="shared" si="20"/>
        <v>2678.4</v>
      </c>
      <c r="L90" s="6">
        <f t="shared" si="20"/>
        <v>2140.62</v>
      </c>
      <c r="M90" s="6">
        <f t="shared" si="20"/>
        <v>2074.98</v>
      </c>
      <c r="N90" s="6">
        <f t="shared" si="20"/>
        <v>3483.21</v>
      </c>
      <c r="O90" s="6">
        <f>SUM(C90:N90)</f>
        <v>30374.185999999998</v>
      </c>
    </row>
    <row r="91" spans="1:15" ht="12">
      <c r="A91" s="1" t="s">
        <v>20</v>
      </c>
      <c r="B91" s="5"/>
      <c r="C91" s="6">
        <f aca="true" t="shared" si="21" ref="C91:N91">C63+C77</f>
        <v>1539.53</v>
      </c>
      <c r="D91" s="6">
        <f t="shared" si="21"/>
        <v>1170.1799999999998</v>
      </c>
      <c r="E91" s="6">
        <f t="shared" si="21"/>
        <v>2260.52</v>
      </c>
      <c r="F91" s="6">
        <f t="shared" si="21"/>
        <v>2048.4</v>
      </c>
      <c r="G91" s="6">
        <f t="shared" si="21"/>
        <v>2188.37</v>
      </c>
      <c r="H91" s="6">
        <f t="shared" si="21"/>
        <v>3154.75</v>
      </c>
      <c r="I91" s="6">
        <f t="shared" si="21"/>
        <v>4061.3999999999996</v>
      </c>
      <c r="J91" s="6">
        <f t="shared" si="21"/>
        <v>4606.484</v>
      </c>
      <c r="K91" s="6">
        <f t="shared" si="21"/>
        <v>3709.15</v>
      </c>
      <c r="L91" s="6">
        <f t="shared" si="21"/>
        <v>5195.02</v>
      </c>
      <c r="M91" s="6">
        <f t="shared" si="21"/>
        <v>4719.67</v>
      </c>
      <c r="N91" s="6">
        <f t="shared" si="21"/>
        <v>4151.9400000000005</v>
      </c>
      <c r="O91" s="6">
        <f aca="true" t="shared" si="22" ref="O91:O97">SUM(C91:N91)</f>
        <v>38805.414000000004</v>
      </c>
    </row>
    <row r="92" spans="1:15" ht="12">
      <c r="A92" s="1" t="s">
        <v>21</v>
      </c>
      <c r="B92" s="5"/>
      <c r="C92" s="6">
        <f aca="true" t="shared" si="23" ref="C92:N92">C64+C78</f>
        <v>1319.74</v>
      </c>
      <c r="D92" s="6">
        <f t="shared" si="23"/>
        <v>1089.06</v>
      </c>
      <c r="E92" s="6">
        <f t="shared" si="23"/>
        <v>1144.52</v>
      </c>
      <c r="F92" s="6">
        <f t="shared" si="23"/>
        <v>1057.8</v>
      </c>
      <c r="G92" s="6">
        <f t="shared" si="23"/>
        <v>1136.71</v>
      </c>
      <c r="H92" s="6">
        <f t="shared" si="23"/>
        <v>1312.08</v>
      </c>
      <c r="I92" s="6">
        <f t="shared" si="23"/>
        <v>1254</v>
      </c>
      <c r="J92" s="6">
        <f t="shared" si="23"/>
        <v>1185.6</v>
      </c>
      <c r="K92" s="6">
        <f t="shared" si="23"/>
        <v>1502.75</v>
      </c>
      <c r="L92" s="6">
        <f t="shared" si="23"/>
        <v>966.78</v>
      </c>
      <c r="M92" s="6">
        <f t="shared" si="23"/>
        <v>707.3</v>
      </c>
      <c r="N92" s="6">
        <f t="shared" si="23"/>
        <v>1318.91</v>
      </c>
      <c r="O92" s="6">
        <f t="shared" si="22"/>
        <v>13995.25</v>
      </c>
    </row>
    <row r="93" spans="1:15" ht="12">
      <c r="A93" s="1" t="s">
        <v>22</v>
      </c>
      <c r="B93" s="5"/>
      <c r="C93" s="6">
        <f aca="true" t="shared" si="24" ref="C93:N93">C65+C79</f>
        <v>3110</v>
      </c>
      <c r="D93" s="6">
        <f t="shared" si="24"/>
        <v>3472.5</v>
      </c>
      <c r="E93" s="6">
        <f t="shared" si="24"/>
        <v>3020</v>
      </c>
      <c r="F93" s="6">
        <f t="shared" si="24"/>
        <v>3061.25</v>
      </c>
      <c r="G93" s="6">
        <f t="shared" si="24"/>
        <v>2708.25</v>
      </c>
      <c r="H93" s="6">
        <f t="shared" si="24"/>
        <v>1627.5</v>
      </c>
      <c r="I93" s="6">
        <f t="shared" si="24"/>
        <v>2509.5</v>
      </c>
      <c r="J93" s="6">
        <f t="shared" si="24"/>
        <v>2862.25</v>
      </c>
      <c r="K93" s="6">
        <f t="shared" si="24"/>
        <v>2325.25</v>
      </c>
      <c r="L93" s="6">
        <f t="shared" si="24"/>
        <v>1502.25</v>
      </c>
      <c r="M93" s="6">
        <f t="shared" si="24"/>
        <v>1545.75</v>
      </c>
      <c r="N93" s="6">
        <f t="shared" si="24"/>
        <v>1801.5</v>
      </c>
      <c r="O93" s="6">
        <f t="shared" si="22"/>
        <v>29546</v>
      </c>
    </row>
    <row r="94" spans="1:15" ht="12">
      <c r="A94" s="1" t="s">
        <v>23</v>
      </c>
      <c r="B94" s="5"/>
      <c r="C94" s="6">
        <f aca="true" t="shared" si="25" ref="C94:N94">C66+C80</f>
        <v>0</v>
      </c>
      <c r="D94" s="6">
        <f t="shared" si="25"/>
        <v>0</v>
      </c>
      <c r="E94" s="6">
        <f t="shared" si="25"/>
        <v>0</v>
      </c>
      <c r="F94" s="6">
        <f t="shared" si="25"/>
        <v>0</v>
      </c>
      <c r="G94" s="6">
        <f t="shared" si="25"/>
        <v>0</v>
      </c>
      <c r="H94" s="6">
        <f t="shared" si="25"/>
        <v>0</v>
      </c>
      <c r="I94" s="6">
        <f t="shared" si="25"/>
        <v>0</v>
      </c>
      <c r="J94" s="6">
        <f t="shared" si="25"/>
        <v>0</v>
      </c>
      <c r="K94" s="6">
        <f t="shared" si="25"/>
        <v>0</v>
      </c>
      <c r="L94" s="6">
        <f t="shared" si="25"/>
        <v>0</v>
      </c>
      <c r="M94" s="6">
        <f t="shared" si="25"/>
        <v>0</v>
      </c>
      <c r="N94" s="6">
        <f t="shared" si="25"/>
        <v>0</v>
      </c>
      <c r="O94" s="6">
        <f t="shared" si="22"/>
        <v>0</v>
      </c>
    </row>
    <row r="95" spans="1:15" ht="12">
      <c r="A95" s="1" t="s">
        <v>24</v>
      </c>
      <c r="B95" s="5"/>
      <c r="C95" s="6">
        <f aca="true" t="shared" si="26" ref="C95:N95">C67+C81</f>
        <v>2028.4</v>
      </c>
      <c r="D95" s="6">
        <f t="shared" si="26"/>
        <v>1024.1</v>
      </c>
      <c r="E95" s="6">
        <f t="shared" si="26"/>
        <v>1463.55</v>
      </c>
      <c r="F95" s="6">
        <f t="shared" si="26"/>
        <v>1183.05</v>
      </c>
      <c r="G95" s="6">
        <f t="shared" si="26"/>
        <v>1452.55</v>
      </c>
      <c r="H95" s="6">
        <f t="shared" si="26"/>
        <v>1746.25</v>
      </c>
      <c r="I95" s="6">
        <f t="shared" si="26"/>
        <v>1507</v>
      </c>
      <c r="J95" s="6">
        <f t="shared" si="26"/>
        <v>1580.6999999999998</v>
      </c>
      <c r="K95" s="6">
        <f t="shared" si="26"/>
        <v>1684.93</v>
      </c>
      <c r="L95" s="6">
        <f t="shared" si="26"/>
        <v>1775.1299999999999</v>
      </c>
      <c r="M95" s="6">
        <f t="shared" si="26"/>
        <v>1667.6</v>
      </c>
      <c r="N95" s="6">
        <f t="shared" si="26"/>
        <v>1796.3100000000002</v>
      </c>
      <c r="O95" s="6">
        <f t="shared" si="22"/>
        <v>18909.570000000003</v>
      </c>
    </row>
    <row r="96" spans="1:15" ht="12">
      <c r="A96" s="1" t="s">
        <v>31</v>
      </c>
      <c r="B96" s="5"/>
      <c r="C96" s="6">
        <f aca="true" t="shared" si="27" ref="C96:N96">C68+C82</f>
        <v>0</v>
      </c>
      <c r="D96" s="6">
        <f t="shared" si="27"/>
        <v>0</v>
      </c>
      <c r="E96" s="6">
        <f t="shared" si="27"/>
        <v>0</v>
      </c>
      <c r="F96" s="6">
        <f t="shared" si="27"/>
        <v>0</v>
      </c>
      <c r="G96" s="6">
        <f t="shared" si="27"/>
        <v>0</v>
      </c>
      <c r="H96" s="6">
        <f t="shared" si="27"/>
        <v>0</v>
      </c>
      <c r="I96" s="6">
        <f t="shared" si="27"/>
        <v>0</v>
      </c>
      <c r="J96" s="6">
        <f t="shared" si="27"/>
        <v>0</v>
      </c>
      <c r="K96" s="6">
        <f t="shared" si="27"/>
        <v>0</v>
      </c>
      <c r="L96" s="6">
        <f t="shared" si="27"/>
        <v>0</v>
      </c>
      <c r="M96" s="6">
        <f t="shared" si="27"/>
        <v>0</v>
      </c>
      <c r="N96" s="6">
        <f t="shared" si="27"/>
        <v>0</v>
      </c>
      <c r="O96" s="6">
        <f t="shared" si="22"/>
        <v>0</v>
      </c>
    </row>
    <row r="97" spans="1:15" ht="12">
      <c r="A97" s="1" t="s">
        <v>26</v>
      </c>
      <c r="B97" s="5"/>
      <c r="C97" s="41">
        <f aca="true" t="shared" si="28" ref="C97:N97">C69+C83</f>
        <v>0</v>
      </c>
      <c r="D97" s="41">
        <f t="shared" si="28"/>
        <v>4511.41</v>
      </c>
      <c r="E97" s="41">
        <f t="shared" si="28"/>
        <v>0</v>
      </c>
      <c r="F97" s="41">
        <f t="shared" si="28"/>
        <v>3161.77</v>
      </c>
      <c r="G97" s="41">
        <f t="shared" si="28"/>
        <v>4807.99</v>
      </c>
      <c r="H97" s="41">
        <f t="shared" si="28"/>
        <v>1678.1799999999998</v>
      </c>
      <c r="I97" s="41">
        <f t="shared" si="28"/>
        <v>2125.59</v>
      </c>
      <c r="J97" s="41">
        <f t="shared" si="28"/>
        <v>1978.83</v>
      </c>
      <c r="K97" s="41">
        <f t="shared" si="28"/>
        <v>0</v>
      </c>
      <c r="L97" s="41">
        <f t="shared" si="28"/>
        <v>0</v>
      </c>
      <c r="M97" s="41">
        <f t="shared" si="28"/>
        <v>0</v>
      </c>
      <c r="N97" s="41">
        <f t="shared" si="28"/>
        <v>0</v>
      </c>
      <c r="O97" s="41">
        <f t="shared" si="22"/>
        <v>18263.77</v>
      </c>
    </row>
    <row r="98" spans="1:16" ht="12">
      <c r="A98" s="1" t="s">
        <v>51</v>
      </c>
      <c r="B98" s="19"/>
      <c r="C98" s="41">
        <f aca="true" t="shared" si="29" ref="C98:N98">SUM(C90:C97)</f>
        <v>10228.619999999999</v>
      </c>
      <c r="D98" s="41">
        <f t="shared" si="29"/>
        <v>14131.86</v>
      </c>
      <c r="E98" s="41">
        <f t="shared" si="29"/>
        <v>10470.6</v>
      </c>
      <c r="F98" s="41">
        <f t="shared" si="29"/>
        <v>13495.376</v>
      </c>
      <c r="G98" s="41">
        <f t="shared" si="29"/>
        <v>15042.199999999999</v>
      </c>
      <c r="H98" s="41">
        <f t="shared" si="29"/>
        <v>12277.41</v>
      </c>
      <c r="I98" s="41">
        <f t="shared" si="29"/>
        <v>13679.22</v>
      </c>
      <c r="J98" s="41">
        <f t="shared" si="29"/>
        <v>13821.454</v>
      </c>
      <c r="K98" s="41">
        <f t="shared" si="29"/>
        <v>11900.48</v>
      </c>
      <c r="L98" s="41">
        <f t="shared" si="29"/>
        <v>11579.8</v>
      </c>
      <c r="M98" s="41">
        <f t="shared" si="29"/>
        <v>10715.300000000001</v>
      </c>
      <c r="N98" s="41">
        <f t="shared" si="29"/>
        <v>12551.87</v>
      </c>
      <c r="O98" s="42">
        <f>SUM(O90:O97)</f>
        <v>149894.19</v>
      </c>
      <c r="P98" s="2" t="s">
        <v>2</v>
      </c>
    </row>
  </sheetData>
  <printOptions/>
  <pageMargins left="0.25" right="0.25" top="0.51" bottom="0.44" header="0.5" footer="0.5"/>
  <pageSetup horizontalDpi="600" verticalDpi="600" orientation="landscape" scale="71" r:id="rId1"/>
  <rowBreaks count="1" manualBreakCount="1">
    <brk id="5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99"/>
  <sheetViews>
    <sheetView workbookViewId="0" topLeftCell="A38">
      <selection activeCell="B63" sqref="B63"/>
    </sheetView>
  </sheetViews>
  <sheetFormatPr defaultColWidth="8.88671875" defaultRowHeight="15"/>
  <cols>
    <col min="1" max="1" width="12.6640625" style="52" customWidth="1"/>
    <col min="2" max="2" width="8.10546875" style="52" customWidth="1"/>
    <col min="3" max="3" width="7.3359375" style="52" customWidth="1"/>
    <col min="4" max="14" width="8.88671875" style="52" customWidth="1"/>
    <col min="15" max="15" width="10.88671875" style="52" customWidth="1"/>
    <col min="16" max="16384" width="8.88671875" style="52" customWidth="1"/>
  </cols>
  <sheetData>
    <row r="1" spans="1:16" ht="11.25">
      <c r="A1" s="51" t="s">
        <v>0</v>
      </c>
      <c r="F1" s="51" t="s">
        <v>34</v>
      </c>
      <c r="P1" s="53"/>
    </row>
    <row r="2" ht="11.25">
      <c r="F2" s="49" t="s">
        <v>2</v>
      </c>
    </row>
    <row r="3" spans="1:9" ht="11.25">
      <c r="A3" s="51" t="s">
        <v>35</v>
      </c>
      <c r="I3" s="52" t="s">
        <v>2</v>
      </c>
    </row>
    <row r="4" spans="3:17" ht="11.25">
      <c r="C4" s="52" t="s">
        <v>4</v>
      </c>
      <c r="D4" s="52" t="s">
        <v>5</v>
      </c>
      <c r="E4" s="52" t="s">
        <v>6</v>
      </c>
      <c r="F4" s="52" t="s">
        <v>7</v>
      </c>
      <c r="G4" s="52" t="s">
        <v>8</v>
      </c>
      <c r="H4" s="52" t="s">
        <v>9</v>
      </c>
      <c r="I4" s="52" t="s">
        <v>10</v>
      </c>
      <c r="J4" s="52" t="s">
        <v>11</v>
      </c>
      <c r="K4" s="52" t="s">
        <v>12</v>
      </c>
      <c r="L4" s="52" t="s">
        <v>13</v>
      </c>
      <c r="M4" s="52" t="s">
        <v>14</v>
      </c>
      <c r="N4" s="52" t="s">
        <v>15</v>
      </c>
      <c r="O4" s="52" t="s">
        <v>16</v>
      </c>
      <c r="P4" s="52" t="s">
        <v>17</v>
      </c>
      <c r="Q4" s="50" t="s">
        <v>36</v>
      </c>
    </row>
    <row r="5" spans="1:17" ht="11.25">
      <c r="A5" s="52" t="s">
        <v>18</v>
      </c>
      <c r="B5" s="63" t="s">
        <v>19</v>
      </c>
      <c r="C5" s="54">
        <v>75700</v>
      </c>
      <c r="D5" s="54">
        <v>71420</v>
      </c>
      <c r="E5" s="54">
        <v>131460</v>
      </c>
      <c r="F5" s="54">
        <v>124150</v>
      </c>
      <c r="G5" s="54">
        <v>90870</v>
      </c>
      <c r="H5" s="54">
        <v>99680</v>
      </c>
      <c r="I5" s="54">
        <v>132070</v>
      </c>
      <c r="J5" s="54">
        <v>200370</v>
      </c>
      <c r="K5" s="54">
        <v>218880</v>
      </c>
      <c r="L5" s="54">
        <v>231720</v>
      </c>
      <c r="M5" s="54">
        <v>212790</v>
      </c>
      <c r="N5" s="54">
        <v>196460</v>
      </c>
      <c r="O5" s="54">
        <v>1785570</v>
      </c>
      <c r="P5" s="52">
        <v>892.79</v>
      </c>
      <c r="Q5" s="55">
        <v>0.225</v>
      </c>
    </row>
    <row r="6" spans="1:17" ht="11.25">
      <c r="A6" s="52" t="s">
        <v>20</v>
      </c>
      <c r="B6" s="63" t="s">
        <v>19</v>
      </c>
      <c r="C6" s="54">
        <v>497150</v>
      </c>
      <c r="D6" s="54">
        <v>353945</v>
      </c>
      <c r="E6" s="54">
        <v>350990</v>
      </c>
      <c r="F6" s="54">
        <v>395170</v>
      </c>
      <c r="G6" s="54">
        <v>392025</v>
      </c>
      <c r="H6" s="54">
        <v>350680</v>
      </c>
      <c r="I6" s="54">
        <v>330480</v>
      </c>
      <c r="J6" s="54">
        <v>246315</v>
      </c>
      <c r="K6" s="54">
        <v>287220</v>
      </c>
      <c r="L6" s="54">
        <v>287870</v>
      </c>
      <c r="M6" s="54">
        <v>299980</v>
      </c>
      <c r="N6" s="54">
        <v>412780</v>
      </c>
      <c r="O6" s="54">
        <v>4204605</v>
      </c>
      <c r="P6" s="56">
        <v>2102.3</v>
      </c>
      <c r="Q6" s="55">
        <v>0.5297</v>
      </c>
    </row>
    <row r="7" spans="1:17" ht="11.25">
      <c r="A7" s="52" t="s">
        <v>21</v>
      </c>
      <c r="B7" s="63" t="s">
        <v>19</v>
      </c>
      <c r="C7" s="54">
        <v>53055</v>
      </c>
      <c r="D7" s="54">
        <v>26760</v>
      </c>
      <c r="E7" s="54">
        <v>33890</v>
      </c>
      <c r="F7" s="54">
        <v>30185</v>
      </c>
      <c r="G7" s="54">
        <v>30895</v>
      </c>
      <c r="H7" s="54">
        <v>29250</v>
      </c>
      <c r="I7" s="54">
        <v>29840</v>
      </c>
      <c r="J7" s="54">
        <v>31030</v>
      </c>
      <c r="K7" s="54">
        <v>31730</v>
      </c>
      <c r="L7" s="54">
        <v>33890</v>
      </c>
      <c r="M7" s="54">
        <v>29590</v>
      </c>
      <c r="N7" s="54">
        <v>34990</v>
      </c>
      <c r="O7" s="54">
        <v>395105</v>
      </c>
      <c r="P7" s="52">
        <v>197.55</v>
      </c>
      <c r="Q7" s="55">
        <v>0.0498</v>
      </c>
    </row>
    <row r="8" spans="1:17" ht="11.25">
      <c r="A8" s="52" t="s">
        <v>22</v>
      </c>
      <c r="B8" s="63" t="s">
        <v>19</v>
      </c>
      <c r="C8" s="54">
        <v>5125</v>
      </c>
      <c r="D8" s="54">
        <v>5530</v>
      </c>
      <c r="E8" s="54">
        <v>4319</v>
      </c>
      <c r="F8" s="54">
        <v>5295</v>
      </c>
      <c r="G8" s="54">
        <v>4566</v>
      </c>
      <c r="H8" s="54">
        <v>6417</v>
      </c>
      <c r="I8" s="54">
        <v>7147</v>
      </c>
      <c r="J8" s="54">
        <v>5748</v>
      </c>
      <c r="K8" s="54">
        <v>8237</v>
      </c>
      <c r="L8" s="54">
        <v>8083</v>
      </c>
      <c r="M8" s="54">
        <v>6116</v>
      </c>
      <c r="N8" s="54">
        <v>7478</v>
      </c>
      <c r="O8" s="54">
        <v>74061</v>
      </c>
      <c r="P8" s="52">
        <v>37.03</v>
      </c>
      <c r="Q8" s="55">
        <v>0.0093</v>
      </c>
    </row>
    <row r="9" spans="1:17" ht="11.25">
      <c r="A9" s="52" t="s">
        <v>23</v>
      </c>
      <c r="B9" s="63" t="s">
        <v>19</v>
      </c>
      <c r="C9" s="54">
        <v>15206</v>
      </c>
      <c r="D9" s="54">
        <v>12029</v>
      </c>
      <c r="E9" s="54">
        <v>8361</v>
      </c>
      <c r="F9" s="54">
        <v>10394</v>
      </c>
      <c r="G9" s="54">
        <v>8510</v>
      </c>
      <c r="H9" s="54">
        <v>12744</v>
      </c>
      <c r="I9" s="54">
        <v>14190</v>
      </c>
      <c r="J9" s="54">
        <v>11396</v>
      </c>
      <c r="K9" s="54">
        <v>16358</v>
      </c>
      <c r="L9" s="54">
        <v>16046</v>
      </c>
      <c r="M9" s="54">
        <v>12142</v>
      </c>
      <c r="N9" s="54">
        <v>14848</v>
      </c>
      <c r="O9" s="54">
        <v>152224</v>
      </c>
      <c r="P9" s="52">
        <v>76.11</v>
      </c>
      <c r="Q9" s="55">
        <v>0.0192</v>
      </c>
    </row>
    <row r="10" spans="1:17" ht="11.25">
      <c r="A10" s="52" t="s">
        <v>24</v>
      </c>
      <c r="B10" s="63" t="s">
        <v>19</v>
      </c>
      <c r="C10" s="54">
        <v>25160</v>
      </c>
      <c r="D10" s="54">
        <v>17480</v>
      </c>
      <c r="E10" s="54">
        <v>22090</v>
      </c>
      <c r="F10" s="54">
        <v>18960</v>
      </c>
      <c r="G10" s="54">
        <v>26360</v>
      </c>
      <c r="H10" s="54">
        <v>15540</v>
      </c>
      <c r="I10" s="54">
        <v>16570</v>
      </c>
      <c r="J10" s="54">
        <v>18850</v>
      </c>
      <c r="K10" s="54">
        <v>14760</v>
      </c>
      <c r="L10" s="54">
        <v>13530</v>
      </c>
      <c r="M10" s="54">
        <v>16510</v>
      </c>
      <c r="N10" s="54">
        <v>18350</v>
      </c>
      <c r="O10" s="54">
        <v>224160</v>
      </c>
      <c r="P10" s="52">
        <v>112.08</v>
      </c>
      <c r="Q10" s="55">
        <v>0.0282</v>
      </c>
    </row>
    <row r="11" spans="1:17" ht="11.25">
      <c r="A11" s="52" t="s">
        <v>31</v>
      </c>
      <c r="B11" s="63" t="s">
        <v>19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4">
        <v>5450</v>
      </c>
      <c r="M11" s="54">
        <v>10900</v>
      </c>
      <c r="N11" s="54">
        <v>5940</v>
      </c>
      <c r="O11" s="54">
        <v>22290</v>
      </c>
      <c r="P11" s="52">
        <v>11.15</v>
      </c>
      <c r="Q11" s="55">
        <v>0.0028</v>
      </c>
    </row>
    <row r="12" spans="1:17" ht="11.25">
      <c r="A12" s="52" t="s">
        <v>26</v>
      </c>
      <c r="B12" s="63" t="s">
        <v>19</v>
      </c>
      <c r="C12" s="54">
        <v>62770</v>
      </c>
      <c r="D12" s="54">
        <v>54850</v>
      </c>
      <c r="E12" s="54">
        <v>33600</v>
      </c>
      <c r="F12" s="54">
        <v>7020</v>
      </c>
      <c r="G12" s="54">
        <v>7240</v>
      </c>
      <c r="H12" s="54">
        <v>36510</v>
      </c>
      <c r="I12" s="54">
        <v>49620</v>
      </c>
      <c r="J12" s="54">
        <v>142340</v>
      </c>
      <c r="K12" s="54">
        <v>177040</v>
      </c>
      <c r="L12" s="54">
        <v>134920</v>
      </c>
      <c r="M12" s="54">
        <v>170980</v>
      </c>
      <c r="N12" s="54">
        <v>202200</v>
      </c>
      <c r="O12" s="54">
        <v>1079090</v>
      </c>
      <c r="P12" s="52">
        <v>539.55</v>
      </c>
      <c r="Q12" s="55">
        <v>0.136</v>
      </c>
    </row>
    <row r="13" spans="1:17" ht="11.25">
      <c r="A13" s="52" t="s">
        <v>51</v>
      </c>
      <c r="C13" s="54">
        <f>SUM(C5:C12)</f>
        <v>734166</v>
      </c>
      <c r="D13" s="54">
        <f aca="true" t="shared" si="0" ref="D13:N13">SUM(D5:D12)</f>
        <v>542014</v>
      </c>
      <c r="E13" s="54">
        <f t="shared" si="0"/>
        <v>584710</v>
      </c>
      <c r="F13" s="54">
        <f t="shared" si="0"/>
        <v>591174</v>
      </c>
      <c r="G13" s="54">
        <f t="shared" si="0"/>
        <v>560466</v>
      </c>
      <c r="H13" s="54">
        <f t="shared" si="0"/>
        <v>550821</v>
      </c>
      <c r="I13" s="54">
        <f t="shared" si="0"/>
        <v>579917</v>
      </c>
      <c r="J13" s="54">
        <f t="shared" si="0"/>
        <v>656049</v>
      </c>
      <c r="K13" s="54">
        <f t="shared" si="0"/>
        <v>754225</v>
      </c>
      <c r="L13" s="54">
        <f t="shared" si="0"/>
        <v>731509</v>
      </c>
      <c r="M13" s="54">
        <f t="shared" si="0"/>
        <v>759008</v>
      </c>
      <c r="N13" s="54">
        <f t="shared" si="0"/>
        <v>893046</v>
      </c>
      <c r="O13" s="57">
        <v>7937105</v>
      </c>
      <c r="P13" s="58">
        <v>3968.55</v>
      </c>
      <c r="Q13" s="59">
        <v>1</v>
      </c>
    </row>
    <row r="14" spans="1:16" ht="11.25">
      <c r="A14" s="51"/>
      <c r="O14" s="54"/>
      <c r="P14" s="56"/>
    </row>
    <row r="15" spans="1:15" ht="11.25">
      <c r="A15" s="52" t="s">
        <v>52</v>
      </c>
      <c r="C15" s="54">
        <v>23875</v>
      </c>
      <c r="D15" s="54">
        <v>23875</v>
      </c>
      <c r="E15" s="54">
        <v>23875</v>
      </c>
      <c r="F15" s="54">
        <v>24543</v>
      </c>
      <c r="G15" s="54">
        <v>24543</v>
      </c>
      <c r="H15" s="54">
        <v>24543</v>
      </c>
      <c r="I15" s="54">
        <v>25874</v>
      </c>
      <c r="J15" s="54">
        <v>25874</v>
      </c>
      <c r="K15" s="54">
        <v>25874</v>
      </c>
      <c r="L15" s="54">
        <v>25578</v>
      </c>
      <c r="M15" s="54">
        <v>25578</v>
      </c>
      <c r="N15" s="54">
        <v>25578</v>
      </c>
      <c r="O15" s="54">
        <f>SUM(C15:N15)/12</f>
        <v>24967.5</v>
      </c>
    </row>
    <row r="16" spans="1:15" ht="11.25">
      <c r="A16" s="60" t="s">
        <v>56</v>
      </c>
      <c r="C16" s="56">
        <f>C13/C15</f>
        <v>30.75040837696335</v>
      </c>
      <c r="D16" s="56">
        <f aca="true" t="shared" si="1" ref="D16:N16">D13/D15</f>
        <v>22.702157068062828</v>
      </c>
      <c r="E16" s="56">
        <f t="shared" si="1"/>
        <v>24.49047120418848</v>
      </c>
      <c r="F16" s="56">
        <f t="shared" si="1"/>
        <v>24.087275394206088</v>
      </c>
      <c r="G16" s="56">
        <f t="shared" si="1"/>
        <v>22.836083608360838</v>
      </c>
      <c r="H16" s="56">
        <f t="shared" si="1"/>
        <v>22.44309986554211</v>
      </c>
      <c r="I16" s="56">
        <f t="shared" si="1"/>
        <v>22.413117415165804</v>
      </c>
      <c r="J16" s="56">
        <f t="shared" si="1"/>
        <v>25.35553064852748</v>
      </c>
      <c r="K16" s="56">
        <f t="shared" si="1"/>
        <v>29.149918837442993</v>
      </c>
      <c r="L16" s="56">
        <f t="shared" si="1"/>
        <v>28.599147705059035</v>
      </c>
      <c r="M16" s="56">
        <f t="shared" si="1"/>
        <v>29.67425130971929</v>
      </c>
      <c r="N16" s="56">
        <f t="shared" si="1"/>
        <v>34.914614121510674</v>
      </c>
      <c r="O16" s="56">
        <f>O13/O15/12</f>
        <v>26.491455558893225</v>
      </c>
    </row>
    <row r="17" spans="1:16" ht="11.25">
      <c r="A17" s="52" t="s">
        <v>2</v>
      </c>
      <c r="C17" s="56" t="s">
        <v>2</v>
      </c>
      <c r="D17" s="56" t="s">
        <v>2</v>
      </c>
      <c r="E17" s="56" t="s">
        <v>2</v>
      </c>
      <c r="F17" s="56" t="s">
        <v>2</v>
      </c>
      <c r="G17" s="56" t="s">
        <v>2</v>
      </c>
      <c r="H17" s="56" t="s">
        <v>2</v>
      </c>
      <c r="I17" s="56" t="s">
        <v>2</v>
      </c>
      <c r="J17" s="56" t="s">
        <v>2</v>
      </c>
      <c r="K17" s="56" t="s">
        <v>2</v>
      </c>
      <c r="L17" s="56" t="s">
        <v>2</v>
      </c>
      <c r="M17" s="56" t="s">
        <v>2</v>
      </c>
      <c r="N17" s="56" t="s">
        <v>2</v>
      </c>
      <c r="O17" s="56" t="s">
        <v>2</v>
      </c>
      <c r="P17" s="56"/>
    </row>
    <row r="18" spans="1:16" ht="11.25">
      <c r="A18" s="49" t="s">
        <v>54</v>
      </c>
      <c r="B18" s="50"/>
      <c r="C18" s="61">
        <v>27841</v>
      </c>
      <c r="D18" s="61">
        <v>27841</v>
      </c>
      <c r="E18" s="61">
        <v>27841</v>
      </c>
      <c r="F18" s="61">
        <v>28516</v>
      </c>
      <c r="G18" s="61">
        <v>28516</v>
      </c>
      <c r="H18" s="61">
        <v>28516</v>
      </c>
      <c r="I18" s="61">
        <v>29850</v>
      </c>
      <c r="J18" s="61">
        <v>29850</v>
      </c>
      <c r="K18" s="61">
        <v>29850</v>
      </c>
      <c r="L18" s="61">
        <v>29550</v>
      </c>
      <c r="M18" s="61">
        <v>29550</v>
      </c>
      <c r="N18" s="61">
        <v>29550</v>
      </c>
      <c r="O18" s="54">
        <f>SUM(C18:N18)/12</f>
        <v>28939.25</v>
      </c>
      <c r="P18" s="56"/>
    </row>
    <row r="19" spans="1:16" ht="11.25">
      <c r="A19" s="49" t="s">
        <v>55</v>
      </c>
      <c r="B19" s="50"/>
      <c r="C19" s="62">
        <f>C13/C18</f>
        <v>26.369957975647427</v>
      </c>
      <c r="D19" s="62">
        <f aca="true" t="shared" si="2" ref="D19:N19">D13/D18</f>
        <v>19.46819438956934</v>
      </c>
      <c r="E19" s="62">
        <f t="shared" si="2"/>
        <v>21.00175999425308</v>
      </c>
      <c r="F19" s="62">
        <f t="shared" si="2"/>
        <v>20.73130873895357</v>
      </c>
      <c r="G19" s="62">
        <f t="shared" si="2"/>
        <v>19.654439612848925</v>
      </c>
      <c r="H19" s="62">
        <f t="shared" si="2"/>
        <v>19.316208444382102</v>
      </c>
      <c r="I19" s="62">
        <f t="shared" si="2"/>
        <v>19.427705192629816</v>
      </c>
      <c r="J19" s="62">
        <f t="shared" si="2"/>
        <v>21.97819095477387</v>
      </c>
      <c r="K19" s="62">
        <f t="shared" si="2"/>
        <v>25.26716917922948</v>
      </c>
      <c r="L19" s="62">
        <f t="shared" si="2"/>
        <v>24.754957698815566</v>
      </c>
      <c r="M19" s="62">
        <f t="shared" si="2"/>
        <v>25.68554991539763</v>
      </c>
      <c r="N19" s="62">
        <f t="shared" si="2"/>
        <v>30.221522842639594</v>
      </c>
      <c r="O19" s="56">
        <f>SUM(C19:N19)/12</f>
        <v>22.823080411595033</v>
      </c>
      <c r="P19" s="56"/>
    </row>
    <row r="20" ht="11.25">
      <c r="O20" s="54" t="s">
        <v>2</v>
      </c>
    </row>
    <row r="21" ht="11.25">
      <c r="A21" s="51" t="s">
        <v>27</v>
      </c>
    </row>
    <row r="22" spans="3:17" ht="11.25">
      <c r="C22" s="63" t="s">
        <v>4</v>
      </c>
      <c r="D22" s="63" t="s">
        <v>5</v>
      </c>
      <c r="E22" s="63" t="s">
        <v>6</v>
      </c>
      <c r="F22" s="63" t="s">
        <v>7</v>
      </c>
      <c r="G22" s="63" t="s">
        <v>8</v>
      </c>
      <c r="H22" s="63" t="s">
        <v>9</v>
      </c>
      <c r="I22" s="63" t="s">
        <v>10</v>
      </c>
      <c r="J22" s="63" t="s">
        <v>11</v>
      </c>
      <c r="K22" s="63" t="s">
        <v>12</v>
      </c>
      <c r="L22" s="63" t="s">
        <v>13</v>
      </c>
      <c r="M22" s="63" t="s">
        <v>14</v>
      </c>
      <c r="N22" s="63" t="s">
        <v>15</v>
      </c>
      <c r="O22" s="63" t="s">
        <v>16</v>
      </c>
      <c r="P22" s="63" t="s">
        <v>17</v>
      </c>
      <c r="Q22" s="50" t="s">
        <v>36</v>
      </c>
    </row>
    <row r="23" spans="1:17" ht="11.25">
      <c r="A23" s="52" t="s">
        <v>18</v>
      </c>
      <c r="B23" s="63" t="s">
        <v>19</v>
      </c>
      <c r="C23" s="54">
        <v>41060</v>
      </c>
      <c r="D23" s="54">
        <v>38770</v>
      </c>
      <c r="E23" s="54">
        <v>71350</v>
      </c>
      <c r="F23" s="54">
        <v>67520</v>
      </c>
      <c r="G23" s="54">
        <v>50930</v>
      </c>
      <c r="H23" s="54">
        <v>54350</v>
      </c>
      <c r="I23" s="54">
        <v>72820</v>
      </c>
      <c r="J23" s="54">
        <v>107280</v>
      </c>
      <c r="K23" s="54">
        <v>119340</v>
      </c>
      <c r="L23" s="54">
        <v>126480</v>
      </c>
      <c r="M23" s="54">
        <v>112120</v>
      </c>
      <c r="N23" s="54">
        <v>105240</v>
      </c>
      <c r="O23" s="54">
        <v>967260</v>
      </c>
      <c r="P23" s="52">
        <v>483.63</v>
      </c>
      <c r="Q23" s="55">
        <v>0.242</v>
      </c>
    </row>
    <row r="24" spans="1:17" ht="11.25">
      <c r="A24" s="52" t="s">
        <v>20</v>
      </c>
      <c r="B24" s="63" t="s">
        <v>19</v>
      </c>
      <c r="C24" s="54">
        <v>269355</v>
      </c>
      <c r="D24" s="54">
        <v>193155</v>
      </c>
      <c r="E24" s="54">
        <v>179545</v>
      </c>
      <c r="F24" s="54">
        <v>215030</v>
      </c>
      <c r="G24" s="54">
        <v>219750</v>
      </c>
      <c r="H24" s="54">
        <v>191210</v>
      </c>
      <c r="I24" s="54">
        <v>182000</v>
      </c>
      <c r="J24" s="54">
        <v>131860</v>
      </c>
      <c r="K24" s="54">
        <v>156600</v>
      </c>
      <c r="L24" s="54">
        <v>157150</v>
      </c>
      <c r="M24" s="54">
        <v>158030</v>
      </c>
      <c r="N24" s="54">
        <v>221180</v>
      </c>
      <c r="O24" s="54">
        <v>2274865</v>
      </c>
      <c r="P24" s="56">
        <v>1137.43</v>
      </c>
      <c r="Q24" s="55">
        <v>0.5692</v>
      </c>
    </row>
    <row r="25" spans="1:17" ht="11.25">
      <c r="A25" s="52" t="s">
        <v>21</v>
      </c>
      <c r="B25" s="63" t="s">
        <v>19</v>
      </c>
      <c r="C25" s="54">
        <v>28680</v>
      </c>
      <c r="D25" s="54">
        <v>14515</v>
      </c>
      <c r="E25" s="54">
        <v>17510</v>
      </c>
      <c r="F25" s="54">
        <v>16460</v>
      </c>
      <c r="G25" s="54">
        <v>17320</v>
      </c>
      <c r="H25" s="54">
        <v>15940</v>
      </c>
      <c r="I25" s="54">
        <v>16355</v>
      </c>
      <c r="J25" s="54">
        <v>16610</v>
      </c>
      <c r="K25" s="54">
        <v>17310</v>
      </c>
      <c r="L25" s="54">
        <v>18530</v>
      </c>
      <c r="M25" s="54">
        <v>15590</v>
      </c>
      <c r="N25" s="54">
        <v>18760</v>
      </c>
      <c r="O25" s="54">
        <v>213580</v>
      </c>
      <c r="P25" s="52">
        <v>106.79</v>
      </c>
      <c r="Q25" s="55">
        <v>0.0534</v>
      </c>
    </row>
    <row r="26" spans="1:17" ht="11.25">
      <c r="A26" s="52" t="s">
        <v>22</v>
      </c>
      <c r="B26" s="63" t="s">
        <v>19</v>
      </c>
      <c r="C26" s="54">
        <v>2787</v>
      </c>
      <c r="D26" s="54">
        <v>3008</v>
      </c>
      <c r="E26" s="54">
        <v>2321</v>
      </c>
      <c r="F26" s="54">
        <v>2893</v>
      </c>
      <c r="G26" s="54">
        <v>2550</v>
      </c>
      <c r="H26" s="54">
        <v>3503</v>
      </c>
      <c r="I26" s="54">
        <v>4017</v>
      </c>
      <c r="J26" s="54">
        <v>3077</v>
      </c>
      <c r="K26" s="54">
        <v>4498</v>
      </c>
      <c r="L26" s="54">
        <v>4413</v>
      </c>
      <c r="M26" s="54">
        <v>3229</v>
      </c>
      <c r="N26" s="54">
        <v>4004</v>
      </c>
      <c r="O26" s="54">
        <v>40300</v>
      </c>
      <c r="P26" s="52">
        <v>20.15</v>
      </c>
      <c r="Q26" s="55">
        <v>0.0101</v>
      </c>
    </row>
    <row r="27" spans="1:17" ht="11.25">
      <c r="A27" s="52" t="s">
        <v>23</v>
      </c>
      <c r="B27" s="63" t="s">
        <v>19</v>
      </c>
      <c r="C27" s="54">
        <v>7345</v>
      </c>
      <c r="D27" s="54">
        <v>5994</v>
      </c>
      <c r="E27" s="54">
        <v>4609</v>
      </c>
      <c r="F27" s="54">
        <v>5676</v>
      </c>
      <c r="G27" s="54">
        <v>5064</v>
      </c>
      <c r="H27" s="54">
        <v>6953</v>
      </c>
      <c r="I27" s="54">
        <v>7973</v>
      </c>
      <c r="J27" s="54">
        <v>6110</v>
      </c>
      <c r="K27" s="54">
        <v>8880</v>
      </c>
      <c r="L27" s="54">
        <v>8763</v>
      </c>
      <c r="M27" s="54">
        <v>6411</v>
      </c>
      <c r="N27" s="54">
        <v>7951</v>
      </c>
      <c r="O27" s="54">
        <v>81729</v>
      </c>
      <c r="P27" s="52">
        <v>40.86</v>
      </c>
      <c r="Q27" s="55">
        <v>0.0205</v>
      </c>
    </row>
    <row r="28" spans="1:17" ht="11.25">
      <c r="A28" s="52" t="s">
        <v>24</v>
      </c>
      <c r="B28" s="63" t="s">
        <v>19</v>
      </c>
      <c r="C28" s="54">
        <v>13630</v>
      </c>
      <c r="D28" s="54">
        <v>9560</v>
      </c>
      <c r="E28" s="54">
        <v>12290</v>
      </c>
      <c r="F28" s="54">
        <v>10340</v>
      </c>
      <c r="G28" s="54">
        <v>14760</v>
      </c>
      <c r="H28" s="54">
        <v>8460</v>
      </c>
      <c r="I28" s="54">
        <v>9170</v>
      </c>
      <c r="J28" s="54">
        <v>10090</v>
      </c>
      <c r="K28" s="54">
        <v>8040</v>
      </c>
      <c r="L28" s="54">
        <v>7420</v>
      </c>
      <c r="M28" s="54">
        <v>8690</v>
      </c>
      <c r="N28" s="54">
        <v>9860</v>
      </c>
      <c r="O28" s="54">
        <v>122310</v>
      </c>
      <c r="P28" s="52">
        <v>61.16</v>
      </c>
      <c r="Q28" s="55">
        <v>0.0306</v>
      </c>
    </row>
    <row r="29" spans="1:17" ht="11.25">
      <c r="A29" s="52" t="s">
        <v>31</v>
      </c>
      <c r="B29" s="63" t="s">
        <v>19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4">
        <v>1640</v>
      </c>
      <c r="M29" s="54">
        <v>5290</v>
      </c>
      <c r="N29" s="54">
        <v>1910</v>
      </c>
      <c r="O29" s="54">
        <v>8840</v>
      </c>
      <c r="P29" s="52">
        <v>4.42</v>
      </c>
      <c r="Q29" s="55">
        <v>0.0022</v>
      </c>
    </row>
    <row r="30" spans="1:17" ht="11.25">
      <c r="A30" s="52" t="s">
        <v>26</v>
      </c>
      <c r="B30" s="63" t="s">
        <v>19</v>
      </c>
      <c r="C30" s="54">
        <v>52010</v>
      </c>
      <c r="D30" s="54">
        <v>31810</v>
      </c>
      <c r="E30" s="54">
        <v>62100</v>
      </c>
      <c r="F30" s="54">
        <v>3020</v>
      </c>
      <c r="G30" s="54">
        <v>3060</v>
      </c>
      <c r="H30" s="54">
        <v>12590</v>
      </c>
      <c r="I30" s="54">
        <v>10660</v>
      </c>
      <c r="J30" s="54">
        <v>29640</v>
      </c>
      <c r="K30" s="54">
        <v>18060</v>
      </c>
      <c r="L30" s="54">
        <v>13680</v>
      </c>
      <c r="M30" s="54">
        <v>12940</v>
      </c>
      <c r="N30" s="54">
        <v>37860</v>
      </c>
      <c r="O30" s="54">
        <v>287430</v>
      </c>
      <c r="P30" s="52">
        <v>143.72</v>
      </c>
      <c r="Q30" s="55">
        <v>0.0719</v>
      </c>
    </row>
    <row r="31" spans="1:17" ht="11.25">
      <c r="A31" s="52" t="s">
        <v>51</v>
      </c>
      <c r="C31" s="54">
        <f>SUM(C23:C30)</f>
        <v>414867</v>
      </c>
      <c r="D31" s="54">
        <f aca="true" t="shared" si="3" ref="D31:N31">SUM(D23:D30)</f>
        <v>296812</v>
      </c>
      <c r="E31" s="54">
        <f t="shared" si="3"/>
        <v>349725</v>
      </c>
      <c r="F31" s="54">
        <f t="shared" si="3"/>
        <v>320939</v>
      </c>
      <c r="G31" s="54">
        <f t="shared" si="3"/>
        <v>313434</v>
      </c>
      <c r="H31" s="54">
        <f t="shared" si="3"/>
        <v>293006</v>
      </c>
      <c r="I31" s="54">
        <f t="shared" si="3"/>
        <v>302995</v>
      </c>
      <c r="J31" s="54">
        <f t="shared" si="3"/>
        <v>304667</v>
      </c>
      <c r="K31" s="54">
        <f t="shared" si="3"/>
        <v>332728</v>
      </c>
      <c r="L31" s="54">
        <f t="shared" si="3"/>
        <v>338076</v>
      </c>
      <c r="M31" s="54">
        <f t="shared" si="3"/>
        <v>322300</v>
      </c>
      <c r="N31" s="54">
        <f t="shared" si="3"/>
        <v>406765</v>
      </c>
      <c r="O31" s="57">
        <v>3996314</v>
      </c>
      <c r="P31" s="58">
        <v>1998.16</v>
      </c>
      <c r="Q31" s="59">
        <v>1</v>
      </c>
    </row>
    <row r="32" spans="1:17" ht="11.25">
      <c r="A32" s="51"/>
      <c r="O32" s="54"/>
      <c r="P32" s="56"/>
      <c r="Q32" s="55"/>
    </row>
    <row r="33" spans="1:15" ht="11.25">
      <c r="A33" s="52" t="s">
        <v>52</v>
      </c>
      <c r="C33" s="54">
        <v>11673</v>
      </c>
      <c r="D33" s="54">
        <v>11673</v>
      </c>
      <c r="E33" s="54">
        <v>11673</v>
      </c>
      <c r="F33" s="54">
        <v>12026</v>
      </c>
      <c r="G33" s="54">
        <v>12026</v>
      </c>
      <c r="H33" s="54">
        <v>12026</v>
      </c>
      <c r="I33" s="54">
        <v>12666</v>
      </c>
      <c r="J33" s="54">
        <v>12666</v>
      </c>
      <c r="K33" s="54">
        <v>12666</v>
      </c>
      <c r="L33" s="54">
        <v>12451</v>
      </c>
      <c r="M33" s="54">
        <v>12451</v>
      </c>
      <c r="N33" s="54">
        <v>12451</v>
      </c>
      <c r="O33" s="54">
        <f>SUM(C33:N33)/12</f>
        <v>12204</v>
      </c>
    </row>
    <row r="34" spans="1:15" ht="11.25">
      <c r="A34" s="60" t="s">
        <v>56</v>
      </c>
      <c r="C34" s="56">
        <f>C31/C33</f>
        <v>35.540735029555385</v>
      </c>
      <c r="D34" s="56">
        <f aca="true" t="shared" si="4" ref="D34:N34">D31/D33</f>
        <v>25.427225220594533</v>
      </c>
      <c r="E34" s="56">
        <f t="shared" si="4"/>
        <v>29.960164482138268</v>
      </c>
      <c r="F34" s="56">
        <f t="shared" si="4"/>
        <v>26.68709462830534</v>
      </c>
      <c r="G34" s="56">
        <f t="shared" si="4"/>
        <v>26.063030101446866</v>
      </c>
      <c r="H34" s="56">
        <f t="shared" si="4"/>
        <v>24.364377182770664</v>
      </c>
      <c r="I34" s="56">
        <f t="shared" si="4"/>
        <v>23.921916942997</v>
      </c>
      <c r="J34" s="56">
        <f t="shared" si="4"/>
        <v>24.05392389073109</v>
      </c>
      <c r="K34" s="56">
        <f t="shared" si="4"/>
        <v>26.269382599084164</v>
      </c>
      <c r="L34" s="56">
        <f t="shared" si="4"/>
        <v>27.1525178700506</v>
      </c>
      <c r="M34" s="56">
        <f t="shared" si="4"/>
        <v>25.88547104650229</v>
      </c>
      <c r="N34" s="56">
        <f t="shared" si="4"/>
        <v>32.66926351297084</v>
      </c>
      <c r="O34" s="56">
        <f>O31/O33/12</f>
        <v>27.28827979897301</v>
      </c>
    </row>
    <row r="35" spans="1:15" ht="11.25">
      <c r="A35" s="60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</row>
    <row r="36" spans="1:15" ht="11.25">
      <c r="A36" s="49" t="s">
        <v>54</v>
      </c>
      <c r="B36" s="50"/>
      <c r="C36" s="61">
        <v>13512</v>
      </c>
      <c r="D36" s="61">
        <v>13512</v>
      </c>
      <c r="E36" s="61">
        <v>13512</v>
      </c>
      <c r="F36" s="61">
        <v>13856</v>
      </c>
      <c r="G36" s="61">
        <v>13856</v>
      </c>
      <c r="H36" s="61">
        <v>13856</v>
      </c>
      <c r="I36" s="61">
        <v>14501</v>
      </c>
      <c r="J36" s="61">
        <v>14501</v>
      </c>
      <c r="K36" s="61">
        <v>14501</v>
      </c>
      <c r="L36" s="61">
        <v>14282</v>
      </c>
      <c r="M36" s="61">
        <v>14282</v>
      </c>
      <c r="N36" s="61">
        <v>14282</v>
      </c>
      <c r="O36" s="54">
        <f>SUM(C36:N36)/12</f>
        <v>14037.75</v>
      </c>
    </row>
    <row r="37" spans="1:28" ht="11.25">
      <c r="A37" s="49" t="s">
        <v>55</v>
      </c>
      <c r="B37" s="50"/>
      <c r="C37" s="62">
        <f>C31/C36</f>
        <v>30.70359680284192</v>
      </c>
      <c r="D37" s="62">
        <f aca="true" t="shared" si="5" ref="D37:N37">D31/D36</f>
        <v>21.96654825340438</v>
      </c>
      <c r="E37" s="62">
        <f t="shared" si="5"/>
        <v>25.882548845470694</v>
      </c>
      <c r="F37" s="62">
        <f t="shared" si="5"/>
        <v>23.162456697459586</v>
      </c>
      <c r="G37" s="62">
        <f t="shared" si="5"/>
        <v>22.620814087759815</v>
      </c>
      <c r="H37" s="62">
        <f t="shared" si="5"/>
        <v>21.146506928406467</v>
      </c>
      <c r="I37" s="62">
        <f t="shared" si="5"/>
        <v>20.894765878215296</v>
      </c>
      <c r="J37" s="62">
        <f t="shared" si="5"/>
        <v>21.010068271153713</v>
      </c>
      <c r="K37" s="62">
        <f t="shared" si="5"/>
        <v>22.94517619474519</v>
      </c>
      <c r="L37" s="62">
        <f t="shared" si="5"/>
        <v>23.67147458339168</v>
      </c>
      <c r="M37" s="62">
        <f t="shared" si="5"/>
        <v>22.566867385520236</v>
      </c>
      <c r="N37" s="62">
        <f t="shared" si="5"/>
        <v>28.480955048312563</v>
      </c>
      <c r="O37" s="56">
        <f>SUM(C37:N37)/12</f>
        <v>23.754314914723462</v>
      </c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</row>
    <row r="38" spans="7:15" ht="11.25">
      <c r="G38" s="52" t="s">
        <v>2</v>
      </c>
      <c r="O38" s="52" t="s">
        <v>2</v>
      </c>
    </row>
    <row r="39" spans="1:15" ht="11.25">
      <c r="A39" s="51" t="s">
        <v>37</v>
      </c>
      <c r="G39" s="52" t="s">
        <v>2</v>
      </c>
      <c r="O39" s="52" t="s">
        <v>2</v>
      </c>
    </row>
    <row r="40" spans="1:16" ht="11.25">
      <c r="A40" s="51" t="s">
        <v>33</v>
      </c>
      <c r="G40" s="52" t="s">
        <v>2</v>
      </c>
      <c r="O40" s="52" t="s">
        <v>2</v>
      </c>
      <c r="P40" s="52" t="s">
        <v>2</v>
      </c>
    </row>
    <row r="41" spans="3:17" ht="11.25">
      <c r="C41" s="63" t="s">
        <v>4</v>
      </c>
      <c r="D41" s="63" t="s">
        <v>5</v>
      </c>
      <c r="E41" s="63" t="s">
        <v>6</v>
      </c>
      <c r="F41" s="63" t="s">
        <v>7</v>
      </c>
      <c r="G41" s="63" t="s">
        <v>8</v>
      </c>
      <c r="H41" s="63" t="s">
        <v>9</v>
      </c>
      <c r="I41" s="63" t="s">
        <v>10</v>
      </c>
      <c r="J41" s="63" t="s">
        <v>11</v>
      </c>
      <c r="K41" s="63" t="s">
        <v>12</v>
      </c>
      <c r="L41" s="63" t="s">
        <v>13</v>
      </c>
      <c r="M41" s="63" t="s">
        <v>14</v>
      </c>
      <c r="N41" s="63" t="s">
        <v>15</v>
      </c>
      <c r="O41" s="63" t="s">
        <v>16</v>
      </c>
      <c r="P41" s="63" t="s">
        <v>17</v>
      </c>
      <c r="Q41" s="50" t="s">
        <v>36</v>
      </c>
    </row>
    <row r="42" spans="1:17" ht="11.25">
      <c r="A42" s="52" t="s">
        <v>18</v>
      </c>
      <c r="B42" s="63" t="s">
        <v>19</v>
      </c>
      <c r="C42" s="54">
        <v>116760</v>
      </c>
      <c r="D42" s="54">
        <v>110190</v>
      </c>
      <c r="E42" s="54">
        <v>202810</v>
      </c>
      <c r="F42" s="54">
        <v>191670</v>
      </c>
      <c r="G42" s="54">
        <v>141800</v>
      </c>
      <c r="H42" s="54">
        <v>154030</v>
      </c>
      <c r="I42" s="54">
        <v>204890</v>
      </c>
      <c r="J42" s="54">
        <v>307650</v>
      </c>
      <c r="K42" s="54">
        <v>338220</v>
      </c>
      <c r="L42" s="54">
        <v>358200</v>
      </c>
      <c r="M42" s="54">
        <v>324910</v>
      </c>
      <c r="N42" s="54">
        <v>301700</v>
      </c>
      <c r="O42" s="54">
        <v>2752830</v>
      </c>
      <c r="P42" s="56">
        <v>1376.42</v>
      </c>
      <c r="Q42" s="55">
        <v>0.2307</v>
      </c>
    </row>
    <row r="43" spans="1:17" ht="11.25">
      <c r="A43" s="52" t="s">
        <v>20</v>
      </c>
      <c r="B43" s="63" t="s">
        <v>19</v>
      </c>
      <c r="C43" s="54">
        <v>766505</v>
      </c>
      <c r="D43" s="54">
        <v>547100</v>
      </c>
      <c r="E43" s="54">
        <v>530535</v>
      </c>
      <c r="F43" s="54">
        <v>610200</v>
      </c>
      <c r="G43" s="54">
        <v>611775</v>
      </c>
      <c r="H43" s="54">
        <v>541890</v>
      </c>
      <c r="I43" s="54">
        <v>512480</v>
      </c>
      <c r="J43" s="54">
        <v>378175</v>
      </c>
      <c r="K43" s="54">
        <v>443820</v>
      </c>
      <c r="L43" s="54">
        <v>445020</v>
      </c>
      <c r="M43" s="54">
        <v>458010</v>
      </c>
      <c r="N43" s="54">
        <v>633960</v>
      </c>
      <c r="O43" s="54">
        <v>6479470</v>
      </c>
      <c r="P43" s="56">
        <v>3239.74</v>
      </c>
      <c r="Q43" s="55">
        <v>0.543</v>
      </c>
    </row>
    <row r="44" spans="1:17" ht="11.25">
      <c r="A44" s="52" t="s">
        <v>21</v>
      </c>
      <c r="B44" s="63" t="s">
        <v>19</v>
      </c>
      <c r="C44" s="54">
        <v>81735</v>
      </c>
      <c r="D44" s="54">
        <v>41275</v>
      </c>
      <c r="E44" s="54">
        <v>51400</v>
      </c>
      <c r="F44" s="54">
        <v>46645</v>
      </c>
      <c r="G44" s="54">
        <v>48215</v>
      </c>
      <c r="H44" s="54">
        <v>45190</v>
      </c>
      <c r="I44" s="54">
        <v>46195</v>
      </c>
      <c r="J44" s="54">
        <v>47640</v>
      </c>
      <c r="K44" s="54">
        <v>49040</v>
      </c>
      <c r="L44" s="54">
        <v>52420</v>
      </c>
      <c r="M44" s="54">
        <v>45180</v>
      </c>
      <c r="N44" s="54">
        <v>53750</v>
      </c>
      <c r="O44" s="54">
        <v>608685</v>
      </c>
      <c r="P44" s="52">
        <v>304.34</v>
      </c>
      <c r="Q44" s="55">
        <v>0.051</v>
      </c>
    </row>
    <row r="45" spans="1:17" ht="11.25">
      <c r="A45" s="52" t="s">
        <v>22</v>
      </c>
      <c r="B45" s="63" t="s">
        <v>19</v>
      </c>
      <c r="C45" s="54">
        <v>7912</v>
      </c>
      <c r="D45" s="54">
        <v>8538</v>
      </c>
      <c r="E45" s="54">
        <v>6640</v>
      </c>
      <c r="F45" s="54">
        <v>8188</v>
      </c>
      <c r="G45" s="54">
        <v>7116</v>
      </c>
      <c r="H45" s="54">
        <v>9920</v>
      </c>
      <c r="I45" s="54">
        <v>11164</v>
      </c>
      <c r="J45" s="54">
        <v>8825</v>
      </c>
      <c r="K45" s="54">
        <v>12735</v>
      </c>
      <c r="L45" s="54">
        <v>12496</v>
      </c>
      <c r="M45" s="54">
        <v>9345</v>
      </c>
      <c r="N45" s="54">
        <v>11482</v>
      </c>
      <c r="O45" s="54">
        <v>114361</v>
      </c>
      <c r="P45" s="52">
        <v>57.18</v>
      </c>
      <c r="Q45" s="55">
        <v>0.0096</v>
      </c>
    </row>
    <row r="46" spans="1:17" ht="11.25">
      <c r="A46" s="52" t="s">
        <v>23</v>
      </c>
      <c r="B46" s="63" t="s">
        <v>19</v>
      </c>
      <c r="C46" s="54">
        <v>22551</v>
      </c>
      <c r="D46" s="54">
        <v>18023</v>
      </c>
      <c r="E46" s="54">
        <v>12970</v>
      </c>
      <c r="F46" s="54">
        <v>16070</v>
      </c>
      <c r="G46" s="54">
        <v>13574</v>
      </c>
      <c r="H46" s="54">
        <v>19697</v>
      </c>
      <c r="I46" s="54">
        <v>22163</v>
      </c>
      <c r="J46" s="54">
        <v>17506</v>
      </c>
      <c r="K46" s="54">
        <v>25238</v>
      </c>
      <c r="L46" s="54">
        <v>24809</v>
      </c>
      <c r="M46" s="54">
        <v>18553</v>
      </c>
      <c r="N46" s="54">
        <v>22799</v>
      </c>
      <c r="O46" s="54">
        <v>233953</v>
      </c>
      <c r="P46" s="52">
        <v>116.98</v>
      </c>
      <c r="Q46" s="55">
        <v>0.0196</v>
      </c>
    </row>
    <row r="47" spans="1:17" ht="11.25">
      <c r="A47" s="52" t="s">
        <v>24</v>
      </c>
      <c r="B47" s="63" t="s">
        <v>19</v>
      </c>
      <c r="C47" s="54">
        <v>38790</v>
      </c>
      <c r="D47" s="54">
        <v>27040</v>
      </c>
      <c r="E47" s="54">
        <v>34380</v>
      </c>
      <c r="F47" s="54">
        <v>29300</v>
      </c>
      <c r="G47" s="54">
        <v>41120</v>
      </c>
      <c r="H47" s="54">
        <v>24000</v>
      </c>
      <c r="I47" s="54">
        <v>25740</v>
      </c>
      <c r="J47" s="54">
        <v>28940</v>
      </c>
      <c r="K47" s="54">
        <v>22800</v>
      </c>
      <c r="L47" s="54">
        <v>20950</v>
      </c>
      <c r="M47" s="54">
        <v>25200</v>
      </c>
      <c r="N47" s="54">
        <v>28210</v>
      </c>
      <c r="O47" s="54">
        <v>346470</v>
      </c>
      <c r="P47" s="52">
        <v>173.24</v>
      </c>
      <c r="Q47" s="55">
        <v>0.029</v>
      </c>
    </row>
    <row r="48" spans="1:17" ht="11.25">
      <c r="A48" s="52" t="s">
        <v>31</v>
      </c>
      <c r="B48" s="63" t="s">
        <v>19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4">
        <v>7090</v>
      </c>
      <c r="M48" s="54">
        <v>16190</v>
      </c>
      <c r="N48" s="54">
        <v>7850</v>
      </c>
      <c r="O48" s="54">
        <v>31130</v>
      </c>
      <c r="P48" s="52">
        <v>15.57</v>
      </c>
      <c r="Q48" s="55">
        <v>0.0026</v>
      </c>
    </row>
    <row r="49" spans="1:17" ht="11.25">
      <c r="A49" s="52" t="s">
        <v>26</v>
      </c>
      <c r="B49" s="63" t="s">
        <v>19</v>
      </c>
      <c r="C49" s="54">
        <v>114780</v>
      </c>
      <c r="D49" s="54">
        <v>86660</v>
      </c>
      <c r="E49" s="54">
        <v>95700</v>
      </c>
      <c r="F49" s="54">
        <v>10040</v>
      </c>
      <c r="G49" s="54">
        <v>10300</v>
      </c>
      <c r="H49" s="54">
        <v>49100</v>
      </c>
      <c r="I49" s="54">
        <v>60280</v>
      </c>
      <c r="J49" s="54">
        <v>171980</v>
      </c>
      <c r="K49" s="54">
        <v>195100</v>
      </c>
      <c r="L49" s="54">
        <v>148600</v>
      </c>
      <c r="M49" s="54">
        <v>183920</v>
      </c>
      <c r="N49" s="54">
        <v>240060</v>
      </c>
      <c r="O49" s="54">
        <v>1366520</v>
      </c>
      <c r="P49" s="52">
        <v>683.26</v>
      </c>
      <c r="Q49" s="55">
        <v>0.1145</v>
      </c>
    </row>
    <row r="50" spans="1:17" ht="11.25">
      <c r="A50" s="52" t="s">
        <v>51</v>
      </c>
      <c r="C50" s="54">
        <f>SUM(C42:C49)</f>
        <v>1149033</v>
      </c>
      <c r="D50" s="54">
        <f aca="true" t="shared" si="6" ref="D50:N50">SUM(D42:D49)</f>
        <v>838826</v>
      </c>
      <c r="E50" s="54">
        <f t="shared" si="6"/>
        <v>934435</v>
      </c>
      <c r="F50" s="54">
        <f t="shared" si="6"/>
        <v>912113</v>
      </c>
      <c r="G50" s="54">
        <f t="shared" si="6"/>
        <v>873900</v>
      </c>
      <c r="H50" s="54">
        <f t="shared" si="6"/>
        <v>843827</v>
      </c>
      <c r="I50" s="54">
        <f t="shared" si="6"/>
        <v>882912</v>
      </c>
      <c r="J50" s="54">
        <f t="shared" si="6"/>
        <v>960716</v>
      </c>
      <c r="K50" s="54">
        <f t="shared" si="6"/>
        <v>1086953</v>
      </c>
      <c r="L50" s="54">
        <f t="shared" si="6"/>
        <v>1069585</v>
      </c>
      <c r="M50" s="54">
        <f t="shared" si="6"/>
        <v>1081308</v>
      </c>
      <c r="N50" s="54">
        <f t="shared" si="6"/>
        <v>1299811</v>
      </c>
      <c r="O50" s="57">
        <v>11933419</v>
      </c>
      <c r="P50" s="58">
        <v>5966.71</v>
      </c>
      <c r="Q50" s="59">
        <v>1</v>
      </c>
    </row>
    <row r="51" spans="15:17" ht="11.25">
      <c r="O51" s="57"/>
      <c r="P51" s="58"/>
      <c r="Q51" s="59"/>
    </row>
    <row r="52" spans="1:15" ht="11.25">
      <c r="A52" s="52" t="s">
        <v>52</v>
      </c>
      <c r="C52" s="54">
        <v>35548</v>
      </c>
      <c r="D52" s="54">
        <v>35548</v>
      </c>
      <c r="E52" s="54">
        <v>35548</v>
      </c>
      <c r="F52" s="54">
        <v>36569</v>
      </c>
      <c r="G52" s="54">
        <v>36569</v>
      </c>
      <c r="H52" s="54">
        <v>36569</v>
      </c>
      <c r="I52" s="54">
        <v>38540</v>
      </c>
      <c r="J52" s="54">
        <v>38540</v>
      </c>
      <c r="K52" s="54">
        <v>38540</v>
      </c>
      <c r="L52" s="54">
        <v>38029</v>
      </c>
      <c r="M52" s="54">
        <v>38029</v>
      </c>
      <c r="N52" s="54">
        <v>38029</v>
      </c>
      <c r="O52" s="54">
        <f>SUM(C52:N52)/12</f>
        <v>37171.5</v>
      </c>
    </row>
    <row r="53" spans="1:15" ht="11.25">
      <c r="A53" s="60" t="s">
        <v>56</v>
      </c>
      <c r="C53" s="56">
        <f>C50/C52</f>
        <v>32.32342185214358</v>
      </c>
      <c r="D53" s="56">
        <f aca="true" t="shared" si="7" ref="D53:N53">D50/D52</f>
        <v>23.596995611567458</v>
      </c>
      <c r="E53" s="56">
        <f t="shared" si="7"/>
        <v>26.286570271182626</v>
      </c>
      <c r="F53" s="56">
        <f t="shared" si="7"/>
        <v>24.94224616478438</v>
      </c>
      <c r="G53" s="56">
        <f t="shared" si="7"/>
        <v>23.897290054417677</v>
      </c>
      <c r="H53" s="56">
        <f t="shared" si="7"/>
        <v>23.074926850611174</v>
      </c>
      <c r="I53" s="56">
        <f t="shared" si="7"/>
        <v>22.908977685521535</v>
      </c>
      <c r="J53" s="56">
        <f t="shared" si="7"/>
        <v>24.92776336274001</v>
      </c>
      <c r="K53" s="56">
        <f t="shared" si="7"/>
        <v>28.203243383497664</v>
      </c>
      <c r="L53" s="56">
        <f t="shared" si="7"/>
        <v>28.12550947960767</v>
      </c>
      <c r="M53" s="56">
        <f t="shared" si="7"/>
        <v>28.433774224933604</v>
      </c>
      <c r="N53" s="56">
        <f t="shared" si="7"/>
        <v>34.17946830050751</v>
      </c>
      <c r="O53" s="56">
        <f>SUM(C53:N53)/12</f>
        <v>26.741682270126233</v>
      </c>
    </row>
    <row r="54" spans="1:16" ht="11.25">
      <c r="A54" s="52" t="s">
        <v>2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 t="s">
        <v>2</v>
      </c>
      <c r="P54" s="56"/>
    </row>
    <row r="55" spans="1:16" ht="11.25">
      <c r="A55" s="49" t="s">
        <v>54</v>
      </c>
      <c r="B55" s="50"/>
      <c r="C55" s="54">
        <f>C18+C36</f>
        <v>41353</v>
      </c>
      <c r="D55" s="54">
        <f aca="true" t="shared" si="8" ref="D55:N55">D18+D36</f>
        <v>41353</v>
      </c>
      <c r="E55" s="54">
        <f t="shared" si="8"/>
        <v>41353</v>
      </c>
      <c r="F55" s="54">
        <f t="shared" si="8"/>
        <v>42372</v>
      </c>
      <c r="G55" s="54">
        <f t="shared" si="8"/>
        <v>42372</v>
      </c>
      <c r="H55" s="54">
        <f t="shared" si="8"/>
        <v>42372</v>
      </c>
      <c r="I55" s="54">
        <f t="shared" si="8"/>
        <v>44351</v>
      </c>
      <c r="J55" s="54">
        <f t="shared" si="8"/>
        <v>44351</v>
      </c>
      <c r="K55" s="54">
        <f t="shared" si="8"/>
        <v>44351</v>
      </c>
      <c r="L55" s="54">
        <f t="shared" si="8"/>
        <v>43832</v>
      </c>
      <c r="M55" s="54">
        <f t="shared" si="8"/>
        <v>43832</v>
      </c>
      <c r="N55" s="54">
        <f t="shared" si="8"/>
        <v>43832</v>
      </c>
      <c r="O55" s="54">
        <f>SUM(C55:N55)/12</f>
        <v>42977</v>
      </c>
      <c r="P55" s="56"/>
    </row>
    <row r="56" spans="1:16" ht="11.25">
      <c r="A56" s="49" t="s">
        <v>55</v>
      </c>
      <c r="B56" s="50"/>
      <c r="C56" s="56">
        <f>C50/C55</f>
        <v>27.78596474258216</v>
      </c>
      <c r="D56" s="56">
        <f aca="true" t="shared" si="9" ref="D56:N56">D50/D55</f>
        <v>20.28452591105845</v>
      </c>
      <c r="E56" s="56">
        <f t="shared" si="9"/>
        <v>22.596546804343095</v>
      </c>
      <c r="F56" s="56">
        <f t="shared" si="9"/>
        <v>21.526314547342583</v>
      </c>
      <c r="G56" s="56">
        <f t="shared" si="9"/>
        <v>20.62446898895497</v>
      </c>
      <c r="H56" s="56">
        <f t="shared" si="9"/>
        <v>19.91473142641367</v>
      </c>
      <c r="I56" s="56">
        <f t="shared" si="9"/>
        <v>19.907375256476744</v>
      </c>
      <c r="J56" s="56">
        <f t="shared" si="9"/>
        <v>21.661653626750244</v>
      </c>
      <c r="K56" s="56">
        <f t="shared" si="9"/>
        <v>24.507970507993054</v>
      </c>
      <c r="L56" s="56">
        <f t="shared" si="9"/>
        <v>24.401920970980107</v>
      </c>
      <c r="M56" s="56">
        <f t="shared" si="9"/>
        <v>24.6693739733528</v>
      </c>
      <c r="N56" s="56">
        <f t="shared" si="9"/>
        <v>29.654384924256252</v>
      </c>
      <c r="O56" s="56">
        <f>SUM(C56:N56)/12</f>
        <v>23.127935973375347</v>
      </c>
      <c r="P56" s="56"/>
    </row>
    <row r="59" spans="1:6" ht="11.25">
      <c r="A59" s="51" t="s">
        <v>0</v>
      </c>
      <c r="F59" s="51" t="s">
        <v>44</v>
      </c>
    </row>
    <row r="60" ht="11.25">
      <c r="F60" s="52" t="s">
        <v>2</v>
      </c>
    </row>
    <row r="61" spans="1:9" ht="11.25">
      <c r="A61" s="52" t="s">
        <v>35</v>
      </c>
      <c r="I61" s="52" t="s">
        <v>2</v>
      </c>
    </row>
    <row r="62" spans="3:15" ht="11.25">
      <c r="C62" s="63" t="s">
        <v>4</v>
      </c>
      <c r="D62" s="63" t="s">
        <v>5</v>
      </c>
      <c r="E62" s="63" t="s">
        <v>6</v>
      </c>
      <c r="F62" s="63" t="s">
        <v>7</v>
      </c>
      <c r="G62" s="63" t="s">
        <v>8</v>
      </c>
      <c r="H62" s="63" t="s">
        <v>9</v>
      </c>
      <c r="I62" s="63" t="s">
        <v>10</v>
      </c>
      <c r="J62" s="63" t="s">
        <v>11</v>
      </c>
      <c r="K62" s="63" t="s">
        <v>12</v>
      </c>
      <c r="L62" s="63" t="s">
        <v>13</v>
      </c>
      <c r="M62" s="63" t="s">
        <v>14</v>
      </c>
      <c r="N62" s="63" t="s">
        <v>15</v>
      </c>
      <c r="O62" s="63" t="s">
        <v>16</v>
      </c>
    </row>
    <row r="63" spans="1:15" ht="11.25">
      <c r="A63" s="52" t="s">
        <v>18</v>
      </c>
      <c r="C63" s="54">
        <v>895</v>
      </c>
      <c r="D63" s="54">
        <v>847</v>
      </c>
      <c r="E63" s="54">
        <v>1414</v>
      </c>
      <c r="F63" s="54">
        <v>1338</v>
      </c>
      <c r="G63" s="54">
        <v>1176</v>
      </c>
      <c r="H63" s="54">
        <v>1181</v>
      </c>
      <c r="I63" s="54">
        <v>1563</v>
      </c>
      <c r="J63" s="54">
        <v>1835</v>
      </c>
      <c r="K63" s="54">
        <v>1706</v>
      </c>
      <c r="L63" s="54">
        <v>2122</v>
      </c>
      <c r="M63" s="54">
        <v>1950</v>
      </c>
      <c r="N63" s="54">
        <v>1865</v>
      </c>
      <c r="O63" s="54">
        <f>SUM(C63:N63)</f>
        <v>17892</v>
      </c>
    </row>
    <row r="64" spans="1:15" ht="11.25">
      <c r="A64" s="52" t="s">
        <v>20</v>
      </c>
      <c r="C64" s="54">
        <v>2002</v>
      </c>
      <c r="D64" s="54">
        <v>1813</v>
      </c>
      <c r="E64" s="54">
        <v>1509</v>
      </c>
      <c r="F64" s="54">
        <v>1703</v>
      </c>
      <c r="G64" s="54">
        <v>2114</v>
      </c>
      <c r="H64" s="54">
        <v>1606</v>
      </c>
      <c r="I64" s="54">
        <v>1423</v>
      </c>
      <c r="J64" s="54">
        <v>1062</v>
      </c>
      <c r="K64" s="54">
        <v>772</v>
      </c>
      <c r="L64" s="54">
        <v>775</v>
      </c>
      <c r="M64" s="54">
        <v>808</v>
      </c>
      <c r="N64" s="54">
        <v>1119</v>
      </c>
      <c r="O64" s="54">
        <f aca="true" t="shared" si="10" ref="O64:O70">SUM(C64:N64)</f>
        <v>16706</v>
      </c>
    </row>
    <row r="65" spans="1:15" ht="11.25">
      <c r="A65" s="52" t="s">
        <v>21</v>
      </c>
      <c r="C65" s="54">
        <v>741</v>
      </c>
      <c r="D65" s="54">
        <v>404</v>
      </c>
      <c r="E65" s="54">
        <v>683</v>
      </c>
      <c r="F65" s="54">
        <v>617</v>
      </c>
      <c r="G65" s="54">
        <v>708</v>
      </c>
      <c r="H65" s="54">
        <v>630</v>
      </c>
      <c r="I65" s="54">
        <v>578</v>
      </c>
      <c r="J65" s="54">
        <v>601</v>
      </c>
      <c r="K65" s="54">
        <v>648</v>
      </c>
      <c r="L65" s="54">
        <v>694</v>
      </c>
      <c r="M65" s="54">
        <v>598</v>
      </c>
      <c r="N65" s="54">
        <v>721</v>
      </c>
      <c r="O65" s="54">
        <f t="shared" si="10"/>
        <v>7623</v>
      </c>
    </row>
    <row r="66" spans="1:15" ht="11.25">
      <c r="A66" s="52" t="s">
        <v>22</v>
      </c>
      <c r="C66" s="54">
        <v>1376</v>
      </c>
      <c r="D66" s="54">
        <v>1491</v>
      </c>
      <c r="E66" s="54">
        <v>1161</v>
      </c>
      <c r="F66" s="54">
        <v>1429</v>
      </c>
      <c r="G66" s="54">
        <v>1231</v>
      </c>
      <c r="H66" s="54">
        <v>1729</v>
      </c>
      <c r="I66" s="54">
        <v>1923</v>
      </c>
      <c r="J66" s="54">
        <v>1548</v>
      </c>
      <c r="K66" s="54">
        <v>2214</v>
      </c>
      <c r="L66" s="54">
        <v>2177</v>
      </c>
      <c r="M66" s="54">
        <v>1648</v>
      </c>
      <c r="N66" s="54">
        <v>2029</v>
      </c>
      <c r="O66" s="54">
        <f t="shared" si="10"/>
        <v>19956</v>
      </c>
    </row>
    <row r="67" spans="1:15" ht="11.25">
      <c r="A67" s="52" t="s">
        <v>23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f t="shared" si="10"/>
        <v>0</v>
      </c>
    </row>
    <row r="68" spans="1:15" ht="11.25">
      <c r="A68" s="52" t="s">
        <v>24</v>
      </c>
      <c r="C68" s="54">
        <v>1486</v>
      </c>
      <c r="D68" s="54">
        <v>1037</v>
      </c>
      <c r="E68" s="54">
        <v>1306</v>
      </c>
      <c r="F68" s="54">
        <v>1124</v>
      </c>
      <c r="G68" s="54">
        <v>1564</v>
      </c>
      <c r="H68" s="54">
        <v>916</v>
      </c>
      <c r="I68" s="54">
        <v>981</v>
      </c>
      <c r="J68" s="54">
        <v>1117</v>
      </c>
      <c r="K68" s="54">
        <v>873</v>
      </c>
      <c r="L68" s="54">
        <v>801</v>
      </c>
      <c r="M68" s="54">
        <v>979</v>
      </c>
      <c r="N68" s="54">
        <v>1096</v>
      </c>
      <c r="O68" s="54">
        <f t="shared" si="10"/>
        <v>13280</v>
      </c>
    </row>
    <row r="69" spans="1:15" ht="11.25">
      <c r="A69" s="52" t="s">
        <v>31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4">
        <v>0</v>
      </c>
      <c r="M69" s="54">
        <v>0</v>
      </c>
      <c r="N69" s="54">
        <v>0</v>
      </c>
      <c r="O69" s="54">
        <f t="shared" si="10"/>
        <v>0</v>
      </c>
    </row>
    <row r="70" spans="1:15" ht="11.25">
      <c r="A70" s="52" t="s">
        <v>26</v>
      </c>
      <c r="C70" s="54">
        <v>880</v>
      </c>
      <c r="D70" s="54">
        <v>0</v>
      </c>
      <c r="E70" s="54">
        <v>221</v>
      </c>
      <c r="F70" s="54">
        <v>349</v>
      </c>
      <c r="G70" s="54">
        <v>0</v>
      </c>
      <c r="H70" s="54">
        <v>133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f t="shared" si="10"/>
        <v>1583</v>
      </c>
    </row>
    <row r="71" spans="1:15" ht="11.25">
      <c r="A71" s="52" t="s">
        <v>51</v>
      </c>
      <c r="C71" s="64">
        <f aca="true" t="shared" si="11" ref="C71:O71">SUM(C63:C70)</f>
        <v>7380</v>
      </c>
      <c r="D71" s="64">
        <f t="shared" si="11"/>
        <v>5592</v>
      </c>
      <c r="E71" s="64">
        <f t="shared" si="11"/>
        <v>6294</v>
      </c>
      <c r="F71" s="64">
        <f t="shared" si="11"/>
        <v>6560</v>
      </c>
      <c r="G71" s="64">
        <f t="shared" si="11"/>
        <v>6793</v>
      </c>
      <c r="H71" s="64">
        <f t="shared" si="11"/>
        <v>6195</v>
      </c>
      <c r="I71" s="64">
        <f t="shared" si="11"/>
        <v>6468</v>
      </c>
      <c r="J71" s="64">
        <f t="shared" si="11"/>
        <v>6163</v>
      </c>
      <c r="K71" s="64">
        <f t="shared" si="11"/>
        <v>6213</v>
      </c>
      <c r="L71" s="64">
        <f t="shared" si="11"/>
        <v>6569</v>
      </c>
      <c r="M71" s="64">
        <f t="shared" si="11"/>
        <v>5983</v>
      </c>
      <c r="N71" s="64">
        <f t="shared" si="11"/>
        <v>6830</v>
      </c>
      <c r="O71" s="65">
        <f t="shared" si="11"/>
        <v>77040</v>
      </c>
    </row>
    <row r="72" ht="11.25">
      <c r="A72" s="51"/>
    </row>
    <row r="74" ht="11.25">
      <c r="A74" s="51" t="s">
        <v>27</v>
      </c>
    </row>
    <row r="75" spans="3:15" ht="11.25">
      <c r="C75" s="63" t="s">
        <v>4</v>
      </c>
      <c r="D75" s="63" t="s">
        <v>5</v>
      </c>
      <c r="E75" s="63" t="s">
        <v>6</v>
      </c>
      <c r="F75" s="63" t="s">
        <v>7</v>
      </c>
      <c r="G75" s="63" t="s">
        <v>8</v>
      </c>
      <c r="H75" s="63" t="s">
        <v>9</v>
      </c>
      <c r="I75" s="63" t="s">
        <v>10</v>
      </c>
      <c r="J75" s="63" t="s">
        <v>11</v>
      </c>
      <c r="K75" s="63" t="s">
        <v>12</v>
      </c>
      <c r="L75" s="63" t="s">
        <v>13</v>
      </c>
      <c r="M75" s="63" t="s">
        <v>14</v>
      </c>
      <c r="N75" s="63" t="s">
        <v>15</v>
      </c>
      <c r="O75" s="63" t="s">
        <v>16</v>
      </c>
    </row>
    <row r="76" spans="1:15" ht="11.25">
      <c r="A76" s="52" t="s">
        <v>18</v>
      </c>
      <c r="C76" s="54">
        <v>485.1</v>
      </c>
      <c r="D76" s="54">
        <v>458.59</v>
      </c>
      <c r="E76" s="54">
        <v>768</v>
      </c>
      <c r="F76" s="54">
        <v>725.3</v>
      </c>
      <c r="G76" s="54">
        <v>656.16</v>
      </c>
      <c r="H76" s="54">
        <v>644.27</v>
      </c>
      <c r="I76" s="54">
        <v>863.72</v>
      </c>
      <c r="J76" s="54">
        <v>981.58</v>
      </c>
      <c r="K76" s="54">
        <v>930.32</v>
      </c>
      <c r="L76" s="54">
        <v>1152.52</v>
      </c>
      <c r="M76" s="54">
        <v>1027.31</v>
      </c>
      <c r="N76" s="54">
        <v>1030.4</v>
      </c>
      <c r="O76" s="54">
        <f>SUM(C76:N76)</f>
        <v>9723.269999999999</v>
      </c>
    </row>
    <row r="77" spans="1:15" ht="11.25">
      <c r="A77" s="52" t="s">
        <v>20</v>
      </c>
      <c r="C77" s="54">
        <v>1084.93</v>
      </c>
      <c r="D77" s="54">
        <v>986.56</v>
      </c>
      <c r="E77" s="54">
        <v>773.06</v>
      </c>
      <c r="F77" s="54">
        <v>923.84</v>
      </c>
      <c r="G77" s="54">
        <v>1179.55</v>
      </c>
      <c r="H77" s="54">
        <v>875.67</v>
      </c>
      <c r="I77" s="54">
        <v>784.96</v>
      </c>
      <c r="J77" s="54">
        <v>567.76</v>
      </c>
      <c r="K77" s="54">
        <v>420.95</v>
      </c>
      <c r="L77" s="54">
        <v>421.08</v>
      </c>
      <c r="M77" s="54">
        <v>425.88</v>
      </c>
      <c r="N77" s="54">
        <v>618.8</v>
      </c>
      <c r="O77" s="54">
        <f aca="true" t="shared" si="12" ref="O77:O83">SUM(C77:N77)</f>
        <v>9063.039999999999</v>
      </c>
    </row>
    <row r="78" spans="1:15" ht="11.25">
      <c r="A78" s="52" t="s">
        <v>21</v>
      </c>
      <c r="C78" s="54">
        <v>400.53</v>
      </c>
      <c r="D78" s="54">
        <v>218.61</v>
      </c>
      <c r="E78" s="54">
        <v>353.44</v>
      </c>
      <c r="F78" s="54">
        <v>335.92</v>
      </c>
      <c r="G78" s="54">
        <v>385.04</v>
      </c>
      <c r="H78" s="54">
        <v>343.4</v>
      </c>
      <c r="I78" s="54">
        <v>317.41</v>
      </c>
      <c r="J78" s="54">
        <v>321.66</v>
      </c>
      <c r="K78" s="54">
        <v>353.59</v>
      </c>
      <c r="L78" s="54">
        <v>377.53</v>
      </c>
      <c r="M78" s="54">
        <v>315.18</v>
      </c>
      <c r="N78" s="54">
        <v>398.81</v>
      </c>
      <c r="O78" s="54">
        <f t="shared" si="12"/>
        <v>4121.12</v>
      </c>
    </row>
    <row r="79" spans="1:15" ht="11.25">
      <c r="A79" s="52" t="s">
        <v>22</v>
      </c>
      <c r="C79" s="54">
        <v>748.25</v>
      </c>
      <c r="D79" s="54">
        <v>808.5</v>
      </c>
      <c r="E79" s="54">
        <v>624.5</v>
      </c>
      <c r="F79" s="54">
        <v>776.75</v>
      </c>
      <c r="G79" s="54">
        <v>684.5</v>
      </c>
      <c r="H79" s="54">
        <v>943.75</v>
      </c>
      <c r="I79" s="54">
        <v>1082.75</v>
      </c>
      <c r="J79" s="54">
        <v>828</v>
      </c>
      <c r="K79" s="54">
        <v>1209.25</v>
      </c>
      <c r="L79" s="54">
        <v>1182.25</v>
      </c>
      <c r="M79" s="54">
        <v>870</v>
      </c>
      <c r="N79" s="54">
        <v>1120.25</v>
      </c>
      <c r="O79" s="54">
        <f t="shared" si="12"/>
        <v>10878.75</v>
      </c>
    </row>
    <row r="80" spans="1:15" ht="11.25">
      <c r="A80" s="52" t="s">
        <v>23</v>
      </c>
      <c r="C80" s="54">
        <v>0</v>
      </c>
      <c r="D80" s="54">
        <v>0</v>
      </c>
      <c r="E80" s="54">
        <v>0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f t="shared" si="12"/>
        <v>0</v>
      </c>
    </row>
    <row r="81" spans="1:15" ht="11.25">
      <c r="A81" s="52" t="s">
        <v>24</v>
      </c>
      <c r="C81" s="54">
        <v>804.65</v>
      </c>
      <c r="D81" s="54">
        <v>565.4</v>
      </c>
      <c r="E81" s="54">
        <v>727.65</v>
      </c>
      <c r="F81" s="54">
        <v>611.05</v>
      </c>
      <c r="G81" s="54">
        <v>871.2</v>
      </c>
      <c r="H81" s="54">
        <v>501.05</v>
      </c>
      <c r="I81" s="54">
        <v>543.95</v>
      </c>
      <c r="J81" s="54">
        <v>597.3</v>
      </c>
      <c r="K81" s="54">
        <v>475.2</v>
      </c>
      <c r="L81" s="54">
        <v>437.25</v>
      </c>
      <c r="M81" s="54">
        <v>515.35</v>
      </c>
      <c r="N81" s="54">
        <v>607.2</v>
      </c>
      <c r="O81" s="54">
        <f t="shared" si="12"/>
        <v>7257.25</v>
      </c>
    </row>
    <row r="82" spans="1:15" ht="11.25">
      <c r="A82" s="52" t="s">
        <v>31</v>
      </c>
      <c r="C82" s="54">
        <v>0</v>
      </c>
      <c r="D82" s="54">
        <v>0</v>
      </c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f>SUM(C82:N82)</f>
        <v>0</v>
      </c>
    </row>
    <row r="83" spans="1:15" ht="11.25">
      <c r="A83" s="52" t="s">
        <v>26</v>
      </c>
      <c r="C83" s="54">
        <v>906.01</v>
      </c>
      <c r="D83" s="54">
        <v>0</v>
      </c>
      <c r="E83" s="54">
        <v>736.38</v>
      </c>
      <c r="F83" s="54">
        <v>103.18</v>
      </c>
      <c r="G83" s="54">
        <v>241.49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f t="shared" si="12"/>
        <v>1987.06</v>
      </c>
    </row>
    <row r="84" spans="1:15" ht="11.25">
      <c r="A84" s="52" t="s">
        <v>51</v>
      </c>
      <c r="C84" s="64">
        <f aca="true" t="shared" si="13" ref="C84:O84">SUM(C76:C83)</f>
        <v>4429.47</v>
      </c>
      <c r="D84" s="64">
        <f t="shared" si="13"/>
        <v>3037.66</v>
      </c>
      <c r="E84" s="64">
        <f t="shared" si="13"/>
        <v>3983.03</v>
      </c>
      <c r="F84" s="64">
        <f t="shared" si="13"/>
        <v>3476.0399999999995</v>
      </c>
      <c r="G84" s="64">
        <f t="shared" si="13"/>
        <v>4017.9399999999996</v>
      </c>
      <c r="H84" s="64">
        <f t="shared" si="13"/>
        <v>3308.1400000000003</v>
      </c>
      <c r="I84" s="64">
        <f t="shared" si="13"/>
        <v>3592.79</v>
      </c>
      <c r="J84" s="64">
        <f t="shared" si="13"/>
        <v>3296.3</v>
      </c>
      <c r="K84" s="64">
        <f t="shared" si="13"/>
        <v>3389.3099999999995</v>
      </c>
      <c r="L84" s="64">
        <f t="shared" si="13"/>
        <v>3570.63</v>
      </c>
      <c r="M84" s="64">
        <f t="shared" si="13"/>
        <v>3153.72</v>
      </c>
      <c r="N84" s="64">
        <f t="shared" si="13"/>
        <v>3775.46</v>
      </c>
      <c r="O84" s="65">
        <f t="shared" si="13"/>
        <v>43030.48999999999</v>
      </c>
    </row>
    <row r="85" ht="11.25">
      <c r="A85" s="51"/>
    </row>
    <row r="86" ht="11.25">
      <c r="G86" s="52" t="s">
        <v>2</v>
      </c>
    </row>
    <row r="87" spans="1:6" ht="11.25">
      <c r="A87" s="51" t="s">
        <v>45</v>
      </c>
      <c r="F87" s="51" t="s">
        <v>44</v>
      </c>
    </row>
    <row r="88" spans="1:7" ht="11.25">
      <c r="A88" s="51" t="s">
        <v>33</v>
      </c>
      <c r="G88" s="52" t="s">
        <v>2</v>
      </c>
    </row>
    <row r="90" spans="3:15" ht="11.25">
      <c r="C90" s="63" t="s">
        <v>4</v>
      </c>
      <c r="D90" s="63" t="s">
        <v>5</v>
      </c>
      <c r="E90" s="63" t="s">
        <v>6</v>
      </c>
      <c r="F90" s="63" t="s">
        <v>7</v>
      </c>
      <c r="G90" s="63" t="s">
        <v>8</v>
      </c>
      <c r="H90" s="63" t="s">
        <v>9</v>
      </c>
      <c r="I90" s="63" t="s">
        <v>10</v>
      </c>
      <c r="J90" s="63" t="s">
        <v>11</v>
      </c>
      <c r="K90" s="63" t="s">
        <v>12</v>
      </c>
      <c r="L90" s="63" t="s">
        <v>13</v>
      </c>
      <c r="M90" s="63" t="s">
        <v>14</v>
      </c>
      <c r="N90" s="63" t="s">
        <v>15</v>
      </c>
      <c r="O90" s="63" t="s">
        <v>16</v>
      </c>
    </row>
    <row r="91" spans="1:15" ht="11.25">
      <c r="A91" s="52" t="s">
        <v>18</v>
      </c>
      <c r="B91" s="63"/>
      <c r="C91" s="54">
        <f>+C63+C76</f>
        <v>1380.1</v>
      </c>
      <c r="D91" s="54">
        <f aca="true" t="shared" si="14" ref="D91:N91">+D63+D76</f>
        <v>1305.59</v>
      </c>
      <c r="E91" s="54">
        <f t="shared" si="14"/>
        <v>2182</v>
      </c>
      <c r="F91" s="54">
        <f t="shared" si="14"/>
        <v>2063.3</v>
      </c>
      <c r="G91" s="54">
        <f t="shared" si="14"/>
        <v>1832.1599999999999</v>
      </c>
      <c r="H91" s="54">
        <f t="shared" si="14"/>
        <v>1825.27</v>
      </c>
      <c r="I91" s="54">
        <f t="shared" si="14"/>
        <v>2426.7200000000003</v>
      </c>
      <c r="J91" s="54">
        <f t="shared" si="14"/>
        <v>2816.58</v>
      </c>
      <c r="K91" s="54">
        <f t="shared" si="14"/>
        <v>2636.32</v>
      </c>
      <c r="L91" s="54">
        <f t="shared" si="14"/>
        <v>3274.52</v>
      </c>
      <c r="M91" s="54">
        <f t="shared" si="14"/>
        <v>2977.31</v>
      </c>
      <c r="N91" s="54">
        <f t="shared" si="14"/>
        <v>2895.4</v>
      </c>
      <c r="O91" s="54">
        <f>SUM(C91:N91)</f>
        <v>27615.270000000004</v>
      </c>
    </row>
    <row r="92" spans="1:15" ht="11.25">
      <c r="A92" s="52" t="s">
        <v>20</v>
      </c>
      <c r="B92" s="63"/>
      <c r="C92" s="54">
        <f aca="true" t="shared" si="15" ref="C92:N92">+C64+C77</f>
        <v>3086.9300000000003</v>
      </c>
      <c r="D92" s="54">
        <f t="shared" si="15"/>
        <v>2799.56</v>
      </c>
      <c r="E92" s="54">
        <f t="shared" si="15"/>
        <v>2282.06</v>
      </c>
      <c r="F92" s="54">
        <f t="shared" si="15"/>
        <v>2626.84</v>
      </c>
      <c r="G92" s="54">
        <f t="shared" si="15"/>
        <v>3293.55</v>
      </c>
      <c r="H92" s="54">
        <f t="shared" si="15"/>
        <v>2481.67</v>
      </c>
      <c r="I92" s="54">
        <f t="shared" si="15"/>
        <v>2207.96</v>
      </c>
      <c r="J92" s="54">
        <f t="shared" si="15"/>
        <v>1629.76</v>
      </c>
      <c r="K92" s="54">
        <f t="shared" si="15"/>
        <v>1192.95</v>
      </c>
      <c r="L92" s="54">
        <f t="shared" si="15"/>
        <v>1196.08</v>
      </c>
      <c r="M92" s="54">
        <f t="shared" si="15"/>
        <v>1233.88</v>
      </c>
      <c r="N92" s="54">
        <f t="shared" si="15"/>
        <v>1737.8</v>
      </c>
      <c r="O92" s="54">
        <f aca="true" t="shared" si="16" ref="O92:O98">SUM(C92:N92)</f>
        <v>25769.04</v>
      </c>
    </row>
    <row r="93" spans="1:15" ht="11.25">
      <c r="A93" s="52" t="s">
        <v>21</v>
      </c>
      <c r="B93" s="63"/>
      <c r="C93" s="54">
        <f aca="true" t="shared" si="17" ref="C93:N93">+C65+C78</f>
        <v>1141.53</v>
      </c>
      <c r="D93" s="54">
        <f t="shared" si="17"/>
        <v>622.61</v>
      </c>
      <c r="E93" s="54">
        <f t="shared" si="17"/>
        <v>1036.44</v>
      </c>
      <c r="F93" s="54">
        <f t="shared" si="17"/>
        <v>952.9200000000001</v>
      </c>
      <c r="G93" s="54">
        <f t="shared" si="17"/>
        <v>1093.04</v>
      </c>
      <c r="H93" s="54">
        <f t="shared" si="17"/>
        <v>973.4</v>
      </c>
      <c r="I93" s="54">
        <f t="shared" si="17"/>
        <v>895.4100000000001</v>
      </c>
      <c r="J93" s="54">
        <f t="shared" si="17"/>
        <v>922.6600000000001</v>
      </c>
      <c r="K93" s="54">
        <f t="shared" si="17"/>
        <v>1001.5899999999999</v>
      </c>
      <c r="L93" s="54">
        <f t="shared" si="17"/>
        <v>1071.53</v>
      </c>
      <c r="M93" s="54">
        <f t="shared" si="17"/>
        <v>913.1800000000001</v>
      </c>
      <c r="N93" s="54">
        <f t="shared" si="17"/>
        <v>1119.81</v>
      </c>
      <c r="O93" s="54">
        <f t="shared" si="16"/>
        <v>11744.119999999999</v>
      </c>
    </row>
    <row r="94" spans="1:16" ht="11.25">
      <c r="A94" s="52" t="s">
        <v>22</v>
      </c>
      <c r="B94" s="63"/>
      <c r="C94" s="54">
        <f aca="true" t="shared" si="18" ref="C94:N94">+C66+C79</f>
        <v>2124.25</v>
      </c>
      <c r="D94" s="54">
        <f t="shared" si="18"/>
        <v>2299.5</v>
      </c>
      <c r="E94" s="54">
        <f t="shared" si="18"/>
        <v>1785.5</v>
      </c>
      <c r="F94" s="54">
        <f t="shared" si="18"/>
        <v>2205.75</v>
      </c>
      <c r="G94" s="54">
        <f t="shared" si="18"/>
        <v>1915.5</v>
      </c>
      <c r="H94" s="54">
        <f t="shared" si="18"/>
        <v>2672.75</v>
      </c>
      <c r="I94" s="54">
        <f t="shared" si="18"/>
        <v>3005.75</v>
      </c>
      <c r="J94" s="54">
        <f t="shared" si="18"/>
        <v>2376</v>
      </c>
      <c r="K94" s="54">
        <f t="shared" si="18"/>
        <v>3423.25</v>
      </c>
      <c r="L94" s="54">
        <f t="shared" si="18"/>
        <v>3359.25</v>
      </c>
      <c r="M94" s="54">
        <f t="shared" si="18"/>
        <v>2518</v>
      </c>
      <c r="N94" s="54">
        <f t="shared" si="18"/>
        <v>3149.25</v>
      </c>
      <c r="O94" s="54">
        <f t="shared" si="16"/>
        <v>30834.75</v>
      </c>
      <c r="P94" s="52" t="s">
        <v>2</v>
      </c>
    </row>
    <row r="95" spans="1:15" ht="11.25">
      <c r="A95" s="52" t="s">
        <v>23</v>
      </c>
      <c r="B95" s="63"/>
      <c r="C95" s="54">
        <f aca="true" t="shared" si="19" ref="C95:N95">+C67+C80</f>
        <v>0</v>
      </c>
      <c r="D95" s="54">
        <f t="shared" si="19"/>
        <v>0</v>
      </c>
      <c r="E95" s="54">
        <f t="shared" si="19"/>
        <v>0</v>
      </c>
      <c r="F95" s="54">
        <f t="shared" si="19"/>
        <v>0</v>
      </c>
      <c r="G95" s="54">
        <f t="shared" si="19"/>
        <v>0</v>
      </c>
      <c r="H95" s="54">
        <f t="shared" si="19"/>
        <v>0</v>
      </c>
      <c r="I95" s="54">
        <f t="shared" si="19"/>
        <v>0</v>
      </c>
      <c r="J95" s="54">
        <f t="shared" si="19"/>
        <v>0</v>
      </c>
      <c r="K95" s="54">
        <f t="shared" si="19"/>
        <v>0</v>
      </c>
      <c r="L95" s="54">
        <f t="shared" si="19"/>
        <v>0</v>
      </c>
      <c r="M95" s="54">
        <f t="shared" si="19"/>
        <v>0</v>
      </c>
      <c r="N95" s="54">
        <f t="shared" si="19"/>
        <v>0</v>
      </c>
      <c r="O95" s="54">
        <f t="shared" si="16"/>
        <v>0</v>
      </c>
    </row>
    <row r="96" spans="1:15" ht="11.25">
      <c r="A96" s="52" t="s">
        <v>24</v>
      </c>
      <c r="B96" s="63"/>
      <c r="C96" s="54">
        <f aca="true" t="shared" si="20" ref="C96:N96">+C68+C81</f>
        <v>2290.65</v>
      </c>
      <c r="D96" s="54">
        <f t="shared" si="20"/>
        <v>1602.4</v>
      </c>
      <c r="E96" s="54">
        <f t="shared" si="20"/>
        <v>2033.65</v>
      </c>
      <c r="F96" s="54">
        <f t="shared" si="20"/>
        <v>1735.05</v>
      </c>
      <c r="G96" s="54">
        <f t="shared" si="20"/>
        <v>2435.2</v>
      </c>
      <c r="H96" s="54">
        <f t="shared" si="20"/>
        <v>1417.05</v>
      </c>
      <c r="I96" s="54">
        <f t="shared" si="20"/>
        <v>1524.95</v>
      </c>
      <c r="J96" s="54">
        <f t="shared" si="20"/>
        <v>1714.3</v>
      </c>
      <c r="K96" s="54">
        <f t="shared" si="20"/>
        <v>1348.2</v>
      </c>
      <c r="L96" s="54">
        <f t="shared" si="20"/>
        <v>1238.25</v>
      </c>
      <c r="M96" s="54">
        <f t="shared" si="20"/>
        <v>1494.35</v>
      </c>
      <c r="N96" s="54">
        <f t="shared" si="20"/>
        <v>1703.2</v>
      </c>
      <c r="O96" s="54">
        <f t="shared" si="16"/>
        <v>20537.25</v>
      </c>
    </row>
    <row r="97" spans="1:15" ht="11.25">
      <c r="A97" s="52" t="s">
        <v>31</v>
      </c>
      <c r="B97" s="63"/>
      <c r="C97" s="54">
        <f aca="true" t="shared" si="21" ref="C97:N97">+C69+C82</f>
        <v>0</v>
      </c>
      <c r="D97" s="54">
        <f t="shared" si="21"/>
        <v>0</v>
      </c>
      <c r="E97" s="54">
        <f t="shared" si="21"/>
        <v>0</v>
      </c>
      <c r="F97" s="54">
        <f t="shared" si="21"/>
        <v>0</v>
      </c>
      <c r="G97" s="54">
        <f t="shared" si="21"/>
        <v>0</v>
      </c>
      <c r="H97" s="54">
        <f t="shared" si="21"/>
        <v>0</v>
      </c>
      <c r="I97" s="54">
        <f t="shared" si="21"/>
        <v>0</v>
      </c>
      <c r="J97" s="54">
        <f t="shared" si="21"/>
        <v>0</v>
      </c>
      <c r="K97" s="54">
        <f t="shared" si="21"/>
        <v>0</v>
      </c>
      <c r="L97" s="54">
        <f t="shared" si="21"/>
        <v>0</v>
      </c>
      <c r="M97" s="54">
        <f t="shared" si="21"/>
        <v>0</v>
      </c>
      <c r="N97" s="54">
        <f t="shared" si="21"/>
        <v>0</v>
      </c>
      <c r="O97" s="54">
        <f t="shared" si="16"/>
        <v>0</v>
      </c>
    </row>
    <row r="98" spans="1:15" ht="11.25">
      <c r="A98" s="52" t="s">
        <v>26</v>
      </c>
      <c r="B98" s="63"/>
      <c r="C98" s="54">
        <f aca="true" t="shared" si="22" ref="C98:N98">+C70+C83</f>
        <v>1786.01</v>
      </c>
      <c r="D98" s="54">
        <f t="shared" si="22"/>
        <v>0</v>
      </c>
      <c r="E98" s="54">
        <f t="shared" si="22"/>
        <v>957.38</v>
      </c>
      <c r="F98" s="54">
        <f t="shared" si="22"/>
        <v>452.18</v>
      </c>
      <c r="G98" s="54">
        <f t="shared" si="22"/>
        <v>241.49</v>
      </c>
      <c r="H98" s="54">
        <f t="shared" si="22"/>
        <v>133</v>
      </c>
      <c r="I98" s="54">
        <f t="shared" si="22"/>
        <v>0</v>
      </c>
      <c r="J98" s="54">
        <f t="shared" si="22"/>
        <v>0</v>
      </c>
      <c r="K98" s="54">
        <f t="shared" si="22"/>
        <v>0</v>
      </c>
      <c r="L98" s="54">
        <f t="shared" si="22"/>
        <v>0</v>
      </c>
      <c r="M98" s="54">
        <f t="shared" si="22"/>
        <v>0</v>
      </c>
      <c r="N98" s="54">
        <f t="shared" si="22"/>
        <v>0</v>
      </c>
      <c r="O98" s="54">
        <f t="shared" si="16"/>
        <v>3570.0599999999995</v>
      </c>
    </row>
    <row r="99" spans="1:16" ht="11.25">
      <c r="A99" s="52" t="s">
        <v>51</v>
      </c>
      <c r="C99" s="64">
        <f aca="true" t="shared" si="23" ref="C99:O99">SUM(C91:C98)</f>
        <v>11809.470000000001</v>
      </c>
      <c r="D99" s="64">
        <f t="shared" si="23"/>
        <v>8629.66</v>
      </c>
      <c r="E99" s="64">
        <f t="shared" si="23"/>
        <v>10277.029999999999</v>
      </c>
      <c r="F99" s="64">
        <f t="shared" si="23"/>
        <v>10036.04</v>
      </c>
      <c r="G99" s="64">
        <f t="shared" si="23"/>
        <v>10810.94</v>
      </c>
      <c r="H99" s="64">
        <f t="shared" si="23"/>
        <v>9503.14</v>
      </c>
      <c r="I99" s="64">
        <f t="shared" si="23"/>
        <v>10060.79</v>
      </c>
      <c r="J99" s="64">
        <f t="shared" si="23"/>
        <v>9459.3</v>
      </c>
      <c r="K99" s="64">
        <f t="shared" si="23"/>
        <v>9602.310000000001</v>
      </c>
      <c r="L99" s="64">
        <f t="shared" si="23"/>
        <v>10139.630000000001</v>
      </c>
      <c r="M99" s="64">
        <f t="shared" si="23"/>
        <v>9136.720000000001</v>
      </c>
      <c r="N99" s="64">
        <f t="shared" si="23"/>
        <v>10605.460000000001</v>
      </c>
      <c r="O99" s="65">
        <f t="shared" si="23"/>
        <v>120070.49</v>
      </c>
      <c r="P99" s="52" t="s">
        <v>2</v>
      </c>
    </row>
  </sheetData>
  <printOptions/>
  <pageMargins left="0.75" right="0.75" top="1" bottom="1" header="0.5" footer="0.5"/>
  <pageSetup horizontalDpi="600" verticalDpi="600" orientation="landscape" scale="66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99"/>
  <sheetViews>
    <sheetView workbookViewId="0" topLeftCell="A35">
      <selection activeCell="A36" sqref="A36:C37"/>
    </sheetView>
  </sheetViews>
  <sheetFormatPr defaultColWidth="8.88671875" defaultRowHeight="15"/>
  <cols>
    <col min="1" max="1" width="14.3359375" style="2" customWidth="1"/>
    <col min="2" max="2" width="6.99609375" style="2" customWidth="1"/>
    <col min="3" max="3" width="7.6640625" style="2" customWidth="1"/>
    <col min="4" max="4" width="6.99609375" style="2" customWidth="1"/>
    <col min="5" max="5" width="7.3359375" style="2" customWidth="1"/>
    <col min="6" max="6" width="7.5546875" style="2" customWidth="1"/>
    <col min="7" max="7" width="7.4453125" style="2" customWidth="1"/>
    <col min="8" max="8" width="7.21484375" style="2" customWidth="1"/>
    <col min="9" max="9" width="7.6640625" style="2" customWidth="1"/>
    <col min="10" max="10" width="7.88671875" style="2" customWidth="1"/>
    <col min="11" max="11" width="7.5546875" style="2" customWidth="1"/>
    <col min="12" max="12" width="8.21484375" style="2" customWidth="1"/>
    <col min="13" max="13" width="7.3359375" style="2" customWidth="1"/>
    <col min="14" max="14" width="8.88671875" style="2" customWidth="1"/>
    <col min="15" max="15" width="9.77734375" style="2" customWidth="1"/>
    <col min="16" max="17" width="7.5546875" style="2" customWidth="1"/>
    <col min="18" max="16384" width="8.88671875" style="2" customWidth="1"/>
  </cols>
  <sheetData>
    <row r="1" spans="1:16" ht="12">
      <c r="A1" s="2" t="s">
        <v>0</v>
      </c>
      <c r="F1" s="24" t="s">
        <v>29</v>
      </c>
      <c r="P1" s="20"/>
    </row>
    <row r="2" ht="12">
      <c r="F2" s="47" t="s">
        <v>2</v>
      </c>
    </row>
    <row r="3" spans="1:9" ht="12">
      <c r="A3" s="2" t="s">
        <v>30</v>
      </c>
      <c r="I3" s="2" t="s">
        <v>2</v>
      </c>
    </row>
    <row r="4" spans="3:17" ht="12">
      <c r="C4" s="32" t="s">
        <v>4</v>
      </c>
      <c r="D4" s="32" t="s">
        <v>5</v>
      </c>
      <c r="E4" s="32" t="s">
        <v>6</v>
      </c>
      <c r="F4" s="32" t="s">
        <v>7</v>
      </c>
      <c r="G4" s="32" t="s">
        <v>8</v>
      </c>
      <c r="H4" s="32" t="s">
        <v>9</v>
      </c>
      <c r="I4" s="32" t="s">
        <v>10</v>
      </c>
      <c r="J4" s="32" t="s">
        <v>11</v>
      </c>
      <c r="K4" s="32" t="s">
        <v>12</v>
      </c>
      <c r="L4" s="32" t="s">
        <v>13</v>
      </c>
      <c r="M4" s="32" t="s">
        <v>14</v>
      </c>
      <c r="N4" s="32" t="s">
        <v>15</v>
      </c>
      <c r="O4" s="32" t="s">
        <v>16</v>
      </c>
      <c r="P4" s="32" t="s">
        <v>17</v>
      </c>
      <c r="Q4" s="5" t="s">
        <v>36</v>
      </c>
    </row>
    <row r="5" spans="1:17" ht="12">
      <c r="A5" s="2" t="s">
        <v>18</v>
      </c>
      <c r="B5" s="2" t="s">
        <v>19</v>
      </c>
      <c r="C5" s="21">
        <v>200845</v>
      </c>
      <c r="D5" s="21">
        <v>209870</v>
      </c>
      <c r="E5" s="21">
        <v>207196</v>
      </c>
      <c r="F5" s="21">
        <v>225350</v>
      </c>
      <c r="G5" s="21">
        <v>273595</v>
      </c>
      <c r="H5" s="21">
        <v>201885</v>
      </c>
      <c r="I5" s="21">
        <v>193535</v>
      </c>
      <c r="J5" s="21">
        <v>125600</v>
      </c>
      <c r="K5" s="21">
        <v>117005</v>
      </c>
      <c r="L5" s="21">
        <v>203880</v>
      </c>
      <c r="M5" s="21">
        <v>170955</v>
      </c>
      <c r="N5" s="21">
        <v>192415</v>
      </c>
      <c r="O5" s="21">
        <v>2322131</v>
      </c>
      <c r="P5" s="22">
        <v>1161.07</v>
      </c>
      <c r="Q5" s="23">
        <v>0.3044</v>
      </c>
    </row>
    <row r="6" spans="1:17" ht="12">
      <c r="A6" s="2" t="s">
        <v>20</v>
      </c>
      <c r="B6" s="2" t="s">
        <v>19</v>
      </c>
      <c r="C6" s="21">
        <v>338845</v>
      </c>
      <c r="D6" s="21">
        <v>213450</v>
      </c>
      <c r="E6" s="21">
        <v>210298</v>
      </c>
      <c r="F6" s="21">
        <v>216585</v>
      </c>
      <c r="G6" s="21">
        <v>258145</v>
      </c>
      <c r="H6" s="21">
        <v>226205</v>
      </c>
      <c r="I6" s="21">
        <v>284055</v>
      </c>
      <c r="J6" s="21">
        <v>276580</v>
      </c>
      <c r="K6" s="21">
        <v>357980</v>
      </c>
      <c r="L6" s="21">
        <v>248525</v>
      </c>
      <c r="M6" s="21">
        <v>283705</v>
      </c>
      <c r="N6" s="21">
        <v>369000</v>
      </c>
      <c r="O6" s="21">
        <v>3283373</v>
      </c>
      <c r="P6" s="22">
        <v>1641.69</v>
      </c>
      <c r="Q6" s="23">
        <v>0.4304</v>
      </c>
    </row>
    <row r="7" spans="1:17" ht="12">
      <c r="A7" s="2" t="s">
        <v>21</v>
      </c>
      <c r="B7" s="2" t="s">
        <v>19</v>
      </c>
      <c r="C7" s="21">
        <v>44400</v>
      </c>
      <c r="D7" s="21">
        <v>33250</v>
      </c>
      <c r="E7" s="21">
        <v>31059</v>
      </c>
      <c r="F7" s="21">
        <v>36570</v>
      </c>
      <c r="G7" s="21">
        <v>39030</v>
      </c>
      <c r="H7" s="21">
        <v>32840</v>
      </c>
      <c r="I7" s="21">
        <v>30635</v>
      </c>
      <c r="J7" s="21">
        <v>36435</v>
      </c>
      <c r="K7" s="21">
        <v>26815</v>
      </c>
      <c r="L7" s="21">
        <v>27725</v>
      </c>
      <c r="M7" s="21">
        <v>26395</v>
      </c>
      <c r="N7" s="21">
        <v>32600</v>
      </c>
      <c r="O7" s="21">
        <v>397754</v>
      </c>
      <c r="P7" s="2">
        <v>198.88</v>
      </c>
      <c r="Q7" s="23">
        <v>0.0521</v>
      </c>
    </row>
    <row r="8" spans="1:17" ht="12">
      <c r="A8" s="2" t="s">
        <v>22</v>
      </c>
      <c r="B8" s="2" t="s">
        <v>19</v>
      </c>
      <c r="C8" s="21">
        <v>2703</v>
      </c>
      <c r="D8" s="21">
        <v>4659</v>
      </c>
      <c r="E8" s="21">
        <v>3017</v>
      </c>
      <c r="F8" s="21">
        <v>4671</v>
      </c>
      <c r="G8" s="21">
        <v>3367</v>
      </c>
      <c r="H8" s="21">
        <v>3829</v>
      </c>
      <c r="I8" s="21">
        <v>4777</v>
      </c>
      <c r="J8" s="2">
        <v>333</v>
      </c>
      <c r="K8" s="21">
        <v>3887</v>
      </c>
      <c r="L8" s="21">
        <v>4170</v>
      </c>
      <c r="M8" s="21">
        <v>4177</v>
      </c>
      <c r="N8" s="21">
        <v>5028</v>
      </c>
      <c r="O8" s="21">
        <v>44618</v>
      </c>
      <c r="P8" s="2">
        <v>22.31</v>
      </c>
      <c r="Q8" s="23">
        <v>0.0059</v>
      </c>
    </row>
    <row r="9" spans="1:17" ht="12">
      <c r="A9" s="2" t="s">
        <v>23</v>
      </c>
      <c r="B9" s="2" t="s">
        <v>19</v>
      </c>
      <c r="C9" s="21">
        <v>10813</v>
      </c>
      <c r="D9" s="21">
        <v>15340</v>
      </c>
      <c r="E9" s="21">
        <v>5876</v>
      </c>
      <c r="F9" s="21">
        <v>13648</v>
      </c>
      <c r="G9" s="21">
        <v>10095</v>
      </c>
      <c r="H9" s="21">
        <v>11186</v>
      </c>
      <c r="I9" s="21">
        <v>13958</v>
      </c>
      <c r="J9" s="21">
        <v>7939</v>
      </c>
      <c r="K9" s="21">
        <v>10144</v>
      </c>
      <c r="L9" s="21">
        <v>10994</v>
      </c>
      <c r="M9" s="21">
        <v>11011</v>
      </c>
      <c r="N9" s="21">
        <v>13263</v>
      </c>
      <c r="O9" s="21">
        <v>134267</v>
      </c>
      <c r="P9" s="2">
        <v>67.13</v>
      </c>
      <c r="Q9" s="23">
        <v>0.0176</v>
      </c>
    </row>
    <row r="10" spans="1:17" ht="12">
      <c r="A10" s="2" t="s">
        <v>24</v>
      </c>
      <c r="B10" s="2" t="s">
        <v>19</v>
      </c>
      <c r="C10" s="21">
        <v>24390</v>
      </c>
      <c r="D10" s="21">
        <v>19385</v>
      </c>
      <c r="E10" s="21">
        <v>19375</v>
      </c>
      <c r="F10" s="21">
        <v>18915</v>
      </c>
      <c r="G10" s="21">
        <v>21360</v>
      </c>
      <c r="H10" s="21">
        <v>20690</v>
      </c>
      <c r="I10" s="21">
        <v>15810</v>
      </c>
      <c r="J10" s="21">
        <v>18400</v>
      </c>
      <c r="K10" s="21">
        <v>11860</v>
      </c>
      <c r="L10" s="21">
        <v>17025</v>
      </c>
      <c r="M10" s="21">
        <v>15260</v>
      </c>
      <c r="N10" s="21">
        <v>16270</v>
      </c>
      <c r="O10" s="21">
        <v>218740</v>
      </c>
      <c r="P10" s="2">
        <v>109.37</v>
      </c>
      <c r="Q10" s="23">
        <v>0.0287</v>
      </c>
    </row>
    <row r="11" spans="1:17" ht="12">
      <c r="A11" s="2" t="s">
        <v>31</v>
      </c>
      <c r="B11" s="2" t="s">
        <v>19</v>
      </c>
      <c r="C11" s="21">
        <v>49790</v>
      </c>
      <c r="D11" s="21">
        <v>5390</v>
      </c>
      <c r="E11" s="21">
        <v>22460</v>
      </c>
      <c r="F11" s="21">
        <v>1490</v>
      </c>
      <c r="G11" s="21">
        <v>5810</v>
      </c>
      <c r="H11" s="21">
        <v>9560</v>
      </c>
      <c r="I11" s="21">
        <v>8120</v>
      </c>
      <c r="J11" s="21">
        <v>8620</v>
      </c>
      <c r="K11" s="21">
        <v>9600</v>
      </c>
      <c r="L11" s="21">
        <v>4920</v>
      </c>
      <c r="M11" s="21">
        <v>17240</v>
      </c>
      <c r="N11" s="21">
        <v>18850</v>
      </c>
      <c r="O11" s="21">
        <v>161850</v>
      </c>
      <c r="P11" s="2">
        <v>80.93</v>
      </c>
      <c r="Q11" s="23">
        <v>0.0212</v>
      </c>
    </row>
    <row r="12" spans="1:17" ht="12">
      <c r="A12" s="2" t="s">
        <v>26</v>
      </c>
      <c r="B12" s="2" t="s">
        <v>19</v>
      </c>
      <c r="C12" s="21">
        <v>65580</v>
      </c>
      <c r="D12" s="21">
        <v>47290</v>
      </c>
      <c r="E12" s="21">
        <v>75250</v>
      </c>
      <c r="F12" s="21">
        <v>69370</v>
      </c>
      <c r="G12" s="21">
        <v>90110</v>
      </c>
      <c r="H12" s="21">
        <v>25240</v>
      </c>
      <c r="I12" s="21">
        <v>76240</v>
      </c>
      <c r="J12" s="21">
        <v>110800</v>
      </c>
      <c r="K12" s="21">
        <v>129030</v>
      </c>
      <c r="L12" s="21">
        <v>151150</v>
      </c>
      <c r="M12" s="21">
        <v>89900</v>
      </c>
      <c r="N12" s="21">
        <v>135516</v>
      </c>
      <c r="O12" s="21">
        <v>1065476</v>
      </c>
      <c r="P12" s="2">
        <v>532.74</v>
      </c>
      <c r="Q12" s="23">
        <v>0.1397</v>
      </c>
    </row>
    <row r="13" spans="1:17" ht="12">
      <c r="A13" s="2" t="s">
        <v>51</v>
      </c>
      <c r="C13" s="21">
        <f>SUM(C5:C12)</f>
        <v>737366</v>
      </c>
      <c r="D13" s="21">
        <f aca="true" t="shared" si="0" ref="D13:N13">SUM(D5:D12)</f>
        <v>548634</v>
      </c>
      <c r="E13" s="21">
        <f t="shared" si="0"/>
        <v>574531</v>
      </c>
      <c r="F13" s="21">
        <f t="shared" si="0"/>
        <v>586599</v>
      </c>
      <c r="G13" s="21">
        <f t="shared" si="0"/>
        <v>701512</v>
      </c>
      <c r="H13" s="21">
        <f t="shared" si="0"/>
        <v>531435</v>
      </c>
      <c r="I13" s="21">
        <f t="shared" si="0"/>
        <v>627130</v>
      </c>
      <c r="J13" s="21">
        <f t="shared" si="0"/>
        <v>584707</v>
      </c>
      <c r="K13" s="21">
        <f t="shared" si="0"/>
        <v>666321</v>
      </c>
      <c r="L13" s="21">
        <f t="shared" si="0"/>
        <v>668389</v>
      </c>
      <c r="M13" s="21">
        <f t="shared" si="0"/>
        <v>618643</v>
      </c>
      <c r="N13" s="21">
        <f t="shared" si="0"/>
        <v>782942</v>
      </c>
      <c r="O13" s="25">
        <v>7628209</v>
      </c>
      <c r="P13" s="26">
        <v>3814.1</v>
      </c>
      <c r="Q13" s="27">
        <v>1</v>
      </c>
    </row>
    <row r="14" spans="1:17" ht="12">
      <c r="A14" s="24"/>
      <c r="O14" s="21"/>
      <c r="P14" s="22"/>
      <c r="Q14" s="23"/>
    </row>
    <row r="15" spans="1:15" ht="12">
      <c r="A15" s="52" t="s">
        <v>52</v>
      </c>
      <c r="C15" s="21">
        <v>22364</v>
      </c>
      <c r="D15" s="21">
        <v>22364</v>
      </c>
      <c r="E15" s="21">
        <v>22364</v>
      </c>
      <c r="F15" s="21">
        <v>22533</v>
      </c>
      <c r="G15" s="21">
        <v>22533</v>
      </c>
      <c r="H15" s="21">
        <v>22533</v>
      </c>
      <c r="I15" s="21">
        <v>24876</v>
      </c>
      <c r="J15" s="21">
        <v>24876</v>
      </c>
      <c r="K15" s="21">
        <v>24876</v>
      </c>
      <c r="L15" s="21">
        <v>24041</v>
      </c>
      <c r="M15" s="21">
        <v>24041</v>
      </c>
      <c r="N15" s="21">
        <v>24041</v>
      </c>
      <c r="O15" s="21">
        <f>SUM(C15:N15)/12</f>
        <v>23453.5</v>
      </c>
    </row>
    <row r="16" spans="1:15" ht="12">
      <c r="A16" s="60" t="s">
        <v>56</v>
      </c>
      <c r="C16" s="22">
        <f>C13/C15</f>
        <v>32.97111429082454</v>
      </c>
      <c r="D16" s="22">
        <f aca="true" t="shared" si="1" ref="D16:N16">D13/D15</f>
        <v>24.53201573958147</v>
      </c>
      <c r="E16" s="22">
        <f t="shared" si="1"/>
        <v>25.689992845644785</v>
      </c>
      <c r="F16" s="22">
        <f t="shared" si="1"/>
        <v>26.03288510185062</v>
      </c>
      <c r="G16" s="22">
        <f t="shared" si="1"/>
        <v>31.13264989127058</v>
      </c>
      <c r="H16" s="22">
        <f t="shared" si="1"/>
        <v>23.584742377845828</v>
      </c>
      <c r="I16" s="22">
        <f t="shared" si="1"/>
        <v>25.210242804309374</v>
      </c>
      <c r="J16" s="22">
        <f t="shared" si="1"/>
        <v>23.504864126065282</v>
      </c>
      <c r="K16" s="22">
        <f t="shared" si="1"/>
        <v>26.78569705740473</v>
      </c>
      <c r="L16" s="22">
        <f t="shared" si="1"/>
        <v>27.80204650388919</v>
      </c>
      <c r="M16" s="22">
        <f t="shared" si="1"/>
        <v>25.73283141300279</v>
      </c>
      <c r="N16" s="22">
        <f t="shared" si="1"/>
        <v>32.566948130277446</v>
      </c>
      <c r="O16" s="22">
        <f>O13/O15/12</f>
        <v>27.10401787934992</v>
      </c>
    </row>
    <row r="17" spans="1:15" ht="12">
      <c r="A17" s="60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">
      <c r="A18" s="49" t="s">
        <v>54</v>
      </c>
      <c r="B18" s="50"/>
      <c r="C18" s="61">
        <v>27328</v>
      </c>
      <c r="D18" s="61">
        <v>27328</v>
      </c>
      <c r="E18" s="61">
        <v>27328</v>
      </c>
      <c r="F18" s="61">
        <v>27490</v>
      </c>
      <c r="G18" s="61">
        <v>27490</v>
      </c>
      <c r="H18" s="61">
        <v>27490</v>
      </c>
      <c r="I18" s="61">
        <v>28888</v>
      </c>
      <c r="J18" s="61">
        <v>28888</v>
      </c>
      <c r="K18" s="61">
        <v>28888</v>
      </c>
      <c r="L18" s="61">
        <v>28035</v>
      </c>
      <c r="M18" s="61">
        <v>28035</v>
      </c>
      <c r="N18" s="61">
        <v>28035</v>
      </c>
      <c r="O18" s="21">
        <f>SUM(C18:N18)/12</f>
        <v>27935.25</v>
      </c>
    </row>
    <row r="19" spans="1:15" ht="12">
      <c r="A19" s="49" t="s">
        <v>55</v>
      </c>
      <c r="B19" s="50"/>
      <c r="C19" s="62">
        <f aca="true" t="shared" si="2" ref="C19:N19">C13/C18</f>
        <v>26.982069672131146</v>
      </c>
      <c r="D19" s="62">
        <f t="shared" si="2"/>
        <v>20.075892857142858</v>
      </c>
      <c r="E19" s="62">
        <f t="shared" si="2"/>
        <v>21.023528981264636</v>
      </c>
      <c r="F19" s="62">
        <f t="shared" si="2"/>
        <v>21.338632229901783</v>
      </c>
      <c r="G19" s="62">
        <f t="shared" si="2"/>
        <v>25.51880683885049</v>
      </c>
      <c r="H19" s="62">
        <f t="shared" si="2"/>
        <v>19.331938886867952</v>
      </c>
      <c r="I19" s="62">
        <f t="shared" si="2"/>
        <v>21.709014123511494</v>
      </c>
      <c r="J19" s="62">
        <f t="shared" si="2"/>
        <v>20.240480476322347</v>
      </c>
      <c r="K19" s="62">
        <f t="shared" si="2"/>
        <v>23.06566740515093</v>
      </c>
      <c r="L19" s="62">
        <f t="shared" si="2"/>
        <v>23.84123417157125</v>
      </c>
      <c r="M19" s="62">
        <f t="shared" si="2"/>
        <v>22.06680934546103</v>
      </c>
      <c r="N19" s="62">
        <f t="shared" si="2"/>
        <v>27.927305154271448</v>
      </c>
      <c r="O19" s="22">
        <f>SUM(C19:N19)/12</f>
        <v>22.76011501187061</v>
      </c>
    </row>
    <row r="21" ht="12">
      <c r="A21" s="2" t="s">
        <v>27</v>
      </c>
    </row>
    <row r="22" spans="3:17" ht="12">
      <c r="C22" s="32" t="s">
        <v>4</v>
      </c>
      <c r="D22" s="32" t="s">
        <v>5</v>
      </c>
      <c r="E22" s="32" t="s">
        <v>6</v>
      </c>
      <c r="F22" s="32" t="s">
        <v>7</v>
      </c>
      <c r="G22" s="32" t="s">
        <v>8</v>
      </c>
      <c r="H22" s="32" t="s">
        <v>9</v>
      </c>
      <c r="I22" s="32" t="s">
        <v>10</v>
      </c>
      <c r="J22" s="32" t="s">
        <v>11</v>
      </c>
      <c r="K22" s="32" t="s">
        <v>12</v>
      </c>
      <c r="L22" s="32" t="s">
        <v>13</v>
      </c>
      <c r="M22" s="32" t="s">
        <v>14</v>
      </c>
      <c r="N22" s="32" t="s">
        <v>15</v>
      </c>
      <c r="O22" s="32" t="s">
        <v>16</v>
      </c>
      <c r="P22" s="32" t="s">
        <v>17</v>
      </c>
      <c r="Q22" s="5" t="s">
        <v>36</v>
      </c>
    </row>
    <row r="23" spans="1:17" ht="12">
      <c r="A23" s="2" t="s">
        <v>18</v>
      </c>
      <c r="B23" s="2" t="s">
        <v>19</v>
      </c>
      <c r="C23" s="21">
        <v>103875</v>
      </c>
      <c r="D23" s="21">
        <v>100555</v>
      </c>
      <c r="E23" s="21">
        <v>109955</v>
      </c>
      <c r="F23" s="21">
        <v>117825</v>
      </c>
      <c r="G23" s="21">
        <v>135735</v>
      </c>
      <c r="H23" s="21">
        <v>115745</v>
      </c>
      <c r="I23" s="21">
        <v>107360</v>
      </c>
      <c r="J23" s="21">
        <v>70065</v>
      </c>
      <c r="K23" s="21">
        <v>62800</v>
      </c>
      <c r="L23" s="21">
        <v>111525</v>
      </c>
      <c r="M23" s="21">
        <v>93545</v>
      </c>
      <c r="N23" s="21">
        <v>113590</v>
      </c>
      <c r="O23" s="21">
        <v>1242575</v>
      </c>
      <c r="P23" s="2">
        <v>621.29</v>
      </c>
      <c r="Q23" s="23">
        <v>0.2919</v>
      </c>
    </row>
    <row r="24" spans="1:17" ht="12">
      <c r="A24" s="2" t="s">
        <v>20</v>
      </c>
      <c r="B24" s="2" t="s">
        <v>19</v>
      </c>
      <c r="C24" s="21">
        <v>168530</v>
      </c>
      <c r="D24" s="21">
        <v>115790</v>
      </c>
      <c r="E24" s="21">
        <v>126161</v>
      </c>
      <c r="F24" s="21">
        <v>113235</v>
      </c>
      <c r="G24" s="21">
        <v>131210</v>
      </c>
      <c r="H24" s="21">
        <v>129700</v>
      </c>
      <c r="I24" s="21">
        <v>154925</v>
      </c>
      <c r="J24" s="21">
        <v>153965</v>
      </c>
      <c r="K24" s="21">
        <v>192645</v>
      </c>
      <c r="L24" s="21">
        <v>135810</v>
      </c>
      <c r="M24" s="21">
        <v>155240</v>
      </c>
      <c r="N24" s="21">
        <v>218220</v>
      </c>
      <c r="O24" s="21">
        <v>1795431</v>
      </c>
      <c r="P24" s="2">
        <v>897.72</v>
      </c>
      <c r="Q24" s="23">
        <v>0.4218</v>
      </c>
    </row>
    <row r="25" spans="1:17" ht="12">
      <c r="A25" s="2" t="s">
        <v>21</v>
      </c>
      <c r="B25" s="2" t="s">
        <v>19</v>
      </c>
      <c r="C25" s="21">
        <v>22985</v>
      </c>
      <c r="D25" s="21">
        <v>17525</v>
      </c>
      <c r="E25" s="21">
        <v>16506</v>
      </c>
      <c r="F25" s="21">
        <v>19130</v>
      </c>
      <c r="G25" s="21">
        <v>19647</v>
      </c>
      <c r="H25" s="21">
        <v>18820</v>
      </c>
      <c r="I25" s="21">
        <v>17075</v>
      </c>
      <c r="J25" s="21">
        <v>20265</v>
      </c>
      <c r="K25" s="21">
        <v>14460</v>
      </c>
      <c r="L25" s="21">
        <v>15070</v>
      </c>
      <c r="M25" s="21">
        <v>14440</v>
      </c>
      <c r="N25" s="21">
        <v>19220</v>
      </c>
      <c r="O25" s="21">
        <v>215143</v>
      </c>
      <c r="P25" s="2">
        <v>107.57</v>
      </c>
      <c r="Q25" s="23">
        <v>0.0505</v>
      </c>
    </row>
    <row r="26" spans="1:17" ht="12">
      <c r="A26" s="2" t="s">
        <v>22</v>
      </c>
      <c r="B26" s="2" t="s">
        <v>19</v>
      </c>
      <c r="C26" s="21">
        <v>1411</v>
      </c>
      <c r="D26" s="21">
        <v>2504</v>
      </c>
      <c r="E26" s="21">
        <v>1600</v>
      </c>
      <c r="F26" s="21">
        <v>2446</v>
      </c>
      <c r="G26" s="21">
        <v>1824</v>
      </c>
      <c r="H26" s="21">
        <v>2191</v>
      </c>
      <c r="I26" s="21">
        <v>2611</v>
      </c>
      <c r="J26" s="21">
        <v>1851</v>
      </c>
      <c r="K26" s="21">
        <v>2080</v>
      </c>
      <c r="L26" s="21">
        <v>2277</v>
      </c>
      <c r="M26" s="21">
        <v>2285</v>
      </c>
      <c r="N26" s="21">
        <v>3001</v>
      </c>
      <c r="O26" s="21">
        <v>26081</v>
      </c>
      <c r="P26" s="2">
        <v>13.04</v>
      </c>
      <c r="Q26" s="23">
        <v>0.0061</v>
      </c>
    </row>
    <row r="27" spans="1:17" ht="12">
      <c r="A27" s="2" t="s">
        <v>23</v>
      </c>
      <c r="B27" s="2" t="s">
        <v>19</v>
      </c>
      <c r="C27" s="21">
        <v>5600</v>
      </c>
      <c r="D27" s="21">
        <v>7415</v>
      </c>
      <c r="E27" s="21">
        <v>4674</v>
      </c>
      <c r="F27" s="21">
        <v>7145</v>
      </c>
      <c r="G27" s="21">
        <v>5333</v>
      </c>
      <c r="H27" s="21">
        <v>6408</v>
      </c>
      <c r="I27" s="21">
        <v>7629</v>
      </c>
      <c r="J27" s="21">
        <v>4580</v>
      </c>
      <c r="K27" s="21">
        <v>5425</v>
      </c>
      <c r="L27" s="21">
        <v>6032</v>
      </c>
      <c r="M27" s="21">
        <v>6018</v>
      </c>
      <c r="N27" s="21">
        <v>7913</v>
      </c>
      <c r="O27" s="21">
        <v>74172</v>
      </c>
      <c r="P27" s="2">
        <v>37.09</v>
      </c>
      <c r="Q27" s="23">
        <v>0.0174</v>
      </c>
    </row>
    <row r="28" spans="1:17" ht="12">
      <c r="A28" s="2" t="s">
        <v>24</v>
      </c>
      <c r="B28" s="2" t="s">
        <v>19</v>
      </c>
      <c r="C28" s="21">
        <v>12520</v>
      </c>
      <c r="D28" s="21">
        <v>10106</v>
      </c>
      <c r="E28" s="21">
        <v>8110</v>
      </c>
      <c r="F28" s="21">
        <v>8240</v>
      </c>
      <c r="G28" s="21">
        <v>10755</v>
      </c>
      <c r="H28" s="21">
        <v>7860</v>
      </c>
      <c r="I28" s="21">
        <v>6261</v>
      </c>
      <c r="J28" s="21">
        <v>8010</v>
      </c>
      <c r="K28" s="21">
        <v>8490</v>
      </c>
      <c r="L28" s="21">
        <v>9220</v>
      </c>
      <c r="M28" s="21">
        <v>8440</v>
      </c>
      <c r="N28" s="21">
        <v>9740</v>
      </c>
      <c r="O28" s="21">
        <v>107752</v>
      </c>
      <c r="P28" s="2">
        <v>53.88</v>
      </c>
      <c r="Q28" s="23">
        <v>0.0253</v>
      </c>
    </row>
    <row r="29" spans="1:17" ht="12">
      <c r="A29" s="2" t="s">
        <v>31</v>
      </c>
      <c r="B29" s="2" t="s">
        <v>19</v>
      </c>
      <c r="C29" s="21">
        <v>25755</v>
      </c>
      <c r="D29" s="21">
        <v>12680</v>
      </c>
      <c r="E29" s="21">
        <v>11875</v>
      </c>
      <c r="F29" s="21">
        <v>1690</v>
      </c>
      <c r="G29" s="21">
        <v>4590</v>
      </c>
      <c r="H29" s="21">
        <v>3960</v>
      </c>
      <c r="I29" s="21">
        <v>4680</v>
      </c>
      <c r="J29" s="21">
        <v>6880</v>
      </c>
      <c r="K29" s="21">
        <v>3880</v>
      </c>
      <c r="L29" s="2">
        <v>720</v>
      </c>
      <c r="M29" s="21">
        <v>4620</v>
      </c>
      <c r="N29" s="21">
        <v>6530</v>
      </c>
      <c r="O29" s="21">
        <v>87860</v>
      </c>
      <c r="P29" s="2">
        <v>43.93</v>
      </c>
      <c r="Q29" s="23">
        <v>0.0206</v>
      </c>
    </row>
    <row r="30" spans="1:17" ht="12">
      <c r="A30" s="2" t="s">
        <v>26</v>
      </c>
      <c r="B30" s="2" t="s">
        <v>19</v>
      </c>
      <c r="C30" s="21">
        <v>72140</v>
      </c>
      <c r="D30" s="21">
        <v>46550</v>
      </c>
      <c r="E30" s="21">
        <v>69270</v>
      </c>
      <c r="F30" s="21">
        <v>68950</v>
      </c>
      <c r="G30" s="21">
        <v>80110</v>
      </c>
      <c r="H30" s="21">
        <v>57670</v>
      </c>
      <c r="I30" s="21">
        <v>69080</v>
      </c>
      <c r="J30" s="21">
        <v>59810</v>
      </c>
      <c r="K30" s="21">
        <v>30940</v>
      </c>
      <c r="L30" s="21">
        <v>46900</v>
      </c>
      <c r="M30" s="21">
        <v>52280</v>
      </c>
      <c r="N30" s="21">
        <v>53905</v>
      </c>
      <c r="O30" s="21">
        <v>707605</v>
      </c>
      <c r="P30" s="2">
        <v>353.8</v>
      </c>
      <c r="Q30" s="23">
        <v>0.1662</v>
      </c>
    </row>
    <row r="31" spans="1:17" ht="12">
      <c r="A31" s="2" t="s">
        <v>51</v>
      </c>
      <c r="C31" s="21">
        <f>SUM(C23:C30)</f>
        <v>412816</v>
      </c>
      <c r="D31" s="21">
        <f aca="true" t="shared" si="3" ref="D31:N31">SUM(D23:D30)</f>
        <v>313125</v>
      </c>
      <c r="E31" s="21">
        <f t="shared" si="3"/>
        <v>348151</v>
      </c>
      <c r="F31" s="21">
        <f t="shared" si="3"/>
        <v>338661</v>
      </c>
      <c r="G31" s="21">
        <f t="shared" si="3"/>
        <v>389204</v>
      </c>
      <c r="H31" s="21">
        <f t="shared" si="3"/>
        <v>342354</v>
      </c>
      <c r="I31" s="21">
        <f t="shared" si="3"/>
        <v>369621</v>
      </c>
      <c r="J31" s="21">
        <f t="shared" si="3"/>
        <v>325426</v>
      </c>
      <c r="K31" s="21">
        <f t="shared" si="3"/>
        <v>320720</v>
      </c>
      <c r="L31" s="21">
        <f t="shared" si="3"/>
        <v>327554</v>
      </c>
      <c r="M31" s="21">
        <f t="shared" si="3"/>
        <v>336868</v>
      </c>
      <c r="N31" s="21">
        <f t="shared" si="3"/>
        <v>432119</v>
      </c>
      <c r="O31" s="25">
        <v>4256619</v>
      </c>
      <c r="P31" s="26">
        <v>2128.31</v>
      </c>
      <c r="Q31" s="27">
        <v>1</v>
      </c>
    </row>
    <row r="32" spans="1:17" ht="12">
      <c r="A32" s="24"/>
      <c r="O32" s="21"/>
      <c r="P32" s="22"/>
      <c r="Q32" s="23"/>
    </row>
    <row r="33" spans="1:15" ht="12">
      <c r="A33" s="52" t="s">
        <v>52</v>
      </c>
      <c r="C33" s="21">
        <v>12022</v>
      </c>
      <c r="D33" s="21">
        <v>12022</v>
      </c>
      <c r="E33" s="21">
        <v>12022</v>
      </c>
      <c r="F33" s="21">
        <v>12034</v>
      </c>
      <c r="G33" s="21">
        <v>12034</v>
      </c>
      <c r="H33" s="21">
        <v>12034</v>
      </c>
      <c r="I33" s="21">
        <v>12158</v>
      </c>
      <c r="J33" s="21">
        <v>12158</v>
      </c>
      <c r="K33" s="21">
        <v>12158</v>
      </c>
      <c r="L33" s="21">
        <v>12135</v>
      </c>
      <c r="M33" s="21">
        <v>12135</v>
      </c>
      <c r="N33" s="21">
        <v>12135</v>
      </c>
      <c r="O33" s="21">
        <f>SUM(C33:N33)/12</f>
        <v>12087.25</v>
      </c>
    </row>
    <row r="34" spans="1:15" ht="12">
      <c r="A34" s="60" t="s">
        <v>56</v>
      </c>
      <c r="C34" s="22">
        <f>C31/C33</f>
        <v>34.338379637331556</v>
      </c>
      <c r="D34" s="22">
        <f aca="true" t="shared" si="4" ref="D34:N34">D31/D33</f>
        <v>26.04599900182998</v>
      </c>
      <c r="E34" s="22">
        <f t="shared" si="4"/>
        <v>28.95949093328897</v>
      </c>
      <c r="F34" s="22">
        <f t="shared" si="4"/>
        <v>28.14201429283696</v>
      </c>
      <c r="G34" s="22">
        <f t="shared" si="4"/>
        <v>32.34203091241483</v>
      </c>
      <c r="H34" s="22">
        <f t="shared" si="4"/>
        <v>28.44889479807213</v>
      </c>
      <c r="I34" s="22">
        <f t="shared" si="4"/>
        <v>30.401464056588253</v>
      </c>
      <c r="J34" s="22">
        <f t="shared" si="4"/>
        <v>26.76640894884027</v>
      </c>
      <c r="K34" s="22">
        <f t="shared" si="4"/>
        <v>26.379338707024182</v>
      </c>
      <c r="L34" s="22">
        <f t="shared" si="4"/>
        <v>26.992501030078287</v>
      </c>
      <c r="M34" s="22">
        <f t="shared" si="4"/>
        <v>27.76003296250515</v>
      </c>
      <c r="N34" s="22">
        <f t="shared" si="4"/>
        <v>35.609311907704985</v>
      </c>
      <c r="O34" s="22">
        <f>SUM(C34:N34)/12</f>
        <v>29.34882226570963</v>
      </c>
    </row>
    <row r="35" spans="1:15" ht="12">
      <c r="A35" s="60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">
      <c r="A36" s="49" t="s">
        <v>54</v>
      </c>
      <c r="B36" s="50"/>
      <c r="C36" s="61">
        <v>13906</v>
      </c>
      <c r="D36" s="61">
        <v>13906</v>
      </c>
      <c r="E36" s="61">
        <v>13906</v>
      </c>
      <c r="F36" s="61">
        <v>13930</v>
      </c>
      <c r="G36" s="61">
        <v>13930</v>
      </c>
      <c r="H36" s="61">
        <v>13930</v>
      </c>
      <c r="I36" s="61">
        <v>14036</v>
      </c>
      <c r="J36" s="61">
        <v>14036</v>
      </c>
      <c r="K36" s="61">
        <v>14036</v>
      </c>
      <c r="L36" s="61">
        <v>13986</v>
      </c>
      <c r="M36" s="61">
        <v>13986</v>
      </c>
      <c r="N36" s="61">
        <v>13986</v>
      </c>
      <c r="O36" s="21">
        <f>SUM(C36:N36)/12</f>
        <v>13964.5</v>
      </c>
    </row>
    <row r="37" spans="1:15" ht="12">
      <c r="A37" s="49" t="s">
        <v>55</v>
      </c>
      <c r="B37" s="50"/>
      <c r="C37" s="62">
        <f>C31/C36</f>
        <v>29.68617862793039</v>
      </c>
      <c r="D37" s="62">
        <f aca="true" t="shared" si="5" ref="D37:N37">D31/D36</f>
        <v>22.517258737235725</v>
      </c>
      <c r="E37" s="62">
        <f t="shared" si="5"/>
        <v>25.036027613979577</v>
      </c>
      <c r="F37" s="62">
        <f t="shared" si="5"/>
        <v>24.311629576453697</v>
      </c>
      <c r="G37" s="62">
        <f t="shared" si="5"/>
        <v>27.939985642498204</v>
      </c>
      <c r="H37" s="62">
        <f t="shared" si="5"/>
        <v>24.576740847092605</v>
      </c>
      <c r="I37" s="62">
        <f t="shared" si="5"/>
        <v>26.33378455400399</v>
      </c>
      <c r="J37" s="62">
        <f t="shared" si="5"/>
        <v>23.18509546879453</v>
      </c>
      <c r="K37" s="62">
        <f t="shared" si="5"/>
        <v>22.849814762040467</v>
      </c>
      <c r="L37" s="62">
        <f t="shared" si="5"/>
        <v>23.42013442013442</v>
      </c>
      <c r="M37" s="62">
        <f t="shared" si="5"/>
        <v>24.086086086086087</v>
      </c>
      <c r="N37" s="62">
        <f t="shared" si="5"/>
        <v>30.896539396539396</v>
      </c>
      <c r="O37" s="22">
        <f>SUM(C37:N37)/12</f>
        <v>25.403272977732428</v>
      </c>
    </row>
    <row r="39" spans="1:15" ht="12">
      <c r="A39" s="24" t="s">
        <v>32</v>
      </c>
      <c r="O39" s="2" t="s">
        <v>2</v>
      </c>
    </row>
    <row r="40" spans="1:16" ht="12">
      <c r="A40" s="24" t="s">
        <v>33</v>
      </c>
      <c r="O40" s="2" t="s">
        <v>2</v>
      </c>
      <c r="P40" s="2" t="s">
        <v>2</v>
      </c>
    </row>
    <row r="41" spans="3:17" ht="12">
      <c r="C41" s="32" t="s">
        <v>4</v>
      </c>
      <c r="D41" s="32" t="s">
        <v>5</v>
      </c>
      <c r="E41" s="32" t="s">
        <v>6</v>
      </c>
      <c r="F41" s="32" t="s">
        <v>7</v>
      </c>
      <c r="G41" s="32" t="s">
        <v>8</v>
      </c>
      <c r="H41" s="32" t="s">
        <v>9</v>
      </c>
      <c r="I41" s="32" t="s">
        <v>10</v>
      </c>
      <c r="J41" s="32" t="s">
        <v>11</v>
      </c>
      <c r="K41" s="32" t="s">
        <v>12</v>
      </c>
      <c r="L41" s="32" t="s">
        <v>13</v>
      </c>
      <c r="M41" s="32" t="s">
        <v>14</v>
      </c>
      <c r="N41" s="32" t="s">
        <v>15</v>
      </c>
      <c r="O41" s="32" t="s">
        <v>16</v>
      </c>
      <c r="P41" s="32" t="s">
        <v>17</v>
      </c>
      <c r="Q41" s="5" t="s">
        <v>36</v>
      </c>
    </row>
    <row r="42" spans="1:17" ht="12">
      <c r="A42" s="2" t="s">
        <v>18</v>
      </c>
      <c r="B42" s="32" t="s">
        <v>19</v>
      </c>
      <c r="C42" s="21">
        <v>304720</v>
      </c>
      <c r="D42" s="21">
        <v>310425</v>
      </c>
      <c r="E42" s="21">
        <v>317151</v>
      </c>
      <c r="F42" s="21">
        <v>343175</v>
      </c>
      <c r="G42" s="21">
        <v>409330</v>
      </c>
      <c r="H42" s="21">
        <v>317630</v>
      </c>
      <c r="I42" s="21">
        <v>300895</v>
      </c>
      <c r="J42" s="21">
        <v>195665</v>
      </c>
      <c r="K42" s="21">
        <v>179805</v>
      </c>
      <c r="L42" s="21">
        <v>315405</v>
      </c>
      <c r="M42" s="21">
        <v>264500</v>
      </c>
      <c r="N42" s="21">
        <v>306005</v>
      </c>
      <c r="O42" s="21">
        <v>3564706</v>
      </c>
      <c r="P42" s="22">
        <v>1782.35</v>
      </c>
      <c r="Q42" s="23">
        <v>0.2999</v>
      </c>
    </row>
    <row r="43" spans="1:17" ht="12">
      <c r="A43" s="2" t="s">
        <v>20</v>
      </c>
      <c r="B43" s="32" t="s">
        <v>19</v>
      </c>
      <c r="C43" s="21">
        <v>507375</v>
      </c>
      <c r="D43" s="21">
        <v>329240</v>
      </c>
      <c r="E43" s="21">
        <v>336459</v>
      </c>
      <c r="F43" s="21">
        <v>329820</v>
      </c>
      <c r="G43" s="21">
        <v>389355</v>
      </c>
      <c r="H43" s="21">
        <v>355905</v>
      </c>
      <c r="I43" s="21">
        <v>438980</v>
      </c>
      <c r="J43" s="21">
        <v>430545</v>
      </c>
      <c r="K43" s="21">
        <v>550625</v>
      </c>
      <c r="L43" s="21">
        <v>384335</v>
      </c>
      <c r="M43" s="21">
        <v>438945</v>
      </c>
      <c r="N43" s="21">
        <v>587220</v>
      </c>
      <c r="O43" s="21">
        <v>5078804</v>
      </c>
      <c r="P43" s="22">
        <v>2539.4</v>
      </c>
      <c r="Q43" s="23">
        <v>0.4273</v>
      </c>
    </row>
    <row r="44" spans="1:17" ht="12">
      <c r="A44" s="2" t="s">
        <v>21</v>
      </c>
      <c r="B44" s="32" t="s">
        <v>19</v>
      </c>
      <c r="C44" s="21">
        <v>67385</v>
      </c>
      <c r="D44" s="21">
        <v>50775</v>
      </c>
      <c r="E44" s="21">
        <v>47565</v>
      </c>
      <c r="F44" s="21">
        <v>55700</v>
      </c>
      <c r="G44" s="21">
        <v>58677</v>
      </c>
      <c r="H44" s="21">
        <v>51660</v>
      </c>
      <c r="I44" s="21">
        <v>47710</v>
      </c>
      <c r="J44" s="21">
        <v>56700</v>
      </c>
      <c r="K44" s="21">
        <v>41275</v>
      </c>
      <c r="L44" s="21">
        <v>42795</v>
      </c>
      <c r="M44" s="21">
        <v>40835</v>
      </c>
      <c r="N44" s="21">
        <v>51820</v>
      </c>
      <c r="O44" s="21">
        <v>612897</v>
      </c>
      <c r="P44" s="2">
        <v>306.45</v>
      </c>
      <c r="Q44" s="23">
        <v>0.0516</v>
      </c>
    </row>
    <row r="45" spans="1:17" ht="12">
      <c r="A45" s="2" t="s">
        <v>22</v>
      </c>
      <c r="B45" s="32" t="s">
        <v>19</v>
      </c>
      <c r="C45" s="21">
        <v>4114</v>
      </c>
      <c r="D45" s="21">
        <v>7163</v>
      </c>
      <c r="E45" s="21">
        <v>4617</v>
      </c>
      <c r="F45" s="21">
        <v>7117</v>
      </c>
      <c r="G45" s="21">
        <v>5191</v>
      </c>
      <c r="H45" s="21">
        <v>6020</v>
      </c>
      <c r="I45" s="21">
        <v>7388</v>
      </c>
      <c r="J45" s="21">
        <v>2184</v>
      </c>
      <c r="K45" s="21">
        <v>5967</v>
      </c>
      <c r="L45" s="21">
        <v>6447</v>
      </c>
      <c r="M45" s="21">
        <v>6462</v>
      </c>
      <c r="N45" s="21">
        <v>8029</v>
      </c>
      <c r="O45" s="21">
        <v>70699</v>
      </c>
      <c r="P45" s="2">
        <v>35.35</v>
      </c>
      <c r="Q45" s="23">
        <v>0.006</v>
      </c>
    </row>
    <row r="46" spans="1:17" ht="12">
      <c r="A46" s="2" t="s">
        <v>23</v>
      </c>
      <c r="B46" s="32" t="s">
        <v>19</v>
      </c>
      <c r="C46" s="21">
        <v>16413</v>
      </c>
      <c r="D46" s="21">
        <v>22755</v>
      </c>
      <c r="E46" s="21">
        <v>10550</v>
      </c>
      <c r="F46" s="21">
        <v>20793</v>
      </c>
      <c r="G46" s="21">
        <v>15428</v>
      </c>
      <c r="H46" s="21">
        <v>17594</v>
      </c>
      <c r="I46" s="21">
        <v>21587</v>
      </c>
      <c r="J46" s="21">
        <v>12519</v>
      </c>
      <c r="K46" s="21">
        <v>15569</v>
      </c>
      <c r="L46" s="21">
        <v>17026</v>
      </c>
      <c r="M46" s="21">
        <v>17029</v>
      </c>
      <c r="N46" s="21">
        <v>21176</v>
      </c>
      <c r="O46" s="21">
        <v>208439</v>
      </c>
      <c r="P46" s="2">
        <v>104.22</v>
      </c>
      <c r="Q46" s="23">
        <v>0.0175</v>
      </c>
    </row>
    <row r="47" spans="1:17" ht="12">
      <c r="A47" s="2" t="s">
        <v>24</v>
      </c>
      <c r="B47" s="32" t="s">
        <v>19</v>
      </c>
      <c r="C47" s="21">
        <v>36910</v>
      </c>
      <c r="D47" s="21">
        <v>29491</v>
      </c>
      <c r="E47" s="21">
        <v>27485</v>
      </c>
      <c r="F47" s="21">
        <v>27155</v>
      </c>
      <c r="G47" s="21">
        <v>32115</v>
      </c>
      <c r="H47" s="21">
        <v>28550</v>
      </c>
      <c r="I47" s="21">
        <v>22071</v>
      </c>
      <c r="J47" s="21">
        <v>26410</v>
      </c>
      <c r="K47" s="21">
        <v>20350</v>
      </c>
      <c r="L47" s="21">
        <v>26245</v>
      </c>
      <c r="M47" s="21">
        <v>23700</v>
      </c>
      <c r="N47" s="21">
        <v>26010</v>
      </c>
      <c r="O47" s="21">
        <v>326492</v>
      </c>
      <c r="P47" s="2">
        <v>163.25</v>
      </c>
      <c r="Q47" s="23">
        <v>0.0275</v>
      </c>
    </row>
    <row r="48" spans="1:17" ht="12">
      <c r="A48" s="2" t="s">
        <v>31</v>
      </c>
      <c r="B48" s="32" t="s">
        <v>19</v>
      </c>
      <c r="C48" s="21">
        <v>75545</v>
      </c>
      <c r="D48" s="21">
        <v>18070</v>
      </c>
      <c r="E48" s="21">
        <v>34335</v>
      </c>
      <c r="F48" s="21">
        <v>3180</v>
      </c>
      <c r="G48" s="21">
        <v>10400</v>
      </c>
      <c r="H48" s="21">
        <v>13520</v>
      </c>
      <c r="I48" s="21">
        <v>12800</v>
      </c>
      <c r="J48" s="21">
        <v>15500</v>
      </c>
      <c r="K48" s="21">
        <v>13480</v>
      </c>
      <c r="L48" s="21">
        <v>5640</v>
      </c>
      <c r="M48" s="21">
        <v>21860</v>
      </c>
      <c r="N48" s="21">
        <v>25380</v>
      </c>
      <c r="O48" s="21">
        <v>249710</v>
      </c>
      <c r="P48" s="2">
        <v>124.86</v>
      </c>
      <c r="Q48" s="23">
        <v>0.021</v>
      </c>
    </row>
    <row r="49" spans="1:17" ht="12">
      <c r="A49" s="2" t="s">
        <v>26</v>
      </c>
      <c r="B49" s="32" t="s">
        <v>19</v>
      </c>
      <c r="C49" s="21">
        <v>137720</v>
      </c>
      <c r="D49" s="21">
        <v>93840</v>
      </c>
      <c r="E49" s="21">
        <v>144520</v>
      </c>
      <c r="F49" s="21">
        <v>138320</v>
      </c>
      <c r="G49" s="21">
        <v>170220</v>
      </c>
      <c r="H49" s="21">
        <v>82910</v>
      </c>
      <c r="I49" s="21">
        <v>145320</v>
      </c>
      <c r="J49" s="21">
        <v>170610</v>
      </c>
      <c r="K49" s="21">
        <v>159970</v>
      </c>
      <c r="L49" s="21">
        <v>198050</v>
      </c>
      <c r="M49" s="21">
        <v>142180</v>
      </c>
      <c r="N49" s="21">
        <v>189421</v>
      </c>
      <c r="O49" s="21">
        <v>1773081</v>
      </c>
      <c r="P49" s="2">
        <v>886.54</v>
      </c>
      <c r="Q49" s="23">
        <v>0.1492</v>
      </c>
    </row>
    <row r="50" spans="1:17" ht="12">
      <c r="A50" s="2" t="s">
        <v>51</v>
      </c>
      <c r="C50" s="21">
        <f>SUM(C42:C49)</f>
        <v>1150182</v>
      </c>
      <c r="D50" s="21">
        <f aca="true" t="shared" si="6" ref="D50:N50">SUM(D42:D49)</f>
        <v>861759</v>
      </c>
      <c r="E50" s="21">
        <f t="shared" si="6"/>
        <v>922682</v>
      </c>
      <c r="F50" s="21">
        <f t="shared" si="6"/>
        <v>925260</v>
      </c>
      <c r="G50" s="21">
        <f t="shared" si="6"/>
        <v>1090716</v>
      </c>
      <c r="H50" s="21">
        <f t="shared" si="6"/>
        <v>873789</v>
      </c>
      <c r="I50" s="21">
        <f t="shared" si="6"/>
        <v>996751</v>
      </c>
      <c r="J50" s="21">
        <f t="shared" si="6"/>
        <v>910133</v>
      </c>
      <c r="K50" s="21">
        <f t="shared" si="6"/>
        <v>987041</v>
      </c>
      <c r="L50" s="21">
        <f t="shared" si="6"/>
        <v>995943</v>
      </c>
      <c r="M50" s="21">
        <f t="shared" si="6"/>
        <v>955511</v>
      </c>
      <c r="N50" s="21">
        <f t="shared" si="6"/>
        <v>1215061</v>
      </c>
      <c r="O50" s="25">
        <v>11884828</v>
      </c>
      <c r="P50" s="26">
        <v>5942.41</v>
      </c>
      <c r="Q50" s="27">
        <v>1</v>
      </c>
    </row>
    <row r="51" spans="1:17" ht="12">
      <c r="A51" s="24"/>
      <c r="O51" s="21"/>
      <c r="P51" s="22"/>
      <c r="Q51" s="23"/>
    </row>
    <row r="52" spans="1:15" ht="12">
      <c r="A52" s="52" t="s">
        <v>52</v>
      </c>
      <c r="C52" s="21">
        <v>34386</v>
      </c>
      <c r="D52" s="21">
        <v>34386</v>
      </c>
      <c r="E52" s="21">
        <v>34386</v>
      </c>
      <c r="F52" s="21">
        <v>34567</v>
      </c>
      <c r="G52" s="21">
        <v>34567</v>
      </c>
      <c r="H52" s="21">
        <v>34567</v>
      </c>
      <c r="I52" s="21">
        <v>37034</v>
      </c>
      <c r="J52" s="21">
        <v>37034</v>
      </c>
      <c r="K52" s="21">
        <v>37034</v>
      </c>
      <c r="L52" s="21">
        <v>36176</v>
      </c>
      <c r="M52" s="21">
        <v>36176</v>
      </c>
      <c r="N52" s="21">
        <v>36176</v>
      </c>
      <c r="O52" s="21">
        <f>SUM(C52:N52)/12</f>
        <v>35540.75</v>
      </c>
    </row>
    <row r="53" spans="1:15" ht="12">
      <c r="A53" s="60" t="s">
        <v>56</v>
      </c>
      <c r="C53" s="22">
        <f>C50/C52</f>
        <v>33.449136276391556</v>
      </c>
      <c r="D53" s="22">
        <f aca="true" t="shared" si="7" ref="D53:N53">D50/D52</f>
        <v>25.06133310068051</v>
      </c>
      <c r="E53" s="22">
        <f t="shared" si="7"/>
        <v>26.833071598906532</v>
      </c>
      <c r="F53" s="22">
        <f t="shared" si="7"/>
        <v>26.767147857783435</v>
      </c>
      <c r="G53" s="22">
        <f t="shared" si="7"/>
        <v>31.553678363757342</v>
      </c>
      <c r="H53" s="22">
        <f t="shared" si="7"/>
        <v>25.278126536870424</v>
      </c>
      <c r="I53" s="22">
        <f t="shared" si="7"/>
        <v>26.91448398768699</v>
      </c>
      <c r="J53" s="22">
        <f t="shared" si="7"/>
        <v>24.575606199708375</v>
      </c>
      <c r="K53" s="22">
        <f t="shared" si="7"/>
        <v>26.652292487984013</v>
      </c>
      <c r="L53" s="22">
        <f t="shared" si="7"/>
        <v>27.53048982750995</v>
      </c>
      <c r="M53" s="22">
        <f t="shared" si="7"/>
        <v>26.41284276868642</v>
      </c>
      <c r="N53" s="22">
        <f t="shared" si="7"/>
        <v>33.5874889429456</v>
      </c>
      <c r="O53" s="22">
        <f>SUM(C53:N53)/12</f>
        <v>27.88464149574259</v>
      </c>
    </row>
    <row r="54" spans="1:15" ht="12">
      <c r="A54" s="60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">
      <c r="A55" s="49" t="s">
        <v>54</v>
      </c>
      <c r="B55" s="50"/>
      <c r="C55" s="21">
        <f>C18+C36</f>
        <v>41234</v>
      </c>
      <c r="D55" s="21">
        <f aca="true" t="shared" si="8" ref="D55:N55">D18+D36</f>
        <v>41234</v>
      </c>
      <c r="E55" s="21">
        <f t="shared" si="8"/>
        <v>41234</v>
      </c>
      <c r="F55" s="21">
        <f t="shared" si="8"/>
        <v>41420</v>
      </c>
      <c r="G55" s="21">
        <f t="shared" si="8"/>
        <v>41420</v>
      </c>
      <c r="H55" s="21">
        <f t="shared" si="8"/>
        <v>41420</v>
      </c>
      <c r="I55" s="21">
        <f t="shared" si="8"/>
        <v>42924</v>
      </c>
      <c r="J55" s="21">
        <f t="shared" si="8"/>
        <v>42924</v>
      </c>
      <c r="K55" s="21">
        <f t="shared" si="8"/>
        <v>42924</v>
      </c>
      <c r="L55" s="21">
        <f t="shared" si="8"/>
        <v>42021</v>
      </c>
      <c r="M55" s="21">
        <f t="shared" si="8"/>
        <v>42021</v>
      </c>
      <c r="N55" s="21">
        <f t="shared" si="8"/>
        <v>42021</v>
      </c>
      <c r="O55" s="21">
        <f>SUM(C55:N55)/12</f>
        <v>41899.75</v>
      </c>
    </row>
    <row r="56" spans="1:15" ht="12">
      <c r="A56" s="49" t="s">
        <v>55</v>
      </c>
      <c r="B56" s="50"/>
      <c r="C56" s="22">
        <f>C50/C55</f>
        <v>27.894019498472133</v>
      </c>
      <c r="D56" s="22">
        <f aca="true" t="shared" si="9" ref="D56:N56">D50/D55</f>
        <v>20.899233642139983</v>
      </c>
      <c r="E56" s="22">
        <f t="shared" si="9"/>
        <v>22.376727942959693</v>
      </c>
      <c r="F56" s="22">
        <f t="shared" si="9"/>
        <v>22.338483824239496</v>
      </c>
      <c r="G56" s="22">
        <f t="shared" si="9"/>
        <v>26.333075808788024</v>
      </c>
      <c r="H56" s="22">
        <f t="shared" si="9"/>
        <v>21.09582327378078</v>
      </c>
      <c r="I56" s="22">
        <f t="shared" si="9"/>
        <v>23.221298108284408</v>
      </c>
      <c r="J56" s="22">
        <f t="shared" si="9"/>
        <v>21.203359425962166</v>
      </c>
      <c r="K56" s="22">
        <f t="shared" si="9"/>
        <v>22.995084335103904</v>
      </c>
      <c r="L56" s="22">
        <f t="shared" si="9"/>
        <v>23.701078032412365</v>
      </c>
      <c r="M56" s="22">
        <f t="shared" si="9"/>
        <v>22.73889245853264</v>
      </c>
      <c r="N56" s="22">
        <f t="shared" si="9"/>
        <v>28.915566026510554</v>
      </c>
      <c r="O56" s="22">
        <f>SUM(C56:N56)/12</f>
        <v>23.642720198098843</v>
      </c>
    </row>
    <row r="59" spans="1:6" ht="12">
      <c r="A59" s="24" t="s">
        <v>0</v>
      </c>
      <c r="F59" s="24" t="s">
        <v>43</v>
      </c>
    </row>
    <row r="60" ht="12">
      <c r="F60" s="2" t="s">
        <v>2</v>
      </c>
    </row>
    <row r="61" spans="1:9" ht="12">
      <c r="A61" s="24" t="s">
        <v>30</v>
      </c>
      <c r="I61" s="2" t="s">
        <v>2</v>
      </c>
    </row>
    <row r="62" spans="3:15" ht="12">
      <c r="C62" s="32" t="s">
        <v>4</v>
      </c>
      <c r="D62" s="32" t="s">
        <v>5</v>
      </c>
      <c r="E62" s="32" t="s">
        <v>6</v>
      </c>
      <c r="F62" s="32" t="s">
        <v>7</v>
      </c>
      <c r="G62" s="32" t="s">
        <v>8</v>
      </c>
      <c r="H62" s="32" t="s">
        <v>9</v>
      </c>
      <c r="I62" s="32" t="s">
        <v>10</v>
      </c>
      <c r="J62" s="32" t="s">
        <v>11</v>
      </c>
      <c r="K62" s="32" t="s">
        <v>12</v>
      </c>
      <c r="L62" s="32" t="s">
        <v>13</v>
      </c>
      <c r="M62" s="32" t="s">
        <v>14</v>
      </c>
      <c r="N62" s="32" t="s">
        <v>15</v>
      </c>
      <c r="O62" s="32" t="s">
        <v>16</v>
      </c>
    </row>
    <row r="63" spans="1:15" ht="12">
      <c r="A63" s="2" t="s">
        <v>18</v>
      </c>
      <c r="C63" s="21">
        <v>1889</v>
      </c>
      <c r="D63" s="21">
        <v>1619</v>
      </c>
      <c r="E63" s="21">
        <v>2349</v>
      </c>
      <c r="F63" s="21">
        <v>2118</v>
      </c>
      <c r="G63" s="21">
        <v>2581</v>
      </c>
      <c r="H63" s="21">
        <v>1904</v>
      </c>
      <c r="I63" s="21">
        <v>1830</v>
      </c>
      <c r="J63" s="21">
        <v>1203</v>
      </c>
      <c r="K63" s="21">
        <v>1098</v>
      </c>
      <c r="L63" s="21">
        <v>2616</v>
      </c>
      <c r="M63" s="21">
        <v>1990</v>
      </c>
      <c r="N63" s="21">
        <v>1974</v>
      </c>
      <c r="O63" s="21">
        <f>SUM(C63:N63)</f>
        <v>23171</v>
      </c>
    </row>
    <row r="64" spans="1:15" ht="12">
      <c r="A64" s="2" t="s">
        <v>20</v>
      </c>
      <c r="C64" s="21">
        <v>1822</v>
      </c>
      <c r="D64" s="21">
        <v>1179</v>
      </c>
      <c r="E64" s="21">
        <v>1135</v>
      </c>
      <c r="F64" s="21">
        <v>1163</v>
      </c>
      <c r="G64" s="21">
        <v>1402</v>
      </c>
      <c r="H64" s="21">
        <v>1219</v>
      </c>
      <c r="I64" s="21">
        <v>1508</v>
      </c>
      <c r="J64" s="21">
        <v>1513</v>
      </c>
      <c r="K64" s="21">
        <v>1920</v>
      </c>
      <c r="L64" s="21">
        <v>1329</v>
      </c>
      <c r="M64" s="21">
        <v>1536</v>
      </c>
      <c r="N64" s="21">
        <v>1997</v>
      </c>
      <c r="O64" s="21">
        <f aca="true" t="shared" si="10" ref="O64:O70">SUM(C64:N64)</f>
        <v>17723</v>
      </c>
    </row>
    <row r="65" spans="1:15" ht="12">
      <c r="A65" s="2" t="s">
        <v>21</v>
      </c>
      <c r="C65" s="21">
        <v>621</v>
      </c>
      <c r="D65" s="21">
        <v>472</v>
      </c>
      <c r="E65" s="21">
        <v>436</v>
      </c>
      <c r="F65" s="21">
        <v>589</v>
      </c>
      <c r="G65" s="21">
        <v>631</v>
      </c>
      <c r="H65" s="21">
        <v>1026</v>
      </c>
      <c r="I65" s="21">
        <v>1261</v>
      </c>
      <c r="J65" s="21">
        <v>1196</v>
      </c>
      <c r="K65" s="21">
        <v>863</v>
      </c>
      <c r="L65" s="21">
        <v>652</v>
      </c>
      <c r="M65" s="21">
        <v>543</v>
      </c>
      <c r="N65" s="21">
        <v>494</v>
      </c>
      <c r="O65" s="21">
        <f t="shared" si="10"/>
        <v>8784</v>
      </c>
    </row>
    <row r="66" spans="1:15" ht="12">
      <c r="A66" s="2" t="s">
        <v>22</v>
      </c>
      <c r="C66" s="21">
        <v>698</v>
      </c>
      <c r="D66" s="21">
        <v>1246</v>
      </c>
      <c r="E66" s="21">
        <v>782</v>
      </c>
      <c r="F66" s="21">
        <v>1204</v>
      </c>
      <c r="G66" s="21">
        <v>936</v>
      </c>
      <c r="H66" s="21">
        <v>990</v>
      </c>
      <c r="I66" s="21">
        <v>1218</v>
      </c>
      <c r="J66" s="2">
        <v>873</v>
      </c>
      <c r="K66" s="21">
        <v>1044</v>
      </c>
      <c r="L66" s="21">
        <v>1115</v>
      </c>
      <c r="M66" s="21">
        <v>1131</v>
      </c>
      <c r="N66" s="21">
        <v>1307</v>
      </c>
      <c r="O66" s="21">
        <f t="shared" si="10"/>
        <v>12544</v>
      </c>
    </row>
    <row r="67" spans="1:15" ht="12">
      <c r="A67" s="2" t="s">
        <v>23</v>
      </c>
      <c r="C67" s="21">
        <v>-145</v>
      </c>
      <c r="D67" s="21">
        <v>-208</v>
      </c>
      <c r="E67" s="21">
        <v>-79</v>
      </c>
      <c r="F67" s="21">
        <v>-183</v>
      </c>
      <c r="G67" s="21">
        <v>-142</v>
      </c>
      <c r="H67" s="21">
        <v>-151</v>
      </c>
      <c r="I67" s="21">
        <v>-185</v>
      </c>
      <c r="J67" s="21">
        <v>-80</v>
      </c>
      <c r="K67" s="21">
        <v>-82</v>
      </c>
      <c r="L67" s="21">
        <v>-94</v>
      </c>
      <c r="M67" s="21">
        <v>-89</v>
      </c>
      <c r="N67" s="21">
        <v>-133</v>
      </c>
      <c r="O67" s="21">
        <f t="shared" si="10"/>
        <v>-1571</v>
      </c>
    </row>
    <row r="68" spans="1:15" ht="12">
      <c r="A68" s="2" t="s">
        <v>24</v>
      </c>
      <c r="C68" s="21">
        <v>1311</v>
      </c>
      <c r="D68" s="21">
        <v>1049</v>
      </c>
      <c r="E68" s="21">
        <v>1046</v>
      </c>
      <c r="F68" s="21">
        <v>1015</v>
      </c>
      <c r="G68" s="21">
        <v>1149</v>
      </c>
      <c r="H68" s="21">
        <v>1115</v>
      </c>
      <c r="I68" s="21">
        <v>958</v>
      </c>
      <c r="J68" s="21">
        <v>1626</v>
      </c>
      <c r="K68" s="21">
        <v>1266</v>
      </c>
      <c r="L68" s="21">
        <v>1001</v>
      </c>
      <c r="M68" s="21">
        <v>990</v>
      </c>
      <c r="N68" s="21">
        <v>881</v>
      </c>
      <c r="O68" s="21">
        <f t="shared" si="10"/>
        <v>13407</v>
      </c>
    </row>
    <row r="69" spans="1:15" ht="12">
      <c r="A69" s="2" t="s">
        <v>31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f t="shared" si="10"/>
        <v>0</v>
      </c>
    </row>
    <row r="70" spans="1:15" ht="12">
      <c r="A70" s="2" t="s">
        <v>26</v>
      </c>
      <c r="C70" s="21">
        <v>941</v>
      </c>
      <c r="D70" s="21">
        <v>312</v>
      </c>
      <c r="E70" s="21">
        <v>0</v>
      </c>
      <c r="F70" s="21">
        <v>0</v>
      </c>
      <c r="G70" s="21">
        <v>0</v>
      </c>
      <c r="H70" s="21">
        <v>300</v>
      </c>
      <c r="I70" s="21">
        <v>3213</v>
      </c>
      <c r="J70" s="21">
        <v>552</v>
      </c>
      <c r="K70" s="21">
        <v>805</v>
      </c>
      <c r="L70" s="21">
        <f>1166-600</f>
        <v>566</v>
      </c>
      <c r="M70" s="21">
        <f>1005-500</f>
        <v>505</v>
      </c>
      <c r="N70" s="21">
        <v>1463</v>
      </c>
      <c r="O70" s="21">
        <f t="shared" si="10"/>
        <v>8657</v>
      </c>
    </row>
    <row r="71" spans="1:15" ht="12">
      <c r="A71" s="2" t="s">
        <v>51</v>
      </c>
      <c r="C71" s="43">
        <f aca="true" t="shared" si="11" ref="C71:O71">SUM(C63:C70)</f>
        <v>7137</v>
      </c>
      <c r="D71" s="43">
        <f t="shared" si="11"/>
        <v>5669</v>
      </c>
      <c r="E71" s="43">
        <f t="shared" si="11"/>
        <v>5669</v>
      </c>
      <c r="F71" s="43">
        <f t="shared" si="11"/>
        <v>5906</v>
      </c>
      <c r="G71" s="43">
        <f t="shared" si="11"/>
        <v>6557</v>
      </c>
      <c r="H71" s="43">
        <f t="shared" si="11"/>
        <v>6403</v>
      </c>
      <c r="I71" s="43">
        <f t="shared" si="11"/>
        <v>9803</v>
      </c>
      <c r="J71" s="43">
        <f t="shared" si="11"/>
        <v>6883</v>
      </c>
      <c r="K71" s="43">
        <f t="shared" si="11"/>
        <v>6914</v>
      </c>
      <c r="L71" s="43">
        <f t="shared" si="11"/>
        <v>7185</v>
      </c>
      <c r="M71" s="43">
        <f t="shared" si="11"/>
        <v>6606</v>
      </c>
      <c r="N71" s="43">
        <f t="shared" si="11"/>
        <v>7983</v>
      </c>
      <c r="O71" s="44">
        <f t="shared" si="11"/>
        <v>82715</v>
      </c>
    </row>
    <row r="72" spans="1:15" ht="12">
      <c r="A72" s="24"/>
      <c r="O72" s="21"/>
    </row>
    <row r="74" ht="12">
      <c r="A74" s="24" t="s">
        <v>27</v>
      </c>
    </row>
    <row r="75" spans="3:15" ht="12">
      <c r="C75" s="32" t="s">
        <v>4</v>
      </c>
      <c r="D75" s="32" t="s">
        <v>5</v>
      </c>
      <c r="E75" s="32" t="s">
        <v>6</v>
      </c>
      <c r="F75" s="32" t="s">
        <v>7</v>
      </c>
      <c r="G75" s="32" t="s">
        <v>8</v>
      </c>
      <c r="H75" s="32" t="s">
        <v>9</v>
      </c>
      <c r="I75" s="32" t="s">
        <v>10</v>
      </c>
      <c r="J75" s="32" t="s">
        <v>11</v>
      </c>
      <c r="K75" s="32" t="s">
        <v>12</v>
      </c>
      <c r="L75" s="32" t="s">
        <v>13</v>
      </c>
      <c r="M75" s="32" t="s">
        <v>14</v>
      </c>
      <c r="N75" s="32" t="s">
        <v>15</v>
      </c>
      <c r="O75" s="32" t="s">
        <v>16</v>
      </c>
    </row>
    <row r="76" spans="1:15" ht="12">
      <c r="A76" s="2" t="s">
        <v>18</v>
      </c>
      <c r="C76" s="21">
        <v>987</v>
      </c>
      <c r="D76" s="21">
        <v>854</v>
      </c>
      <c r="E76" s="21">
        <v>1250</v>
      </c>
      <c r="F76" s="21">
        <v>1106</v>
      </c>
      <c r="G76" s="21">
        <v>1280</v>
      </c>
      <c r="H76" s="21">
        <v>1087</v>
      </c>
      <c r="I76" s="21">
        <v>1012</v>
      </c>
      <c r="J76" s="21">
        <v>667</v>
      </c>
      <c r="K76" s="21">
        <v>592</v>
      </c>
      <c r="L76" s="21">
        <v>1442</v>
      </c>
      <c r="M76" s="21">
        <v>1085</v>
      </c>
      <c r="N76" s="21">
        <v>1188</v>
      </c>
      <c r="O76" s="21">
        <f>SUM(C76:N76)</f>
        <v>12550</v>
      </c>
    </row>
    <row r="77" spans="1:15" ht="12">
      <c r="A77" s="2" t="s">
        <v>20</v>
      </c>
      <c r="C77" s="21">
        <v>915</v>
      </c>
      <c r="D77" s="21">
        <v>624</v>
      </c>
      <c r="E77" s="21">
        <v>683</v>
      </c>
      <c r="F77" s="21">
        <v>607</v>
      </c>
      <c r="G77" s="21">
        <v>708</v>
      </c>
      <c r="H77" s="21">
        <v>696</v>
      </c>
      <c r="I77" s="21">
        <v>834</v>
      </c>
      <c r="J77" s="21">
        <v>838</v>
      </c>
      <c r="K77" s="21">
        <v>1037</v>
      </c>
      <c r="L77" s="21">
        <v>732</v>
      </c>
      <c r="M77" s="21">
        <v>836</v>
      </c>
      <c r="N77" s="21">
        <v>1202</v>
      </c>
      <c r="O77" s="21">
        <f aca="true" t="shared" si="12" ref="O77:O83">SUM(C77:N77)</f>
        <v>9712</v>
      </c>
    </row>
    <row r="78" spans="1:15" ht="12">
      <c r="A78" s="2" t="s">
        <v>21</v>
      </c>
      <c r="C78" s="21">
        <v>325</v>
      </c>
      <c r="D78" s="21">
        <v>246</v>
      </c>
      <c r="E78" s="21">
        <v>232</v>
      </c>
      <c r="F78" s="21">
        <v>308</v>
      </c>
      <c r="G78" s="21">
        <v>318</v>
      </c>
      <c r="H78" s="21">
        <v>586</v>
      </c>
      <c r="I78" s="21">
        <v>699</v>
      </c>
      <c r="J78" s="21">
        <v>662</v>
      </c>
      <c r="K78" s="21">
        <v>467</v>
      </c>
      <c r="L78" s="21">
        <v>357</v>
      </c>
      <c r="M78" s="21">
        <v>296</v>
      </c>
      <c r="N78" s="21">
        <v>296</v>
      </c>
      <c r="O78" s="21">
        <f t="shared" si="12"/>
        <v>4792</v>
      </c>
    </row>
    <row r="79" spans="1:15" ht="12">
      <c r="A79" s="2" t="s">
        <v>22</v>
      </c>
      <c r="C79" s="21">
        <v>368</v>
      </c>
      <c r="D79" s="21">
        <v>648</v>
      </c>
      <c r="E79" s="21">
        <v>416</v>
      </c>
      <c r="F79" s="21">
        <v>630</v>
      </c>
      <c r="G79" s="21">
        <v>472</v>
      </c>
      <c r="H79" s="21">
        <v>564</v>
      </c>
      <c r="I79" s="21">
        <v>675</v>
      </c>
      <c r="J79" s="21">
        <v>474</v>
      </c>
      <c r="K79" s="21">
        <v>560</v>
      </c>
      <c r="L79" s="21">
        <v>614</v>
      </c>
      <c r="M79" s="21">
        <v>616</v>
      </c>
      <c r="N79" s="21">
        <v>791</v>
      </c>
      <c r="O79" s="21">
        <f t="shared" si="12"/>
        <v>6828</v>
      </c>
    </row>
    <row r="80" spans="1:15" ht="12">
      <c r="A80" s="2" t="s">
        <v>23</v>
      </c>
      <c r="C80" s="21">
        <v>-76</v>
      </c>
      <c r="D80" s="21">
        <v>-100</v>
      </c>
      <c r="E80" s="21">
        <v>-63</v>
      </c>
      <c r="F80" s="21">
        <v>-96</v>
      </c>
      <c r="G80" s="21">
        <v>-72</v>
      </c>
      <c r="H80" s="21">
        <v>-86</v>
      </c>
      <c r="I80" s="21">
        <v>-103</v>
      </c>
      <c r="J80" s="21">
        <v>-46</v>
      </c>
      <c r="K80" s="21">
        <v>-43</v>
      </c>
      <c r="L80" s="21">
        <v>-52</v>
      </c>
      <c r="M80" s="21">
        <v>-48</v>
      </c>
      <c r="N80" s="21">
        <v>-82</v>
      </c>
      <c r="O80" s="21">
        <f t="shared" si="12"/>
        <v>-867</v>
      </c>
    </row>
    <row r="81" spans="1:15" ht="12">
      <c r="A81" s="2" t="s">
        <v>24</v>
      </c>
      <c r="C81" s="21">
        <v>691</v>
      </c>
      <c r="D81" s="21">
        <v>545</v>
      </c>
      <c r="E81" s="21">
        <v>438</v>
      </c>
      <c r="F81" s="21">
        <v>533</v>
      </c>
      <c r="G81" s="21">
        <v>579</v>
      </c>
      <c r="H81" s="21">
        <v>634</v>
      </c>
      <c r="I81" s="21">
        <v>532</v>
      </c>
      <c r="J81" s="21">
        <v>892</v>
      </c>
      <c r="K81" s="21">
        <v>733</v>
      </c>
      <c r="L81" s="21">
        <v>547</v>
      </c>
      <c r="M81" s="21">
        <v>546</v>
      </c>
      <c r="N81" s="21">
        <v>535</v>
      </c>
      <c r="O81" s="21">
        <f t="shared" si="12"/>
        <v>7205</v>
      </c>
    </row>
    <row r="82" spans="1:15" ht="12">
      <c r="A82" s="2" t="s">
        <v>31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f t="shared" si="12"/>
        <v>0</v>
      </c>
    </row>
    <row r="83" spans="1:15" ht="12">
      <c r="A83" s="2" t="s">
        <v>26</v>
      </c>
      <c r="C83" s="21">
        <v>931</v>
      </c>
      <c r="D83" s="21">
        <v>0</v>
      </c>
      <c r="E83" s="21">
        <v>0</v>
      </c>
      <c r="F83" s="21">
        <v>0</v>
      </c>
      <c r="G83" s="21">
        <v>0</v>
      </c>
      <c r="H83" s="21">
        <v>361</v>
      </c>
      <c r="I83" s="21">
        <v>401</v>
      </c>
      <c r="J83" s="21">
        <f>1773-374</f>
        <v>1399</v>
      </c>
      <c r="K83" s="21">
        <v>1012</v>
      </c>
      <c r="L83" s="21">
        <f>884-250</f>
        <v>634</v>
      </c>
      <c r="M83" s="21">
        <v>901</v>
      </c>
      <c r="N83" s="21">
        <v>751</v>
      </c>
      <c r="O83" s="21">
        <f t="shared" si="12"/>
        <v>6390</v>
      </c>
    </row>
    <row r="84" spans="1:15" ht="12">
      <c r="A84" s="2" t="s">
        <v>51</v>
      </c>
      <c r="C84" s="43">
        <f aca="true" t="shared" si="13" ref="C84:O84">SUM(C76:C83)</f>
        <v>4141</v>
      </c>
      <c r="D84" s="43">
        <f t="shared" si="13"/>
        <v>2817</v>
      </c>
      <c r="E84" s="43">
        <f t="shared" si="13"/>
        <v>2956</v>
      </c>
      <c r="F84" s="43">
        <f t="shared" si="13"/>
        <v>3088</v>
      </c>
      <c r="G84" s="43">
        <f t="shared" si="13"/>
        <v>3285</v>
      </c>
      <c r="H84" s="43">
        <f t="shared" si="13"/>
        <v>3842</v>
      </c>
      <c r="I84" s="43">
        <f t="shared" si="13"/>
        <v>4050</v>
      </c>
      <c r="J84" s="43">
        <f t="shared" si="13"/>
        <v>4886</v>
      </c>
      <c r="K84" s="43">
        <f t="shared" si="13"/>
        <v>4358</v>
      </c>
      <c r="L84" s="43">
        <f t="shared" si="13"/>
        <v>4274</v>
      </c>
      <c r="M84" s="43">
        <f t="shared" si="13"/>
        <v>4232</v>
      </c>
      <c r="N84" s="43">
        <f t="shared" si="13"/>
        <v>4681</v>
      </c>
      <c r="O84" s="44">
        <f t="shared" si="13"/>
        <v>46610</v>
      </c>
    </row>
    <row r="85" spans="1:15" ht="12">
      <c r="A85" s="24"/>
      <c r="O85" s="21"/>
    </row>
    <row r="87" spans="1:15" ht="12">
      <c r="A87" s="24" t="s">
        <v>46</v>
      </c>
      <c r="O87" s="2" t="s">
        <v>2</v>
      </c>
    </row>
    <row r="88" spans="1:15" ht="12">
      <c r="A88" s="24" t="s">
        <v>33</v>
      </c>
      <c r="O88" s="2" t="s">
        <v>2</v>
      </c>
    </row>
    <row r="89" spans="3:15" ht="12">
      <c r="C89" s="32" t="s">
        <v>4</v>
      </c>
      <c r="D89" s="32" t="s">
        <v>5</v>
      </c>
      <c r="E89" s="32" t="s">
        <v>6</v>
      </c>
      <c r="F89" s="32" t="s">
        <v>7</v>
      </c>
      <c r="G89" s="32" t="s">
        <v>8</v>
      </c>
      <c r="H89" s="32" t="s">
        <v>9</v>
      </c>
      <c r="I89" s="32" t="s">
        <v>10</v>
      </c>
      <c r="J89" s="32" t="s">
        <v>11</v>
      </c>
      <c r="K89" s="32" t="s">
        <v>12</v>
      </c>
      <c r="L89" s="32" t="s">
        <v>13</v>
      </c>
      <c r="M89" s="32" t="s">
        <v>14</v>
      </c>
      <c r="N89" s="32" t="s">
        <v>15</v>
      </c>
      <c r="O89" s="32" t="s">
        <v>16</v>
      </c>
    </row>
    <row r="90" spans="1:15" ht="12">
      <c r="A90" s="2" t="s">
        <v>18</v>
      </c>
      <c r="B90" s="32"/>
      <c r="C90" s="21">
        <f aca="true" t="shared" si="14" ref="C90:N90">+C63+C76</f>
        <v>2876</v>
      </c>
      <c r="D90" s="21">
        <f t="shared" si="14"/>
        <v>2473</v>
      </c>
      <c r="E90" s="21">
        <f t="shared" si="14"/>
        <v>3599</v>
      </c>
      <c r="F90" s="21">
        <f t="shared" si="14"/>
        <v>3224</v>
      </c>
      <c r="G90" s="21">
        <f t="shared" si="14"/>
        <v>3861</v>
      </c>
      <c r="H90" s="21">
        <f t="shared" si="14"/>
        <v>2991</v>
      </c>
      <c r="I90" s="21">
        <f t="shared" si="14"/>
        <v>2842</v>
      </c>
      <c r="J90" s="21">
        <f t="shared" si="14"/>
        <v>1870</v>
      </c>
      <c r="K90" s="21">
        <f t="shared" si="14"/>
        <v>1690</v>
      </c>
      <c r="L90" s="21">
        <f t="shared" si="14"/>
        <v>4058</v>
      </c>
      <c r="M90" s="21">
        <f t="shared" si="14"/>
        <v>3075</v>
      </c>
      <c r="N90" s="21">
        <f t="shared" si="14"/>
        <v>3162</v>
      </c>
      <c r="O90" s="21">
        <f aca="true" t="shared" si="15" ref="O90:O97">SUM(C90:N90)</f>
        <v>35721</v>
      </c>
    </row>
    <row r="91" spans="1:15" ht="12">
      <c r="A91" s="2" t="s">
        <v>20</v>
      </c>
      <c r="B91" s="32"/>
      <c r="C91" s="21">
        <f aca="true" t="shared" si="16" ref="C91:N91">+C64+C77</f>
        <v>2737</v>
      </c>
      <c r="D91" s="21">
        <f t="shared" si="16"/>
        <v>1803</v>
      </c>
      <c r="E91" s="21">
        <f t="shared" si="16"/>
        <v>1818</v>
      </c>
      <c r="F91" s="21">
        <f t="shared" si="16"/>
        <v>1770</v>
      </c>
      <c r="G91" s="21">
        <f t="shared" si="16"/>
        <v>2110</v>
      </c>
      <c r="H91" s="21">
        <f t="shared" si="16"/>
        <v>1915</v>
      </c>
      <c r="I91" s="21">
        <f t="shared" si="16"/>
        <v>2342</v>
      </c>
      <c r="J91" s="21">
        <f t="shared" si="16"/>
        <v>2351</v>
      </c>
      <c r="K91" s="21">
        <f t="shared" si="16"/>
        <v>2957</v>
      </c>
      <c r="L91" s="21">
        <f t="shared" si="16"/>
        <v>2061</v>
      </c>
      <c r="M91" s="21">
        <f t="shared" si="16"/>
        <v>2372</v>
      </c>
      <c r="N91" s="21">
        <f t="shared" si="16"/>
        <v>3199</v>
      </c>
      <c r="O91" s="21">
        <f t="shared" si="15"/>
        <v>27435</v>
      </c>
    </row>
    <row r="92" spans="1:15" ht="12">
      <c r="A92" s="2" t="s">
        <v>21</v>
      </c>
      <c r="B92" s="32"/>
      <c r="C92" s="21">
        <f aca="true" t="shared" si="17" ref="C92:N92">+C65+C78</f>
        <v>946</v>
      </c>
      <c r="D92" s="21">
        <f t="shared" si="17"/>
        <v>718</v>
      </c>
      <c r="E92" s="21">
        <f t="shared" si="17"/>
        <v>668</v>
      </c>
      <c r="F92" s="21">
        <f t="shared" si="17"/>
        <v>897</v>
      </c>
      <c r="G92" s="21">
        <f t="shared" si="17"/>
        <v>949</v>
      </c>
      <c r="H92" s="21">
        <f t="shared" si="17"/>
        <v>1612</v>
      </c>
      <c r="I92" s="21">
        <f t="shared" si="17"/>
        <v>1960</v>
      </c>
      <c r="J92" s="21">
        <f t="shared" si="17"/>
        <v>1858</v>
      </c>
      <c r="K92" s="21">
        <f t="shared" si="17"/>
        <v>1330</v>
      </c>
      <c r="L92" s="21">
        <f t="shared" si="17"/>
        <v>1009</v>
      </c>
      <c r="M92" s="21">
        <f t="shared" si="17"/>
        <v>839</v>
      </c>
      <c r="N92" s="21">
        <f t="shared" si="17"/>
        <v>790</v>
      </c>
      <c r="O92" s="21">
        <f t="shared" si="15"/>
        <v>13576</v>
      </c>
    </row>
    <row r="93" spans="1:15" ht="12">
      <c r="A93" s="2" t="s">
        <v>22</v>
      </c>
      <c r="B93" s="32"/>
      <c r="C93" s="21">
        <f aca="true" t="shared" si="18" ref="C93:N93">+C66+C79</f>
        <v>1066</v>
      </c>
      <c r="D93" s="21">
        <f t="shared" si="18"/>
        <v>1894</v>
      </c>
      <c r="E93" s="21">
        <f t="shared" si="18"/>
        <v>1198</v>
      </c>
      <c r="F93" s="21">
        <f t="shared" si="18"/>
        <v>1834</v>
      </c>
      <c r="G93" s="21">
        <f t="shared" si="18"/>
        <v>1408</v>
      </c>
      <c r="H93" s="21">
        <f t="shared" si="18"/>
        <v>1554</v>
      </c>
      <c r="I93" s="21">
        <f t="shared" si="18"/>
        <v>1893</v>
      </c>
      <c r="J93" s="21">
        <f t="shared" si="18"/>
        <v>1347</v>
      </c>
      <c r="K93" s="21">
        <f t="shared" si="18"/>
        <v>1604</v>
      </c>
      <c r="L93" s="21">
        <f t="shared" si="18"/>
        <v>1729</v>
      </c>
      <c r="M93" s="21">
        <f t="shared" si="18"/>
        <v>1747</v>
      </c>
      <c r="N93" s="21">
        <f t="shared" si="18"/>
        <v>2098</v>
      </c>
      <c r="O93" s="21">
        <f t="shared" si="15"/>
        <v>19372</v>
      </c>
    </row>
    <row r="94" spans="1:15" ht="12">
      <c r="A94" s="2" t="s">
        <v>23</v>
      </c>
      <c r="B94" s="32"/>
      <c r="C94" s="21">
        <f aca="true" t="shared" si="19" ref="C94:N94">+C67+C80</f>
        <v>-221</v>
      </c>
      <c r="D94" s="21">
        <f t="shared" si="19"/>
        <v>-308</v>
      </c>
      <c r="E94" s="21">
        <f t="shared" si="19"/>
        <v>-142</v>
      </c>
      <c r="F94" s="21">
        <f t="shared" si="19"/>
        <v>-279</v>
      </c>
      <c r="G94" s="21">
        <f t="shared" si="19"/>
        <v>-214</v>
      </c>
      <c r="H94" s="21">
        <f t="shared" si="19"/>
        <v>-237</v>
      </c>
      <c r="I94" s="21">
        <f t="shared" si="19"/>
        <v>-288</v>
      </c>
      <c r="J94" s="21">
        <f t="shared" si="19"/>
        <v>-126</v>
      </c>
      <c r="K94" s="21">
        <f t="shared" si="19"/>
        <v>-125</v>
      </c>
      <c r="L94" s="21">
        <f t="shared" si="19"/>
        <v>-146</v>
      </c>
      <c r="M94" s="21">
        <f t="shared" si="19"/>
        <v>-137</v>
      </c>
      <c r="N94" s="21">
        <f t="shared" si="19"/>
        <v>-215</v>
      </c>
      <c r="O94" s="21">
        <f t="shared" si="15"/>
        <v>-2438</v>
      </c>
    </row>
    <row r="95" spans="1:15" ht="12">
      <c r="A95" s="2" t="s">
        <v>24</v>
      </c>
      <c r="B95" s="32"/>
      <c r="C95" s="21">
        <f aca="true" t="shared" si="20" ref="C95:N95">+C68+C81</f>
        <v>2002</v>
      </c>
      <c r="D95" s="21">
        <f t="shared" si="20"/>
        <v>1594</v>
      </c>
      <c r="E95" s="21">
        <f t="shared" si="20"/>
        <v>1484</v>
      </c>
      <c r="F95" s="21">
        <f t="shared" si="20"/>
        <v>1548</v>
      </c>
      <c r="G95" s="21">
        <f t="shared" si="20"/>
        <v>1728</v>
      </c>
      <c r="H95" s="21">
        <f t="shared" si="20"/>
        <v>1749</v>
      </c>
      <c r="I95" s="21">
        <f t="shared" si="20"/>
        <v>1490</v>
      </c>
      <c r="J95" s="21">
        <f t="shared" si="20"/>
        <v>2518</v>
      </c>
      <c r="K95" s="21">
        <f t="shared" si="20"/>
        <v>1999</v>
      </c>
      <c r="L95" s="21">
        <f t="shared" si="20"/>
        <v>1548</v>
      </c>
      <c r="M95" s="21">
        <f t="shared" si="20"/>
        <v>1536</v>
      </c>
      <c r="N95" s="21">
        <f t="shared" si="20"/>
        <v>1416</v>
      </c>
      <c r="O95" s="21">
        <f t="shared" si="15"/>
        <v>20612</v>
      </c>
    </row>
    <row r="96" spans="1:15" ht="12">
      <c r="A96" s="2" t="s">
        <v>31</v>
      </c>
      <c r="B96" s="32"/>
      <c r="C96" s="21">
        <f aca="true" t="shared" si="21" ref="C96:N96">+C69+C82</f>
        <v>0</v>
      </c>
      <c r="D96" s="21">
        <f t="shared" si="21"/>
        <v>0</v>
      </c>
      <c r="E96" s="21">
        <f t="shared" si="21"/>
        <v>0</v>
      </c>
      <c r="F96" s="21">
        <f t="shared" si="21"/>
        <v>0</v>
      </c>
      <c r="G96" s="21">
        <f t="shared" si="21"/>
        <v>0</v>
      </c>
      <c r="H96" s="21">
        <f t="shared" si="21"/>
        <v>0</v>
      </c>
      <c r="I96" s="21">
        <f t="shared" si="21"/>
        <v>0</v>
      </c>
      <c r="J96" s="21">
        <f t="shared" si="21"/>
        <v>0</v>
      </c>
      <c r="K96" s="21">
        <f t="shared" si="21"/>
        <v>0</v>
      </c>
      <c r="L96" s="21">
        <f t="shared" si="21"/>
        <v>0</v>
      </c>
      <c r="M96" s="21">
        <f t="shared" si="21"/>
        <v>0</v>
      </c>
      <c r="N96" s="21">
        <f t="shared" si="21"/>
        <v>0</v>
      </c>
      <c r="O96" s="21">
        <f t="shared" si="15"/>
        <v>0</v>
      </c>
    </row>
    <row r="97" spans="1:15" ht="12">
      <c r="A97" s="2" t="s">
        <v>26</v>
      </c>
      <c r="B97" s="32"/>
      <c r="C97" s="21">
        <f aca="true" t="shared" si="22" ref="C97:N97">+C70+C83</f>
        <v>1872</v>
      </c>
      <c r="D97" s="21">
        <f t="shared" si="22"/>
        <v>312</v>
      </c>
      <c r="E97" s="21">
        <f t="shared" si="22"/>
        <v>0</v>
      </c>
      <c r="F97" s="21">
        <f t="shared" si="22"/>
        <v>0</v>
      </c>
      <c r="G97" s="21">
        <f t="shared" si="22"/>
        <v>0</v>
      </c>
      <c r="H97" s="21">
        <f t="shared" si="22"/>
        <v>661</v>
      </c>
      <c r="I97" s="21">
        <f t="shared" si="22"/>
        <v>3614</v>
      </c>
      <c r="J97" s="21">
        <f t="shared" si="22"/>
        <v>1951</v>
      </c>
      <c r="K97" s="21">
        <f t="shared" si="22"/>
        <v>1817</v>
      </c>
      <c r="L97" s="21">
        <f t="shared" si="22"/>
        <v>1200</v>
      </c>
      <c r="M97" s="21">
        <f t="shared" si="22"/>
        <v>1406</v>
      </c>
      <c r="N97" s="21">
        <f t="shared" si="22"/>
        <v>2214</v>
      </c>
      <c r="O97" s="21">
        <f t="shared" si="15"/>
        <v>15047</v>
      </c>
    </row>
    <row r="98" spans="1:15" ht="12">
      <c r="A98" s="2" t="s">
        <v>51</v>
      </c>
      <c r="C98" s="43">
        <f aca="true" t="shared" si="23" ref="C98:O98">SUM(C90:C97)</f>
        <v>11278</v>
      </c>
      <c r="D98" s="43">
        <f t="shared" si="23"/>
        <v>8486</v>
      </c>
      <c r="E98" s="43">
        <f t="shared" si="23"/>
        <v>8625</v>
      </c>
      <c r="F98" s="43">
        <f t="shared" si="23"/>
        <v>8994</v>
      </c>
      <c r="G98" s="43">
        <f t="shared" si="23"/>
        <v>9842</v>
      </c>
      <c r="H98" s="43">
        <f t="shared" si="23"/>
        <v>10245</v>
      </c>
      <c r="I98" s="43">
        <f t="shared" si="23"/>
        <v>13853</v>
      </c>
      <c r="J98" s="43">
        <f t="shared" si="23"/>
        <v>11769</v>
      </c>
      <c r="K98" s="43">
        <f t="shared" si="23"/>
        <v>11272</v>
      </c>
      <c r="L98" s="43">
        <f t="shared" si="23"/>
        <v>11459</v>
      </c>
      <c r="M98" s="43">
        <f t="shared" si="23"/>
        <v>10838</v>
      </c>
      <c r="N98" s="43">
        <f t="shared" si="23"/>
        <v>12664</v>
      </c>
      <c r="O98" s="44">
        <f t="shared" si="23"/>
        <v>129325</v>
      </c>
    </row>
    <row r="99" spans="1:15" ht="12">
      <c r="A99" s="24"/>
      <c r="O99" s="21"/>
    </row>
  </sheetData>
  <printOptions/>
  <pageMargins left="0.75" right="0.75" top="1" bottom="1" header="0.5" footer="0.5"/>
  <pageSetup horizontalDpi="600" verticalDpi="600" orientation="landscape" scale="70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101"/>
  <sheetViews>
    <sheetView workbookViewId="0" topLeftCell="A33">
      <selection activeCell="O57" sqref="O57"/>
    </sheetView>
  </sheetViews>
  <sheetFormatPr defaultColWidth="8.88671875" defaultRowHeight="15"/>
  <cols>
    <col min="1" max="1" width="12.4453125" style="2" customWidth="1"/>
    <col min="2" max="2" width="8.4453125" style="2" customWidth="1"/>
    <col min="3" max="3" width="8.21484375" style="2" customWidth="1"/>
    <col min="4" max="4" width="8.10546875" style="2" customWidth="1"/>
    <col min="5" max="5" width="8.4453125" style="2" customWidth="1"/>
    <col min="6" max="6" width="8.5546875" style="2" customWidth="1"/>
    <col min="7" max="7" width="7.88671875" style="2" customWidth="1"/>
    <col min="8" max="8" width="8.4453125" style="2" customWidth="1"/>
    <col min="9" max="9" width="7.99609375" style="2" customWidth="1"/>
    <col min="10" max="10" width="8.10546875" style="2" customWidth="1"/>
    <col min="11" max="11" width="9.99609375" style="2" customWidth="1"/>
    <col min="12" max="12" width="7.3359375" style="2" customWidth="1"/>
    <col min="13" max="13" width="7.6640625" style="2" customWidth="1"/>
    <col min="14" max="14" width="8.5546875" style="2" customWidth="1"/>
    <col min="15" max="15" width="8.99609375" style="2" customWidth="1"/>
    <col min="16" max="16" width="9.3359375" style="2" customWidth="1"/>
    <col min="17" max="17" width="8.5546875" style="2" customWidth="1"/>
    <col min="18" max="16384" width="8.88671875" style="2" customWidth="1"/>
  </cols>
  <sheetData>
    <row r="1" spans="1:16" ht="12">
      <c r="A1" s="3" t="s">
        <v>0</v>
      </c>
      <c r="B1" s="1"/>
      <c r="C1" s="1"/>
      <c r="D1" s="1"/>
      <c r="F1" s="3" t="s">
        <v>1</v>
      </c>
      <c r="P1" s="4" t="s">
        <v>2</v>
      </c>
    </row>
    <row r="2" spans="1:6" ht="12">
      <c r="A2" s="1"/>
      <c r="B2" s="1"/>
      <c r="C2" s="1"/>
      <c r="D2" s="1"/>
      <c r="F2" s="47" t="s">
        <v>2</v>
      </c>
    </row>
    <row r="3" spans="1:9" ht="12">
      <c r="A3" s="3" t="s">
        <v>3</v>
      </c>
      <c r="B3" s="1"/>
      <c r="C3" s="1"/>
      <c r="D3" s="1"/>
      <c r="I3" s="2" t="s">
        <v>2</v>
      </c>
    </row>
    <row r="4" spans="1:17" ht="12">
      <c r="A4" s="1"/>
      <c r="B4" s="1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36</v>
      </c>
    </row>
    <row r="5" spans="1:17" ht="12">
      <c r="A5" s="1" t="s">
        <v>18</v>
      </c>
      <c r="B5" s="5" t="s">
        <v>19</v>
      </c>
      <c r="C5" s="6">
        <v>307500</v>
      </c>
      <c r="D5" s="6">
        <v>282520</v>
      </c>
      <c r="E5" s="6">
        <v>344880</v>
      </c>
      <c r="F5" s="6">
        <v>305720</v>
      </c>
      <c r="G5" s="6">
        <v>348360</v>
      </c>
      <c r="H5" s="6">
        <v>306700</v>
      </c>
      <c r="I5" s="6">
        <v>280660</v>
      </c>
      <c r="J5" s="6">
        <v>249120</v>
      </c>
      <c r="K5" s="6">
        <v>248900</v>
      </c>
      <c r="L5" s="6">
        <v>256235</v>
      </c>
      <c r="M5" s="6">
        <v>384679</v>
      </c>
      <c r="N5" s="6">
        <v>295412</v>
      </c>
      <c r="O5" s="6">
        <f aca="true" t="shared" si="0" ref="O5:O12">SUM(C5:N5)</f>
        <v>3610686</v>
      </c>
      <c r="P5" s="7">
        <f aca="true" t="shared" si="1" ref="P5:P12">O5/2000</f>
        <v>1805.343</v>
      </c>
      <c r="Q5" s="8">
        <f aca="true" t="shared" si="2" ref="Q5:Q12">O5/$O$13</f>
        <v>0.4042895367912519</v>
      </c>
    </row>
    <row r="6" spans="1:17" ht="12">
      <c r="A6" s="1" t="s">
        <v>20</v>
      </c>
      <c r="B6" s="5" t="s">
        <v>19</v>
      </c>
      <c r="C6" s="6">
        <v>315740</v>
      </c>
      <c r="D6" s="6">
        <v>224040</v>
      </c>
      <c r="E6" s="6">
        <v>305800</v>
      </c>
      <c r="F6" s="6">
        <v>299200</v>
      </c>
      <c r="G6" s="6">
        <v>281040</v>
      </c>
      <c r="H6" s="6">
        <v>273440</v>
      </c>
      <c r="I6" s="6">
        <v>258000</v>
      </c>
      <c r="J6" s="6">
        <v>255080</v>
      </c>
      <c r="K6" s="6">
        <v>259000</v>
      </c>
      <c r="L6" s="6">
        <v>281745</v>
      </c>
      <c r="M6" s="6">
        <v>334570</v>
      </c>
      <c r="N6" s="6">
        <v>307458</v>
      </c>
      <c r="O6" s="6">
        <f t="shared" si="0"/>
        <v>3395113</v>
      </c>
      <c r="P6" s="7">
        <f t="shared" si="1"/>
        <v>1697.5565</v>
      </c>
      <c r="Q6" s="8">
        <f t="shared" si="2"/>
        <v>0.38015176676231544</v>
      </c>
    </row>
    <row r="7" spans="1:17" ht="12">
      <c r="A7" s="1" t="s">
        <v>21</v>
      </c>
      <c r="B7" s="5" t="s">
        <v>19</v>
      </c>
      <c r="C7" s="6">
        <v>53400</v>
      </c>
      <c r="D7" s="6">
        <v>30100</v>
      </c>
      <c r="E7" s="6">
        <v>40920</v>
      </c>
      <c r="F7" s="6">
        <v>37420</v>
      </c>
      <c r="G7" s="6">
        <v>43020</v>
      </c>
      <c r="H7" s="6">
        <v>36200</v>
      </c>
      <c r="I7" s="6">
        <v>40920</v>
      </c>
      <c r="J7" s="6">
        <v>27920</v>
      </c>
      <c r="K7" s="6">
        <v>35360</v>
      </c>
      <c r="L7" s="6">
        <v>36658</v>
      </c>
      <c r="M7" s="6">
        <v>26790</v>
      </c>
      <c r="N7" s="6">
        <v>34322</v>
      </c>
      <c r="O7" s="6">
        <f t="shared" si="0"/>
        <v>443030</v>
      </c>
      <c r="P7" s="7">
        <f t="shared" si="1"/>
        <v>221.515</v>
      </c>
      <c r="Q7" s="8">
        <f t="shared" si="2"/>
        <v>0.049606194912719725</v>
      </c>
    </row>
    <row r="8" spans="1:17" ht="12">
      <c r="A8" s="1" t="s">
        <v>22</v>
      </c>
      <c r="B8" s="5" t="s">
        <v>19</v>
      </c>
      <c r="C8" s="6">
        <v>11025</v>
      </c>
      <c r="D8" s="6">
        <v>11301</v>
      </c>
      <c r="E8" s="6">
        <v>11555</v>
      </c>
      <c r="F8" s="6">
        <v>9967</v>
      </c>
      <c r="G8" s="6">
        <v>8604</v>
      </c>
      <c r="H8" s="6">
        <v>9514</v>
      </c>
      <c r="I8" s="6">
        <v>9515</v>
      </c>
      <c r="J8" s="6">
        <v>6439</v>
      </c>
      <c r="K8" s="6">
        <v>6169</v>
      </c>
      <c r="L8" s="6">
        <v>4834</v>
      </c>
      <c r="M8" s="6">
        <v>4555</v>
      </c>
      <c r="N8" s="6">
        <v>3302</v>
      </c>
      <c r="O8" s="6">
        <f t="shared" si="0"/>
        <v>96780</v>
      </c>
      <c r="P8" s="7">
        <f t="shared" si="1"/>
        <v>48.39</v>
      </c>
      <c r="Q8" s="8">
        <f t="shared" si="2"/>
        <v>0.010836484083816027</v>
      </c>
    </row>
    <row r="9" spans="1:17" ht="12">
      <c r="A9" s="1" t="s">
        <v>23</v>
      </c>
      <c r="B9" s="5" t="s">
        <v>19</v>
      </c>
      <c r="C9" s="6">
        <v>21281</v>
      </c>
      <c r="D9" s="6">
        <v>21814</v>
      </c>
      <c r="E9" s="6">
        <v>22308</v>
      </c>
      <c r="F9" s="6">
        <v>19240</v>
      </c>
      <c r="G9" s="6">
        <v>16617</v>
      </c>
      <c r="H9" s="6">
        <v>18369</v>
      </c>
      <c r="I9" s="6">
        <v>18369</v>
      </c>
      <c r="J9" s="6">
        <v>15700</v>
      </c>
      <c r="K9" s="6">
        <v>15019</v>
      </c>
      <c r="L9" s="6">
        <v>19206</v>
      </c>
      <c r="M9" s="6">
        <v>18081</v>
      </c>
      <c r="N9" s="6">
        <v>13968</v>
      </c>
      <c r="O9" s="6">
        <f t="shared" si="0"/>
        <v>219972</v>
      </c>
      <c r="P9" s="7">
        <f t="shared" si="1"/>
        <v>109.986</v>
      </c>
      <c r="Q9" s="8">
        <f t="shared" si="2"/>
        <v>0.024630327308175028</v>
      </c>
    </row>
    <row r="10" spans="1:17" ht="12">
      <c r="A10" s="1" t="s">
        <v>24</v>
      </c>
      <c r="B10" s="5" t="s">
        <v>19</v>
      </c>
      <c r="C10" s="6">
        <v>24820</v>
      </c>
      <c r="D10" s="6">
        <v>12920</v>
      </c>
      <c r="E10" s="6">
        <v>21440</v>
      </c>
      <c r="F10" s="6">
        <v>20340</v>
      </c>
      <c r="G10" s="6">
        <f>19640+14560</f>
        <v>34200</v>
      </c>
      <c r="H10" s="6">
        <f>17080+8120</f>
        <v>25200</v>
      </c>
      <c r="I10" s="6">
        <v>20360</v>
      </c>
      <c r="J10" s="6">
        <v>16980</v>
      </c>
      <c r="K10" s="6">
        <v>18740</v>
      </c>
      <c r="L10" s="6">
        <v>11430</v>
      </c>
      <c r="M10" s="6">
        <v>19680</v>
      </c>
      <c r="N10" s="6">
        <v>17155</v>
      </c>
      <c r="O10" s="6">
        <f t="shared" si="0"/>
        <v>243265</v>
      </c>
      <c r="P10" s="7">
        <f t="shared" si="1"/>
        <v>121.6325</v>
      </c>
      <c r="Q10" s="8">
        <f t="shared" si="2"/>
        <v>0.027238451132976918</v>
      </c>
    </row>
    <row r="11" spans="1:17" ht="12">
      <c r="A11" s="1" t="s">
        <v>25</v>
      </c>
      <c r="B11" s="5" t="s">
        <v>19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25160</v>
      </c>
      <c r="K11" s="6">
        <v>45400</v>
      </c>
      <c r="L11" s="6">
        <v>55390</v>
      </c>
      <c r="M11" s="6">
        <v>30215</v>
      </c>
      <c r="N11" s="6">
        <v>71400</v>
      </c>
      <c r="O11" s="6">
        <f t="shared" si="0"/>
        <v>227565</v>
      </c>
      <c r="P11" s="7">
        <f t="shared" si="1"/>
        <v>113.7825</v>
      </c>
      <c r="Q11" s="8">
        <f t="shared" si="2"/>
        <v>0.02548051767445334</v>
      </c>
    </row>
    <row r="12" spans="1:17" ht="12">
      <c r="A12" s="1" t="s">
        <v>26</v>
      </c>
      <c r="B12" s="5" t="s">
        <v>19</v>
      </c>
      <c r="C12" s="6">
        <v>55520</v>
      </c>
      <c r="D12" s="6">
        <v>46480</v>
      </c>
      <c r="E12" s="6">
        <v>41260</v>
      </c>
      <c r="F12" s="6">
        <v>43300</v>
      </c>
      <c r="G12" s="6">
        <v>28710</v>
      </c>
      <c r="H12" s="6">
        <v>25560</v>
      </c>
      <c r="I12" s="6">
        <v>60320</v>
      </c>
      <c r="J12" s="6">
        <v>108280</v>
      </c>
      <c r="K12" s="6">
        <v>96000</v>
      </c>
      <c r="L12" s="6">
        <v>79360</v>
      </c>
      <c r="M12" s="6">
        <v>55540</v>
      </c>
      <c r="N12" s="6">
        <v>54200</v>
      </c>
      <c r="O12" s="6">
        <f t="shared" si="0"/>
        <v>694530</v>
      </c>
      <c r="P12" s="7">
        <f t="shared" si="1"/>
        <v>347.265</v>
      </c>
      <c r="Q12" s="8">
        <f t="shared" si="2"/>
        <v>0.07776672133429165</v>
      </c>
    </row>
    <row r="13" spans="1:17" ht="12">
      <c r="A13" s="2" t="s">
        <v>51</v>
      </c>
      <c r="B13" s="5"/>
      <c r="C13" s="6">
        <f>SUM(C5:C12)</f>
        <v>789286</v>
      </c>
      <c r="D13" s="6">
        <f aca="true" t="shared" si="3" ref="D13:N13">SUM(D5:D12)</f>
        <v>629175</v>
      </c>
      <c r="E13" s="6">
        <f t="shared" si="3"/>
        <v>788163</v>
      </c>
      <c r="F13" s="6">
        <f t="shared" si="3"/>
        <v>735187</v>
      </c>
      <c r="G13" s="6">
        <f t="shared" si="3"/>
        <v>760551</v>
      </c>
      <c r="H13" s="6">
        <f t="shared" si="3"/>
        <v>694983</v>
      </c>
      <c r="I13" s="6">
        <f t="shared" si="3"/>
        <v>688144</v>
      </c>
      <c r="J13" s="6">
        <f t="shared" si="3"/>
        <v>704679</v>
      </c>
      <c r="K13" s="6">
        <f t="shared" si="3"/>
        <v>724588</v>
      </c>
      <c r="L13" s="6">
        <f t="shared" si="3"/>
        <v>744858</v>
      </c>
      <c r="M13" s="6">
        <f t="shared" si="3"/>
        <v>874110</v>
      </c>
      <c r="N13" s="6">
        <f t="shared" si="3"/>
        <v>797217</v>
      </c>
      <c r="O13" s="9">
        <f>SUM(O5:O12)</f>
        <v>8930941</v>
      </c>
      <c r="P13" s="10">
        <f>SUM(P5:P12)</f>
        <v>4465.4705</v>
      </c>
      <c r="Q13" s="11">
        <f>SUM(Q5:Q12)</f>
        <v>1.0000000000000002</v>
      </c>
    </row>
    <row r="14" spans="1:17" ht="12">
      <c r="A14" s="3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2"/>
      <c r="P14" s="13"/>
      <c r="Q14" s="14"/>
    </row>
    <row r="15" spans="1:17" ht="12">
      <c r="A15" s="52" t="s">
        <v>52</v>
      </c>
      <c r="B15" s="5"/>
      <c r="C15" s="6">
        <f>20242+46</f>
        <v>20288</v>
      </c>
      <c r="D15" s="6">
        <f>20242+46</f>
        <v>20288</v>
      </c>
      <c r="E15" s="6">
        <f>20242+46</f>
        <v>20288</v>
      </c>
      <c r="F15" s="6">
        <f>20019+46</f>
        <v>20065</v>
      </c>
      <c r="G15" s="6">
        <f>20019+46</f>
        <v>20065</v>
      </c>
      <c r="H15" s="6">
        <f>20019+46</f>
        <v>20065</v>
      </c>
      <c r="I15" s="6">
        <f>21157+44</f>
        <v>21201</v>
      </c>
      <c r="J15" s="6">
        <f>21157+44</f>
        <v>21201</v>
      </c>
      <c r="K15" s="6">
        <f>21157+44</f>
        <v>21201</v>
      </c>
      <c r="L15" s="6">
        <f>21572+44</f>
        <v>21616</v>
      </c>
      <c r="M15" s="6">
        <f>21572+44</f>
        <v>21616</v>
      </c>
      <c r="N15" s="6">
        <f>21572+44</f>
        <v>21616</v>
      </c>
      <c r="O15" s="6">
        <f>SUM(C15:N15)/12</f>
        <v>20792.5</v>
      </c>
      <c r="P15" s="13"/>
      <c r="Q15" s="1"/>
    </row>
    <row r="16" spans="1:17" ht="12">
      <c r="A16" s="60" t="s">
        <v>56</v>
      </c>
      <c r="B16" s="5"/>
      <c r="C16" s="30">
        <f>C13/C15</f>
        <v>38.904081230283914</v>
      </c>
      <c r="D16" s="30">
        <f aca="true" t="shared" si="4" ref="D16:N16">D13/D15</f>
        <v>31.012174684542586</v>
      </c>
      <c r="E16" s="30">
        <f t="shared" si="4"/>
        <v>38.84872831230284</v>
      </c>
      <c r="F16" s="30">
        <f t="shared" si="4"/>
        <v>36.640269125342634</v>
      </c>
      <c r="G16" s="30">
        <f t="shared" si="4"/>
        <v>37.90436082731124</v>
      </c>
      <c r="H16" s="30">
        <f t="shared" si="4"/>
        <v>34.63658111138799</v>
      </c>
      <c r="I16" s="30">
        <f t="shared" si="4"/>
        <v>32.45809159945286</v>
      </c>
      <c r="J16" s="30">
        <f t="shared" si="4"/>
        <v>33.238007641149004</v>
      </c>
      <c r="K16" s="30">
        <f t="shared" si="4"/>
        <v>34.177067119475495</v>
      </c>
      <c r="L16" s="30">
        <f t="shared" si="4"/>
        <v>34.458641746854184</v>
      </c>
      <c r="M16" s="30">
        <f t="shared" si="4"/>
        <v>40.438101406365654</v>
      </c>
      <c r="N16" s="30">
        <f t="shared" si="4"/>
        <v>36.880875277572166</v>
      </c>
      <c r="O16" s="30">
        <f>SUM(C16:N16)/12</f>
        <v>35.79974834017005</v>
      </c>
      <c r="P16" s="13"/>
      <c r="Q16" s="1"/>
    </row>
    <row r="17" spans="1:45" ht="12">
      <c r="A17" s="1" t="s">
        <v>2</v>
      </c>
      <c r="B17" s="5"/>
      <c r="C17" s="30" t="s">
        <v>2</v>
      </c>
      <c r="D17" s="30" t="s">
        <v>2</v>
      </c>
      <c r="E17" s="30" t="s">
        <v>2</v>
      </c>
      <c r="F17" s="30" t="s">
        <v>2</v>
      </c>
      <c r="G17" s="30" t="s">
        <v>2</v>
      </c>
      <c r="H17" s="30" t="s">
        <v>2</v>
      </c>
      <c r="I17" s="30" t="s">
        <v>2</v>
      </c>
      <c r="J17" s="30" t="s">
        <v>2</v>
      </c>
      <c r="K17" s="30" t="s">
        <v>2</v>
      </c>
      <c r="L17" s="30" t="s">
        <v>2</v>
      </c>
      <c r="M17" s="30" t="s">
        <v>2</v>
      </c>
      <c r="N17" s="30" t="s">
        <v>2</v>
      </c>
      <c r="O17" s="30" t="s">
        <v>2</v>
      </c>
      <c r="P17" s="38"/>
      <c r="Q17" s="30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</row>
    <row r="18" spans="1:45" ht="12">
      <c r="A18" s="49" t="s">
        <v>54</v>
      </c>
      <c r="B18" s="50"/>
      <c r="C18" s="61">
        <v>25690</v>
      </c>
      <c r="D18" s="61">
        <v>25690</v>
      </c>
      <c r="E18" s="61">
        <v>25690</v>
      </c>
      <c r="F18" s="48">
        <v>25423</v>
      </c>
      <c r="G18" s="48">
        <v>25423</v>
      </c>
      <c r="H18" s="48">
        <v>25423</v>
      </c>
      <c r="I18" s="48">
        <v>26381</v>
      </c>
      <c r="J18" s="48">
        <v>26381</v>
      </c>
      <c r="K18" s="48">
        <v>26381</v>
      </c>
      <c r="L18" s="48">
        <v>26663</v>
      </c>
      <c r="M18" s="48">
        <v>26663</v>
      </c>
      <c r="N18" s="48">
        <v>26663</v>
      </c>
      <c r="O18" s="6">
        <f>SUM(C18:N18)/12</f>
        <v>26039.25</v>
      </c>
      <c r="P18" s="38"/>
      <c r="Q18" s="30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</row>
    <row r="19" spans="1:45" ht="12">
      <c r="A19" s="49" t="s">
        <v>55</v>
      </c>
      <c r="B19" s="50"/>
      <c r="C19" s="62">
        <f aca="true" t="shared" si="5" ref="C19:N19">C13/C18</f>
        <v>30.723472168158818</v>
      </c>
      <c r="D19" s="62">
        <f t="shared" si="5"/>
        <v>24.491047100038926</v>
      </c>
      <c r="E19" s="62">
        <f t="shared" si="5"/>
        <v>30.67975866095757</v>
      </c>
      <c r="F19" s="62">
        <f t="shared" si="5"/>
        <v>28.918184321283878</v>
      </c>
      <c r="G19" s="62">
        <f t="shared" si="5"/>
        <v>29.915863588089525</v>
      </c>
      <c r="H19" s="62">
        <f t="shared" si="5"/>
        <v>27.336781654407428</v>
      </c>
      <c r="I19" s="62">
        <f t="shared" si="5"/>
        <v>26.08483378188848</v>
      </c>
      <c r="J19" s="62">
        <f t="shared" si="5"/>
        <v>26.71161062886168</v>
      </c>
      <c r="K19" s="62">
        <f t="shared" si="5"/>
        <v>27.46628255183655</v>
      </c>
      <c r="L19" s="62">
        <f t="shared" si="5"/>
        <v>27.936016202227805</v>
      </c>
      <c r="M19" s="62">
        <f t="shared" si="5"/>
        <v>32.783632749503056</v>
      </c>
      <c r="N19" s="62">
        <f t="shared" si="5"/>
        <v>29.899748715448375</v>
      </c>
      <c r="O19" s="30">
        <f>SUM(C19:N19)/12</f>
        <v>28.578936010225174</v>
      </c>
      <c r="P19" s="38"/>
      <c r="Q19" s="30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</row>
    <row r="20" spans="1:17" ht="12">
      <c r="A20" s="1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2"/>
      <c r="P20" s="13"/>
      <c r="Q20" s="1"/>
    </row>
    <row r="21" spans="1:17" ht="12">
      <c r="A21" s="1"/>
      <c r="B21" s="1"/>
      <c r="C21" s="6" t="s">
        <v>2</v>
      </c>
      <c r="D21" s="6" t="s">
        <v>2</v>
      </c>
      <c r="E21" s="6"/>
      <c r="F21" s="6" t="s">
        <v>2</v>
      </c>
      <c r="G21" s="6"/>
      <c r="H21" s="6"/>
      <c r="I21" s="6"/>
      <c r="J21" s="6"/>
      <c r="K21" s="6"/>
      <c r="L21" s="6"/>
      <c r="M21" s="6"/>
      <c r="N21" s="6"/>
      <c r="O21" s="6"/>
      <c r="P21" s="7"/>
      <c r="Q21" s="1"/>
    </row>
    <row r="22" spans="1:17" ht="12">
      <c r="A22" s="3" t="s">
        <v>27</v>
      </c>
      <c r="B22" s="1"/>
      <c r="C22" s="6" t="s">
        <v>2</v>
      </c>
      <c r="D22" s="6"/>
      <c r="E22" s="16"/>
      <c r="F22" s="16" t="s">
        <v>2</v>
      </c>
      <c r="G22" s="16"/>
      <c r="H22" s="16"/>
      <c r="I22" s="16"/>
      <c r="J22" s="16"/>
      <c r="K22" s="16"/>
      <c r="L22" s="16"/>
      <c r="M22" s="16"/>
      <c r="N22" s="16"/>
      <c r="O22" s="16"/>
      <c r="P22" s="7"/>
      <c r="Q22" s="1"/>
    </row>
    <row r="23" spans="1:17" ht="12">
      <c r="A23" s="1"/>
      <c r="B23" s="1"/>
      <c r="C23" s="17" t="s">
        <v>4</v>
      </c>
      <c r="D23" s="17" t="s">
        <v>5</v>
      </c>
      <c r="E23" s="17" t="s">
        <v>6</v>
      </c>
      <c r="F23" s="17" t="s">
        <v>7</v>
      </c>
      <c r="G23" s="17" t="s">
        <v>8</v>
      </c>
      <c r="H23" s="17" t="s">
        <v>9</v>
      </c>
      <c r="I23" s="17" t="s">
        <v>10</v>
      </c>
      <c r="J23" s="17" t="s">
        <v>11</v>
      </c>
      <c r="K23" s="17" t="s">
        <v>12</v>
      </c>
      <c r="L23" s="17" t="s">
        <v>13</v>
      </c>
      <c r="M23" s="17" t="s">
        <v>14</v>
      </c>
      <c r="N23" s="17" t="s">
        <v>15</v>
      </c>
      <c r="O23" s="17" t="s">
        <v>16</v>
      </c>
      <c r="P23" s="18" t="s">
        <v>17</v>
      </c>
      <c r="Q23" s="5" t="s">
        <v>36</v>
      </c>
    </row>
    <row r="24" spans="1:17" ht="12">
      <c r="A24" s="1" t="s">
        <v>18</v>
      </c>
      <c r="B24" s="5" t="s">
        <v>19</v>
      </c>
      <c r="C24" s="6">
        <f>129520+9520</f>
        <v>139040</v>
      </c>
      <c r="D24" s="6">
        <f>117620+8820</f>
        <v>126440</v>
      </c>
      <c r="E24" s="6">
        <f>142340+10700</f>
        <v>153040</v>
      </c>
      <c r="F24" s="6">
        <f>130550+10120</f>
        <v>140670</v>
      </c>
      <c r="G24" s="6">
        <f>12360+145800</f>
        <v>158160</v>
      </c>
      <c r="H24" s="6">
        <f>131020+10160</f>
        <v>141180</v>
      </c>
      <c r="I24" s="6">
        <f>115960+9800</f>
        <v>125760</v>
      </c>
      <c r="J24" s="6">
        <f>95340+10040</f>
        <v>105380</v>
      </c>
      <c r="K24" s="6">
        <f>83770+7880</f>
        <v>91650</v>
      </c>
      <c r="L24" s="6">
        <f>88830+7360</f>
        <v>96190</v>
      </c>
      <c r="M24" s="6">
        <f>115710+8880</f>
        <v>124590</v>
      </c>
      <c r="N24" s="6">
        <f>102898+7750</f>
        <v>110648</v>
      </c>
      <c r="O24" s="6">
        <f aca="true" t="shared" si="6" ref="O24:O31">SUM(C24:N24)</f>
        <v>1512748</v>
      </c>
      <c r="P24" s="7">
        <f aca="true" t="shared" si="7" ref="P24:P31">O24/2000</f>
        <v>756.374</v>
      </c>
      <c r="Q24" s="8">
        <f aca="true" t="shared" si="8" ref="Q24:Q31">O24/$O$32</f>
        <v>0.3577309599499235</v>
      </c>
    </row>
    <row r="25" spans="1:17" ht="12">
      <c r="A25" s="1" t="s">
        <v>20</v>
      </c>
      <c r="B25" s="5" t="s">
        <v>19</v>
      </c>
      <c r="C25" s="6">
        <f>133100+9780</f>
        <v>142880</v>
      </c>
      <c r="D25" s="6">
        <f>93180+7000</f>
        <v>100180</v>
      </c>
      <c r="E25" s="6">
        <f>131180+9880</f>
        <v>141060</v>
      </c>
      <c r="F25" s="6">
        <f>127720+9900</f>
        <v>137620</v>
      </c>
      <c r="G25" s="6">
        <f>117630+9990</f>
        <v>127620</v>
      </c>
      <c r="H25" s="6">
        <f>116907+9070</f>
        <v>125977</v>
      </c>
      <c r="I25" s="6">
        <f>106360+9000</f>
        <v>115360</v>
      </c>
      <c r="J25" s="6">
        <f>99580+9370</f>
        <v>108950</v>
      </c>
      <c r="K25" s="6">
        <f>87180+8200</f>
        <v>95380</v>
      </c>
      <c r="L25" s="6">
        <f>106120+8790</f>
        <v>114910</v>
      </c>
      <c r="M25" s="6">
        <f>106585+8170</f>
        <v>114755</v>
      </c>
      <c r="N25" s="6">
        <f>107070+8060</f>
        <v>115130</v>
      </c>
      <c r="O25" s="6">
        <f t="shared" si="6"/>
        <v>1439822</v>
      </c>
      <c r="P25" s="7">
        <f t="shared" si="7"/>
        <v>719.911</v>
      </c>
      <c r="Q25" s="8">
        <f t="shared" si="8"/>
        <v>0.3404855972158078</v>
      </c>
    </row>
    <row r="26" spans="1:17" ht="12">
      <c r="A26" s="1" t="s">
        <v>21</v>
      </c>
      <c r="B26" s="5" t="s">
        <v>19</v>
      </c>
      <c r="C26" s="6">
        <f>22480+1660</f>
        <v>24140</v>
      </c>
      <c r="D26" s="6">
        <f>12480+940</f>
        <v>13420</v>
      </c>
      <c r="E26" s="6">
        <f>17600+1320</f>
        <v>18920</v>
      </c>
      <c r="F26" s="6">
        <f>15940+1240</f>
        <v>17180</v>
      </c>
      <c r="G26" s="6">
        <f>18020+1540</f>
        <v>19560</v>
      </c>
      <c r="H26" s="6">
        <f>15500+1200</f>
        <v>16700</v>
      </c>
      <c r="I26" s="6">
        <f>16900+1420</f>
        <v>18320</v>
      </c>
      <c r="J26" s="6">
        <f>11950+1130</f>
        <v>13080</v>
      </c>
      <c r="K26" s="6">
        <f>12490+1170</f>
        <v>13660</v>
      </c>
      <c r="L26" s="6">
        <f>11860+980</f>
        <v>12840</v>
      </c>
      <c r="M26" s="6">
        <f>11015+885</f>
        <v>11900</v>
      </c>
      <c r="N26" s="6">
        <f>12725+960</f>
        <v>13685</v>
      </c>
      <c r="O26" s="6">
        <f t="shared" si="6"/>
        <v>193405</v>
      </c>
      <c r="P26" s="7">
        <f t="shared" si="7"/>
        <v>96.7025</v>
      </c>
      <c r="Q26" s="8">
        <f t="shared" si="8"/>
        <v>0.04573594300512376</v>
      </c>
    </row>
    <row r="27" spans="1:17" ht="12">
      <c r="A27" s="1" t="s">
        <v>22</v>
      </c>
      <c r="B27" s="5" t="s">
        <v>19</v>
      </c>
      <c r="C27" s="6">
        <f>4643+341</f>
        <v>4984</v>
      </c>
      <c r="D27" s="6">
        <f>4705+353</f>
        <v>5058</v>
      </c>
      <c r="E27" s="6">
        <f>4954+373</f>
        <v>5327</v>
      </c>
      <c r="F27" s="6">
        <f>4255+330</f>
        <v>4585</v>
      </c>
      <c r="G27" s="6">
        <f>3604+303</f>
        <v>3907</v>
      </c>
      <c r="H27" s="6">
        <f>4060+315</f>
        <v>4375</v>
      </c>
      <c r="I27" s="6">
        <f>3887+329</f>
        <v>4216</v>
      </c>
      <c r="J27" s="6">
        <f>2650+261</f>
        <v>2911</v>
      </c>
      <c r="K27" s="6">
        <f>2562+241</f>
        <v>2803</v>
      </c>
      <c r="L27" s="6">
        <f>1680+139</f>
        <v>1819</v>
      </c>
      <c r="M27" s="6">
        <f>1454+112</f>
        <v>1566</v>
      </c>
      <c r="N27" s="6">
        <f>1382+104</f>
        <v>1486</v>
      </c>
      <c r="O27" s="6">
        <f t="shared" si="6"/>
        <v>43037</v>
      </c>
      <c r="P27" s="7">
        <f t="shared" si="7"/>
        <v>21.5185</v>
      </c>
      <c r="Q27" s="8">
        <f t="shared" si="8"/>
        <v>0.010177284863946182</v>
      </c>
    </row>
    <row r="28" spans="1:17" ht="12">
      <c r="A28" s="1" t="s">
        <v>23</v>
      </c>
      <c r="B28" s="5" t="s">
        <v>19</v>
      </c>
      <c r="C28" s="6">
        <f>8965+659</f>
        <v>9624</v>
      </c>
      <c r="D28" s="6">
        <f>9081+681</f>
        <v>9762</v>
      </c>
      <c r="E28" s="6">
        <f>9565+719</f>
        <v>10284</v>
      </c>
      <c r="F28" s="6">
        <f>8214+637</f>
        <v>8851</v>
      </c>
      <c r="G28" s="6">
        <f>6959+586</f>
        <v>7545</v>
      </c>
      <c r="H28" s="6">
        <f>7839+315</f>
        <v>8154</v>
      </c>
      <c r="I28" s="6">
        <f>7505+635</f>
        <v>8140</v>
      </c>
      <c r="J28" s="6">
        <f>6831+634</f>
        <v>7465</v>
      </c>
      <c r="K28" s="6">
        <f>6237+587</f>
        <v>6824</v>
      </c>
      <c r="L28" s="6">
        <f>6672+553</f>
        <v>7225</v>
      </c>
      <c r="M28" s="6">
        <f>5772+443</f>
        <v>6215</v>
      </c>
      <c r="N28" s="6">
        <f>5845+440</f>
        <v>6285</v>
      </c>
      <c r="O28" s="6">
        <f t="shared" si="6"/>
        <v>96374</v>
      </c>
      <c r="P28" s="7">
        <f t="shared" si="7"/>
        <v>48.187</v>
      </c>
      <c r="Q28" s="8">
        <f t="shared" si="8"/>
        <v>0.022790288623229994</v>
      </c>
    </row>
    <row r="29" spans="1:17" ht="12">
      <c r="A29" s="1" t="s">
        <v>24</v>
      </c>
      <c r="B29" s="5" t="s">
        <v>19</v>
      </c>
      <c r="C29" s="6">
        <f>10490+770</f>
        <v>11260</v>
      </c>
      <c r="D29" s="6">
        <f>5330+400</f>
        <v>5730</v>
      </c>
      <c r="E29" s="6">
        <f>9240+680</f>
        <v>9920</v>
      </c>
      <c r="F29" s="6">
        <f>8680+680</f>
        <v>9360</v>
      </c>
      <c r="G29" s="6">
        <f>8190+700</f>
        <v>8890</v>
      </c>
      <c r="H29" s="6">
        <f>7280+580</f>
        <v>7860</v>
      </c>
      <c r="I29" s="6">
        <f>8410+710</f>
        <v>9120</v>
      </c>
      <c r="J29" s="6">
        <f>4980+600</f>
        <v>5580</v>
      </c>
      <c r="K29" s="6">
        <f>6310+600</f>
        <v>6910</v>
      </c>
      <c r="L29" s="6">
        <f>3195+280</f>
        <v>3475</v>
      </c>
      <c r="M29" s="6">
        <f>5745+440</f>
        <v>6185</v>
      </c>
      <c r="N29" s="6">
        <f>5685+430</f>
        <v>6115</v>
      </c>
      <c r="O29" s="6">
        <f t="shared" si="6"/>
        <v>90405</v>
      </c>
      <c r="P29" s="7">
        <f t="shared" si="7"/>
        <v>45.2025</v>
      </c>
      <c r="Q29" s="8">
        <f t="shared" si="8"/>
        <v>0.02137875405174744</v>
      </c>
    </row>
    <row r="30" spans="1:17" ht="12">
      <c r="A30" s="1" t="s">
        <v>25</v>
      </c>
      <c r="B30" s="5" t="s">
        <v>19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f>13760+880</f>
        <v>14640</v>
      </c>
      <c r="K30" s="6">
        <f>15620+1460</f>
        <v>17080</v>
      </c>
      <c r="L30" s="6">
        <f>24970+2060</f>
        <v>27030</v>
      </c>
      <c r="M30" s="6">
        <f>9660+740</f>
        <v>10400</v>
      </c>
      <c r="N30" s="6">
        <f>26545+2000</f>
        <v>28545</v>
      </c>
      <c r="O30" s="6">
        <f t="shared" si="6"/>
        <v>97695</v>
      </c>
      <c r="P30" s="7">
        <f t="shared" si="7"/>
        <v>48.8475</v>
      </c>
      <c r="Q30" s="8">
        <f t="shared" si="8"/>
        <v>0.023102675483496114</v>
      </c>
    </row>
    <row r="31" spans="1:17" ht="12">
      <c r="A31" s="1" t="s">
        <v>26</v>
      </c>
      <c r="B31" s="5" t="s">
        <v>19</v>
      </c>
      <c r="C31" s="6">
        <f>83550+6140</f>
        <v>89690</v>
      </c>
      <c r="D31" s="6">
        <f>34070+2560</f>
        <v>36630</v>
      </c>
      <c r="E31" s="6">
        <f>46060+3460</f>
        <v>49520</v>
      </c>
      <c r="F31" s="6">
        <f>73920+5740</f>
        <v>79660</v>
      </c>
      <c r="G31" s="6">
        <f>35900+2950</f>
        <v>38850</v>
      </c>
      <c r="H31" s="6">
        <f>24290+1880</f>
        <v>26170</v>
      </c>
      <c r="I31" s="6">
        <f>11500+970</f>
        <v>12470</v>
      </c>
      <c r="J31" s="6">
        <f>89390+8420</f>
        <v>97810</v>
      </c>
      <c r="K31" s="6">
        <f>81400+7660</f>
        <v>89060</v>
      </c>
      <c r="L31" s="6">
        <f>67660+5600</f>
        <v>73260</v>
      </c>
      <c r="M31" s="6">
        <f>103780+7960</f>
        <v>111740</v>
      </c>
      <c r="N31" s="6">
        <f>46865+3520</f>
        <v>50385</v>
      </c>
      <c r="O31" s="6">
        <f t="shared" si="6"/>
        <v>755245</v>
      </c>
      <c r="P31" s="7">
        <f t="shared" si="7"/>
        <v>377.6225</v>
      </c>
      <c r="Q31" s="8">
        <f t="shared" si="8"/>
        <v>0.17859849680672524</v>
      </c>
    </row>
    <row r="32" spans="1:17" ht="12">
      <c r="A32" s="2" t="s">
        <v>51</v>
      </c>
      <c r="B32" s="5"/>
      <c r="C32" s="6">
        <f>SUM(C24:C31)</f>
        <v>421618</v>
      </c>
      <c r="D32" s="6">
        <f aca="true" t="shared" si="9" ref="D32:N32">SUM(D24:D31)</f>
        <v>297220</v>
      </c>
      <c r="E32" s="6">
        <f t="shared" si="9"/>
        <v>388071</v>
      </c>
      <c r="F32" s="6">
        <f t="shared" si="9"/>
        <v>397926</v>
      </c>
      <c r="G32" s="6">
        <f t="shared" si="9"/>
        <v>364532</v>
      </c>
      <c r="H32" s="6">
        <f t="shared" si="9"/>
        <v>330416</v>
      </c>
      <c r="I32" s="6">
        <f t="shared" si="9"/>
        <v>293386</v>
      </c>
      <c r="J32" s="6">
        <f t="shared" si="9"/>
        <v>355816</v>
      </c>
      <c r="K32" s="6">
        <f t="shared" si="9"/>
        <v>323367</v>
      </c>
      <c r="L32" s="6">
        <f t="shared" si="9"/>
        <v>336749</v>
      </c>
      <c r="M32" s="6">
        <f t="shared" si="9"/>
        <v>387351</v>
      </c>
      <c r="N32" s="6">
        <f t="shared" si="9"/>
        <v>332279</v>
      </c>
      <c r="O32" s="9">
        <f>SUM(O24:O31)</f>
        <v>4228731</v>
      </c>
      <c r="P32" s="10">
        <f>SUM(P24:P31)</f>
        <v>2114.3655</v>
      </c>
      <c r="Q32" s="11">
        <f>SUM(Q24:Q31)</f>
        <v>1</v>
      </c>
    </row>
    <row r="33" spans="1:17" ht="12">
      <c r="A33" s="3"/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2"/>
      <c r="P33" s="13"/>
      <c r="Q33" s="14"/>
    </row>
    <row r="34" spans="1:17" ht="12">
      <c r="A34" s="52" t="s">
        <v>52</v>
      </c>
      <c r="B34" s="5"/>
      <c r="C34" s="6">
        <f>11309+18</f>
        <v>11327</v>
      </c>
      <c r="D34" s="6">
        <f>11309+18</f>
        <v>11327</v>
      </c>
      <c r="E34" s="6">
        <f>11309+18</f>
        <v>11327</v>
      </c>
      <c r="F34" s="6">
        <f>11125+15</f>
        <v>11140</v>
      </c>
      <c r="G34" s="6">
        <f>11125+15</f>
        <v>11140</v>
      </c>
      <c r="H34" s="6">
        <f>11125+15</f>
        <v>11140</v>
      </c>
      <c r="I34" s="6">
        <f>11693+16</f>
        <v>11709</v>
      </c>
      <c r="J34" s="6">
        <f>11693+16</f>
        <v>11709</v>
      </c>
      <c r="K34" s="6">
        <f>11693+16</f>
        <v>11709</v>
      </c>
      <c r="L34" s="6">
        <f>11805+15</f>
        <v>11820</v>
      </c>
      <c r="M34" s="6">
        <f>11805+15</f>
        <v>11820</v>
      </c>
      <c r="N34" s="6">
        <f>11805+15</f>
        <v>11820</v>
      </c>
      <c r="O34" s="6">
        <f>SUM(B34:N34)/12</f>
        <v>11499</v>
      </c>
      <c r="P34" s="13"/>
      <c r="Q34" s="1"/>
    </row>
    <row r="35" spans="1:17" ht="12">
      <c r="A35" s="60" t="s">
        <v>56</v>
      </c>
      <c r="B35" s="5"/>
      <c r="C35" s="30">
        <f>C32/C34</f>
        <v>37.22238898207822</v>
      </c>
      <c r="D35" s="30">
        <f aca="true" t="shared" si="10" ref="D35:N35">D32/D34</f>
        <v>26.23995762337777</v>
      </c>
      <c r="E35" s="30">
        <f t="shared" si="10"/>
        <v>34.26070451134458</v>
      </c>
      <c r="F35" s="30">
        <f t="shared" si="10"/>
        <v>35.72046678635547</v>
      </c>
      <c r="G35" s="30">
        <f t="shared" si="10"/>
        <v>32.72280071813285</v>
      </c>
      <c r="H35" s="30">
        <f t="shared" si="10"/>
        <v>29.66032315978456</v>
      </c>
      <c r="I35" s="30">
        <f t="shared" si="10"/>
        <v>25.056452301648303</v>
      </c>
      <c r="J35" s="30">
        <f t="shared" si="10"/>
        <v>30.388248355965498</v>
      </c>
      <c r="K35" s="30">
        <f t="shared" si="10"/>
        <v>27.616961311811426</v>
      </c>
      <c r="L35" s="30">
        <f t="shared" si="10"/>
        <v>28.489763113367175</v>
      </c>
      <c r="M35" s="30">
        <f t="shared" si="10"/>
        <v>32.77081218274112</v>
      </c>
      <c r="N35" s="30">
        <f t="shared" si="10"/>
        <v>28.111590524534687</v>
      </c>
      <c r="O35" s="30">
        <f>SUM(C35:N35)/12</f>
        <v>30.688372464261803</v>
      </c>
      <c r="P35" s="13"/>
      <c r="Q35" s="1"/>
    </row>
    <row r="36" spans="1:17" ht="12">
      <c r="A36" s="60"/>
      <c r="B36" s="5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13"/>
      <c r="Q36" s="1"/>
    </row>
    <row r="37" spans="1:17" ht="12">
      <c r="A37" s="49" t="s">
        <v>54</v>
      </c>
      <c r="B37" s="50"/>
      <c r="C37" s="61">
        <v>13214</v>
      </c>
      <c r="D37" s="61">
        <v>13214</v>
      </c>
      <c r="E37" s="61">
        <v>13214</v>
      </c>
      <c r="F37" s="48">
        <v>13039</v>
      </c>
      <c r="G37" s="48">
        <v>13039</v>
      </c>
      <c r="H37" s="48">
        <v>13039</v>
      </c>
      <c r="I37" s="48">
        <v>13603</v>
      </c>
      <c r="J37" s="48">
        <v>13603</v>
      </c>
      <c r="K37" s="48">
        <v>13603</v>
      </c>
      <c r="L37" s="48">
        <v>13709</v>
      </c>
      <c r="M37" s="48">
        <v>13709</v>
      </c>
      <c r="N37" s="48">
        <v>13709</v>
      </c>
      <c r="O37" s="6">
        <f>SUM(B37:N37)/12</f>
        <v>13391.25</v>
      </c>
      <c r="P37" s="13"/>
      <c r="Q37" s="1"/>
    </row>
    <row r="38" spans="1:36" ht="12">
      <c r="A38" s="49" t="s">
        <v>55</v>
      </c>
      <c r="B38" s="50"/>
      <c r="C38" s="62">
        <f aca="true" t="shared" si="11" ref="C38:N38">C32/C37</f>
        <v>31.906916906311487</v>
      </c>
      <c r="D38" s="62">
        <f t="shared" si="11"/>
        <v>22.49281065536552</v>
      </c>
      <c r="E38" s="62">
        <f t="shared" si="11"/>
        <v>29.368170122597245</v>
      </c>
      <c r="F38" s="62">
        <f t="shared" si="11"/>
        <v>30.518137894010277</v>
      </c>
      <c r="G38" s="62">
        <f t="shared" si="11"/>
        <v>27.957051921159596</v>
      </c>
      <c r="H38" s="62">
        <f t="shared" si="11"/>
        <v>25.340593603803974</v>
      </c>
      <c r="I38" s="62">
        <f t="shared" si="11"/>
        <v>21.567742409762552</v>
      </c>
      <c r="J38" s="62">
        <f t="shared" si="11"/>
        <v>26.157171212232594</v>
      </c>
      <c r="K38" s="62">
        <f t="shared" si="11"/>
        <v>23.771741527604206</v>
      </c>
      <c r="L38" s="62">
        <f t="shared" si="11"/>
        <v>24.56408198993362</v>
      </c>
      <c r="M38" s="62">
        <f t="shared" si="11"/>
        <v>28.255233788022466</v>
      </c>
      <c r="N38" s="62">
        <f t="shared" si="11"/>
        <v>24.238018819753446</v>
      </c>
      <c r="O38" s="30">
        <f>SUM(C38:N38)/12</f>
        <v>26.34480590421308</v>
      </c>
      <c r="P38" s="38" t="s">
        <v>2</v>
      </c>
      <c r="Q38" s="30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</row>
    <row r="39" spans="1:17" ht="12">
      <c r="A39" s="1"/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2"/>
      <c r="P39" s="13"/>
      <c r="Q39" s="1"/>
    </row>
    <row r="40" spans="1:17" ht="12">
      <c r="A40" s="3" t="s">
        <v>28</v>
      </c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 t="s">
        <v>2</v>
      </c>
      <c r="P40" s="7"/>
      <c r="Q40" s="1"/>
    </row>
    <row r="41" spans="1:17" ht="12">
      <c r="A41" s="3" t="s">
        <v>41</v>
      </c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 t="s">
        <v>2</v>
      </c>
      <c r="P41" s="1"/>
      <c r="Q41" s="1"/>
    </row>
    <row r="42" spans="1:17" ht="12">
      <c r="A42" s="1"/>
      <c r="B42" s="1"/>
      <c r="C42" s="17" t="s">
        <v>4</v>
      </c>
      <c r="D42" s="17" t="s">
        <v>5</v>
      </c>
      <c r="E42" s="17" t="s">
        <v>6</v>
      </c>
      <c r="F42" s="17" t="s">
        <v>7</v>
      </c>
      <c r="G42" s="17" t="s">
        <v>8</v>
      </c>
      <c r="H42" s="17" t="s">
        <v>9</v>
      </c>
      <c r="I42" s="17" t="s">
        <v>10</v>
      </c>
      <c r="J42" s="17" t="s">
        <v>11</v>
      </c>
      <c r="K42" s="17" t="s">
        <v>12</v>
      </c>
      <c r="L42" s="17" t="s">
        <v>13</v>
      </c>
      <c r="M42" s="17" t="s">
        <v>14</v>
      </c>
      <c r="N42" s="17" t="s">
        <v>15</v>
      </c>
      <c r="O42" s="17" t="s">
        <v>16</v>
      </c>
      <c r="P42" s="18" t="s">
        <v>17</v>
      </c>
      <c r="Q42" s="5" t="s">
        <v>36</v>
      </c>
    </row>
    <row r="43" spans="1:17" ht="12">
      <c r="A43" s="1" t="str">
        <f aca="true" t="shared" si="12" ref="A43:B47">A5</f>
        <v>Newspaper</v>
      </c>
      <c r="B43" s="5" t="str">
        <f t="shared" si="12"/>
        <v>Lbs</v>
      </c>
      <c r="C43" s="6">
        <f aca="true" t="shared" si="13" ref="C43:N43">C5+C24</f>
        <v>446540</v>
      </c>
      <c r="D43" s="6">
        <f t="shared" si="13"/>
        <v>408960</v>
      </c>
      <c r="E43" s="6">
        <f t="shared" si="13"/>
        <v>497920</v>
      </c>
      <c r="F43" s="6">
        <f t="shared" si="13"/>
        <v>446390</v>
      </c>
      <c r="G43" s="6">
        <f t="shared" si="13"/>
        <v>506520</v>
      </c>
      <c r="H43" s="6">
        <f t="shared" si="13"/>
        <v>447880</v>
      </c>
      <c r="I43" s="6">
        <f t="shared" si="13"/>
        <v>406420</v>
      </c>
      <c r="J43" s="6">
        <f t="shared" si="13"/>
        <v>354500</v>
      </c>
      <c r="K43" s="6">
        <f t="shared" si="13"/>
        <v>340550</v>
      </c>
      <c r="L43" s="6">
        <f t="shared" si="13"/>
        <v>352425</v>
      </c>
      <c r="M43" s="6">
        <f t="shared" si="13"/>
        <v>509269</v>
      </c>
      <c r="N43" s="6">
        <f t="shared" si="13"/>
        <v>406060</v>
      </c>
      <c r="O43" s="6">
        <f aca="true" t="shared" si="14" ref="O43:O50">SUM(C43:N43)</f>
        <v>5123434</v>
      </c>
      <c r="P43" s="7">
        <f aca="true" t="shared" si="15" ref="P43:P50">O43/2000</f>
        <v>2561.717</v>
      </c>
      <c r="Q43" s="8">
        <f aca="true" t="shared" si="16" ref="Q43:Q50">O43/$O$51</f>
        <v>0.3893283966348097</v>
      </c>
    </row>
    <row r="44" spans="1:17" ht="12">
      <c r="A44" s="1" t="str">
        <f t="shared" si="12"/>
        <v>Mixed Paper</v>
      </c>
      <c r="B44" s="5" t="str">
        <f t="shared" si="12"/>
        <v>Lbs</v>
      </c>
      <c r="C44" s="6">
        <f aca="true" t="shared" si="17" ref="C44:N44">C6+C25</f>
        <v>458620</v>
      </c>
      <c r="D44" s="6">
        <f t="shared" si="17"/>
        <v>324220</v>
      </c>
      <c r="E44" s="6">
        <f t="shared" si="17"/>
        <v>446860</v>
      </c>
      <c r="F44" s="6">
        <f t="shared" si="17"/>
        <v>436820</v>
      </c>
      <c r="G44" s="6">
        <f t="shared" si="17"/>
        <v>408660</v>
      </c>
      <c r="H44" s="6">
        <f t="shared" si="17"/>
        <v>399417</v>
      </c>
      <c r="I44" s="6">
        <f t="shared" si="17"/>
        <v>373360</v>
      </c>
      <c r="J44" s="6">
        <f t="shared" si="17"/>
        <v>364030</v>
      </c>
      <c r="K44" s="6">
        <f t="shared" si="17"/>
        <v>354380</v>
      </c>
      <c r="L44" s="6">
        <f t="shared" si="17"/>
        <v>396655</v>
      </c>
      <c r="M44" s="6">
        <f t="shared" si="17"/>
        <v>449325</v>
      </c>
      <c r="N44" s="6">
        <f t="shared" si="17"/>
        <v>422588</v>
      </c>
      <c r="O44" s="6">
        <f t="shared" si="14"/>
        <v>4834935</v>
      </c>
      <c r="P44" s="7">
        <f t="shared" si="15"/>
        <v>2417.4675</v>
      </c>
      <c r="Q44" s="8">
        <f t="shared" si="16"/>
        <v>0.367405433813244</v>
      </c>
    </row>
    <row r="45" spans="1:17" ht="12">
      <c r="A45" s="1" t="str">
        <f t="shared" si="12"/>
        <v>Cardboard</v>
      </c>
      <c r="B45" s="5" t="str">
        <f t="shared" si="12"/>
        <v>Lbs</v>
      </c>
      <c r="C45" s="6">
        <f aca="true" t="shared" si="18" ref="C45:N45">C7+C26</f>
        <v>77540</v>
      </c>
      <c r="D45" s="6">
        <f t="shared" si="18"/>
        <v>43520</v>
      </c>
      <c r="E45" s="6">
        <f t="shared" si="18"/>
        <v>59840</v>
      </c>
      <c r="F45" s="6">
        <f t="shared" si="18"/>
        <v>54600</v>
      </c>
      <c r="G45" s="6">
        <f t="shared" si="18"/>
        <v>62580</v>
      </c>
      <c r="H45" s="6">
        <f t="shared" si="18"/>
        <v>52900</v>
      </c>
      <c r="I45" s="6">
        <f t="shared" si="18"/>
        <v>59240</v>
      </c>
      <c r="J45" s="6">
        <f t="shared" si="18"/>
        <v>41000</v>
      </c>
      <c r="K45" s="6">
        <f t="shared" si="18"/>
        <v>49020</v>
      </c>
      <c r="L45" s="6">
        <f t="shared" si="18"/>
        <v>49498</v>
      </c>
      <c r="M45" s="6">
        <f t="shared" si="18"/>
        <v>38690</v>
      </c>
      <c r="N45" s="6">
        <f t="shared" si="18"/>
        <v>48007</v>
      </c>
      <c r="O45" s="6">
        <f t="shared" si="14"/>
        <v>636435</v>
      </c>
      <c r="P45" s="7">
        <f t="shared" si="15"/>
        <v>318.2175</v>
      </c>
      <c r="Q45" s="8">
        <f t="shared" si="16"/>
        <v>0.04836252757667516</v>
      </c>
    </row>
    <row r="46" spans="1:17" ht="12">
      <c r="A46" s="1" t="str">
        <f t="shared" si="12"/>
        <v>Aluminum Cans   </v>
      </c>
      <c r="B46" s="5" t="str">
        <f t="shared" si="12"/>
        <v>Lbs</v>
      </c>
      <c r="C46" s="6">
        <f aca="true" t="shared" si="19" ref="C46:N46">C8+C27</f>
        <v>16009</v>
      </c>
      <c r="D46" s="6">
        <f t="shared" si="19"/>
        <v>16359</v>
      </c>
      <c r="E46" s="6">
        <f t="shared" si="19"/>
        <v>16882</v>
      </c>
      <c r="F46" s="6">
        <f t="shared" si="19"/>
        <v>14552</v>
      </c>
      <c r="G46" s="6">
        <f t="shared" si="19"/>
        <v>12511</v>
      </c>
      <c r="H46" s="6">
        <f t="shared" si="19"/>
        <v>13889</v>
      </c>
      <c r="I46" s="6">
        <f t="shared" si="19"/>
        <v>13731</v>
      </c>
      <c r="J46" s="6">
        <f t="shared" si="19"/>
        <v>9350</v>
      </c>
      <c r="K46" s="6">
        <f t="shared" si="19"/>
        <v>8972</v>
      </c>
      <c r="L46" s="6">
        <f t="shared" si="19"/>
        <v>6653</v>
      </c>
      <c r="M46" s="6">
        <f t="shared" si="19"/>
        <v>6121</v>
      </c>
      <c r="N46" s="6">
        <f t="shared" si="19"/>
        <v>4788</v>
      </c>
      <c r="O46" s="6">
        <f t="shared" si="14"/>
        <v>139817</v>
      </c>
      <c r="P46" s="7">
        <f t="shared" si="15"/>
        <v>69.9085</v>
      </c>
      <c r="Q46" s="8">
        <f t="shared" si="16"/>
        <v>0.010624656906342346</v>
      </c>
    </row>
    <row r="47" spans="1:17" ht="12">
      <c r="A47" s="1" t="str">
        <f t="shared" si="12"/>
        <v>Tin</v>
      </c>
      <c r="B47" s="5" t="str">
        <f t="shared" si="12"/>
        <v>Lbs</v>
      </c>
      <c r="C47" s="6">
        <f aca="true" t="shared" si="20" ref="C47:N47">C9+C28</f>
        <v>30905</v>
      </c>
      <c r="D47" s="6">
        <f t="shared" si="20"/>
        <v>31576</v>
      </c>
      <c r="E47" s="6">
        <f t="shared" si="20"/>
        <v>32592</v>
      </c>
      <c r="F47" s="6">
        <f t="shared" si="20"/>
        <v>28091</v>
      </c>
      <c r="G47" s="6">
        <f t="shared" si="20"/>
        <v>24162</v>
      </c>
      <c r="H47" s="6">
        <f t="shared" si="20"/>
        <v>26523</v>
      </c>
      <c r="I47" s="6">
        <f t="shared" si="20"/>
        <v>26509</v>
      </c>
      <c r="J47" s="6">
        <f t="shared" si="20"/>
        <v>23165</v>
      </c>
      <c r="K47" s="6">
        <f t="shared" si="20"/>
        <v>21843</v>
      </c>
      <c r="L47" s="6">
        <f t="shared" si="20"/>
        <v>26431</v>
      </c>
      <c r="M47" s="6">
        <f t="shared" si="20"/>
        <v>24296</v>
      </c>
      <c r="N47" s="6">
        <f t="shared" si="20"/>
        <v>20253</v>
      </c>
      <c r="O47" s="6">
        <f t="shared" si="14"/>
        <v>316346</v>
      </c>
      <c r="P47" s="7">
        <f t="shared" si="15"/>
        <v>158.173</v>
      </c>
      <c r="Q47" s="8">
        <f t="shared" si="16"/>
        <v>0.024039048997573798</v>
      </c>
    </row>
    <row r="48" spans="1:17" ht="12">
      <c r="A48" s="1" t="s">
        <v>24</v>
      </c>
      <c r="B48" s="5" t="s">
        <v>19</v>
      </c>
      <c r="C48" s="6">
        <f aca="true" t="shared" si="21" ref="C48:N48">C10+C29</f>
        <v>36080</v>
      </c>
      <c r="D48" s="6">
        <f t="shared" si="21"/>
        <v>18650</v>
      </c>
      <c r="E48" s="6">
        <f t="shared" si="21"/>
        <v>31360</v>
      </c>
      <c r="F48" s="6">
        <f t="shared" si="21"/>
        <v>29700</v>
      </c>
      <c r="G48" s="6">
        <f t="shared" si="21"/>
        <v>43090</v>
      </c>
      <c r="H48" s="6">
        <f t="shared" si="21"/>
        <v>33060</v>
      </c>
      <c r="I48" s="6">
        <f t="shared" si="21"/>
        <v>29480</v>
      </c>
      <c r="J48" s="6">
        <f t="shared" si="21"/>
        <v>22560</v>
      </c>
      <c r="K48" s="6">
        <f t="shared" si="21"/>
        <v>25650</v>
      </c>
      <c r="L48" s="6">
        <f t="shared" si="21"/>
        <v>14905</v>
      </c>
      <c r="M48" s="6">
        <f t="shared" si="21"/>
        <v>25865</v>
      </c>
      <c r="N48" s="6">
        <f t="shared" si="21"/>
        <v>23270</v>
      </c>
      <c r="O48" s="6">
        <f t="shared" si="14"/>
        <v>333670</v>
      </c>
      <c r="P48" s="7">
        <f t="shared" si="15"/>
        <v>166.835</v>
      </c>
      <c r="Q48" s="8">
        <f t="shared" si="16"/>
        <v>0.025355495182554703</v>
      </c>
    </row>
    <row r="49" spans="1:17" ht="12">
      <c r="A49" s="1" t="s">
        <v>25</v>
      </c>
      <c r="B49" s="5" t="s">
        <v>19</v>
      </c>
      <c r="C49" s="6">
        <f aca="true" t="shared" si="22" ref="C49:N49">C11+C30</f>
        <v>0</v>
      </c>
      <c r="D49" s="6">
        <f t="shared" si="22"/>
        <v>0</v>
      </c>
      <c r="E49" s="6">
        <f t="shared" si="22"/>
        <v>0</v>
      </c>
      <c r="F49" s="6">
        <f t="shared" si="22"/>
        <v>0</v>
      </c>
      <c r="G49" s="6">
        <f t="shared" si="22"/>
        <v>0</v>
      </c>
      <c r="H49" s="6">
        <f t="shared" si="22"/>
        <v>0</v>
      </c>
      <c r="I49" s="6">
        <f t="shared" si="22"/>
        <v>0</v>
      </c>
      <c r="J49" s="6">
        <f t="shared" si="22"/>
        <v>39800</v>
      </c>
      <c r="K49" s="6">
        <f t="shared" si="22"/>
        <v>62480</v>
      </c>
      <c r="L49" s="6">
        <f t="shared" si="22"/>
        <v>82420</v>
      </c>
      <c r="M49" s="6">
        <f t="shared" si="22"/>
        <v>40615</v>
      </c>
      <c r="N49" s="6">
        <f t="shared" si="22"/>
        <v>99945</v>
      </c>
      <c r="O49" s="6">
        <f t="shared" si="14"/>
        <v>325260</v>
      </c>
      <c r="P49" s="7">
        <f t="shared" si="15"/>
        <v>162.63</v>
      </c>
      <c r="Q49" s="8">
        <f t="shared" si="16"/>
        <v>0.024716421503514677</v>
      </c>
    </row>
    <row r="50" spans="1:17" ht="12">
      <c r="A50" s="1" t="str">
        <f>A12</f>
        <v>Glass</v>
      </c>
      <c r="B50" s="5" t="str">
        <f>B12</f>
        <v>Lbs</v>
      </c>
      <c r="C50" s="6">
        <f aca="true" t="shared" si="23" ref="C50:N50">C12+C31</f>
        <v>145210</v>
      </c>
      <c r="D50" s="6">
        <f t="shared" si="23"/>
        <v>83110</v>
      </c>
      <c r="E50" s="6">
        <f t="shared" si="23"/>
        <v>90780</v>
      </c>
      <c r="F50" s="6">
        <f t="shared" si="23"/>
        <v>122960</v>
      </c>
      <c r="G50" s="6">
        <f t="shared" si="23"/>
        <v>67560</v>
      </c>
      <c r="H50" s="6">
        <f t="shared" si="23"/>
        <v>51730</v>
      </c>
      <c r="I50" s="6">
        <f t="shared" si="23"/>
        <v>72790</v>
      </c>
      <c r="J50" s="6">
        <f t="shared" si="23"/>
        <v>206090</v>
      </c>
      <c r="K50" s="6">
        <f t="shared" si="23"/>
        <v>185060</v>
      </c>
      <c r="L50" s="6">
        <f t="shared" si="23"/>
        <v>152620</v>
      </c>
      <c r="M50" s="6">
        <f t="shared" si="23"/>
        <v>167280</v>
      </c>
      <c r="N50" s="6">
        <f t="shared" si="23"/>
        <v>104585</v>
      </c>
      <c r="O50" s="6">
        <f t="shared" si="14"/>
        <v>1449775</v>
      </c>
      <c r="P50" s="7">
        <f t="shared" si="15"/>
        <v>724.8875</v>
      </c>
      <c r="Q50" s="8">
        <f t="shared" si="16"/>
        <v>0.11016801938528559</v>
      </c>
    </row>
    <row r="51" spans="1:17" ht="12">
      <c r="A51" s="3" t="s">
        <v>3</v>
      </c>
      <c r="B51" s="5"/>
      <c r="C51" s="6">
        <f>SUM(C43:C50)</f>
        <v>1210904</v>
      </c>
      <c r="D51" s="6">
        <f aca="true" t="shared" si="24" ref="D51:N51">SUM(D43:D50)</f>
        <v>926395</v>
      </c>
      <c r="E51" s="6">
        <f t="shared" si="24"/>
        <v>1176234</v>
      </c>
      <c r="F51" s="6">
        <f t="shared" si="24"/>
        <v>1133113</v>
      </c>
      <c r="G51" s="6">
        <f t="shared" si="24"/>
        <v>1125083</v>
      </c>
      <c r="H51" s="6">
        <f t="shared" si="24"/>
        <v>1025399</v>
      </c>
      <c r="I51" s="6">
        <f t="shared" si="24"/>
        <v>981530</v>
      </c>
      <c r="J51" s="6">
        <f t="shared" si="24"/>
        <v>1060495</v>
      </c>
      <c r="K51" s="6">
        <f t="shared" si="24"/>
        <v>1047955</v>
      </c>
      <c r="L51" s="6">
        <f t="shared" si="24"/>
        <v>1081607</v>
      </c>
      <c r="M51" s="6">
        <f t="shared" si="24"/>
        <v>1261461</v>
      </c>
      <c r="N51" s="6">
        <f t="shared" si="24"/>
        <v>1129496</v>
      </c>
      <c r="O51" s="9">
        <f>SUM(O43:O50)</f>
        <v>13159672</v>
      </c>
      <c r="P51" s="10">
        <f>SUM(P43:P50)</f>
        <v>6579.835999999999</v>
      </c>
      <c r="Q51" s="11">
        <f>SUM(Q43:Q50)</f>
        <v>1.0000000000000002</v>
      </c>
    </row>
    <row r="52" spans="1:17" ht="12">
      <c r="A52" s="3"/>
      <c r="B52" s="1"/>
      <c r="C52" s="6" t="s">
        <v>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12"/>
      <c r="P52" s="13"/>
      <c r="Q52" s="14"/>
    </row>
    <row r="53" spans="1:17" ht="12">
      <c r="A53" s="52" t="s">
        <v>52</v>
      </c>
      <c r="B53" s="5"/>
      <c r="C53" s="6">
        <f aca="true" t="shared" si="25" ref="C53:N53">C15+C34</f>
        <v>31615</v>
      </c>
      <c r="D53" s="6">
        <f t="shared" si="25"/>
        <v>31615</v>
      </c>
      <c r="E53" s="6">
        <f t="shared" si="25"/>
        <v>31615</v>
      </c>
      <c r="F53" s="6">
        <f t="shared" si="25"/>
        <v>31205</v>
      </c>
      <c r="G53" s="6">
        <f t="shared" si="25"/>
        <v>31205</v>
      </c>
      <c r="H53" s="6">
        <f t="shared" si="25"/>
        <v>31205</v>
      </c>
      <c r="I53" s="6">
        <f t="shared" si="25"/>
        <v>32910</v>
      </c>
      <c r="J53" s="6">
        <f t="shared" si="25"/>
        <v>32910</v>
      </c>
      <c r="K53" s="6">
        <f t="shared" si="25"/>
        <v>32910</v>
      </c>
      <c r="L53" s="6">
        <f t="shared" si="25"/>
        <v>33436</v>
      </c>
      <c r="M53" s="6">
        <f t="shared" si="25"/>
        <v>33436</v>
      </c>
      <c r="N53" s="6">
        <f t="shared" si="25"/>
        <v>33436</v>
      </c>
      <c r="O53" s="6">
        <f>SUM(C53:N53)/12</f>
        <v>32291.5</v>
      </c>
      <c r="P53" s="7"/>
      <c r="Q53" s="1"/>
    </row>
    <row r="54" spans="1:17" ht="12">
      <c r="A54" s="60" t="s">
        <v>56</v>
      </c>
      <c r="B54" s="5"/>
      <c r="C54" s="30">
        <f>C51/C53</f>
        <v>38.30156571247825</v>
      </c>
      <c r="D54" s="30">
        <f aca="true" t="shared" si="26" ref="D54:N54">D51/D53</f>
        <v>29.302388106911277</v>
      </c>
      <c r="E54" s="30">
        <f t="shared" si="26"/>
        <v>37.20493436659813</v>
      </c>
      <c r="F54" s="30">
        <f t="shared" si="26"/>
        <v>36.311905143406506</v>
      </c>
      <c r="G54" s="30">
        <f t="shared" si="26"/>
        <v>36.05457458740587</v>
      </c>
      <c r="H54" s="30">
        <f t="shared" si="26"/>
        <v>32.86008652459542</v>
      </c>
      <c r="I54" s="30">
        <f t="shared" si="26"/>
        <v>29.824673351564876</v>
      </c>
      <c r="J54" s="30">
        <f t="shared" si="26"/>
        <v>32.224096019446975</v>
      </c>
      <c r="K54" s="30">
        <f t="shared" si="26"/>
        <v>31.84305682163476</v>
      </c>
      <c r="L54" s="30">
        <f t="shared" si="26"/>
        <v>32.34857638473502</v>
      </c>
      <c r="M54" s="30">
        <f t="shared" si="26"/>
        <v>37.72762890297883</v>
      </c>
      <c r="N54" s="30">
        <f t="shared" si="26"/>
        <v>33.78083502811341</v>
      </c>
      <c r="O54" s="30">
        <f>SUM(C54:N54)/12</f>
        <v>33.982026745822445</v>
      </c>
      <c r="P54" s="1" t="s">
        <v>2</v>
      </c>
      <c r="Q54" s="1"/>
    </row>
    <row r="55" spans="1:27" ht="12">
      <c r="A55" s="60"/>
      <c r="B55" s="5"/>
      <c r="C55" s="30" t="s">
        <v>2</v>
      </c>
      <c r="D55" s="30" t="s">
        <v>2</v>
      </c>
      <c r="E55" s="30" t="s">
        <v>2</v>
      </c>
      <c r="F55" s="30" t="s">
        <v>2</v>
      </c>
      <c r="G55" s="30" t="s">
        <v>2</v>
      </c>
      <c r="H55" s="30" t="s">
        <v>2</v>
      </c>
      <c r="I55" s="30" t="s">
        <v>2</v>
      </c>
      <c r="J55" s="30" t="s">
        <v>2</v>
      </c>
      <c r="K55" s="30" t="s">
        <v>2</v>
      </c>
      <c r="L55" s="30" t="s">
        <v>2</v>
      </c>
      <c r="M55" s="30" t="s">
        <v>2</v>
      </c>
      <c r="N55" s="30" t="s">
        <v>2</v>
      </c>
      <c r="O55" s="30" t="s">
        <v>2</v>
      </c>
      <c r="P55" s="30"/>
      <c r="Q55" s="30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12">
      <c r="A56" s="49" t="s">
        <v>54</v>
      </c>
      <c r="B56" s="50"/>
      <c r="C56" s="48">
        <f>C18+C37</f>
        <v>38904</v>
      </c>
      <c r="D56" s="48">
        <f aca="true" t="shared" si="27" ref="D56:N56">D18+D37</f>
        <v>38904</v>
      </c>
      <c r="E56" s="48">
        <f t="shared" si="27"/>
        <v>38904</v>
      </c>
      <c r="F56" s="48">
        <f t="shared" si="27"/>
        <v>38462</v>
      </c>
      <c r="G56" s="48">
        <f t="shared" si="27"/>
        <v>38462</v>
      </c>
      <c r="H56" s="48">
        <f t="shared" si="27"/>
        <v>38462</v>
      </c>
      <c r="I56" s="48">
        <f t="shared" si="27"/>
        <v>39984</v>
      </c>
      <c r="J56" s="48">
        <f t="shared" si="27"/>
        <v>39984</v>
      </c>
      <c r="K56" s="48">
        <f t="shared" si="27"/>
        <v>39984</v>
      </c>
      <c r="L56" s="48">
        <f t="shared" si="27"/>
        <v>40372</v>
      </c>
      <c r="M56" s="48">
        <f t="shared" si="27"/>
        <v>40372</v>
      </c>
      <c r="N56" s="48">
        <f t="shared" si="27"/>
        <v>40372</v>
      </c>
      <c r="O56" s="6">
        <f>SUM(C56:N56)/12</f>
        <v>39430.5</v>
      </c>
      <c r="P56" s="30"/>
      <c r="Q56" s="30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12">
      <c r="A57" s="49" t="s">
        <v>55</v>
      </c>
      <c r="B57" s="50"/>
      <c r="C57" s="30">
        <f>C51/C56</f>
        <v>31.125436973061895</v>
      </c>
      <c r="D57" s="30">
        <f aca="true" t="shared" si="28" ref="D57:N57">D51/D56</f>
        <v>23.81233292206457</v>
      </c>
      <c r="E57" s="30">
        <f t="shared" si="28"/>
        <v>30.234268969771747</v>
      </c>
      <c r="F57" s="30">
        <f t="shared" si="28"/>
        <v>29.460584472986323</v>
      </c>
      <c r="G57" s="30">
        <f t="shared" si="28"/>
        <v>29.25180697831626</v>
      </c>
      <c r="H57" s="30">
        <f t="shared" si="28"/>
        <v>26.66005407935105</v>
      </c>
      <c r="I57" s="30">
        <f t="shared" si="28"/>
        <v>24.548069227691077</v>
      </c>
      <c r="J57" s="30">
        <f t="shared" si="28"/>
        <v>26.52298419367747</v>
      </c>
      <c r="K57" s="30">
        <f t="shared" si="28"/>
        <v>26.2093587434974</v>
      </c>
      <c r="L57" s="30">
        <f t="shared" si="28"/>
        <v>26.79101852769246</v>
      </c>
      <c r="M57" s="30">
        <f t="shared" si="28"/>
        <v>31.245937778658476</v>
      </c>
      <c r="N57" s="30">
        <f t="shared" si="28"/>
        <v>27.977211929059745</v>
      </c>
      <c r="O57" s="30">
        <f>SUM(C57:N57)/12</f>
        <v>27.81992206631904</v>
      </c>
      <c r="P57" s="30"/>
      <c r="Q57" s="30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61" spans="1:16" ht="12">
      <c r="A61" s="3" t="s">
        <v>0</v>
      </c>
      <c r="B61" s="1"/>
      <c r="C61" s="1"/>
      <c r="D61" s="1"/>
      <c r="F61" s="3" t="s">
        <v>42</v>
      </c>
      <c r="P61" s="4" t="s">
        <v>2</v>
      </c>
    </row>
    <row r="62" spans="1:6" ht="12">
      <c r="A62" s="1"/>
      <c r="B62" s="1"/>
      <c r="C62" s="1"/>
      <c r="D62" s="1"/>
      <c r="F62" s="2" t="s">
        <v>2</v>
      </c>
    </row>
    <row r="63" spans="1:9" ht="12">
      <c r="A63" s="1" t="s">
        <v>3</v>
      </c>
      <c r="B63" s="1"/>
      <c r="C63" s="1"/>
      <c r="D63" s="1"/>
      <c r="I63" s="2" t="s">
        <v>2</v>
      </c>
    </row>
    <row r="64" spans="1:16" ht="12">
      <c r="A64" s="1"/>
      <c r="B64" s="1"/>
      <c r="C64" s="5" t="s">
        <v>4</v>
      </c>
      <c r="D64" s="5" t="s">
        <v>5</v>
      </c>
      <c r="E64" s="5" t="s">
        <v>6</v>
      </c>
      <c r="F64" s="5" t="s">
        <v>7</v>
      </c>
      <c r="G64" s="5" t="s">
        <v>8</v>
      </c>
      <c r="H64" s="5" t="s">
        <v>9</v>
      </c>
      <c r="I64" s="5" t="s">
        <v>10</v>
      </c>
      <c r="J64" s="5" t="s">
        <v>11</v>
      </c>
      <c r="K64" s="5" t="s">
        <v>12</v>
      </c>
      <c r="L64" s="5" t="s">
        <v>13</v>
      </c>
      <c r="M64" s="5" t="s">
        <v>14</v>
      </c>
      <c r="N64" s="5" t="s">
        <v>15</v>
      </c>
      <c r="O64" s="5" t="s">
        <v>16</v>
      </c>
      <c r="P64" s="5" t="s">
        <v>2</v>
      </c>
    </row>
    <row r="65" spans="1:16" ht="12">
      <c r="A65" s="1" t="s">
        <v>18</v>
      </c>
      <c r="B65" s="5"/>
      <c r="C65" s="6">
        <v>4305</v>
      </c>
      <c r="D65" s="6">
        <v>3955</v>
      </c>
      <c r="E65" s="6">
        <v>4828</v>
      </c>
      <c r="F65" s="6">
        <v>4280</v>
      </c>
      <c r="G65" s="6">
        <v>3658</v>
      </c>
      <c r="H65" s="6">
        <v>3220</v>
      </c>
      <c r="I65" s="6">
        <v>2947</v>
      </c>
      <c r="J65" s="6">
        <v>2616</v>
      </c>
      <c r="K65" s="6">
        <v>2240</v>
      </c>
      <c r="L65" s="6">
        <v>2690</v>
      </c>
      <c r="M65" s="6">
        <v>3366</v>
      </c>
      <c r="N65" s="6">
        <v>2585</v>
      </c>
      <c r="O65" s="6">
        <f aca="true" t="shared" si="29" ref="O65:O72">SUM(C65:N65)</f>
        <v>40690</v>
      </c>
      <c r="P65" s="7" t="s">
        <v>2</v>
      </c>
    </row>
    <row r="66" spans="1:16" ht="12">
      <c r="A66" s="1" t="s">
        <v>20</v>
      </c>
      <c r="B66" s="5"/>
      <c r="C66" s="6">
        <v>2368</v>
      </c>
      <c r="D66" s="6">
        <v>1680</v>
      </c>
      <c r="E66" s="6">
        <v>2294</v>
      </c>
      <c r="F66" s="6">
        <v>1870</v>
      </c>
      <c r="G66" s="6">
        <v>1405</v>
      </c>
      <c r="H66" s="6">
        <v>1367</v>
      </c>
      <c r="I66" s="6">
        <v>1290</v>
      </c>
      <c r="J66" s="6">
        <v>1275</v>
      </c>
      <c r="K66" s="6">
        <v>1295</v>
      </c>
      <c r="L66" s="6">
        <v>1409</v>
      </c>
      <c r="M66" s="6">
        <v>1673</v>
      </c>
      <c r="N66" s="6">
        <v>1537</v>
      </c>
      <c r="O66" s="6">
        <f t="shared" si="29"/>
        <v>19463</v>
      </c>
      <c r="P66" s="7" t="s">
        <v>2</v>
      </c>
    </row>
    <row r="67" spans="1:16" ht="12">
      <c r="A67" s="1" t="s">
        <v>21</v>
      </c>
      <c r="B67" s="5"/>
      <c r="C67" s="6">
        <v>587</v>
      </c>
      <c r="D67" s="6">
        <v>301</v>
      </c>
      <c r="E67" s="6">
        <v>450</v>
      </c>
      <c r="F67" s="6">
        <v>337</v>
      </c>
      <c r="G67" s="6">
        <v>387</v>
      </c>
      <c r="H67" s="6">
        <v>326</v>
      </c>
      <c r="I67" s="6">
        <v>368</v>
      </c>
      <c r="J67" s="6">
        <v>272</v>
      </c>
      <c r="K67" s="6">
        <v>495</v>
      </c>
      <c r="L67" s="6">
        <v>458</v>
      </c>
      <c r="M67" s="6">
        <v>478</v>
      </c>
      <c r="N67" s="6">
        <v>446</v>
      </c>
      <c r="O67" s="6">
        <f t="shared" si="29"/>
        <v>4905</v>
      </c>
      <c r="P67" s="7" t="s">
        <v>2</v>
      </c>
    </row>
    <row r="68" spans="1:16" ht="12">
      <c r="A68" s="1" t="s">
        <v>22</v>
      </c>
      <c r="B68" s="5"/>
      <c r="C68" s="6">
        <v>2756</v>
      </c>
      <c r="D68" s="6">
        <v>2825</v>
      </c>
      <c r="E68" s="6">
        <v>2889</v>
      </c>
      <c r="F68" s="6">
        <v>2492</v>
      </c>
      <c r="G68" s="6">
        <v>2151</v>
      </c>
      <c r="H68" s="6">
        <v>2379</v>
      </c>
      <c r="I68" s="6">
        <v>2379</v>
      </c>
      <c r="J68" s="6">
        <v>1610</v>
      </c>
      <c r="K68" s="6">
        <v>1066</v>
      </c>
      <c r="L68" s="6">
        <v>1160</v>
      </c>
      <c r="M68" s="6">
        <v>1093</v>
      </c>
      <c r="N68" s="6">
        <v>794</v>
      </c>
      <c r="O68" s="6">
        <f t="shared" si="29"/>
        <v>23594</v>
      </c>
      <c r="P68" s="7" t="s">
        <v>2</v>
      </c>
    </row>
    <row r="69" spans="1:16" ht="12">
      <c r="A69" s="1" t="s">
        <v>23</v>
      </c>
      <c r="B69" s="5"/>
      <c r="C69" s="6">
        <v>-266</v>
      </c>
      <c r="D69" s="6">
        <v>-273</v>
      </c>
      <c r="E69" s="6">
        <v>-279</v>
      </c>
      <c r="F69" s="6">
        <v>-241</v>
      </c>
      <c r="G69" s="6">
        <v>-208</v>
      </c>
      <c r="H69" s="6">
        <v>-230</v>
      </c>
      <c r="I69" s="6">
        <v>-230</v>
      </c>
      <c r="J69" s="6">
        <v>-196</v>
      </c>
      <c r="K69" s="6">
        <v>-212</v>
      </c>
      <c r="L69" s="6">
        <v>-240</v>
      </c>
      <c r="M69" s="6">
        <v>-226</v>
      </c>
      <c r="N69" s="6">
        <v>-175</v>
      </c>
      <c r="O69" s="6">
        <f t="shared" si="29"/>
        <v>-2776</v>
      </c>
      <c r="P69" s="7" t="s">
        <v>2</v>
      </c>
    </row>
    <row r="70" spans="1:16" ht="12">
      <c r="A70" s="1" t="s">
        <v>24</v>
      </c>
      <c r="B70" s="5"/>
      <c r="C70" s="6">
        <v>1986</v>
      </c>
      <c r="D70" s="6">
        <v>1034</v>
      </c>
      <c r="E70" s="6">
        <v>1715</v>
      </c>
      <c r="F70" s="6">
        <v>1627</v>
      </c>
      <c r="G70" s="6">
        <v>1571</v>
      </c>
      <c r="H70" s="6">
        <v>1366</v>
      </c>
      <c r="I70" s="6">
        <v>1629</v>
      </c>
      <c r="J70" s="6">
        <v>1019</v>
      </c>
      <c r="K70" s="6">
        <v>1124</v>
      </c>
      <c r="L70" s="6">
        <v>629</v>
      </c>
      <c r="M70" s="6">
        <v>984</v>
      </c>
      <c r="N70" s="6">
        <v>858</v>
      </c>
      <c r="O70" s="6">
        <f t="shared" si="29"/>
        <v>15542</v>
      </c>
      <c r="P70" s="7" t="s">
        <v>2</v>
      </c>
    </row>
    <row r="71" spans="1:16" ht="12">
      <c r="A71" s="1" t="s">
        <v>25</v>
      </c>
      <c r="B71" s="5"/>
      <c r="C71" s="6">
        <v>0</v>
      </c>
      <c r="D71" s="6">
        <v>0</v>
      </c>
      <c r="E71" s="6">
        <v>0</v>
      </c>
      <c r="F71" s="6">
        <v>0</v>
      </c>
      <c r="G71" s="6"/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f t="shared" si="29"/>
        <v>0</v>
      </c>
      <c r="P71" s="7" t="s">
        <v>2</v>
      </c>
    </row>
    <row r="72" spans="1:16" ht="12">
      <c r="A72" s="1" t="s">
        <v>26</v>
      </c>
      <c r="B72" s="5"/>
      <c r="C72" s="6">
        <v>694</v>
      </c>
      <c r="D72" s="6">
        <v>-37</v>
      </c>
      <c r="E72" s="6">
        <v>432</v>
      </c>
      <c r="F72" s="6">
        <v>300</v>
      </c>
      <c r="G72" s="6">
        <v>145</v>
      </c>
      <c r="H72" s="6">
        <v>111</v>
      </c>
      <c r="I72" s="6">
        <v>336</v>
      </c>
      <c r="J72" s="6">
        <v>349</v>
      </c>
      <c r="K72" s="6">
        <v>842</v>
      </c>
      <c r="L72" s="6">
        <v>831</v>
      </c>
      <c r="M72" s="6">
        <v>-20</v>
      </c>
      <c r="N72" s="6">
        <v>-32</v>
      </c>
      <c r="O72" s="6">
        <f t="shared" si="29"/>
        <v>3951</v>
      </c>
      <c r="P72" s="7" t="s">
        <v>2</v>
      </c>
    </row>
    <row r="73" spans="1:16" ht="12">
      <c r="A73" s="2" t="s">
        <v>51</v>
      </c>
      <c r="B73" s="5"/>
      <c r="C73" s="41">
        <f aca="true" t="shared" si="30" ref="C73:O73">SUM(C65:C72)</f>
        <v>12430</v>
      </c>
      <c r="D73" s="41">
        <f t="shared" si="30"/>
        <v>9485</v>
      </c>
      <c r="E73" s="41">
        <f t="shared" si="30"/>
        <v>12329</v>
      </c>
      <c r="F73" s="41">
        <f t="shared" si="30"/>
        <v>10665</v>
      </c>
      <c r="G73" s="41">
        <f t="shared" si="30"/>
        <v>9109</v>
      </c>
      <c r="H73" s="41">
        <f t="shared" si="30"/>
        <v>8539</v>
      </c>
      <c r="I73" s="41">
        <f t="shared" si="30"/>
        <v>8719</v>
      </c>
      <c r="J73" s="41">
        <f t="shared" si="30"/>
        <v>6945</v>
      </c>
      <c r="K73" s="41">
        <f t="shared" si="30"/>
        <v>6850</v>
      </c>
      <c r="L73" s="41">
        <f t="shared" si="30"/>
        <v>6937</v>
      </c>
      <c r="M73" s="41">
        <f t="shared" si="30"/>
        <v>7348</v>
      </c>
      <c r="N73" s="41">
        <f t="shared" si="30"/>
        <v>6013</v>
      </c>
      <c r="O73" s="42">
        <f t="shared" si="30"/>
        <v>105369</v>
      </c>
      <c r="P73" s="10" t="s">
        <v>2</v>
      </c>
    </row>
    <row r="74" spans="1:16" ht="12">
      <c r="A74" s="3"/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12"/>
      <c r="P74" s="13" t="s">
        <v>2</v>
      </c>
    </row>
    <row r="75" spans="1:16" ht="12">
      <c r="A75" s="1"/>
      <c r="B75" s="1"/>
      <c r="C75" s="6" t="s">
        <v>2</v>
      </c>
      <c r="D75" s="6" t="s">
        <v>2</v>
      </c>
      <c r="E75" s="6"/>
      <c r="F75" s="6" t="s">
        <v>2</v>
      </c>
      <c r="G75" s="6"/>
      <c r="H75" s="6"/>
      <c r="I75" s="6"/>
      <c r="J75" s="6"/>
      <c r="K75" s="6"/>
      <c r="L75" s="6"/>
      <c r="M75" s="6"/>
      <c r="N75" s="6"/>
      <c r="O75" s="6"/>
      <c r="P75" s="7"/>
    </row>
    <row r="76" spans="1:16" ht="12">
      <c r="A76" s="3" t="s">
        <v>27</v>
      </c>
      <c r="B76" s="1"/>
      <c r="C76" s="6" t="s">
        <v>2</v>
      </c>
      <c r="D76" s="6"/>
      <c r="E76" s="16"/>
      <c r="F76" s="16" t="s">
        <v>2</v>
      </c>
      <c r="G76" s="16"/>
      <c r="H76" s="16"/>
      <c r="I76" s="16"/>
      <c r="J76" s="16"/>
      <c r="K76" s="16"/>
      <c r="L76" s="16"/>
      <c r="M76" s="16"/>
      <c r="N76" s="16"/>
      <c r="O76" s="16"/>
      <c r="P76" s="7"/>
    </row>
    <row r="77" spans="1:16" ht="12">
      <c r="A77" s="1"/>
      <c r="B77" s="1"/>
      <c r="C77" s="17" t="s">
        <v>4</v>
      </c>
      <c r="D77" s="17" t="s">
        <v>5</v>
      </c>
      <c r="E77" s="17" t="s">
        <v>6</v>
      </c>
      <c r="F77" s="17" t="s">
        <v>7</v>
      </c>
      <c r="G77" s="17" t="s">
        <v>8</v>
      </c>
      <c r="H77" s="17" t="s">
        <v>9</v>
      </c>
      <c r="I77" s="17" t="s">
        <v>10</v>
      </c>
      <c r="J77" s="17" t="s">
        <v>11</v>
      </c>
      <c r="K77" s="17" t="s">
        <v>12</v>
      </c>
      <c r="L77" s="17" t="s">
        <v>13</v>
      </c>
      <c r="M77" s="17" t="s">
        <v>14</v>
      </c>
      <c r="N77" s="17" t="s">
        <v>15</v>
      </c>
      <c r="O77" s="17" t="s">
        <v>16</v>
      </c>
      <c r="P77" s="18" t="s">
        <v>2</v>
      </c>
    </row>
    <row r="78" spans="1:16" ht="12">
      <c r="A78" s="1" t="s">
        <v>18</v>
      </c>
      <c r="B78" s="5" t="s">
        <v>2</v>
      </c>
      <c r="C78" s="6">
        <v>1947</v>
      </c>
      <c r="D78" s="6">
        <v>1770</v>
      </c>
      <c r="E78" s="6">
        <v>2143</v>
      </c>
      <c r="F78" s="6">
        <v>1969</v>
      </c>
      <c r="G78" s="6">
        <v>1661</v>
      </c>
      <c r="H78" s="6">
        <v>1330</v>
      </c>
      <c r="I78" s="6">
        <v>1122</v>
      </c>
      <c r="J78" s="6">
        <v>1107</v>
      </c>
      <c r="K78" s="6">
        <v>962</v>
      </c>
      <c r="L78" s="6">
        <v>1010</v>
      </c>
      <c r="M78" s="6">
        <v>1090</v>
      </c>
      <c r="N78" s="6">
        <v>968</v>
      </c>
      <c r="O78" s="6">
        <f aca="true" t="shared" si="31" ref="O78:O85">SUM(C78:N78)</f>
        <v>17079</v>
      </c>
      <c r="P78" s="7" t="s">
        <v>2</v>
      </c>
    </row>
    <row r="79" spans="1:16" ht="12">
      <c r="A79" s="1" t="s">
        <v>20</v>
      </c>
      <c r="B79" s="5" t="s">
        <v>2</v>
      </c>
      <c r="C79" s="6">
        <v>1072</v>
      </c>
      <c r="D79" s="6">
        <v>751</v>
      </c>
      <c r="E79" s="6">
        <v>1058</v>
      </c>
      <c r="F79" s="6">
        <v>860</v>
      </c>
      <c r="G79" s="6">
        <v>638</v>
      </c>
      <c r="H79" s="6">
        <v>602</v>
      </c>
      <c r="I79" s="6">
        <v>540</v>
      </c>
      <c r="J79" s="6">
        <v>545</v>
      </c>
      <c r="K79" s="6">
        <v>477</v>
      </c>
      <c r="L79" s="6">
        <v>575</v>
      </c>
      <c r="M79" s="6">
        <v>574</v>
      </c>
      <c r="N79" s="6">
        <v>576</v>
      </c>
      <c r="O79" s="6">
        <f t="shared" si="31"/>
        <v>8268</v>
      </c>
      <c r="P79" s="7" t="s">
        <v>2</v>
      </c>
    </row>
    <row r="80" spans="1:16" ht="12">
      <c r="A80" s="1" t="s">
        <v>21</v>
      </c>
      <c r="B80" s="5" t="s">
        <v>2</v>
      </c>
      <c r="C80" s="6">
        <v>266</v>
      </c>
      <c r="D80" s="6">
        <v>134</v>
      </c>
      <c r="E80" s="6">
        <v>208</v>
      </c>
      <c r="F80" s="6">
        <v>155</v>
      </c>
      <c r="G80" s="6">
        <v>176</v>
      </c>
      <c r="H80" s="6">
        <v>104</v>
      </c>
      <c r="I80" s="6">
        <v>92</v>
      </c>
      <c r="J80" s="6">
        <v>125</v>
      </c>
      <c r="K80" s="6">
        <v>191</v>
      </c>
      <c r="L80" s="6">
        <v>161</v>
      </c>
      <c r="M80" s="6">
        <v>155</v>
      </c>
      <c r="N80" s="6">
        <v>178</v>
      </c>
      <c r="O80" s="6">
        <f t="shared" si="31"/>
        <v>1945</v>
      </c>
      <c r="P80" s="7" t="s">
        <v>2</v>
      </c>
    </row>
    <row r="81" spans="1:16" ht="12">
      <c r="A81" s="1" t="s">
        <v>22</v>
      </c>
      <c r="B81" s="5" t="s">
        <v>2</v>
      </c>
      <c r="C81" s="6">
        <v>1246</v>
      </c>
      <c r="D81" s="6">
        <v>1265</v>
      </c>
      <c r="E81" s="6">
        <v>1332</v>
      </c>
      <c r="F81" s="6">
        <v>1146</v>
      </c>
      <c r="G81" s="6">
        <v>977</v>
      </c>
      <c r="H81" s="6">
        <v>1094</v>
      </c>
      <c r="I81" s="6">
        <v>1054</v>
      </c>
      <c r="J81" s="6">
        <v>727</v>
      </c>
      <c r="K81" s="6">
        <v>701</v>
      </c>
      <c r="L81" s="6">
        <v>435</v>
      </c>
      <c r="M81" s="6">
        <v>376</v>
      </c>
      <c r="N81" s="6">
        <v>357</v>
      </c>
      <c r="O81" s="6">
        <f t="shared" si="31"/>
        <v>10710</v>
      </c>
      <c r="P81" s="7" t="s">
        <v>2</v>
      </c>
    </row>
    <row r="82" spans="1:16" ht="12">
      <c r="A82" s="1" t="s">
        <v>23</v>
      </c>
      <c r="B82" s="5" t="s">
        <v>2</v>
      </c>
      <c r="C82" s="6">
        <v>-125</v>
      </c>
      <c r="D82" s="6">
        <v>-128</v>
      </c>
      <c r="E82" s="6">
        <v>-133</v>
      </c>
      <c r="F82" s="6">
        <v>-114</v>
      </c>
      <c r="G82" s="6">
        <v>-98</v>
      </c>
      <c r="H82" s="6">
        <v>-109</v>
      </c>
      <c r="I82" s="6">
        <v>-107</v>
      </c>
      <c r="J82" s="6">
        <v>-104</v>
      </c>
      <c r="K82" s="6">
        <v>-85</v>
      </c>
      <c r="L82" s="6">
        <v>-90</v>
      </c>
      <c r="M82" s="6">
        <v>-78</v>
      </c>
      <c r="N82" s="6">
        <v>-443</v>
      </c>
      <c r="O82" s="6">
        <f t="shared" si="31"/>
        <v>-1614</v>
      </c>
      <c r="P82" s="7" t="s">
        <v>2</v>
      </c>
    </row>
    <row r="83" spans="1:16" ht="12">
      <c r="A83" s="1" t="s">
        <v>24</v>
      </c>
      <c r="B83" s="5" t="s">
        <v>2</v>
      </c>
      <c r="C83" s="6">
        <v>901</v>
      </c>
      <c r="D83" s="6">
        <v>458</v>
      </c>
      <c r="E83" s="6">
        <v>794</v>
      </c>
      <c r="F83" s="6">
        <v>749</v>
      </c>
      <c r="G83" s="6">
        <v>711</v>
      </c>
      <c r="H83" s="6">
        <v>629</v>
      </c>
      <c r="I83" s="6">
        <v>730</v>
      </c>
      <c r="J83" s="6">
        <v>290</v>
      </c>
      <c r="K83" s="6">
        <v>415</v>
      </c>
      <c r="L83" s="6">
        <v>191</v>
      </c>
      <c r="M83" s="6">
        <v>309</v>
      </c>
      <c r="N83" s="6">
        <v>306</v>
      </c>
      <c r="O83" s="6">
        <f t="shared" si="31"/>
        <v>6483</v>
      </c>
      <c r="P83" s="7" t="s">
        <v>2</v>
      </c>
    </row>
    <row r="84" spans="1:16" ht="12">
      <c r="A84" s="1" t="s">
        <v>25</v>
      </c>
      <c r="B84" s="5" t="s">
        <v>2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f t="shared" si="31"/>
        <v>0</v>
      </c>
      <c r="P84" s="7" t="s">
        <v>2</v>
      </c>
    </row>
    <row r="85" spans="1:16" ht="12">
      <c r="A85" s="1" t="s">
        <v>26</v>
      </c>
      <c r="B85" s="5" t="s">
        <v>2</v>
      </c>
      <c r="C85" s="6">
        <v>539</v>
      </c>
      <c r="D85" s="6">
        <v>402</v>
      </c>
      <c r="E85" s="6">
        <v>530</v>
      </c>
      <c r="F85" s="6">
        <v>677</v>
      </c>
      <c r="G85" s="6">
        <v>278</v>
      </c>
      <c r="H85" s="6">
        <v>264</v>
      </c>
      <c r="I85" s="6">
        <v>125</v>
      </c>
      <c r="J85" s="6">
        <v>313</v>
      </c>
      <c r="K85" s="6">
        <v>0</v>
      </c>
      <c r="L85" s="6">
        <v>536</v>
      </c>
      <c r="M85" s="6">
        <v>164</v>
      </c>
      <c r="N85" s="6">
        <v>376</v>
      </c>
      <c r="O85" s="6">
        <f t="shared" si="31"/>
        <v>4204</v>
      </c>
      <c r="P85" s="7" t="s">
        <v>2</v>
      </c>
    </row>
    <row r="86" spans="1:16" ht="12">
      <c r="A86" s="2" t="s">
        <v>51</v>
      </c>
      <c r="B86" s="5"/>
      <c r="C86" s="41">
        <f aca="true" t="shared" si="32" ref="C86:N86">SUM(C78:C85)</f>
        <v>5846</v>
      </c>
      <c r="D86" s="41">
        <f t="shared" si="32"/>
        <v>4652</v>
      </c>
      <c r="E86" s="41">
        <f t="shared" si="32"/>
        <v>5932</v>
      </c>
      <c r="F86" s="41">
        <f t="shared" si="32"/>
        <v>5442</v>
      </c>
      <c r="G86" s="41">
        <f t="shared" si="32"/>
        <v>4343</v>
      </c>
      <c r="H86" s="41">
        <f t="shared" si="32"/>
        <v>3914</v>
      </c>
      <c r="I86" s="41">
        <f t="shared" si="32"/>
        <v>3556</v>
      </c>
      <c r="J86" s="41">
        <f t="shared" si="32"/>
        <v>3003</v>
      </c>
      <c r="K86" s="41">
        <f t="shared" si="32"/>
        <v>2661</v>
      </c>
      <c r="L86" s="41">
        <f t="shared" si="32"/>
        <v>2818</v>
      </c>
      <c r="M86" s="41">
        <f t="shared" si="32"/>
        <v>2590</v>
      </c>
      <c r="N86" s="41">
        <f t="shared" si="32"/>
        <v>2318</v>
      </c>
      <c r="O86" s="45">
        <f>SUM(O78:O85)</f>
        <v>47075</v>
      </c>
      <c r="P86" s="10" t="s">
        <v>2</v>
      </c>
    </row>
    <row r="87" spans="1:16" ht="12">
      <c r="A87" s="3"/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12"/>
      <c r="P87" s="13"/>
    </row>
    <row r="88" spans="1:16" ht="12">
      <c r="A88" s="1"/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12"/>
      <c r="P88" s="13"/>
    </row>
    <row r="89" spans="1:16" ht="12">
      <c r="A89" s="3" t="s">
        <v>47</v>
      </c>
      <c r="B89" s="5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 t="s">
        <v>2</v>
      </c>
      <c r="P89" s="7"/>
    </row>
    <row r="90" spans="1:16" ht="12">
      <c r="A90" s="3" t="s">
        <v>41</v>
      </c>
      <c r="B90" s="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 t="s">
        <v>2</v>
      </c>
      <c r="P90" s="1"/>
    </row>
    <row r="91" spans="1:16" ht="12">
      <c r="A91" s="3"/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1"/>
    </row>
    <row r="92" spans="1:16" ht="12">
      <c r="A92" s="1"/>
      <c r="B92" s="1"/>
      <c r="C92" s="17" t="s">
        <v>4</v>
      </c>
      <c r="D92" s="17" t="s">
        <v>5</v>
      </c>
      <c r="E92" s="17" t="s">
        <v>6</v>
      </c>
      <c r="F92" s="17" t="s">
        <v>7</v>
      </c>
      <c r="G92" s="17" t="s">
        <v>8</v>
      </c>
      <c r="H92" s="17" t="s">
        <v>9</v>
      </c>
      <c r="I92" s="17" t="s">
        <v>10</v>
      </c>
      <c r="J92" s="17" t="s">
        <v>11</v>
      </c>
      <c r="K92" s="17" t="s">
        <v>12</v>
      </c>
      <c r="L92" s="17" t="s">
        <v>13</v>
      </c>
      <c r="M92" s="17" t="s">
        <v>14</v>
      </c>
      <c r="N92" s="17" t="s">
        <v>15</v>
      </c>
      <c r="O92" s="17" t="s">
        <v>16</v>
      </c>
      <c r="P92" s="1"/>
    </row>
    <row r="93" spans="1:16" ht="12">
      <c r="A93" s="1" t="str">
        <f>A65</f>
        <v>Newspaper</v>
      </c>
      <c r="B93" s="5" t="s">
        <v>2</v>
      </c>
      <c r="C93" s="6">
        <f aca="true" t="shared" si="33" ref="C93:N93">C65+C78</f>
        <v>6252</v>
      </c>
      <c r="D93" s="6">
        <f t="shared" si="33"/>
        <v>5725</v>
      </c>
      <c r="E93" s="6">
        <f t="shared" si="33"/>
        <v>6971</v>
      </c>
      <c r="F93" s="6">
        <f t="shared" si="33"/>
        <v>6249</v>
      </c>
      <c r="G93" s="6">
        <f t="shared" si="33"/>
        <v>5319</v>
      </c>
      <c r="H93" s="6">
        <f t="shared" si="33"/>
        <v>4550</v>
      </c>
      <c r="I93" s="6">
        <f t="shared" si="33"/>
        <v>4069</v>
      </c>
      <c r="J93" s="6">
        <f t="shared" si="33"/>
        <v>3723</v>
      </c>
      <c r="K93" s="6">
        <f t="shared" si="33"/>
        <v>3202</v>
      </c>
      <c r="L93" s="6">
        <f t="shared" si="33"/>
        <v>3700</v>
      </c>
      <c r="M93" s="6">
        <f t="shared" si="33"/>
        <v>4456</v>
      </c>
      <c r="N93" s="6">
        <f t="shared" si="33"/>
        <v>3553</v>
      </c>
      <c r="O93" s="6">
        <f aca="true" t="shared" si="34" ref="O93:O100">SUM(C93:N93)</f>
        <v>57769</v>
      </c>
      <c r="P93" s="7"/>
    </row>
    <row r="94" spans="1:16" ht="12">
      <c r="A94" s="1" t="str">
        <f>A66</f>
        <v>Mixed Paper</v>
      </c>
      <c r="B94" s="5" t="s">
        <v>2</v>
      </c>
      <c r="C94" s="6">
        <f aca="true" t="shared" si="35" ref="C94:N94">C66+C79</f>
        <v>3440</v>
      </c>
      <c r="D94" s="6">
        <f t="shared" si="35"/>
        <v>2431</v>
      </c>
      <c r="E94" s="6">
        <f t="shared" si="35"/>
        <v>3352</v>
      </c>
      <c r="F94" s="6">
        <f t="shared" si="35"/>
        <v>2730</v>
      </c>
      <c r="G94" s="6">
        <f t="shared" si="35"/>
        <v>2043</v>
      </c>
      <c r="H94" s="6">
        <f t="shared" si="35"/>
        <v>1969</v>
      </c>
      <c r="I94" s="6">
        <f t="shared" si="35"/>
        <v>1830</v>
      </c>
      <c r="J94" s="6">
        <f t="shared" si="35"/>
        <v>1820</v>
      </c>
      <c r="K94" s="6">
        <f t="shared" si="35"/>
        <v>1772</v>
      </c>
      <c r="L94" s="6">
        <f t="shared" si="35"/>
        <v>1984</v>
      </c>
      <c r="M94" s="6">
        <f t="shared" si="35"/>
        <v>2247</v>
      </c>
      <c r="N94" s="6">
        <f t="shared" si="35"/>
        <v>2113</v>
      </c>
      <c r="O94" s="6">
        <f t="shared" si="34"/>
        <v>27731</v>
      </c>
      <c r="P94" s="7"/>
    </row>
    <row r="95" spans="1:16" ht="12">
      <c r="A95" s="1" t="str">
        <f>A67</f>
        <v>Cardboard</v>
      </c>
      <c r="B95" s="5" t="s">
        <v>2</v>
      </c>
      <c r="C95" s="6">
        <f aca="true" t="shared" si="36" ref="C95:N95">C67+C80</f>
        <v>853</v>
      </c>
      <c r="D95" s="6">
        <f t="shared" si="36"/>
        <v>435</v>
      </c>
      <c r="E95" s="6">
        <f t="shared" si="36"/>
        <v>658</v>
      </c>
      <c r="F95" s="6">
        <f t="shared" si="36"/>
        <v>492</v>
      </c>
      <c r="G95" s="6">
        <f t="shared" si="36"/>
        <v>563</v>
      </c>
      <c r="H95" s="6">
        <f t="shared" si="36"/>
        <v>430</v>
      </c>
      <c r="I95" s="6">
        <f t="shared" si="36"/>
        <v>460</v>
      </c>
      <c r="J95" s="6">
        <f t="shared" si="36"/>
        <v>397</v>
      </c>
      <c r="K95" s="6">
        <f t="shared" si="36"/>
        <v>686</v>
      </c>
      <c r="L95" s="6">
        <f t="shared" si="36"/>
        <v>619</v>
      </c>
      <c r="M95" s="6">
        <f t="shared" si="36"/>
        <v>633</v>
      </c>
      <c r="N95" s="6">
        <f t="shared" si="36"/>
        <v>624</v>
      </c>
      <c r="O95" s="6">
        <f t="shared" si="34"/>
        <v>6850</v>
      </c>
      <c r="P95" s="7"/>
    </row>
    <row r="96" spans="1:16" ht="12">
      <c r="A96" s="1" t="str">
        <f>A68</f>
        <v>Aluminum Cans   </v>
      </c>
      <c r="B96" s="5" t="s">
        <v>2</v>
      </c>
      <c r="C96" s="6">
        <f aca="true" t="shared" si="37" ref="C96:N96">C68+C81</f>
        <v>4002</v>
      </c>
      <c r="D96" s="6">
        <f t="shared" si="37"/>
        <v>4090</v>
      </c>
      <c r="E96" s="6">
        <f t="shared" si="37"/>
        <v>4221</v>
      </c>
      <c r="F96" s="6">
        <f t="shared" si="37"/>
        <v>3638</v>
      </c>
      <c r="G96" s="6">
        <f t="shared" si="37"/>
        <v>3128</v>
      </c>
      <c r="H96" s="6">
        <f t="shared" si="37"/>
        <v>3473</v>
      </c>
      <c r="I96" s="6">
        <f t="shared" si="37"/>
        <v>3433</v>
      </c>
      <c r="J96" s="6">
        <f t="shared" si="37"/>
        <v>2337</v>
      </c>
      <c r="K96" s="6">
        <f t="shared" si="37"/>
        <v>1767</v>
      </c>
      <c r="L96" s="6">
        <f t="shared" si="37"/>
        <v>1595</v>
      </c>
      <c r="M96" s="6">
        <f t="shared" si="37"/>
        <v>1469</v>
      </c>
      <c r="N96" s="6">
        <f t="shared" si="37"/>
        <v>1151</v>
      </c>
      <c r="O96" s="6">
        <f t="shared" si="34"/>
        <v>34304</v>
      </c>
      <c r="P96" s="7"/>
    </row>
    <row r="97" spans="1:16" ht="12">
      <c r="A97" s="1" t="str">
        <f>A69</f>
        <v>Tin</v>
      </c>
      <c r="B97" s="5" t="s">
        <v>2</v>
      </c>
      <c r="C97" s="6">
        <f aca="true" t="shared" si="38" ref="C97:N97">C69+C82</f>
        <v>-391</v>
      </c>
      <c r="D97" s="6">
        <f t="shared" si="38"/>
        <v>-401</v>
      </c>
      <c r="E97" s="6">
        <f t="shared" si="38"/>
        <v>-412</v>
      </c>
      <c r="F97" s="6">
        <f t="shared" si="38"/>
        <v>-355</v>
      </c>
      <c r="G97" s="6">
        <f t="shared" si="38"/>
        <v>-306</v>
      </c>
      <c r="H97" s="6">
        <f t="shared" si="38"/>
        <v>-339</v>
      </c>
      <c r="I97" s="6">
        <f t="shared" si="38"/>
        <v>-337</v>
      </c>
      <c r="J97" s="6">
        <f t="shared" si="38"/>
        <v>-300</v>
      </c>
      <c r="K97" s="6">
        <f t="shared" si="38"/>
        <v>-297</v>
      </c>
      <c r="L97" s="6">
        <f t="shared" si="38"/>
        <v>-330</v>
      </c>
      <c r="M97" s="6">
        <f t="shared" si="38"/>
        <v>-304</v>
      </c>
      <c r="N97" s="6">
        <f t="shared" si="38"/>
        <v>-618</v>
      </c>
      <c r="O97" s="6">
        <f t="shared" si="34"/>
        <v>-4390</v>
      </c>
      <c r="P97" s="7"/>
    </row>
    <row r="98" spans="1:16" ht="12">
      <c r="A98" s="1" t="s">
        <v>24</v>
      </c>
      <c r="B98" s="5" t="s">
        <v>2</v>
      </c>
      <c r="C98" s="6">
        <f aca="true" t="shared" si="39" ref="C98:N98">C70+C83</f>
        <v>2887</v>
      </c>
      <c r="D98" s="6">
        <f t="shared" si="39"/>
        <v>1492</v>
      </c>
      <c r="E98" s="6">
        <f t="shared" si="39"/>
        <v>2509</v>
      </c>
      <c r="F98" s="6">
        <f t="shared" si="39"/>
        <v>2376</v>
      </c>
      <c r="G98" s="6">
        <f t="shared" si="39"/>
        <v>2282</v>
      </c>
      <c r="H98" s="6">
        <f t="shared" si="39"/>
        <v>1995</v>
      </c>
      <c r="I98" s="6">
        <f t="shared" si="39"/>
        <v>2359</v>
      </c>
      <c r="J98" s="6">
        <f t="shared" si="39"/>
        <v>1309</v>
      </c>
      <c r="K98" s="6">
        <f t="shared" si="39"/>
        <v>1539</v>
      </c>
      <c r="L98" s="6">
        <f t="shared" si="39"/>
        <v>820</v>
      </c>
      <c r="M98" s="6">
        <f t="shared" si="39"/>
        <v>1293</v>
      </c>
      <c r="N98" s="6">
        <f t="shared" si="39"/>
        <v>1164</v>
      </c>
      <c r="O98" s="6">
        <f t="shared" si="34"/>
        <v>22025</v>
      </c>
      <c r="P98" s="7"/>
    </row>
    <row r="99" spans="1:16" ht="12">
      <c r="A99" s="1" t="s">
        <v>25</v>
      </c>
      <c r="B99" s="5" t="s">
        <v>2</v>
      </c>
      <c r="C99" s="6">
        <f aca="true" t="shared" si="40" ref="C99:N99">C71+C84</f>
        <v>0</v>
      </c>
      <c r="D99" s="6">
        <f t="shared" si="40"/>
        <v>0</v>
      </c>
      <c r="E99" s="6">
        <f t="shared" si="40"/>
        <v>0</v>
      </c>
      <c r="F99" s="6">
        <f t="shared" si="40"/>
        <v>0</v>
      </c>
      <c r="G99" s="6">
        <f t="shared" si="40"/>
        <v>0</v>
      </c>
      <c r="H99" s="6">
        <f t="shared" si="40"/>
        <v>0</v>
      </c>
      <c r="I99" s="6">
        <f t="shared" si="40"/>
        <v>0</v>
      </c>
      <c r="J99" s="6">
        <f t="shared" si="40"/>
        <v>0</v>
      </c>
      <c r="K99" s="6">
        <f t="shared" si="40"/>
        <v>0</v>
      </c>
      <c r="L99" s="6">
        <f t="shared" si="40"/>
        <v>0</v>
      </c>
      <c r="M99" s="6">
        <f t="shared" si="40"/>
        <v>0</v>
      </c>
      <c r="N99" s="6">
        <f t="shared" si="40"/>
        <v>0</v>
      </c>
      <c r="O99" s="6">
        <f t="shared" si="34"/>
        <v>0</v>
      </c>
      <c r="P99" s="7"/>
    </row>
    <row r="100" spans="1:16" ht="12">
      <c r="A100" s="1" t="str">
        <f>A72</f>
        <v>Glass</v>
      </c>
      <c r="B100" s="5" t="s">
        <v>2</v>
      </c>
      <c r="C100" s="6">
        <f aca="true" t="shared" si="41" ref="C100:N100">C72+C85</f>
        <v>1233</v>
      </c>
      <c r="D100" s="6">
        <f t="shared" si="41"/>
        <v>365</v>
      </c>
      <c r="E100" s="6">
        <f t="shared" si="41"/>
        <v>962</v>
      </c>
      <c r="F100" s="6">
        <f t="shared" si="41"/>
        <v>977</v>
      </c>
      <c r="G100" s="6">
        <f t="shared" si="41"/>
        <v>423</v>
      </c>
      <c r="H100" s="6">
        <f t="shared" si="41"/>
        <v>375</v>
      </c>
      <c r="I100" s="6">
        <f t="shared" si="41"/>
        <v>461</v>
      </c>
      <c r="J100" s="6">
        <f t="shared" si="41"/>
        <v>662</v>
      </c>
      <c r="K100" s="6">
        <f t="shared" si="41"/>
        <v>842</v>
      </c>
      <c r="L100" s="6">
        <f t="shared" si="41"/>
        <v>1367</v>
      </c>
      <c r="M100" s="6">
        <f t="shared" si="41"/>
        <v>144</v>
      </c>
      <c r="N100" s="6">
        <f t="shared" si="41"/>
        <v>344</v>
      </c>
      <c r="O100" s="6">
        <f t="shared" si="34"/>
        <v>8155</v>
      </c>
      <c r="P100" s="7"/>
    </row>
    <row r="101" spans="1:16" ht="12">
      <c r="A101" s="2" t="s">
        <v>51</v>
      </c>
      <c r="B101" s="5"/>
      <c r="C101" s="41">
        <f aca="true" t="shared" si="42" ref="C101:N101">SUM(C93:C100)</f>
        <v>18276</v>
      </c>
      <c r="D101" s="41">
        <f t="shared" si="42"/>
        <v>14137</v>
      </c>
      <c r="E101" s="41">
        <f t="shared" si="42"/>
        <v>18261</v>
      </c>
      <c r="F101" s="41">
        <f t="shared" si="42"/>
        <v>16107</v>
      </c>
      <c r="G101" s="41">
        <f t="shared" si="42"/>
        <v>13452</v>
      </c>
      <c r="H101" s="41">
        <f t="shared" si="42"/>
        <v>12453</v>
      </c>
      <c r="I101" s="41">
        <f t="shared" si="42"/>
        <v>12275</v>
      </c>
      <c r="J101" s="41">
        <f t="shared" si="42"/>
        <v>9948</v>
      </c>
      <c r="K101" s="41">
        <f t="shared" si="42"/>
        <v>9511</v>
      </c>
      <c r="L101" s="41">
        <f t="shared" si="42"/>
        <v>9755</v>
      </c>
      <c r="M101" s="41">
        <f t="shared" si="42"/>
        <v>9938</v>
      </c>
      <c r="N101" s="41">
        <f t="shared" si="42"/>
        <v>8331</v>
      </c>
      <c r="O101" s="46">
        <f>SUM(O93:O100)</f>
        <v>152444</v>
      </c>
      <c r="P101" s="10" t="s">
        <v>2</v>
      </c>
    </row>
  </sheetData>
  <printOptions/>
  <pageMargins left="0.75" right="0.75" top="1" bottom="1" header="0.5" footer="0.5"/>
  <pageSetup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Sommerville, Customer Service Specialist 3</cp:lastModifiedBy>
  <cp:lastPrinted>2005-08-19T17:24:09Z</cp:lastPrinted>
  <dcterms:created xsi:type="dcterms:W3CDTF">2004-12-16T23:56:55Z</dcterms:created>
  <dcterms:modified xsi:type="dcterms:W3CDTF">2005-08-19T17:24:21Z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050075</vt:lpwstr>
  </property>
  <property fmtid="{D5CDD505-2E9C-101B-9397-08002B2CF9AE}" pid="6" name="IsConfidenti">
    <vt:lpwstr>0</vt:lpwstr>
  </property>
  <property fmtid="{D5CDD505-2E9C-101B-9397-08002B2CF9AE}" pid="7" name="Dat">
    <vt:lpwstr>2005-08-19T00:00:00Z</vt:lpwstr>
  </property>
  <property fmtid="{D5CDD505-2E9C-101B-9397-08002B2CF9AE}" pid="8" name="CaseTy">
    <vt:lpwstr>Tariff Revision</vt:lpwstr>
  </property>
  <property fmtid="{D5CDD505-2E9C-101B-9397-08002B2CF9AE}" pid="9" name="OpenedDa">
    <vt:lpwstr>2005-01-14T00:00:00Z</vt:lpwstr>
  </property>
  <property fmtid="{D5CDD505-2E9C-101B-9397-08002B2CF9AE}" pid="10" name="Pref">
    <vt:lpwstr>TG</vt:lpwstr>
  </property>
  <property fmtid="{D5CDD505-2E9C-101B-9397-08002B2CF9AE}" pid="11" name="CaseCompanyNam">
    <vt:lpwstr>MURREY'S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