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12" windowWidth="26880" windowHeight="10860" firstSheet="3" activeTab="10"/>
  </bookViews>
  <sheets>
    <sheet name="RevReq" sheetId="1" r:id="rId1"/>
    <sheet name="Summary" sheetId="2" r:id="rId2"/>
    <sheet name="LTIP" sheetId="7" r:id="rId3"/>
    <sheet name="Labor" sheetId="8" r:id="rId4"/>
    <sheet name="Ins" sheetId="9" r:id="rId5"/>
    <sheet name="PropTax" sheetId="6" r:id="rId6"/>
    <sheet name="CS2_Colstrip" sheetId="10" r:id="rId7"/>
    <sheet name="Maint" sheetId="11" r:id="rId8"/>
    <sheet name="RTD" sheetId="4" r:id="rId9"/>
    <sheet name="PlantAdds" sheetId="5" r:id="rId10"/>
    <sheet name="EOP_Sept14" sheetId="3" r:id="rId11"/>
  </sheets>
  <calcPr calcId="145621"/>
</workbook>
</file>

<file path=xl/calcChain.xml><?xml version="1.0" encoding="utf-8"?>
<calcChain xmlns="http://schemas.openxmlformats.org/spreadsheetml/2006/main">
  <c r="I24" i="11" l="1"/>
  <c r="I23" i="11"/>
  <c r="I21" i="11"/>
  <c r="G19" i="11"/>
  <c r="E19" i="11"/>
  <c r="I17" i="11"/>
  <c r="I16" i="11"/>
  <c r="I15" i="11"/>
  <c r="I14" i="11"/>
  <c r="I13" i="11"/>
  <c r="E34" i="10"/>
  <c r="G34" i="10"/>
  <c r="I28" i="10"/>
  <c r="I34" i="10" s="1"/>
  <c r="I27" i="10"/>
  <c r="I21" i="10"/>
  <c r="I20" i="10"/>
  <c r="I25" i="10" s="1"/>
  <c r="I19" i="10"/>
  <c r="I23" i="10" s="1"/>
  <c r="I30" i="10" s="1"/>
  <c r="I18" i="10"/>
  <c r="I24" i="10" s="1"/>
  <c r="I17" i="10"/>
  <c r="I16" i="10"/>
  <c r="I15" i="10"/>
  <c r="G25" i="10"/>
  <c r="G32" i="10" s="1"/>
  <c r="E25" i="10"/>
  <c r="E32" i="10" s="1"/>
  <c r="G24" i="10"/>
  <c r="G31" i="10" s="1"/>
  <c r="E23" i="10"/>
  <c r="E30" i="10" s="1"/>
  <c r="G23" i="10"/>
  <c r="G30" i="10" s="1"/>
  <c r="E24" i="10"/>
  <c r="E31" i="10" s="1"/>
  <c r="I32" i="10" l="1"/>
  <c r="I19" i="11"/>
  <c r="I31" i="10"/>
  <c r="M43" i="2" l="1"/>
  <c r="I25" i="9"/>
  <c r="I17" i="9"/>
  <c r="I16" i="9"/>
  <c r="M40" i="2"/>
  <c r="I17" i="8"/>
  <c r="I21" i="8" s="1"/>
  <c r="G17" i="8"/>
  <c r="I15" i="8"/>
  <c r="G15" i="8"/>
  <c r="I14" i="8"/>
  <c r="G14" i="8"/>
  <c r="G21" i="8"/>
  <c r="G23" i="8" s="1"/>
  <c r="I19" i="9" l="1"/>
  <c r="I23" i="9" s="1"/>
  <c r="I23" i="8"/>
  <c r="M33" i="2" l="1"/>
  <c r="Q33" i="2" s="1"/>
  <c r="U33" i="2" s="1"/>
  <c r="G23" i="7"/>
  <c r="G21" i="7"/>
  <c r="I17" i="7"/>
  <c r="I21" i="7" s="1"/>
  <c r="G17" i="7"/>
  <c r="K13" i="7"/>
  <c r="K17" i="7" l="1"/>
  <c r="I23" i="7"/>
  <c r="M44" i="2"/>
  <c r="I17" i="6"/>
  <c r="I15" i="6"/>
  <c r="G17" i="6"/>
  <c r="G15" i="6"/>
  <c r="K21" i="7" l="1"/>
  <c r="K23" i="7" s="1"/>
  <c r="O52" i="2"/>
  <c r="M52" i="2"/>
  <c r="G16" i="5"/>
  <c r="G18" i="5" s="1"/>
  <c r="G24" i="5"/>
  <c r="G29" i="5" l="1"/>
  <c r="G30" i="5" s="1"/>
  <c r="G35" i="5"/>
  <c r="G31" i="5" s="1"/>
  <c r="G32" i="5" l="1"/>
  <c r="O51" i="2" l="1"/>
  <c r="M51" i="2"/>
  <c r="Q51" i="2" s="1"/>
  <c r="U51" i="2" s="1"/>
  <c r="F23" i="4"/>
  <c r="F25" i="4"/>
  <c r="F21" i="4"/>
  <c r="F19" i="4"/>
  <c r="K49" i="3"/>
  <c r="K47" i="3"/>
  <c r="K46" i="3"/>
  <c r="K45" i="3"/>
  <c r="K44" i="3"/>
  <c r="K43" i="3"/>
  <c r="K42" i="3"/>
  <c r="K39" i="3"/>
  <c r="K38" i="3"/>
  <c r="K37" i="3"/>
  <c r="K36" i="3"/>
  <c r="K35" i="3"/>
  <c r="K34" i="3"/>
  <c r="K31" i="3"/>
  <c r="K30" i="3"/>
  <c r="K29" i="3"/>
  <c r="K28" i="3"/>
  <c r="K27" i="3"/>
  <c r="K26" i="3"/>
  <c r="I21" i="3"/>
  <c r="I23" i="3" s="1"/>
  <c r="G20" i="3"/>
  <c r="K20" i="3" s="1"/>
  <c r="G18" i="3"/>
  <c r="I18" i="3"/>
  <c r="K17" i="3"/>
  <c r="K16" i="3"/>
  <c r="K15" i="3"/>
  <c r="K14" i="3"/>
  <c r="K13" i="3"/>
  <c r="K18" i="3" s="1"/>
  <c r="I47" i="3"/>
  <c r="G47" i="3"/>
  <c r="I39" i="3"/>
  <c r="G39" i="3"/>
  <c r="I31" i="3"/>
  <c r="I49" i="3" s="1"/>
  <c r="I22" i="3" s="1"/>
  <c r="G31" i="3"/>
  <c r="G49" i="3" l="1"/>
  <c r="G22" i="3" s="1"/>
  <c r="K22" i="3" s="1"/>
  <c r="G21" i="3"/>
  <c r="K21" i="3" s="1"/>
  <c r="K23" i="3" s="1"/>
  <c r="G23" i="3" l="1"/>
  <c r="M14" i="2" l="1"/>
  <c r="O14" i="2"/>
  <c r="Q56" i="2" l="1"/>
  <c r="O55" i="2"/>
  <c r="Q55" i="2" s="1"/>
  <c r="Q54" i="2"/>
  <c r="Q53" i="2"/>
  <c r="U53" i="2" s="1"/>
  <c r="Q52" i="2"/>
  <c r="Q50" i="2"/>
  <c r="Q49" i="2"/>
  <c r="O48" i="2"/>
  <c r="Q48" i="2" s="1"/>
  <c r="U48" i="2" s="1"/>
  <c r="O47" i="2"/>
  <c r="M47" i="2"/>
  <c r="O46" i="2"/>
  <c r="Q46" i="2" s="1"/>
  <c r="M46" i="2"/>
  <c r="O45" i="2"/>
  <c r="O44" i="2"/>
  <c r="Q44" i="2" s="1"/>
  <c r="O43" i="2"/>
  <c r="O42" i="2"/>
  <c r="M42" i="2"/>
  <c r="O41" i="2"/>
  <c r="M41" i="2"/>
  <c r="O40" i="2"/>
  <c r="O39" i="2"/>
  <c r="M39" i="2"/>
  <c r="Q39" i="2" s="1"/>
  <c r="O38" i="2"/>
  <c r="M38" i="2"/>
  <c r="O34" i="2"/>
  <c r="Q34" i="2" s="1"/>
  <c r="M34" i="2"/>
  <c r="O32" i="2"/>
  <c r="Q32" i="2" s="1"/>
  <c r="M32" i="2"/>
  <c r="O31" i="2"/>
  <c r="M31" i="2"/>
  <c r="O30" i="2"/>
  <c r="M30" i="2"/>
  <c r="Q30" i="2" s="1"/>
  <c r="Q29" i="2"/>
  <c r="O29" i="2"/>
  <c r="M29" i="2"/>
  <c r="O28" i="2"/>
  <c r="M28" i="2"/>
  <c r="O27" i="2"/>
  <c r="Q27" i="2" s="1"/>
  <c r="M27" i="2"/>
  <c r="O26" i="2"/>
  <c r="Q26" i="2" s="1"/>
  <c r="M26" i="2"/>
  <c r="O25" i="2"/>
  <c r="M25" i="2"/>
  <c r="O24" i="2"/>
  <c r="Q24" i="2" s="1"/>
  <c r="M24" i="2"/>
  <c r="O23" i="2"/>
  <c r="M23" i="2"/>
  <c r="Q22" i="2"/>
  <c r="O22" i="2"/>
  <c r="M22" i="2"/>
  <c r="O21" i="2"/>
  <c r="M21" i="2"/>
  <c r="O20" i="2"/>
  <c r="Q20" i="2" s="1"/>
  <c r="M20" i="2"/>
  <c r="O19" i="2"/>
  <c r="M19" i="2"/>
  <c r="O18" i="2"/>
  <c r="M18" i="2"/>
  <c r="Q18" i="2" s="1"/>
  <c r="O17" i="2"/>
  <c r="Q17" i="2" s="1"/>
  <c r="M17" i="2"/>
  <c r="M15" i="2"/>
  <c r="M36" i="2" s="1"/>
  <c r="M11" i="2"/>
  <c r="O11" i="2"/>
  <c r="M12" i="2"/>
  <c r="O12" i="2"/>
  <c r="Q12" i="2" s="1"/>
  <c r="M13" i="2"/>
  <c r="O13" i="2"/>
  <c r="Q13" i="2"/>
  <c r="Q14" i="2"/>
  <c r="K56" i="2"/>
  <c r="K55" i="2"/>
  <c r="K54" i="2"/>
  <c r="K53" i="2"/>
  <c r="K52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4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4" i="2"/>
  <c r="K13" i="2"/>
  <c r="K12" i="2"/>
  <c r="K11" i="2"/>
  <c r="K15" i="2" s="1"/>
  <c r="K36" i="2" s="1"/>
  <c r="K58" i="2" s="1"/>
  <c r="I15" i="2"/>
  <c r="I36" i="2" s="1"/>
  <c r="I58" i="2" s="1"/>
  <c r="E10" i="1" s="1"/>
  <c r="E14" i="1" s="1"/>
  <c r="G15" i="2"/>
  <c r="G36" i="2" s="1"/>
  <c r="G58" i="2" s="1"/>
  <c r="E16" i="1" s="1"/>
  <c r="M58" i="2" l="1"/>
  <c r="G16" i="1" s="1"/>
  <c r="Q47" i="2"/>
  <c r="Q41" i="2"/>
  <c r="Q43" i="2"/>
  <c r="U43" i="2" s="1"/>
  <c r="Q19" i="2"/>
  <c r="Q31" i="2"/>
  <c r="Q45" i="2"/>
  <c r="U45" i="2" s="1"/>
  <c r="U49" i="2"/>
  <c r="Q11" i="2"/>
  <c r="Q15" i="2" s="1"/>
  <c r="Q36" i="2" s="1"/>
  <c r="Q23" i="2"/>
  <c r="Q25" i="2"/>
  <c r="Q40" i="2"/>
  <c r="U40" i="2" s="1"/>
  <c r="Q42" i="2"/>
  <c r="U50" i="2"/>
  <c r="U55" i="2"/>
  <c r="O15" i="2"/>
  <c r="O36" i="2" s="1"/>
  <c r="O58" i="2" s="1"/>
  <c r="G10" i="1" s="1"/>
  <c r="G14" i="1" s="1"/>
  <c r="Q21" i="2"/>
  <c r="Q28" i="2"/>
  <c r="Q38" i="2"/>
  <c r="U54" i="2"/>
  <c r="U44" i="2"/>
  <c r="U52" i="2"/>
  <c r="U56" i="2"/>
  <c r="E18" i="1"/>
  <c r="E22" i="1" s="1"/>
  <c r="G18" i="1" l="1"/>
  <c r="G22" i="1" s="1"/>
  <c r="U58" i="2"/>
  <c r="Q58" i="2"/>
</calcChain>
</file>

<file path=xl/sharedStrings.xml><?xml version="1.0" encoding="utf-8"?>
<sst xmlns="http://schemas.openxmlformats.org/spreadsheetml/2006/main" count="434" uniqueCount="260">
  <si>
    <t>AVISTA CORPORATION</t>
  </si>
  <si>
    <t>ELECTRIC DOCKET NO. UE-150204</t>
  </si>
  <si>
    <t>CALCULATION OF GENERAL REVENUE REQUIREMENT</t>
  </si>
  <si>
    <t>TEST YEAR ENDED SEPTEMBER 30, 2014</t>
  </si>
  <si>
    <t>Line</t>
  </si>
  <si>
    <t>No.</t>
  </si>
  <si>
    <t>Description</t>
  </si>
  <si>
    <t>Rate Base</t>
  </si>
  <si>
    <t>Rate of Return, per Settlement</t>
  </si>
  <si>
    <t>Net Operating Income Requirement</t>
  </si>
  <si>
    <t>Adjusted Net Operating Income</t>
  </si>
  <si>
    <t>Adjusted Rate Base</t>
  </si>
  <si>
    <t>Net Operating Income Deficiency/(Sufficiency)</t>
  </si>
  <si>
    <t>Revenue Conversion Factor</t>
  </si>
  <si>
    <t>Revenue Requirement</t>
  </si>
  <si>
    <t>Amount</t>
  </si>
  <si>
    <t>Per Company</t>
  </si>
  <si>
    <t>Per PC</t>
  </si>
  <si>
    <t>(000s of Dollars)</t>
  </si>
  <si>
    <t>SUMMARY OF ADJUSTMENTS</t>
  </si>
  <si>
    <t>Exhibit No. DMR-2</t>
  </si>
  <si>
    <t>Schedule No. 1</t>
  </si>
  <si>
    <t xml:space="preserve">     Restated Total</t>
  </si>
  <si>
    <t xml:space="preserve">    Pro Forma Total</t>
  </si>
  <si>
    <t>Results of Operations</t>
  </si>
  <si>
    <t>Deferred FIT Rate Base</t>
  </si>
  <si>
    <t>Deferred Debits and Credits</t>
  </si>
  <si>
    <t>Working Capital</t>
  </si>
  <si>
    <t>Eliminate B &amp; O Taxes</t>
  </si>
  <si>
    <t>Restate Property Tax</t>
  </si>
  <si>
    <t>Uncollect. Expense</t>
  </si>
  <si>
    <t>Regulatory Expense</t>
  </si>
  <si>
    <t>Injuries and Damages</t>
  </si>
  <si>
    <t>FIT/DFIT/ ITC/PTC Expense</t>
  </si>
  <si>
    <t>Office Space Charges to Subsidiaries</t>
  </si>
  <si>
    <t>Restate Excise Taxes</t>
  </si>
  <si>
    <t>Net Gains / Losses</t>
  </si>
  <si>
    <t>Weather Normalization</t>
  </si>
  <si>
    <t>Eliminate Adder Schedules</t>
  </si>
  <si>
    <t>Misc. Restating Expenses</t>
  </si>
  <si>
    <t>Eliminate WA Power Cost Defer</t>
  </si>
  <si>
    <t>Nez Perce Settlement Adjustment</t>
  </si>
  <si>
    <t>Restate Debt Interest</t>
  </si>
  <si>
    <t>Restate Incentive Expenses</t>
  </si>
  <si>
    <t>Regulatory Amortization Restating Adj.</t>
  </si>
  <si>
    <t>Pro Forma Power Supply</t>
  </si>
  <si>
    <t>Pro Forma Transmission Rev/Exp</t>
  </si>
  <si>
    <t>Pro Forma Labor Non-Exec</t>
  </si>
  <si>
    <t>Pro Forma Labor Exec</t>
  </si>
  <si>
    <t>Pro Forma Employee Benefits</t>
  </si>
  <si>
    <t>Pro Forma Insurance Expense</t>
  </si>
  <si>
    <t>Pro Forma Property Tax</t>
  </si>
  <si>
    <t>Pro Forma Information Tech/Serv Exp</t>
  </si>
  <si>
    <t>Pro Forma Lake Spokane Deferral</t>
  </si>
  <si>
    <t>Pro Forma Revenue Normalization</t>
  </si>
  <si>
    <t>Pro Forma Major Maint-Hydro Thermal, Other</t>
  </si>
  <si>
    <t>Planned Capital Add Dec 2014 EOP</t>
  </si>
  <si>
    <t>3.12U</t>
  </si>
  <si>
    <t>Planned Capital Add Dec 2014 EOP-Update</t>
  </si>
  <si>
    <t>Planned Capital Add 2015 EOP</t>
  </si>
  <si>
    <t>Planned Capital Add 2016 AMA</t>
  </si>
  <si>
    <t>Meter Retirement</t>
  </si>
  <si>
    <t>O&amp;M Offsets</t>
  </si>
  <si>
    <t>Reconcile Pro Forma To Attrition</t>
  </si>
  <si>
    <t>Avista</t>
  </si>
  <si>
    <t>Adj. #</t>
  </si>
  <si>
    <t>Public</t>
  </si>
  <si>
    <t>Counsel</t>
  </si>
  <si>
    <t>Adjustment Description</t>
  </si>
  <si>
    <t xml:space="preserve">NOI   </t>
  </si>
  <si>
    <t>Rev Req</t>
  </si>
  <si>
    <t>Avista Adjustments - As Revised</t>
  </si>
  <si>
    <t xml:space="preserve">  Subtotal</t>
  </si>
  <si>
    <t>Public Counsel</t>
  </si>
  <si>
    <t>Position on Avista's</t>
  </si>
  <si>
    <t>Revised Position</t>
  </si>
  <si>
    <t>Rev. Req.</t>
  </si>
  <si>
    <t>Impact of</t>
  </si>
  <si>
    <t>Differences</t>
  </si>
  <si>
    <t>PC Neutral in Direct</t>
  </si>
  <si>
    <t>PC Modified</t>
  </si>
  <si>
    <t>PC Opposes</t>
  </si>
  <si>
    <t>Public Counsel Adjustments</t>
  </si>
  <si>
    <t>and/or PC Neutral in Direct</t>
  </si>
  <si>
    <t>Schedule No. 2</t>
  </si>
  <si>
    <t>Source/Notes:</t>
  </si>
  <si>
    <t>Avista Adjustments - Revised from response to Staff - 131-Revised, Staff_DR_131 Revised - Attachment B - Updated Electric Pro Forma Study (REVISED 6/18/2015)</t>
  </si>
  <si>
    <t>Per Avista</t>
  </si>
  <si>
    <t>EOP 9/30/14</t>
  </si>
  <si>
    <t>EOP 12/31/14</t>
  </si>
  <si>
    <t xml:space="preserve"> - exclude new</t>
  </si>
  <si>
    <t>revenue</t>
  </si>
  <si>
    <t>Adjustment</t>
  </si>
  <si>
    <t>Depreciation/Amortization Expense</t>
  </si>
  <si>
    <t>Intangible</t>
  </si>
  <si>
    <t>Production</t>
  </si>
  <si>
    <t>Transmission</t>
  </si>
  <si>
    <t>Distribution</t>
  </si>
  <si>
    <t>General</t>
  </si>
  <si>
    <t>Total  Depreciation Expense</t>
  </si>
  <si>
    <t>Net Operating Income Before FIT</t>
  </si>
  <si>
    <t>FIT Benefit of Depreciation/Amortization</t>
  </si>
  <si>
    <t xml:space="preserve">   Net Operating Income</t>
  </si>
  <si>
    <t>Plant Cost</t>
  </si>
  <si>
    <t>Total Plant Cost</t>
  </si>
  <si>
    <t xml:space="preserve">Accumulated Depreciation </t>
  </si>
  <si>
    <t>Total Accumulated Depreciation</t>
  </si>
  <si>
    <t>Accumulated DFIT</t>
  </si>
  <si>
    <t>Total Accumulated DFIT</t>
  </si>
  <si>
    <t xml:space="preserve">   Net Rate Base</t>
  </si>
  <si>
    <t>FIT Benefit of Debt Interest</t>
  </si>
  <si>
    <t>Reflect Updated Repairs Tax Deduction</t>
  </si>
  <si>
    <t>REFLECT UPDATED REPAIRS TAX DEDUCTION - ADFIT</t>
  </si>
  <si>
    <t>Impact of Repairs Tax Deduction on ADFIT in Adjusted</t>
  </si>
  <si>
    <t xml:space="preserve">    Test Year 12/31/14 EOP Basis, per Company</t>
  </si>
  <si>
    <t>Impact of Repairs Tax Deduction on ADFIT in Unadjusted</t>
  </si>
  <si>
    <t xml:space="preserve">    Test Year Ended 9/30/14, per Company</t>
  </si>
  <si>
    <t>Increase in ADFIT Offset to Rate Base for Impact of Repairs</t>
  </si>
  <si>
    <t xml:space="preserve">    Tax Deduction, per PC</t>
  </si>
  <si>
    <t>Source:</t>
  </si>
  <si>
    <t>Line 1:  Response to PC-051</t>
  </si>
  <si>
    <t>Line 2:  Response to PC-049</t>
  </si>
  <si>
    <t>PC-E.3.13</t>
  </si>
  <si>
    <t>PC Recommendation</t>
  </si>
  <si>
    <t>Per PC Reduction to Rate Base</t>
  </si>
  <si>
    <t>Impact on Federal Income Tax for Debt Interest</t>
  </si>
  <si>
    <t>Per PC Reduction in Net Operating Income</t>
  </si>
  <si>
    <t>Line 5:  -Line 4 x 2.68% weighted cost of debt x 35% FIT rate</t>
  </si>
  <si>
    <t>PC-E.4.01</t>
  </si>
  <si>
    <t>No</t>
  </si>
  <si>
    <t>ALTERNATE ADJUSTMENT TO REFLECT SEPTEMBER 2014 EOP CAPITAL ADDS</t>
  </si>
  <si>
    <t>expense based on End of Test Year 9/30/14 plant balances instead of End Of Period 12/31/14</t>
  </si>
  <si>
    <t>(A)</t>
  </si>
  <si>
    <t>(B)</t>
  </si>
  <si>
    <t xml:space="preserve">(C) </t>
  </si>
  <si>
    <t>Company Workpapers E-CAP14 and Exhibit No.__(JSS-2), page 9 of 10.</t>
  </si>
  <si>
    <t>projected balances incorporated in Company's filing.  While Public Counsel does not recommend the above</t>
  </si>
  <si>
    <t xml:space="preserve">adjustment be made and the traditional AMA approach for the test year be maintained, if the Commission </t>
  </si>
  <si>
    <t>elects to adopt an End Of Period approach to capital additions for Avista's electric operations, then the</t>
  </si>
  <si>
    <t>amounts presented in Column (A) should be used instead of the per-Company amounts in Column (B)</t>
  </si>
  <si>
    <t>so that the EOP adjustment is based on amounts as of the end of the test year (i.e., September 2014)</t>
  </si>
  <si>
    <t>instead of a period 3-months beyond the end of the test year as proposed by the Company.  Under this</t>
  </si>
  <si>
    <t>approach - EOP September 2014, Avista Adjustment 3.11 would be replaced by Column (A), above.</t>
  </si>
  <si>
    <t xml:space="preserve">The above adjustment results in plant in service, accumulated depreciation, ADFIT and depreciation </t>
  </si>
  <si>
    <t>PRO FORMA MAJOR PLANT ADDITIONS</t>
  </si>
  <si>
    <t>Reference</t>
  </si>
  <si>
    <t>Staff_DR_143 Attachment A REVISED</t>
  </si>
  <si>
    <t>Staff_DR_143 Attachment B REVISED</t>
  </si>
  <si>
    <t>Depreciation Rate, per Company</t>
  </si>
  <si>
    <t>PC_DR-032 Attachment A</t>
  </si>
  <si>
    <t>Depreciation Expense</t>
  </si>
  <si>
    <t>Actual Additions to Plant in Service October 2014 - April 2015</t>
  </si>
  <si>
    <t>Net Rate Base Impact (PIS less ADFIT)</t>
  </si>
  <si>
    <t xml:space="preserve">Depreciation Expense, per Company </t>
  </si>
  <si>
    <t>Net Operating Income Impact of Major Pro Forma Plant Additions:</t>
  </si>
  <si>
    <t>Lines 5 and 9</t>
  </si>
  <si>
    <t>Line 10 x 35%</t>
  </si>
  <si>
    <t>Line 14 x 2.68% wtd cost of debt x 35%</t>
  </si>
  <si>
    <t>Rate Base Impact of Major Pro Forma Plant Additions:</t>
  </si>
  <si>
    <t>Net Rate Base Impact</t>
  </si>
  <si>
    <t>Lines 3 and 8</t>
  </si>
  <si>
    <t>Clark Fork Implement PME Agreement Capital Additions:</t>
  </si>
  <si>
    <t>Accumulated Deferred Federal Income Tax</t>
  </si>
  <si>
    <t>Actual Additions to Plant in Service October 2014 - December 2014</t>
  </si>
  <si>
    <t>Actual Additions to Plant in Service Jan 2015 - May 2015</t>
  </si>
  <si>
    <t>Clark Fork Implement PME Agreement  - Actual Pro Forma Additions</t>
  </si>
  <si>
    <t>PRO FORMA PROPERTY TAX EXPENSE</t>
  </si>
  <si>
    <t>PC-E.3.06</t>
  </si>
  <si>
    <t>PC-E3.06</t>
  </si>
  <si>
    <t>Pro Forma Property Tax Expense Adjustment</t>
  </si>
  <si>
    <t>Federal Income Tax Rate</t>
  </si>
  <si>
    <t>Reduction in Federal Income Tax Expense</t>
  </si>
  <si>
    <t>Adjustment to Net Operating Income</t>
  </si>
  <si>
    <t>Per Avista Adjustment from Exhibit No.__(JSS-2), page 8 of 10.</t>
  </si>
  <si>
    <t>Per PC Adjustment calculated using the Company's electronic Property Tax workpapers.</t>
  </si>
  <si>
    <t xml:space="preserve">The per PC amounts removed the Company's projected escalation in the property tax rates </t>
  </si>
  <si>
    <t>(used actual 2014 effective rates from Company workpaper) and limited the amount to the</t>
  </si>
  <si>
    <t>REMOVE LONG TERM INCENTIVE PLAN EXPENSE</t>
  </si>
  <si>
    <t>WA-Electric</t>
  </si>
  <si>
    <t>WA-Gas</t>
  </si>
  <si>
    <t>Total WA</t>
  </si>
  <si>
    <t>LTIP Expense to Income in Test Year, per Company</t>
  </si>
  <si>
    <t>LTIP Expense to Include in Test Year, per PC</t>
  </si>
  <si>
    <t>Reduction to Expenses to Remove LTIP</t>
  </si>
  <si>
    <t>Line 1:  Per response to ICNU-031.</t>
  </si>
  <si>
    <t>PC-E2.18</t>
  </si>
  <si>
    <t>PC-E.2.18</t>
  </si>
  <si>
    <t>Remove Long Term Incentive Plan Exp.</t>
  </si>
  <si>
    <t>Total Non-Exec. Labor Adjustment, per Company</t>
  </si>
  <si>
    <t>Remove Projected 2016 Wage Increases</t>
  </si>
  <si>
    <t>Total Non-Exec. Labor Adjustment, per PC</t>
  </si>
  <si>
    <t>Adjustment to Net Operating Income, per PC</t>
  </si>
  <si>
    <t>Lines 2 - 3:  Company Labor Adjustment Workpapers</t>
  </si>
  <si>
    <t xml:space="preserve">Line 1:  Exhibit__(JSS-2), page 8 of 10 and Company Labor Adjustment Workpapers </t>
  </si>
  <si>
    <t>PC-E3.02</t>
  </si>
  <si>
    <t>NON-EXECUTIVE LABOR ADJUSTMENT</t>
  </si>
  <si>
    <t>PC-E.3.02</t>
  </si>
  <si>
    <t>INSURANCE EXPENSE ADJUSTMENT</t>
  </si>
  <si>
    <t>PC-E.3.05</t>
  </si>
  <si>
    <t>Portion Allocated To Washington Electric, per Company</t>
  </si>
  <si>
    <t>Actual Test Period D&amp;O Insurance Expense, per Company</t>
  </si>
  <si>
    <t>Removal Percentage, per Company</t>
  </si>
  <si>
    <t>Adjustment to Test Year Insurance Expense, per PC</t>
  </si>
  <si>
    <t>Reduction to Test Year Insurance Expense - WA Electric Basis</t>
  </si>
  <si>
    <t>Increase in Federal Income Tax Expense</t>
  </si>
  <si>
    <t>PC-E3.05</t>
  </si>
  <si>
    <t>Lines 1, 2, and 4:  Company Pro Forma Insurance Expense Workpapers</t>
  </si>
  <si>
    <t xml:space="preserve">Coyote </t>
  </si>
  <si>
    <t>Springs 2</t>
  </si>
  <si>
    <t>4 year avg</t>
  </si>
  <si>
    <t>Colstrip</t>
  </si>
  <si>
    <t>3 year avg</t>
  </si>
  <si>
    <t>Lines 1 - 7:  Staff _DR_174 Attachment A</t>
  </si>
  <si>
    <t>5 year avg</t>
  </si>
  <si>
    <t>Test Year Actual</t>
  </si>
  <si>
    <t>2016 Estimate per Avista</t>
  </si>
  <si>
    <t>Combined</t>
  </si>
  <si>
    <t>Company Proposed Adj. (L.12 - L.11)</t>
  </si>
  <si>
    <t>TY Compared to 3 Yr Avg (L.8 - L.11)</t>
  </si>
  <si>
    <t>TY Compared to 4 Yr Avg (L.9 - L.11)</t>
  </si>
  <si>
    <t>TY Compared to 5 Yr Avg (L.10 - L.11)</t>
  </si>
  <si>
    <t>Non-Major</t>
  </si>
  <si>
    <t>Major</t>
  </si>
  <si>
    <t>2016 Estimate per Avista, as Corrected</t>
  </si>
  <si>
    <t>HYDRO, THERMAL AND STEAM MAINTENANCE</t>
  </si>
  <si>
    <t>All above amounts exclude internal labor costs.</t>
  </si>
  <si>
    <t>Lines 1 - 5:  Derived from Staff_DR-041-Attachment A and Staff_DR-042 - Attachment A</t>
  </si>
  <si>
    <t>Lines 7 and 8:  Staff_DR_131-Attachment D, page 5 of 16.</t>
  </si>
  <si>
    <t>COLSTRIP &amp; COYOTE SPRINGS 2 O&amp;M EXPENSE</t>
  </si>
  <si>
    <t>Per Company Adjusted Amount - WA Basis (L.8 x 65.19%)</t>
  </si>
  <si>
    <t>Adjustment, per Avista</t>
  </si>
  <si>
    <t>Page 2 of 11</t>
  </si>
  <si>
    <t>Page 1 of 11</t>
  </si>
  <si>
    <t>Schedule No. 3</t>
  </si>
  <si>
    <t>Page 3 of 11</t>
  </si>
  <si>
    <t>Schedule No. 4</t>
  </si>
  <si>
    <t>Page 4 of 11</t>
  </si>
  <si>
    <t>Schedule No. 5</t>
  </si>
  <si>
    <t>Page 5 of 11</t>
  </si>
  <si>
    <t>Page 6 of 11</t>
  </si>
  <si>
    <t>Schedule No. 6</t>
  </si>
  <si>
    <t>Schedule No. 7</t>
  </si>
  <si>
    <t>Page 7 of 11</t>
  </si>
  <si>
    <t>Page 8 of 11</t>
  </si>
  <si>
    <t>Schedule No. 8</t>
  </si>
  <si>
    <t>Schedule No. 9</t>
  </si>
  <si>
    <t>Page 9 of 11</t>
  </si>
  <si>
    <t>Schedule No. 10</t>
  </si>
  <si>
    <t>Page 10 of 11</t>
  </si>
  <si>
    <t>Schedule No. 11</t>
  </si>
  <si>
    <t>Page 11 of 11</t>
  </si>
  <si>
    <t>Customer Information System Replacement (Proj. Compass) Capital Additions:</t>
  </si>
  <si>
    <t>5 year average</t>
  </si>
  <si>
    <t>projected 2015 property tax accrual year based on the per Company 2014 plant book value</t>
  </si>
  <si>
    <t>excluding the tax rate escalation.  Per Company amount based on escalated tax rates and</t>
  </si>
  <si>
    <t>projected 2016 property tax accrual year based on Company projected 2014 plant book values.</t>
  </si>
  <si>
    <t>Remove Avista's Project Compass Adjustment</t>
  </si>
  <si>
    <t>Amounts are on a total Company basis.</t>
  </si>
  <si>
    <t>Lines 11 and 12:  Exhibit No.__(WGJ-2) and related Company workpapers</t>
  </si>
  <si>
    <t>Dockets UE-150204 &amp; UG-150205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</si>
</sst>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* #,###_);_(* \(#,##0\);_(* &quot;-&quot;_);_(@_)"/>
    <numFmt numFmtId="167" formatCode="_(* #,##0.0000_);_(* \(#,##0.0000\);_(* &quot;-&quot;??_);_(@_)"/>
  </numFmts>
  <fonts count="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u/>
      <sz val="12"/>
      <color theme="1"/>
      <name val="Times New Roman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2" applyNumberFormat="1" applyFont="1"/>
    <xf numFmtId="10" fontId="0" fillId="0" borderId="1" xfId="2" applyNumberFormat="1" applyFont="1" applyBorder="1"/>
    <xf numFmtId="0" fontId="0" fillId="0" borderId="0" xfId="0" quotePrefix="1"/>
    <xf numFmtId="164" fontId="0" fillId="0" borderId="0" xfId="1" applyNumberFormat="1" applyFont="1"/>
    <xf numFmtId="164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4" fontId="0" fillId="0" borderId="2" xfId="0" applyNumberFormat="1" applyBorder="1"/>
    <xf numFmtId="0" fontId="0" fillId="0" borderId="0" xfId="0" applyAlignment="1">
      <alignment horizontal="right"/>
    </xf>
    <xf numFmtId="2" fontId="0" fillId="0" borderId="0" xfId="0" applyNumberFormat="1"/>
    <xf numFmtId="3" fontId="0" fillId="0" borderId="0" xfId="0" applyNumberFormat="1"/>
    <xf numFmtId="5" fontId="0" fillId="0" borderId="0" xfId="0" applyNumberFormat="1"/>
    <xf numFmtId="37" fontId="0" fillId="0" borderId="0" xfId="0" applyNumberFormat="1"/>
    <xf numFmtId="6" fontId="0" fillId="0" borderId="0" xfId="0" applyNumberFormat="1"/>
    <xf numFmtId="0" fontId="0" fillId="0" borderId="1" xfId="0" applyBorder="1" applyAlignment="1">
      <alignment horizontal="centerContinuous"/>
    </xf>
    <xf numFmtId="37" fontId="0" fillId="0" borderId="1" xfId="0" applyNumberFormat="1" applyBorder="1"/>
    <xf numFmtId="2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Continuous"/>
    </xf>
    <xf numFmtId="0" fontId="2" fillId="0" borderId="0" xfId="0" applyFont="1"/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166" fontId="0" fillId="0" borderId="0" xfId="1" applyNumberFormat="1" applyFont="1" applyFill="1"/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6" fontId="0" fillId="0" borderId="3" xfId="1" applyNumberFormat="1" applyFont="1" applyFill="1" applyBorder="1"/>
    <xf numFmtId="0" fontId="0" fillId="0" borderId="0" xfId="0" applyBorder="1"/>
    <xf numFmtId="166" fontId="0" fillId="0" borderId="4" xfId="1" applyNumberFormat="1" applyFont="1" applyFill="1" applyBorder="1"/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0" fillId="0" borderId="3" xfId="1" applyNumberFormat="1" applyFont="1" applyFill="1" applyBorder="1"/>
    <xf numFmtId="164" fontId="0" fillId="0" borderId="5" xfId="1" applyNumberFormat="1" applyFont="1" applyFill="1" applyBorder="1"/>
    <xf numFmtId="164" fontId="0" fillId="0" borderId="4" xfId="1" applyNumberFormat="1" applyFont="1" applyFill="1" applyBorder="1"/>
    <xf numFmtId="166" fontId="0" fillId="0" borderId="0" xfId="0" applyNumberFormat="1"/>
    <xf numFmtId="43" fontId="0" fillId="0" borderId="0" xfId="0" applyNumberFormat="1"/>
    <xf numFmtId="0" fontId="0" fillId="0" borderId="0" xfId="0" applyFill="1" applyBorder="1"/>
    <xf numFmtId="0" fontId="2" fillId="0" borderId="0" xfId="0" applyFont="1" applyBorder="1"/>
    <xf numFmtId="164" fontId="0" fillId="0" borderId="1" xfId="1" applyNumberFormat="1" applyFont="1" applyBorder="1"/>
    <xf numFmtId="0" fontId="2" fillId="0" borderId="0" xfId="0" applyFont="1" applyFill="1" applyBorder="1"/>
    <xf numFmtId="0" fontId="0" fillId="0" borderId="0" xfId="0" quotePrefix="1" applyFill="1" applyBorder="1"/>
    <xf numFmtId="0" fontId="0" fillId="0" borderId="0" xfId="0" applyFill="1"/>
    <xf numFmtId="0" fontId="0" fillId="0" borderId="1" xfId="0" applyBorder="1" applyAlignment="1">
      <alignment horizontal="left"/>
    </xf>
    <xf numFmtId="164" fontId="0" fillId="0" borderId="0" xfId="0" applyNumberFormat="1" applyBorder="1"/>
    <xf numFmtId="164" fontId="0" fillId="0" borderId="3" xfId="1" applyNumberFormat="1" applyFont="1" applyBorder="1"/>
    <xf numFmtId="164" fontId="0" fillId="0" borderId="2" xfId="1" applyNumberFormat="1" applyFont="1" applyBorder="1"/>
    <xf numFmtId="37" fontId="0" fillId="0" borderId="0" xfId="0" applyNumberFormat="1" applyFill="1"/>
    <xf numFmtId="9" fontId="0" fillId="0" borderId="1" xfId="2" applyFont="1" applyBorder="1"/>
    <xf numFmtId="164" fontId="0" fillId="0" borderId="0" xfId="1" applyNumberFormat="1" applyFont="1" applyBorder="1"/>
    <xf numFmtId="9" fontId="0" fillId="0" borderId="0" xfId="2" applyFont="1" applyBorder="1"/>
    <xf numFmtId="167" fontId="0" fillId="0" borderId="1" xfId="1" applyNumberFormat="1" applyFont="1" applyBorder="1"/>
    <xf numFmtId="164" fontId="0" fillId="0" borderId="3" xfId="0" applyNumberFormat="1" applyBorder="1"/>
    <xf numFmtId="37" fontId="0" fillId="0" borderId="2" xfId="0" applyNumberFormat="1" applyBorder="1"/>
    <xf numFmtId="0" fontId="3" fillId="0" borderId="0" xfId="0" applyFont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H6" sqref="H6"/>
    </sheetView>
  </sheetViews>
  <sheetFormatPr defaultRowHeight="15.6" x14ac:dyDescent="0.3"/>
  <cols>
    <col min="1" max="1" width="4.3984375" customWidth="1"/>
    <col min="2" max="2" width="1.5" customWidth="1"/>
    <col min="3" max="3" width="42.59765625" customWidth="1"/>
    <col min="4" max="4" width="1.5" customWidth="1"/>
    <col min="5" max="5" width="11.69921875" customWidth="1"/>
    <col min="6" max="6" width="1.59765625" customWidth="1"/>
    <col min="7" max="7" width="11.8984375" customWidth="1"/>
  </cols>
  <sheetData>
    <row r="1" spans="1:7" x14ac:dyDescent="0.3">
      <c r="A1" t="s">
        <v>0</v>
      </c>
      <c r="G1" s="12" t="s">
        <v>259</v>
      </c>
    </row>
    <row r="2" spans="1:7" x14ac:dyDescent="0.3">
      <c r="A2" t="s">
        <v>1</v>
      </c>
      <c r="G2" s="12" t="s">
        <v>20</v>
      </c>
    </row>
    <row r="3" spans="1:7" x14ac:dyDescent="0.3">
      <c r="A3" t="s">
        <v>2</v>
      </c>
      <c r="G3" s="12" t="s">
        <v>232</v>
      </c>
    </row>
    <row r="4" spans="1:7" x14ac:dyDescent="0.3">
      <c r="A4" t="s">
        <v>3</v>
      </c>
      <c r="G4" s="12" t="s">
        <v>21</v>
      </c>
    </row>
    <row r="5" spans="1:7" x14ac:dyDescent="0.3">
      <c r="A5" s="6" t="s">
        <v>18</v>
      </c>
    </row>
    <row r="7" spans="1:7" x14ac:dyDescent="0.3">
      <c r="A7" t="s">
        <v>4</v>
      </c>
      <c r="E7" s="2" t="s">
        <v>15</v>
      </c>
      <c r="G7" s="2" t="s">
        <v>15</v>
      </c>
    </row>
    <row r="8" spans="1:7" x14ac:dyDescent="0.3">
      <c r="A8" s="1" t="s">
        <v>5</v>
      </c>
      <c r="C8" s="1" t="s">
        <v>6</v>
      </c>
      <c r="E8" s="3" t="s">
        <v>16</v>
      </c>
      <c r="G8" s="3" t="s">
        <v>17</v>
      </c>
    </row>
    <row r="10" spans="1:7" x14ac:dyDescent="0.3">
      <c r="A10">
        <v>1</v>
      </c>
      <c r="C10" t="s">
        <v>11</v>
      </c>
      <c r="E10" s="7">
        <f>Summary!I58</f>
        <v>1419343</v>
      </c>
      <c r="F10" s="7"/>
      <c r="G10" s="7">
        <f>Summary!O58</f>
        <v>1301385</v>
      </c>
    </row>
    <row r="12" spans="1:7" x14ac:dyDescent="0.3">
      <c r="A12">
        <v>2</v>
      </c>
      <c r="C12" t="s">
        <v>8</v>
      </c>
      <c r="E12" s="5">
        <v>7.2900000000000006E-2</v>
      </c>
      <c r="F12" s="4"/>
      <c r="G12" s="5">
        <v>7.2900000000000006E-2</v>
      </c>
    </row>
    <row r="14" spans="1:7" x14ac:dyDescent="0.3">
      <c r="A14">
        <v>3</v>
      </c>
      <c r="C14" t="s">
        <v>9</v>
      </c>
      <c r="E14" s="8">
        <f>E10*E12</f>
        <v>103470.10470000001</v>
      </c>
      <c r="G14" s="8">
        <f>G10*G12</f>
        <v>94870.96650000001</v>
      </c>
    </row>
    <row r="16" spans="1:7" x14ac:dyDescent="0.3">
      <c r="A16">
        <v>4</v>
      </c>
      <c r="C16" t="s">
        <v>10</v>
      </c>
      <c r="E16" s="9">
        <f>Summary!G58</f>
        <v>97247.035514999967</v>
      </c>
      <c r="F16" s="8"/>
      <c r="G16" s="9">
        <f>Summary!M58</f>
        <v>113272.67849999997</v>
      </c>
    </row>
    <row r="17" spans="1:7" x14ac:dyDescent="0.3">
      <c r="E17" s="8"/>
      <c r="F17" s="8"/>
      <c r="G17" s="8"/>
    </row>
    <row r="18" spans="1:7" x14ac:dyDescent="0.3">
      <c r="A18">
        <v>5</v>
      </c>
      <c r="C18" t="s">
        <v>12</v>
      </c>
      <c r="E18" s="8">
        <f>E14-E16</f>
        <v>6223.0691850000439</v>
      </c>
      <c r="F18" s="8"/>
      <c r="G18" s="8">
        <f>G14-G16</f>
        <v>-18401.711999999956</v>
      </c>
    </row>
    <row r="19" spans="1:7" x14ac:dyDescent="0.3">
      <c r="E19" s="8"/>
      <c r="F19" s="8"/>
      <c r="G19" s="8"/>
    </row>
    <row r="20" spans="1:7" x14ac:dyDescent="0.3">
      <c r="A20">
        <v>6</v>
      </c>
      <c r="C20" t="s">
        <v>13</v>
      </c>
      <c r="E20" s="10">
        <v>0.62</v>
      </c>
      <c r="F20" s="8"/>
      <c r="G20" s="10">
        <v>0.62</v>
      </c>
    </row>
    <row r="21" spans="1:7" x14ac:dyDescent="0.3">
      <c r="E21" s="8"/>
      <c r="F21" s="8"/>
      <c r="G21" s="8"/>
    </row>
    <row r="22" spans="1:7" ht="16.2" thickBot="1" x14ac:dyDescent="0.35">
      <c r="A22">
        <v>7</v>
      </c>
      <c r="C22" t="s">
        <v>14</v>
      </c>
      <c r="E22" s="11">
        <f>E18/E20</f>
        <v>10037.208362903297</v>
      </c>
      <c r="F22" s="8"/>
      <c r="G22" s="11">
        <f>G18/G20</f>
        <v>-29680.180645161221</v>
      </c>
    </row>
    <row r="23" spans="1:7" ht="16.2" thickTop="1" x14ac:dyDescent="0.3">
      <c r="E23" s="8"/>
      <c r="F23" s="8"/>
      <c r="G23" s="8"/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I6" sqref="I6"/>
    </sheetView>
  </sheetViews>
  <sheetFormatPr defaultRowHeight="15.6" x14ac:dyDescent="0.3"/>
  <cols>
    <col min="1" max="1" width="4.09765625" customWidth="1"/>
    <col min="2" max="2" width="1.59765625" customWidth="1"/>
    <col min="3" max="3" width="46.5" customWidth="1"/>
    <col min="4" max="4" width="4.69921875" customWidth="1"/>
    <col min="5" max="5" width="4.09765625" customWidth="1"/>
    <col min="6" max="6" width="2.8984375" customWidth="1"/>
    <col min="7" max="7" width="12.19921875" customWidth="1"/>
    <col min="8" max="8" width="0.8984375" customWidth="1"/>
    <col min="9" max="9" width="32.69921875" customWidth="1"/>
    <col min="10" max="10" width="0.69921875" customWidth="1"/>
    <col min="11" max="11" width="11.59765625" customWidth="1"/>
  </cols>
  <sheetData>
    <row r="1" spans="1:9" x14ac:dyDescent="0.3">
      <c r="A1" t="s">
        <v>0</v>
      </c>
      <c r="I1" s="58" t="s">
        <v>259</v>
      </c>
    </row>
    <row r="2" spans="1:9" x14ac:dyDescent="0.3">
      <c r="A2" t="s">
        <v>1</v>
      </c>
      <c r="I2" s="12" t="s">
        <v>20</v>
      </c>
    </row>
    <row r="3" spans="1:9" x14ac:dyDescent="0.3">
      <c r="A3" t="s">
        <v>144</v>
      </c>
      <c r="I3" s="12" t="s">
        <v>248</v>
      </c>
    </row>
    <row r="4" spans="1:9" x14ac:dyDescent="0.3">
      <c r="A4" t="s">
        <v>3</v>
      </c>
      <c r="I4" s="12" t="s">
        <v>247</v>
      </c>
    </row>
    <row r="5" spans="1:9" x14ac:dyDescent="0.3">
      <c r="A5" s="6"/>
      <c r="I5" s="12" t="s">
        <v>128</v>
      </c>
    </row>
    <row r="9" spans="1:9" x14ac:dyDescent="0.3">
      <c r="A9" t="s">
        <v>4</v>
      </c>
    </row>
    <row r="10" spans="1:9" x14ac:dyDescent="0.3">
      <c r="A10" s="1" t="s">
        <v>5</v>
      </c>
      <c r="C10" s="1" t="s">
        <v>6</v>
      </c>
      <c r="G10" s="3" t="s">
        <v>15</v>
      </c>
      <c r="I10" s="47" t="s">
        <v>145</v>
      </c>
    </row>
    <row r="11" spans="1:9" x14ac:dyDescent="0.3">
      <c r="I11" s="32"/>
    </row>
    <row r="12" spans="1:9" x14ac:dyDescent="0.3">
      <c r="C12" s="23" t="s">
        <v>161</v>
      </c>
      <c r="I12" s="32"/>
    </row>
    <row r="13" spans="1:9" x14ac:dyDescent="0.3">
      <c r="A13">
        <v>1</v>
      </c>
      <c r="C13" t="s">
        <v>163</v>
      </c>
      <c r="E13" s="7"/>
      <c r="F13" s="7"/>
      <c r="G13" s="7">
        <v>5326640</v>
      </c>
      <c r="I13" s="32" t="s">
        <v>146</v>
      </c>
    </row>
    <row r="14" spans="1:9" x14ac:dyDescent="0.3">
      <c r="A14">
        <v>2</v>
      </c>
      <c r="C14" t="s">
        <v>164</v>
      </c>
      <c r="E14" s="7"/>
      <c r="F14" s="7"/>
      <c r="G14" s="43">
        <v>6381828</v>
      </c>
      <c r="I14" s="32" t="s">
        <v>147</v>
      </c>
    </row>
    <row r="15" spans="1:9" x14ac:dyDescent="0.3">
      <c r="E15" s="7"/>
      <c r="F15" s="7"/>
      <c r="G15" s="7"/>
      <c r="I15" s="32"/>
    </row>
    <row r="16" spans="1:9" x14ac:dyDescent="0.3">
      <c r="A16">
        <v>3</v>
      </c>
      <c r="C16" t="s">
        <v>165</v>
      </c>
      <c r="E16" s="7"/>
      <c r="F16" s="7"/>
      <c r="G16" s="7">
        <f>SUM(G13:G15)</f>
        <v>11708468</v>
      </c>
      <c r="I16" s="48"/>
    </row>
    <row r="17" spans="1:9" x14ac:dyDescent="0.3">
      <c r="A17">
        <v>4</v>
      </c>
      <c r="C17" t="s">
        <v>148</v>
      </c>
      <c r="E17" s="7"/>
      <c r="F17" s="7"/>
      <c r="G17" s="5">
        <v>1.8700000000000001E-2</v>
      </c>
      <c r="I17" t="s">
        <v>149</v>
      </c>
    </row>
    <row r="18" spans="1:9" x14ac:dyDescent="0.3">
      <c r="A18">
        <v>5</v>
      </c>
      <c r="C18" t="s">
        <v>150</v>
      </c>
      <c r="E18" s="7"/>
      <c r="F18" s="7"/>
      <c r="G18" s="49">
        <f>ROUND(G16*G17,0)</f>
        <v>218948</v>
      </c>
    </row>
    <row r="19" spans="1:9" x14ac:dyDescent="0.3">
      <c r="E19" s="7"/>
      <c r="F19" s="7"/>
      <c r="G19" s="7"/>
    </row>
    <row r="20" spans="1:9" x14ac:dyDescent="0.3">
      <c r="C20" s="23" t="s">
        <v>251</v>
      </c>
      <c r="E20" s="7"/>
      <c r="F20" s="7"/>
      <c r="G20" s="7"/>
    </row>
    <row r="21" spans="1:9" x14ac:dyDescent="0.3">
      <c r="E21" s="7"/>
      <c r="F21" s="7"/>
      <c r="G21" s="7"/>
    </row>
    <row r="22" spans="1:9" x14ac:dyDescent="0.3">
      <c r="A22">
        <v>6</v>
      </c>
      <c r="C22" t="s">
        <v>151</v>
      </c>
      <c r="E22" s="7"/>
      <c r="F22" s="7"/>
      <c r="G22" s="7">
        <v>44215399</v>
      </c>
      <c r="I22" t="s">
        <v>149</v>
      </c>
    </row>
    <row r="23" spans="1:9" x14ac:dyDescent="0.3">
      <c r="A23">
        <v>7</v>
      </c>
      <c r="C23" t="s">
        <v>162</v>
      </c>
      <c r="E23" s="7"/>
      <c r="F23" s="7"/>
      <c r="G23" s="43">
        <v>-3863586</v>
      </c>
      <c r="I23" t="s">
        <v>149</v>
      </c>
    </row>
    <row r="24" spans="1:9" x14ac:dyDescent="0.3">
      <c r="A24">
        <v>8</v>
      </c>
      <c r="C24" t="s">
        <v>152</v>
      </c>
      <c r="E24" s="7"/>
      <c r="F24" s="7"/>
      <c r="G24" s="49">
        <f>SUM(G22:G23)</f>
        <v>40351813</v>
      </c>
    </row>
    <row r="25" spans="1:9" x14ac:dyDescent="0.3">
      <c r="E25" s="7"/>
      <c r="F25" s="7"/>
      <c r="G25" s="7"/>
    </row>
    <row r="26" spans="1:9" x14ac:dyDescent="0.3">
      <c r="A26">
        <v>9</v>
      </c>
      <c r="C26" t="s">
        <v>153</v>
      </c>
      <c r="E26" s="7"/>
      <c r="F26" s="7"/>
      <c r="G26" s="43">
        <v>3698176</v>
      </c>
      <c r="I26" t="s">
        <v>149</v>
      </c>
    </row>
    <row r="27" spans="1:9" x14ac:dyDescent="0.3">
      <c r="E27" s="7"/>
      <c r="F27" s="7"/>
      <c r="G27" s="7"/>
    </row>
    <row r="28" spans="1:9" x14ac:dyDescent="0.3">
      <c r="C28" s="23" t="s">
        <v>154</v>
      </c>
      <c r="E28" s="7"/>
      <c r="F28" s="7"/>
      <c r="G28" s="7"/>
    </row>
    <row r="29" spans="1:9" x14ac:dyDescent="0.3">
      <c r="A29">
        <v>10</v>
      </c>
      <c r="C29" t="s">
        <v>150</v>
      </c>
      <c r="E29" s="7"/>
      <c r="F29" s="7"/>
      <c r="G29" s="7">
        <f>G18+G26</f>
        <v>3917124</v>
      </c>
      <c r="I29" t="s">
        <v>155</v>
      </c>
    </row>
    <row r="30" spans="1:9" x14ac:dyDescent="0.3">
      <c r="A30">
        <v>11</v>
      </c>
      <c r="C30" s="32" t="s">
        <v>101</v>
      </c>
      <c r="D30" s="32"/>
      <c r="E30" s="32"/>
      <c r="F30" s="32"/>
      <c r="G30" s="35">
        <f>G29*-0.35</f>
        <v>-1370993.4</v>
      </c>
      <c r="I30" t="s">
        <v>156</v>
      </c>
    </row>
    <row r="31" spans="1:9" x14ac:dyDescent="0.3">
      <c r="A31">
        <v>12</v>
      </c>
      <c r="C31" s="41" t="s">
        <v>110</v>
      </c>
      <c r="D31" s="32"/>
      <c r="E31" s="32"/>
      <c r="F31" s="32"/>
      <c r="G31" s="35">
        <f>ROUND(-G35*0.0268*0.35,0)</f>
        <v>-488325</v>
      </c>
      <c r="I31" t="s">
        <v>157</v>
      </c>
    </row>
    <row r="32" spans="1:9" ht="16.2" thickBot="1" x14ac:dyDescent="0.35">
      <c r="A32">
        <v>13</v>
      </c>
      <c r="C32" s="32" t="s">
        <v>102</v>
      </c>
      <c r="D32" s="32"/>
      <c r="E32" s="32"/>
      <c r="F32" s="32"/>
      <c r="G32" s="38">
        <f>-SUM(G29:G31)</f>
        <v>-2057805.6</v>
      </c>
    </row>
    <row r="33" spans="1:9" x14ac:dyDescent="0.3">
      <c r="E33" s="7"/>
      <c r="F33" s="7"/>
      <c r="G33" s="7"/>
    </row>
    <row r="34" spans="1:9" x14ac:dyDescent="0.3">
      <c r="C34" s="23" t="s">
        <v>158</v>
      </c>
      <c r="E34" s="7"/>
      <c r="F34" s="7"/>
      <c r="G34" s="7"/>
    </row>
    <row r="35" spans="1:9" ht="16.2" thickBot="1" x14ac:dyDescent="0.35">
      <c r="A35">
        <v>14</v>
      </c>
      <c r="C35" t="s">
        <v>159</v>
      </c>
      <c r="E35" s="7"/>
      <c r="F35" s="7"/>
      <c r="G35" s="50">
        <f>G24+G16</f>
        <v>52060281</v>
      </c>
      <c r="I35" t="s">
        <v>160</v>
      </c>
    </row>
    <row r="36" spans="1:9" ht="16.2" thickTop="1" x14ac:dyDescent="0.3">
      <c r="E36" s="7"/>
      <c r="F36" s="7"/>
      <c r="G36" s="7"/>
    </row>
    <row r="37" spans="1:9" x14ac:dyDescent="0.3">
      <c r="E37" s="7"/>
      <c r="F37" s="7"/>
      <c r="G37" s="7"/>
    </row>
  </sheetData>
  <pageMargins left="0.7" right="0.7" top="0.75" bottom="0.75" header="0.3" footer="0.3"/>
  <pageSetup scale="77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workbookViewId="0">
      <selection activeCell="K19" sqref="K19"/>
    </sheetView>
  </sheetViews>
  <sheetFormatPr defaultRowHeight="15.6" x14ac:dyDescent="0.3"/>
  <cols>
    <col min="1" max="1" width="4.5" customWidth="1"/>
    <col min="2" max="2" width="1.59765625" customWidth="1"/>
    <col min="3" max="3" width="13.19921875" customWidth="1"/>
    <col min="4" max="4" width="20.69921875" customWidth="1"/>
    <col min="5" max="5" width="2.69921875" customWidth="1"/>
    <col min="7" max="7" width="12.19921875" customWidth="1"/>
    <col min="8" max="8" width="0.8984375" customWidth="1"/>
    <col min="9" max="9" width="12.09765625" customWidth="1"/>
    <col min="10" max="10" width="0.69921875" customWidth="1"/>
    <col min="11" max="11" width="11.59765625" customWidth="1"/>
    <col min="12" max="12" width="9.69921875" bestFit="1" customWidth="1"/>
  </cols>
  <sheetData>
    <row r="1" spans="1:11" x14ac:dyDescent="0.3">
      <c r="A1" t="s">
        <v>0</v>
      </c>
      <c r="G1" s="46"/>
      <c r="K1" s="58" t="s">
        <v>259</v>
      </c>
    </row>
    <row r="2" spans="1:11" x14ac:dyDescent="0.3">
      <c r="A2" t="s">
        <v>1</v>
      </c>
      <c r="K2" s="12" t="s">
        <v>20</v>
      </c>
    </row>
    <row r="3" spans="1:11" x14ac:dyDescent="0.3">
      <c r="A3" t="s">
        <v>130</v>
      </c>
      <c r="K3" s="12" t="s">
        <v>250</v>
      </c>
    </row>
    <row r="4" spans="1:11" x14ac:dyDescent="0.3">
      <c r="A4" t="s">
        <v>3</v>
      </c>
      <c r="K4" s="12" t="s">
        <v>249</v>
      </c>
    </row>
    <row r="5" spans="1:11" x14ac:dyDescent="0.3">
      <c r="A5" s="6" t="s">
        <v>18</v>
      </c>
    </row>
    <row r="7" spans="1:11" x14ac:dyDescent="0.3">
      <c r="G7" s="2" t="s">
        <v>17</v>
      </c>
      <c r="H7" s="2"/>
      <c r="I7" s="2" t="s">
        <v>87</v>
      </c>
    </row>
    <row r="8" spans="1:11" x14ac:dyDescent="0.3">
      <c r="G8" s="2" t="s">
        <v>88</v>
      </c>
      <c r="I8" s="2" t="s">
        <v>89</v>
      </c>
    </row>
    <row r="9" spans="1:11" x14ac:dyDescent="0.3">
      <c r="A9" t="s">
        <v>4</v>
      </c>
      <c r="G9" s="24" t="s">
        <v>90</v>
      </c>
      <c r="I9" s="24" t="s">
        <v>90</v>
      </c>
      <c r="K9" s="25" t="s">
        <v>17</v>
      </c>
    </row>
    <row r="10" spans="1:11" x14ac:dyDescent="0.3">
      <c r="A10" s="1" t="s">
        <v>129</v>
      </c>
      <c r="C10" s="1" t="s">
        <v>6</v>
      </c>
      <c r="D10" s="1"/>
      <c r="G10" s="26" t="s">
        <v>91</v>
      </c>
      <c r="I10" s="26" t="s">
        <v>91</v>
      </c>
      <c r="K10" s="3" t="s">
        <v>92</v>
      </c>
    </row>
    <row r="11" spans="1:11" x14ac:dyDescent="0.3">
      <c r="G11" s="27" t="s">
        <v>132</v>
      </c>
      <c r="I11" s="27" t="s">
        <v>133</v>
      </c>
      <c r="K11" s="27" t="s">
        <v>134</v>
      </c>
    </row>
    <row r="12" spans="1:11" x14ac:dyDescent="0.3">
      <c r="C12" s="23" t="s">
        <v>93</v>
      </c>
    </row>
    <row r="13" spans="1:11" x14ac:dyDescent="0.3">
      <c r="A13">
        <v>1</v>
      </c>
      <c r="C13" t="s">
        <v>94</v>
      </c>
      <c r="G13" s="28">
        <v>1603</v>
      </c>
      <c r="I13" s="8">
        <v>2210.0759699999999</v>
      </c>
      <c r="K13" s="39">
        <f>G13-I13</f>
        <v>-607.07596999999987</v>
      </c>
    </row>
    <row r="14" spans="1:11" x14ac:dyDescent="0.3">
      <c r="A14">
        <v>2</v>
      </c>
      <c r="C14" t="s">
        <v>95</v>
      </c>
      <c r="G14" s="28">
        <v>167</v>
      </c>
      <c r="I14" s="8">
        <v>402.07650000000001</v>
      </c>
      <c r="K14" s="39">
        <f t="shared" ref="K14:K17" si="0">G14-I14</f>
        <v>-235.07650000000001</v>
      </c>
    </row>
    <row r="15" spans="1:11" x14ac:dyDescent="0.3">
      <c r="A15">
        <v>3</v>
      </c>
      <c r="C15" t="s">
        <v>96</v>
      </c>
      <c r="G15" s="28">
        <v>113</v>
      </c>
      <c r="I15" s="8">
        <v>389.09739999999999</v>
      </c>
      <c r="K15" s="39">
        <f t="shared" si="0"/>
        <v>-276.09739999999999</v>
      </c>
    </row>
    <row r="16" spans="1:11" x14ac:dyDescent="0.3">
      <c r="A16">
        <v>4</v>
      </c>
      <c r="C16" t="s">
        <v>97</v>
      </c>
      <c r="G16" s="28">
        <v>648</v>
      </c>
      <c r="H16" s="28"/>
      <c r="I16" s="28">
        <v>1125.5732</v>
      </c>
      <c r="K16" s="39">
        <f t="shared" si="0"/>
        <v>-477.57320000000004</v>
      </c>
    </row>
    <row r="17" spans="1:12" x14ac:dyDescent="0.3">
      <c r="A17">
        <v>5</v>
      </c>
      <c r="C17" t="s">
        <v>98</v>
      </c>
      <c r="G17" s="29">
        <v>621</v>
      </c>
      <c r="H17" s="30"/>
      <c r="I17" s="28">
        <v>678.21799999999996</v>
      </c>
      <c r="K17" s="39">
        <f t="shared" si="0"/>
        <v>-57.217999999999961</v>
      </c>
    </row>
    <row r="18" spans="1:12" x14ac:dyDescent="0.3">
      <c r="A18">
        <v>6</v>
      </c>
      <c r="C18" t="s">
        <v>99</v>
      </c>
      <c r="G18" s="29">
        <f>SUM(G13:G17)</f>
        <v>3152</v>
      </c>
      <c r="H18" s="30"/>
      <c r="I18" s="31">
        <f>SUM(I13:I17)</f>
        <v>4805.0410700000002</v>
      </c>
      <c r="K18" s="31">
        <f>SUM(K13:K17)</f>
        <v>-1653.0410699999998</v>
      </c>
    </row>
    <row r="19" spans="1:12" x14ac:dyDescent="0.3">
      <c r="G19" s="30"/>
      <c r="H19" s="30"/>
      <c r="I19" s="30"/>
      <c r="K19" s="30"/>
    </row>
    <row r="20" spans="1:12" x14ac:dyDescent="0.3">
      <c r="C20" s="42" t="s">
        <v>100</v>
      </c>
      <c r="G20" s="30">
        <f>-G18</f>
        <v>-3152</v>
      </c>
      <c r="H20" s="30"/>
      <c r="I20" s="30">
        <v>-4805.0410700000002</v>
      </c>
      <c r="J20" s="32"/>
      <c r="K20" s="39">
        <f t="shared" ref="K20:K22" si="1">G20-I20</f>
        <v>1653.0410700000002</v>
      </c>
    </row>
    <row r="21" spans="1:12" x14ac:dyDescent="0.3">
      <c r="A21">
        <v>7</v>
      </c>
      <c r="C21" t="s">
        <v>101</v>
      </c>
      <c r="G21" s="28">
        <f>G20*0.35</f>
        <v>-1103.1999999999998</v>
      </c>
      <c r="H21" s="30"/>
      <c r="I21" s="28">
        <f>I20*0.35</f>
        <v>-1681.7643745</v>
      </c>
      <c r="K21" s="39">
        <f t="shared" si="1"/>
        <v>578.56437450000021</v>
      </c>
      <c r="L21" s="40"/>
    </row>
    <row r="22" spans="1:12" x14ac:dyDescent="0.3">
      <c r="A22">
        <v>8</v>
      </c>
      <c r="C22" s="41" t="s">
        <v>110</v>
      </c>
      <c r="G22" s="35">
        <f>ROUND(-G49*0.0268*0.35,0)</f>
        <v>23</v>
      </c>
      <c r="H22" s="30"/>
      <c r="I22" s="35">
        <f>ROUND(-I49*0.0268*0.35,0)</f>
        <v>-329</v>
      </c>
      <c r="K22" s="39">
        <f t="shared" si="1"/>
        <v>352</v>
      </c>
      <c r="L22" s="40"/>
    </row>
    <row r="23" spans="1:12" ht="16.2" thickBot="1" x14ac:dyDescent="0.35">
      <c r="A23">
        <v>9</v>
      </c>
      <c r="C23" t="s">
        <v>102</v>
      </c>
      <c r="G23" s="33">
        <f>G20-G21-G22</f>
        <v>-2071.8000000000002</v>
      </c>
      <c r="H23" s="30"/>
      <c r="I23" s="33">
        <f>I20-I21-I22</f>
        <v>-2794.2766955000002</v>
      </c>
      <c r="K23" s="33">
        <f>K20-K21-K22</f>
        <v>722.47669550000001</v>
      </c>
    </row>
    <row r="24" spans="1:12" x14ac:dyDescent="0.3">
      <c r="G24" s="34"/>
      <c r="H24" s="35"/>
      <c r="I24" s="34"/>
      <c r="K24" s="34"/>
    </row>
    <row r="25" spans="1:12" x14ac:dyDescent="0.3">
      <c r="C25" s="23" t="s">
        <v>103</v>
      </c>
      <c r="G25" s="34"/>
      <c r="H25" s="35"/>
      <c r="I25" s="34"/>
      <c r="K25" s="34"/>
    </row>
    <row r="26" spans="1:12" x14ac:dyDescent="0.3">
      <c r="A26">
        <v>10</v>
      </c>
      <c r="C26" t="s">
        <v>94</v>
      </c>
      <c r="G26" s="34">
        <v>6461</v>
      </c>
      <c r="H26" s="35"/>
      <c r="I26" s="34">
        <v>9187.6943192372837</v>
      </c>
      <c r="K26" s="39">
        <f t="shared" ref="K26:K30" si="2">G26-I26</f>
        <v>-2726.6943192372837</v>
      </c>
    </row>
    <row r="27" spans="1:12" x14ac:dyDescent="0.3">
      <c r="A27">
        <v>11</v>
      </c>
      <c r="C27" t="s">
        <v>95</v>
      </c>
      <c r="G27" s="34">
        <v>8687</v>
      </c>
      <c r="H27" s="35"/>
      <c r="I27" s="34">
        <v>21114.482657100001</v>
      </c>
      <c r="K27" s="39">
        <f t="shared" si="2"/>
        <v>-12427.482657100001</v>
      </c>
    </row>
    <row r="28" spans="1:12" x14ac:dyDescent="0.3">
      <c r="A28">
        <v>12</v>
      </c>
      <c r="C28" t="s">
        <v>96</v>
      </c>
      <c r="G28" s="34">
        <v>6896</v>
      </c>
      <c r="H28" s="35"/>
      <c r="I28" s="34">
        <v>22088.809032600002</v>
      </c>
      <c r="K28" s="39">
        <f t="shared" si="2"/>
        <v>-15192.809032600002</v>
      </c>
    </row>
    <row r="29" spans="1:12" x14ac:dyDescent="0.3">
      <c r="A29">
        <v>13</v>
      </c>
      <c r="C29" t="s">
        <v>97</v>
      </c>
      <c r="G29" s="34">
        <v>17028</v>
      </c>
      <c r="H29" s="35"/>
      <c r="I29" s="34">
        <v>33384.539200293279</v>
      </c>
      <c r="K29" s="39">
        <f t="shared" si="2"/>
        <v>-16356.539200293279</v>
      </c>
    </row>
    <row r="30" spans="1:12" x14ac:dyDescent="0.3">
      <c r="A30">
        <v>14</v>
      </c>
      <c r="C30" t="s">
        <v>98</v>
      </c>
      <c r="G30" s="34">
        <v>8819</v>
      </c>
      <c r="H30" s="35"/>
      <c r="I30" s="34">
        <v>9189.2015534889215</v>
      </c>
      <c r="K30" s="39">
        <f t="shared" si="2"/>
        <v>-370.20155348892149</v>
      </c>
    </row>
    <row r="31" spans="1:12" x14ac:dyDescent="0.3">
      <c r="A31">
        <v>15</v>
      </c>
      <c r="C31" t="s">
        <v>104</v>
      </c>
      <c r="G31" s="36">
        <f>SUM(G26:G30)</f>
        <v>47891</v>
      </c>
      <c r="H31" s="35"/>
      <c r="I31" s="36">
        <f>SUM(I26:I30)</f>
        <v>94964.726762719496</v>
      </c>
      <c r="K31" s="36">
        <f>SUM(K26:K30)</f>
        <v>-47073.726762719489</v>
      </c>
    </row>
    <row r="32" spans="1:12" x14ac:dyDescent="0.3">
      <c r="G32" s="35"/>
      <c r="H32" s="35"/>
      <c r="I32" s="35"/>
      <c r="K32" s="35"/>
    </row>
    <row r="33" spans="1:11" x14ac:dyDescent="0.3">
      <c r="C33" s="23" t="s">
        <v>105</v>
      </c>
      <c r="G33" s="34"/>
      <c r="H33" s="35"/>
    </row>
    <row r="34" spans="1:11" x14ac:dyDescent="0.3">
      <c r="A34">
        <v>16</v>
      </c>
      <c r="C34" t="s">
        <v>94</v>
      </c>
      <c r="G34" s="34">
        <v>-2622</v>
      </c>
      <c r="H34" s="35"/>
      <c r="I34" s="8">
        <v>-3411.0568291425243</v>
      </c>
      <c r="K34" s="39">
        <f t="shared" ref="K34:K38" si="3">G34-I34</f>
        <v>789.05682914252429</v>
      </c>
    </row>
    <row r="35" spans="1:11" x14ac:dyDescent="0.3">
      <c r="A35">
        <v>17</v>
      </c>
      <c r="C35" t="s">
        <v>95</v>
      </c>
      <c r="G35" s="34">
        <v>-7664</v>
      </c>
      <c r="H35" s="35"/>
      <c r="I35" s="8">
        <v>-11229.020321772585</v>
      </c>
      <c r="K35" s="39">
        <f t="shared" si="3"/>
        <v>3565.0203217725848</v>
      </c>
    </row>
    <row r="36" spans="1:11" x14ac:dyDescent="0.3">
      <c r="A36">
        <v>18</v>
      </c>
      <c r="C36" t="s">
        <v>96</v>
      </c>
      <c r="G36" s="34">
        <v>-1176</v>
      </c>
      <c r="H36" s="35"/>
      <c r="I36" s="8">
        <v>-1260.36729550667</v>
      </c>
      <c r="K36" s="39">
        <f t="shared" si="3"/>
        <v>84.367295506669961</v>
      </c>
    </row>
    <row r="37" spans="1:11" x14ac:dyDescent="0.3">
      <c r="A37">
        <v>19</v>
      </c>
      <c r="C37" t="s">
        <v>97</v>
      </c>
      <c r="G37" s="34">
        <v>-9306</v>
      </c>
      <c r="H37" s="35"/>
      <c r="I37" s="8">
        <v>-14098.0759305182</v>
      </c>
      <c r="K37" s="39">
        <f t="shared" si="3"/>
        <v>4792.0759305182</v>
      </c>
    </row>
    <row r="38" spans="1:11" x14ac:dyDescent="0.3">
      <c r="A38">
        <v>20</v>
      </c>
      <c r="C38" t="s">
        <v>98</v>
      </c>
      <c r="G38" s="34">
        <v>-5160</v>
      </c>
      <c r="H38" s="35"/>
      <c r="I38" s="34">
        <v>-3967.4069644691494</v>
      </c>
      <c r="K38" s="39">
        <f t="shared" si="3"/>
        <v>-1192.5930355308506</v>
      </c>
    </row>
    <row r="39" spans="1:11" x14ac:dyDescent="0.3">
      <c r="A39">
        <v>21</v>
      </c>
      <c r="C39" t="s">
        <v>106</v>
      </c>
      <c r="G39" s="36">
        <f>SUM(G34:G38)</f>
        <v>-25928</v>
      </c>
      <c r="H39" s="35"/>
      <c r="I39" s="36">
        <f>SUM(I34:I38)</f>
        <v>-33965.927341409129</v>
      </c>
      <c r="K39" s="36">
        <f>SUM(K34:K38)</f>
        <v>8037.9273414091294</v>
      </c>
    </row>
    <row r="40" spans="1:11" x14ac:dyDescent="0.3">
      <c r="G40" s="35"/>
      <c r="H40" s="35"/>
      <c r="I40" s="35"/>
      <c r="K40" s="35"/>
    </row>
    <row r="41" spans="1:11" x14ac:dyDescent="0.3">
      <c r="C41" s="23" t="s">
        <v>107</v>
      </c>
      <c r="G41" s="34"/>
      <c r="H41" s="35"/>
      <c r="I41" s="34"/>
      <c r="K41" s="34"/>
    </row>
    <row r="42" spans="1:11" x14ac:dyDescent="0.3">
      <c r="A42">
        <v>22</v>
      </c>
      <c r="C42" t="s">
        <v>94</v>
      </c>
      <c r="G42" s="34">
        <v>-2374</v>
      </c>
      <c r="H42" s="35"/>
      <c r="I42" s="34">
        <v>-2257</v>
      </c>
      <c r="K42" s="39">
        <f t="shared" ref="K42:K46" si="4">G42-I42</f>
        <v>-117</v>
      </c>
    </row>
    <row r="43" spans="1:11" x14ac:dyDescent="0.3">
      <c r="A43">
        <v>23</v>
      </c>
      <c r="C43" t="s">
        <v>95</v>
      </c>
      <c r="G43" s="34">
        <v>-3339</v>
      </c>
      <c r="H43" s="35"/>
      <c r="I43" s="34">
        <v>-4180</v>
      </c>
      <c r="K43" s="39">
        <f t="shared" si="4"/>
        <v>841</v>
      </c>
    </row>
    <row r="44" spans="1:11" x14ac:dyDescent="0.3">
      <c r="A44">
        <v>24</v>
      </c>
      <c r="C44" t="s">
        <v>96</v>
      </c>
      <c r="G44" s="34">
        <v>-1819</v>
      </c>
      <c r="H44" s="35"/>
      <c r="I44" s="34">
        <v>-2249</v>
      </c>
      <c r="K44" s="39">
        <f t="shared" si="4"/>
        <v>430</v>
      </c>
    </row>
    <row r="45" spans="1:11" x14ac:dyDescent="0.3">
      <c r="A45">
        <v>25</v>
      </c>
      <c r="C45" t="s">
        <v>97</v>
      </c>
      <c r="G45" s="34">
        <v>-5271</v>
      </c>
      <c r="H45" s="35"/>
      <c r="I45" s="34">
        <v>-6167</v>
      </c>
      <c r="K45" s="39">
        <f t="shared" si="4"/>
        <v>896</v>
      </c>
    </row>
    <row r="46" spans="1:11" x14ac:dyDescent="0.3">
      <c r="A46">
        <v>26</v>
      </c>
      <c r="C46" t="s">
        <v>98</v>
      </c>
      <c r="G46" s="34">
        <v>-11635</v>
      </c>
      <c r="H46" s="35"/>
      <c r="I46" s="34">
        <v>-11048</v>
      </c>
      <c r="K46" s="39">
        <f t="shared" si="4"/>
        <v>-587</v>
      </c>
    </row>
    <row r="47" spans="1:11" x14ac:dyDescent="0.3">
      <c r="A47">
        <v>27</v>
      </c>
      <c r="C47" t="s">
        <v>108</v>
      </c>
      <c r="G47" s="36">
        <f>SUM(G42:G46)</f>
        <v>-24438</v>
      </c>
      <c r="H47" s="35"/>
      <c r="I47" s="36">
        <f>SUM(I42:I46)</f>
        <v>-25901</v>
      </c>
      <c r="K47" s="36">
        <f>SUM(K42:K46)</f>
        <v>1463</v>
      </c>
    </row>
    <row r="48" spans="1:11" x14ac:dyDescent="0.3">
      <c r="G48" s="37"/>
      <c r="H48" s="35"/>
      <c r="I48" s="37"/>
      <c r="K48" s="37"/>
    </row>
    <row r="49" spans="1:11" ht="16.2" thickBot="1" x14ac:dyDescent="0.35">
      <c r="A49">
        <v>28</v>
      </c>
      <c r="C49" t="s">
        <v>109</v>
      </c>
      <c r="G49" s="38">
        <f>G31+G39+G47</f>
        <v>-2475</v>
      </c>
      <c r="H49" s="35"/>
      <c r="I49" s="38">
        <f>I31+I39+I47</f>
        <v>35097.799421310367</v>
      </c>
      <c r="K49" s="38">
        <f>K31+K39+K47</f>
        <v>-37572.799421310359</v>
      </c>
    </row>
    <row r="50" spans="1:11" x14ac:dyDescent="0.3">
      <c r="H50" s="32"/>
    </row>
    <row r="51" spans="1:11" x14ac:dyDescent="0.3">
      <c r="C51" s="44" t="s">
        <v>85</v>
      </c>
      <c r="H51" s="32"/>
    </row>
    <row r="52" spans="1:11" x14ac:dyDescent="0.3">
      <c r="C52" s="41" t="s">
        <v>135</v>
      </c>
    </row>
    <row r="53" spans="1:11" x14ac:dyDescent="0.3">
      <c r="C53" s="41" t="s">
        <v>143</v>
      </c>
    </row>
    <row r="54" spans="1:11" x14ac:dyDescent="0.3">
      <c r="C54" s="41" t="s">
        <v>131</v>
      </c>
    </row>
    <row r="55" spans="1:11" x14ac:dyDescent="0.3">
      <c r="C55" s="41" t="s">
        <v>136</v>
      </c>
    </row>
    <row r="56" spans="1:11" x14ac:dyDescent="0.3">
      <c r="C56" s="41" t="s">
        <v>137</v>
      </c>
    </row>
    <row r="57" spans="1:11" x14ac:dyDescent="0.3">
      <c r="C57" s="41" t="s">
        <v>138</v>
      </c>
    </row>
    <row r="58" spans="1:11" x14ac:dyDescent="0.3">
      <c r="C58" s="41" t="s">
        <v>139</v>
      </c>
    </row>
    <row r="59" spans="1:11" x14ac:dyDescent="0.3">
      <c r="C59" s="41" t="s">
        <v>140</v>
      </c>
    </row>
    <row r="60" spans="1:11" x14ac:dyDescent="0.3">
      <c r="C60" s="45" t="s">
        <v>141</v>
      </c>
    </row>
    <row r="61" spans="1:11" x14ac:dyDescent="0.3">
      <c r="C61" s="41" t="s">
        <v>142</v>
      </c>
    </row>
  </sheetData>
  <pageMargins left="0.7" right="0.7" top="0.75" bottom="0.75" header="0.3" footer="0.3"/>
  <pageSetup scale="7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opLeftCell="F1" workbookViewId="0">
      <selection activeCell="U1" sqref="U1"/>
    </sheetView>
  </sheetViews>
  <sheetFormatPr defaultRowHeight="15.6" x14ac:dyDescent="0.3"/>
  <cols>
    <col min="1" max="1" width="6" customWidth="1"/>
    <col min="2" max="2" width="0.5" customWidth="1"/>
    <col min="4" max="4" width="0.69921875" customWidth="1"/>
    <col min="5" max="5" width="32.19921875" customWidth="1"/>
    <col min="6" max="6" width="2.59765625" customWidth="1"/>
    <col min="7" max="7" width="9.5" customWidth="1"/>
    <col min="8" max="8" width="1.19921875" customWidth="1"/>
    <col min="9" max="9" width="9.69921875" customWidth="1"/>
    <col min="10" max="10" width="1.09765625" customWidth="1"/>
    <col min="11" max="11" width="8.59765625" customWidth="1"/>
    <col min="12" max="12" width="1.59765625" customWidth="1"/>
    <col min="13" max="13" width="10.09765625" customWidth="1"/>
    <col min="14" max="14" width="1.69921875" customWidth="1"/>
    <col min="15" max="15" width="9.59765625" customWidth="1"/>
    <col min="16" max="16" width="1.3984375" customWidth="1"/>
    <col min="17" max="17" width="8.19921875" customWidth="1"/>
    <col min="18" max="18" width="0.5" customWidth="1"/>
    <col min="19" max="19" width="16.59765625" customWidth="1"/>
    <col min="20" max="20" width="0.69921875" customWidth="1"/>
    <col min="21" max="21" width="9.59765625" customWidth="1"/>
  </cols>
  <sheetData>
    <row r="1" spans="1:21" x14ac:dyDescent="0.3">
      <c r="A1" t="s">
        <v>0</v>
      </c>
      <c r="U1" s="12" t="s">
        <v>259</v>
      </c>
    </row>
    <row r="2" spans="1:21" x14ac:dyDescent="0.3">
      <c r="A2" t="s">
        <v>1</v>
      </c>
      <c r="U2" s="12" t="s">
        <v>20</v>
      </c>
    </row>
    <row r="3" spans="1:21" x14ac:dyDescent="0.3">
      <c r="A3" t="s">
        <v>19</v>
      </c>
      <c r="U3" s="12" t="s">
        <v>231</v>
      </c>
    </row>
    <row r="4" spans="1:21" x14ac:dyDescent="0.3">
      <c r="A4" t="s">
        <v>3</v>
      </c>
      <c r="U4" s="12" t="s">
        <v>84</v>
      </c>
    </row>
    <row r="5" spans="1:21" x14ac:dyDescent="0.3">
      <c r="A5" s="6" t="s">
        <v>18</v>
      </c>
      <c r="B5" s="6"/>
      <c r="C5" s="6"/>
      <c r="D5" s="6"/>
    </row>
    <row r="6" spans="1:21" x14ac:dyDescent="0.3">
      <c r="A6" s="6"/>
      <c r="B6" s="6"/>
      <c r="C6" s="6"/>
      <c r="D6" s="6"/>
    </row>
    <row r="7" spans="1:21" x14ac:dyDescent="0.3">
      <c r="A7" s="6"/>
      <c r="B7" s="6"/>
      <c r="C7" s="6"/>
      <c r="D7" s="6"/>
    </row>
    <row r="8" spans="1:21" x14ac:dyDescent="0.3">
      <c r="C8" t="s">
        <v>66</v>
      </c>
      <c r="M8" s="22" t="s">
        <v>82</v>
      </c>
      <c r="N8" s="22"/>
      <c r="O8" s="22"/>
      <c r="P8" s="22"/>
      <c r="Q8" s="22"/>
      <c r="S8" s="2" t="s">
        <v>73</v>
      </c>
      <c r="U8" s="2" t="s">
        <v>76</v>
      </c>
    </row>
    <row r="9" spans="1:21" x14ac:dyDescent="0.3">
      <c r="A9" s="2" t="s">
        <v>64</v>
      </c>
      <c r="C9" t="s">
        <v>67</v>
      </c>
      <c r="G9" s="18" t="s">
        <v>71</v>
      </c>
      <c r="H9" s="18"/>
      <c r="I9" s="18"/>
      <c r="J9" s="18"/>
      <c r="K9" s="18"/>
      <c r="M9" s="18" t="s">
        <v>83</v>
      </c>
      <c r="N9" s="18"/>
      <c r="O9" s="18"/>
      <c r="P9" s="18"/>
      <c r="Q9" s="18"/>
      <c r="S9" s="2" t="s">
        <v>74</v>
      </c>
      <c r="U9" s="2" t="s">
        <v>77</v>
      </c>
    </row>
    <row r="10" spans="1:21" x14ac:dyDescent="0.3">
      <c r="A10" s="3" t="s">
        <v>65</v>
      </c>
      <c r="B10" s="13"/>
      <c r="C10" s="3" t="s">
        <v>65</v>
      </c>
      <c r="D10" s="13"/>
      <c r="E10" s="1" t="s">
        <v>68</v>
      </c>
      <c r="G10" s="3" t="s">
        <v>69</v>
      </c>
      <c r="H10" s="2"/>
      <c r="I10" s="3" t="s">
        <v>7</v>
      </c>
      <c r="K10" s="3" t="s">
        <v>70</v>
      </c>
      <c r="M10" s="3" t="s">
        <v>69</v>
      </c>
      <c r="N10" s="2"/>
      <c r="O10" s="3" t="s">
        <v>7</v>
      </c>
      <c r="Q10" s="3" t="s">
        <v>70</v>
      </c>
      <c r="S10" s="3" t="s">
        <v>75</v>
      </c>
      <c r="U10" s="3" t="s">
        <v>78</v>
      </c>
    </row>
    <row r="11" spans="1:21" x14ac:dyDescent="0.3">
      <c r="A11" s="13">
        <v>1</v>
      </c>
      <c r="B11" s="13"/>
      <c r="C11" s="13"/>
      <c r="D11" s="13"/>
      <c r="E11" s="14" t="s">
        <v>24</v>
      </c>
      <c r="G11" s="16">
        <v>102983</v>
      </c>
      <c r="H11" s="15"/>
      <c r="I11" s="16">
        <v>1260500</v>
      </c>
      <c r="K11" s="16">
        <f>((I11*0.0729)-G11)/0.62</f>
        <v>-17891.209677419338</v>
      </c>
      <c r="M11" s="16">
        <f>G11</f>
        <v>102983</v>
      </c>
      <c r="O11" s="16">
        <f>I11</f>
        <v>1260500</v>
      </c>
      <c r="Q11" s="16">
        <f>((O11*0.0729)-M11)/0.62</f>
        <v>-17891.209677419338</v>
      </c>
    </row>
    <row r="12" spans="1:21" x14ac:dyDescent="0.3">
      <c r="A12" s="13">
        <v>1.01</v>
      </c>
      <c r="B12" s="13"/>
      <c r="C12" s="13"/>
      <c r="D12" s="13"/>
      <c r="E12" s="14" t="s">
        <v>25</v>
      </c>
      <c r="G12" s="16">
        <v>-56.364419999999996</v>
      </c>
      <c r="H12" s="16"/>
      <c r="I12" s="16">
        <v>-6009</v>
      </c>
      <c r="K12" s="16">
        <f t="shared" ref="K12:K14" si="0">((I12*0.0729)-G12)/0.62</f>
        <v>-615.63174193548389</v>
      </c>
      <c r="M12" s="16">
        <f t="shared" ref="M12:M13" si="1">G12</f>
        <v>-56.364419999999996</v>
      </c>
      <c r="O12" s="16">
        <f t="shared" ref="O12:O13" si="2">I12</f>
        <v>-6009</v>
      </c>
      <c r="Q12" s="16">
        <f t="shared" ref="Q12:Q14" si="3">((O12*0.0729)-M12)/0.62</f>
        <v>-615.63174193548389</v>
      </c>
      <c r="S12" s="21" t="s">
        <v>79</v>
      </c>
      <c r="U12" s="16"/>
    </row>
    <row r="13" spans="1:21" x14ac:dyDescent="0.3">
      <c r="A13" s="13">
        <v>1.02</v>
      </c>
      <c r="B13" s="13"/>
      <c r="C13" s="13"/>
      <c r="D13" s="13"/>
      <c r="E13" s="14" t="s">
        <v>26</v>
      </c>
      <c r="G13" s="16">
        <v>614.39738</v>
      </c>
      <c r="H13" s="16"/>
      <c r="I13" s="16">
        <v>-7399</v>
      </c>
      <c r="K13" s="16">
        <f t="shared" si="0"/>
        <v>-1860.9427096774193</v>
      </c>
      <c r="M13" s="16">
        <f t="shared" si="1"/>
        <v>614.39738</v>
      </c>
      <c r="O13" s="16">
        <f t="shared" si="2"/>
        <v>-7399</v>
      </c>
      <c r="Q13" s="16">
        <f t="shared" si="3"/>
        <v>-1860.9427096774193</v>
      </c>
      <c r="S13" s="21" t="s">
        <v>79</v>
      </c>
      <c r="U13" s="16"/>
    </row>
    <row r="14" spans="1:21" x14ac:dyDescent="0.3">
      <c r="A14" s="13">
        <v>1.03</v>
      </c>
      <c r="B14" s="13"/>
      <c r="C14" s="13"/>
      <c r="D14" s="13"/>
      <c r="E14" s="14" t="s">
        <v>27</v>
      </c>
      <c r="G14" s="19">
        <v>194.19414</v>
      </c>
      <c r="H14" s="16"/>
      <c r="I14" s="19">
        <v>20703</v>
      </c>
      <c r="K14" s="19">
        <f t="shared" si="0"/>
        <v>2121.0557419354841</v>
      </c>
      <c r="M14" s="19">
        <f>G14</f>
        <v>194.19414</v>
      </c>
      <c r="N14" s="16"/>
      <c r="O14" s="19">
        <f>I14</f>
        <v>20703</v>
      </c>
      <c r="Q14" s="19">
        <f t="shared" si="3"/>
        <v>2121.0557419354841</v>
      </c>
      <c r="S14" s="21" t="s">
        <v>79</v>
      </c>
      <c r="U14" s="16"/>
    </row>
    <row r="15" spans="1:21" x14ac:dyDescent="0.3">
      <c r="A15" s="13"/>
      <c r="B15" s="13"/>
      <c r="C15" s="13"/>
      <c r="D15" s="13"/>
      <c r="E15" t="s">
        <v>72</v>
      </c>
      <c r="G15" s="16">
        <f>SUM(G11:G14)</f>
        <v>103735.2271</v>
      </c>
      <c r="H15" s="16"/>
      <c r="I15" s="16">
        <f>SUM(I11:I14)</f>
        <v>1267795</v>
      </c>
      <c r="K15" s="16">
        <f>SUM(K11:K14)</f>
        <v>-18246.728387096759</v>
      </c>
      <c r="M15" s="16">
        <f>SUM(M11:M14)</f>
        <v>103735.2271</v>
      </c>
      <c r="N15" s="16"/>
      <c r="O15" s="16">
        <f>SUM(O11:O14)</f>
        <v>1267795</v>
      </c>
      <c r="Q15" s="16">
        <f>SUM(Q11:Q14)</f>
        <v>-18246.728387096759</v>
      </c>
    </row>
    <row r="16" spans="1:21" x14ac:dyDescent="0.3">
      <c r="A16" s="13"/>
      <c r="B16" s="13"/>
      <c r="C16" s="13"/>
      <c r="D16" s="13"/>
      <c r="G16" s="16"/>
      <c r="H16" s="16"/>
      <c r="I16" s="16"/>
    </row>
    <row r="17" spans="1:21" x14ac:dyDescent="0.3">
      <c r="A17" s="13">
        <v>2.0099999999999998</v>
      </c>
      <c r="B17" s="13"/>
      <c r="C17" s="13"/>
      <c r="D17" s="13"/>
      <c r="E17" s="14" t="s">
        <v>28</v>
      </c>
      <c r="G17" s="16">
        <v>-57.2</v>
      </c>
      <c r="H17" s="16"/>
      <c r="I17" s="16">
        <v>0</v>
      </c>
      <c r="K17" s="16">
        <f t="shared" ref="K17:K34" si="4">((I17*0.0729)-G17)/0.62</f>
        <v>92.258064516129039</v>
      </c>
      <c r="M17" s="16">
        <f t="shared" ref="M17:M34" si="5">G17</f>
        <v>-57.2</v>
      </c>
      <c r="O17" s="16">
        <f t="shared" ref="O17:O34" si="6">I17</f>
        <v>0</v>
      </c>
      <c r="Q17" s="16">
        <f t="shared" ref="Q17:Q34" si="7">((O17*0.0729)-M17)/0.62</f>
        <v>92.258064516129039</v>
      </c>
      <c r="S17" s="21" t="s">
        <v>79</v>
      </c>
      <c r="U17" s="16"/>
    </row>
    <row r="18" spans="1:21" x14ac:dyDescent="0.3">
      <c r="A18" s="13">
        <v>2.0199999999999996</v>
      </c>
      <c r="B18" s="13"/>
      <c r="C18" s="13"/>
      <c r="D18" s="13"/>
      <c r="E18" s="14" t="s">
        <v>29</v>
      </c>
      <c r="G18" s="16">
        <v>-243.75</v>
      </c>
      <c r="H18" s="16"/>
      <c r="I18" s="16">
        <v>0</v>
      </c>
      <c r="K18" s="16">
        <f t="shared" si="4"/>
        <v>393.14516129032256</v>
      </c>
      <c r="M18" s="16">
        <f t="shared" si="5"/>
        <v>-243.75</v>
      </c>
      <c r="O18" s="16">
        <f t="shared" si="6"/>
        <v>0</v>
      </c>
      <c r="Q18" s="16">
        <f t="shared" si="7"/>
        <v>393.14516129032256</v>
      </c>
      <c r="S18" s="21" t="s">
        <v>79</v>
      </c>
      <c r="U18" s="16"/>
    </row>
    <row r="19" spans="1:21" x14ac:dyDescent="0.3">
      <c r="A19" s="13">
        <v>2.0299999999999994</v>
      </c>
      <c r="B19" s="13"/>
      <c r="C19" s="13"/>
      <c r="D19" s="13"/>
      <c r="E19" s="14" t="s">
        <v>30</v>
      </c>
      <c r="G19" s="16">
        <v>-726.05</v>
      </c>
      <c r="H19" s="16"/>
      <c r="I19" s="16">
        <v>0</v>
      </c>
      <c r="K19" s="16">
        <f t="shared" si="4"/>
        <v>1171.0483870967741</v>
      </c>
      <c r="M19" s="16">
        <f t="shared" si="5"/>
        <v>-726.05</v>
      </c>
      <c r="O19" s="16">
        <f t="shared" si="6"/>
        <v>0</v>
      </c>
      <c r="Q19" s="16">
        <f t="shared" si="7"/>
        <v>1171.0483870967741</v>
      </c>
      <c r="S19" s="21" t="s">
        <v>79</v>
      </c>
      <c r="U19" s="16"/>
    </row>
    <row r="20" spans="1:21" x14ac:dyDescent="0.3">
      <c r="A20" s="13">
        <v>2.0399999999999991</v>
      </c>
      <c r="B20" s="13"/>
      <c r="C20" s="13"/>
      <c r="D20" s="13"/>
      <c r="E20" s="14" t="s">
        <v>31</v>
      </c>
      <c r="G20" s="16">
        <v>48.1</v>
      </c>
      <c r="H20" s="16"/>
      <c r="I20" s="16">
        <v>0</v>
      </c>
      <c r="K20" s="16">
        <f t="shared" si="4"/>
        <v>-77.58064516129032</v>
      </c>
      <c r="M20" s="16">
        <f t="shared" si="5"/>
        <v>48.1</v>
      </c>
      <c r="O20" s="16">
        <f t="shared" si="6"/>
        <v>0</v>
      </c>
      <c r="Q20" s="16">
        <f t="shared" si="7"/>
        <v>-77.58064516129032</v>
      </c>
      <c r="S20" s="21" t="s">
        <v>79</v>
      </c>
      <c r="U20" s="16"/>
    </row>
    <row r="21" spans="1:21" x14ac:dyDescent="0.3">
      <c r="A21" s="13">
        <v>2.0499999999999989</v>
      </c>
      <c r="B21" s="13"/>
      <c r="C21" s="13"/>
      <c r="D21" s="13"/>
      <c r="E21" s="14" t="s">
        <v>32</v>
      </c>
      <c r="G21" s="16">
        <v>-156.65</v>
      </c>
      <c r="H21" s="16"/>
      <c r="I21" s="16">
        <v>0</v>
      </c>
      <c r="K21" s="16">
        <f t="shared" si="4"/>
        <v>252.66129032258067</v>
      </c>
      <c r="M21" s="16">
        <f t="shared" si="5"/>
        <v>-156.65</v>
      </c>
      <c r="O21" s="16">
        <f t="shared" si="6"/>
        <v>0</v>
      </c>
      <c r="Q21" s="16">
        <f t="shared" si="7"/>
        <v>252.66129032258067</v>
      </c>
      <c r="S21" s="21" t="s">
        <v>79</v>
      </c>
      <c r="U21" s="16"/>
    </row>
    <row r="22" spans="1:21" x14ac:dyDescent="0.3">
      <c r="A22" s="13">
        <v>2.0599999999999987</v>
      </c>
      <c r="B22" s="13"/>
      <c r="C22" s="13"/>
      <c r="D22" s="13"/>
      <c r="E22" s="14" t="s">
        <v>33</v>
      </c>
      <c r="G22" s="16">
        <v>-213</v>
      </c>
      <c r="H22" s="16"/>
      <c r="I22" s="16">
        <v>0</v>
      </c>
      <c r="K22" s="16">
        <f t="shared" si="4"/>
        <v>343.54838709677421</v>
      </c>
      <c r="M22" s="16">
        <f t="shared" si="5"/>
        <v>-213</v>
      </c>
      <c r="O22" s="16">
        <f t="shared" si="6"/>
        <v>0</v>
      </c>
      <c r="Q22" s="16">
        <f t="shared" si="7"/>
        <v>343.54838709677421</v>
      </c>
      <c r="S22" s="21" t="s">
        <v>79</v>
      </c>
      <c r="U22" s="16"/>
    </row>
    <row r="23" spans="1:21" x14ac:dyDescent="0.3">
      <c r="A23" s="13">
        <v>2.0699999999999985</v>
      </c>
      <c r="B23" s="13"/>
      <c r="C23" s="13"/>
      <c r="D23" s="13"/>
      <c r="E23" s="14" t="s">
        <v>34</v>
      </c>
      <c r="G23" s="16">
        <v>10.4</v>
      </c>
      <c r="H23" s="16"/>
      <c r="I23" s="16">
        <v>0</v>
      </c>
      <c r="K23" s="16">
        <f t="shared" si="4"/>
        <v>-16.774193548387096</v>
      </c>
      <c r="M23" s="16">
        <f t="shared" si="5"/>
        <v>10.4</v>
      </c>
      <c r="O23" s="16">
        <f t="shared" si="6"/>
        <v>0</v>
      </c>
      <c r="Q23" s="16">
        <f t="shared" si="7"/>
        <v>-16.774193548387096</v>
      </c>
      <c r="S23" s="21" t="s">
        <v>79</v>
      </c>
      <c r="U23" s="16"/>
    </row>
    <row r="24" spans="1:21" x14ac:dyDescent="0.3">
      <c r="A24" s="13">
        <v>2.0799999999999983</v>
      </c>
      <c r="B24" s="13"/>
      <c r="C24" s="13"/>
      <c r="D24" s="13"/>
      <c r="E24" s="14" t="s">
        <v>35</v>
      </c>
      <c r="G24" s="16">
        <v>40.950000000000003</v>
      </c>
      <c r="H24" s="16"/>
      <c r="I24" s="16">
        <v>0</v>
      </c>
      <c r="K24" s="16">
        <f t="shared" si="4"/>
        <v>-66.048387096774192</v>
      </c>
      <c r="M24" s="16">
        <f t="shared" si="5"/>
        <v>40.950000000000003</v>
      </c>
      <c r="O24" s="16">
        <f t="shared" si="6"/>
        <v>0</v>
      </c>
      <c r="Q24" s="16">
        <f t="shared" si="7"/>
        <v>-66.048387096774192</v>
      </c>
      <c r="S24" s="21" t="s">
        <v>79</v>
      </c>
      <c r="U24" s="16"/>
    </row>
    <row r="25" spans="1:21" x14ac:dyDescent="0.3">
      <c r="A25" s="13">
        <v>2.0899999999999981</v>
      </c>
      <c r="B25" s="13"/>
      <c r="C25" s="13"/>
      <c r="D25" s="13"/>
      <c r="E25" s="14" t="s">
        <v>36</v>
      </c>
      <c r="G25" s="16">
        <v>52.650000000000006</v>
      </c>
      <c r="H25" s="16"/>
      <c r="I25" s="16">
        <v>0</v>
      </c>
      <c r="K25" s="16">
        <f t="shared" si="4"/>
        <v>-84.919354838709694</v>
      </c>
      <c r="M25" s="16">
        <f t="shared" si="5"/>
        <v>52.650000000000006</v>
      </c>
      <c r="O25" s="16">
        <f t="shared" si="6"/>
        <v>0</v>
      </c>
      <c r="Q25" s="16">
        <f t="shared" si="7"/>
        <v>-84.919354838709694</v>
      </c>
      <c r="S25" s="21" t="s">
        <v>79</v>
      </c>
      <c r="U25" s="16"/>
    </row>
    <row r="26" spans="1:21" x14ac:dyDescent="0.3">
      <c r="A26" s="13">
        <v>2.0999999999999979</v>
      </c>
      <c r="B26" s="13"/>
      <c r="C26" s="13"/>
      <c r="D26" s="13"/>
      <c r="E26" s="14" t="s">
        <v>37</v>
      </c>
      <c r="G26" s="16">
        <v>-4374.5</v>
      </c>
      <c r="H26" s="16"/>
      <c r="I26" s="16">
        <v>0</v>
      </c>
      <c r="K26" s="16">
        <f t="shared" si="4"/>
        <v>7055.6451612903229</v>
      </c>
      <c r="M26" s="16">
        <f t="shared" si="5"/>
        <v>-4374.5</v>
      </c>
      <c r="O26" s="16">
        <f t="shared" si="6"/>
        <v>0</v>
      </c>
      <c r="Q26" s="16">
        <f t="shared" si="7"/>
        <v>7055.6451612903229</v>
      </c>
      <c r="S26" s="21" t="s">
        <v>79</v>
      </c>
      <c r="U26" s="16"/>
    </row>
    <row r="27" spans="1:21" x14ac:dyDescent="0.3">
      <c r="A27" s="13">
        <v>2.1099999999999977</v>
      </c>
      <c r="B27" s="13"/>
      <c r="C27" s="13"/>
      <c r="D27" s="13"/>
      <c r="E27" s="14" t="s">
        <v>38</v>
      </c>
      <c r="G27" s="16">
        <v>0</v>
      </c>
      <c r="H27" s="16"/>
      <c r="I27" s="16">
        <v>0</v>
      </c>
      <c r="K27" s="16">
        <f t="shared" si="4"/>
        <v>0</v>
      </c>
      <c r="M27" s="16">
        <f t="shared" si="5"/>
        <v>0</v>
      </c>
      <c r="O27" s="16">
        <f t="shared" si="6"/>
        <v>0</v>
      </c>
      <c r="Q27" s="16">
        <f t="shared" si="7"/>
        <v>0</v>
      </c>
      <c r="S27" s="21" t="s">
        <v>79</v>
      </c>
      <c r="U27" s="16"/>
    </row>
    <row r="28" spans="1:21" x14ac:dyDescent="0.3">
      <c r="A28" s="13">
        <v>2.1199999999999974</v>
      </c>
      <c r="B28" s="13"/>
      <c r="C28" s="13"/>
      <c r="D28" s="13"/>
      <c r="E28" s="14" t="s">
        <v>39</v>
      </c>
      <c r="G28" s="16">
        <v>-1.3</v>
      </c>
      <c r="H28" s="16"/>
      <c r="I28" s="16">
        <v>0</v>
      </c>
      <c r="K28" s="16">
        <f t="shared" si="4"/>
        <v>2.096774193548387</v>
      </c>
      <c r="M28" s="16">
        <f t="shared" si="5"/>
        <v>-1.3</v>
      </c>
      <c r="O28" s="16">
        <f t="shared" si="6"/>
        <v>0</v>
      </c>
      <c r="Q28" s="16">
        <f t="shared" si="7"/>
        <v>2.096774193548387</v>
      </c>
      <c r="S28" s="21" t="s">
        <v>79</v>
      </c>
      <c r="U28" s="16"/>
    </row>
    <row r="29" spans="1:21" x14ac:dyDescent="0.3">
      <c r="A29" s="13">
        <v>2.1299999999999972</v>
      </c>
      <c r="B29" s="13"/>
      <c r="C29" s="13"/>
      <c r="D29" s="13"/>
      <c r="E29" s="14" t="s">
        <v>40</v>
      </c>
      <c r="G29" s="16">
        <v>1703</v>
      </c>
      <c r="H29" s="16"/>
      <c r="I29" s="16">
        <v>0</v>
      </c>
      <c r="K29" s="16">
        <f t="shared" si="4"/>
        <v>-2746.7741935483873</v>
      </c>
      <c r="M29" s="16">
        <f t="shared" si="5"/>
        <v>1703</v>
      </c>
      <c r="O29" s="16">
        <f t="shared" si="6"/>
        <v>0</v>
      </c>
      <c r="Q29" s="16">
        <f t="shared" si="7"/>
        <v>-2746.7741935483873</v>
      </c>
      <c r="S29" s="21" t="s">
        <v>79</v>
      </c>
      <c r="U29" s="16"/>
    </row>
    <row r="30" spans="1:21" x14ac:dyDescent="0.3">
      <c r="A30" s="13">
        <v>2.139999999999997</v>
      </c>
      <c r="B30" s="13"/>
      <c r="C30" s="13"/>
      <c r="D30" s="13"/>
      <c r="E30" s="14" t="s">
        <v>41</v>
      </c>
      <c r="G30" s="16">
        <v>-9.1000000000000014</v>
      </c>
      <c r="H30" s="16"/>
      <c r="I30" s="16">
        <v>0</v>
      </c>
      <c r="K30" s="16">
        <f t="shared" si="4"/>
        <v>14.677419354838712</v>
      </c>
      <c r="M30" s="16">
        <f t="shared" si="5"/>
        <v>-9.1000000000000014</v>
      </c>
      <c r="O30" s="16">
        <f t="shared" si="6"/>
        <v>0</v>
      </c>
      <c r="Q30" s="16">
        <f t="shared" si="7"/>
        <v>14.677419354838712</v>
      </c>
      <c r="S30" s="21" t="s">
        <v>79</v>
      </c>
      <c r="U30" s="16"/>
    </row>
    <row r="31" spans="1:21" x14ac:dyDescent="0.3">
      <c r="A31" s="13">
        <v>2.1499999999999968</v>
      </c>
      <c r="B31" s="13"/>
      <c r="C31" s="13"/>
      <c r="D31" s="13"/>
      <c r="E31" s="14" t="s">
        <v>42</v>
      </c>
      <c r="G31" s="16">
        <v>-869</v>
      </c>
      <c r="H31" s="16"/>
      <c r="I31" s="16">
        <v>0</v>
      </c>
      <c r="K31" s="16">
        <f t="shared" si="4"/>
        <v>1401.6129032258063</v>
      </c>
      <c r="M31" s="16">
        <f t="shared" si="5"/>
        <v>-869</v>
      </c>
      <c r="O31" s="16">
        <f t="shared" si="6"/>
        <v>0</v>
      </c>
      <c r="Q31" s="16">
        <f t="shared" si="7"/>
        <v>1401.6129032258063</v>
      </c>
      <c r="S31" s="21" t="s">
        <v>79</v>
      </c>
      <c r="U31" s="16"/>
    </row>
    <row r="32" spans="1:21" x14ac:dyDescent="0.3">
      <c r="A32" s="13">
        <v>2.1599999999999966</v>
      </c>
      <c r="B32" s="13"/>
      <c r="C32" s="13"/>
      <c r="D32" s="13"/>
      <c r="E32" s="14" t="s">
        <v>43</v>
      </c>
      <c r="G32" s="16">
        <v>728.65000000000009</v>
      </c>
      <c r="H32" s="16"/>
      <c r="I32" s="16">
        <v>0</v>
      </c>
      <c r="K32" s="16">
        <f t="shared" si="4"/>
        <v>-1175.2419354838712</v>
      </c>
      <c r="M32" s="16">
        <f t="shared" si="5"/>
        <v>728.65000000000009</v>
      </c>
      <c r="O32" s="16">
        <f t="shared" si="6"/>
        <v>0</v>
      </c>
      <c r="Q32" s="16">
        <f t="shared" si="7"/>
        <v>-1175.2419354838712</v>
      </c>
      <c r="S32" s="21" t="s">
        <v>79</v>
      </c>
      <c r="U32" s="16"/>
    </row>
    <row r="33" spans="1:21" x14ac:dyDescent="0.3">
      <c r="A33" s="13"/>
      <c r="B33" s="13"/>
      <c r="C33" s="13" t="s">
        <v>185</v>
      </c>
      <c r="D33" s="13"/>
      <c r="E33" s="14" t="s">
        <v>187</v>
      </c>
      <c r="G33" s="16"/>
      <c r="H33" s="16"/>
      <c r="I33" s="16"/>
      <c r="K33" s="16"/>
      <c r="M33" s="16">
        <f>ROUND(LTIP!G23/1000,0)</f>
        <v>155</v>
      </c>
      <c r="O33" s="16"/>
      <c r="Q33" s="16">
        <f t="shared" si="7"/>
        <v>-250</v>
      </c>
      <c r="S33" s="21" t="s">
        <v>123</v>
      </c>
      <c r="U33" s="16">
        <f t="shared" ref="U33" si="8">Q33-K33</f>
        <v>-250</v>
      </c>
    </row>
    <row r="34" spans="1:21" x14ac:dyDescent="0.3">
      <c r="A34" s="13">
        <v>2.1699999999999964</v>
      </c>
      <c r="B34" s="13"/>
      <c r="C34" s="13"/>
      <c r="D34" s="13"/>
      <c r="E34" s="14" t="s">
        <v>44</v>
      </c>
      <c r="G34" s="19">
        <v>1604.2</v>
      </c>
      <c r="H34" s="16"/>
      <c r="I34" s="19">
        <v>0</v>
      </c>
      <c r="K34" s="19">
        <f t="shared" si="4"/>
        <v>-2587.4193548387098</v>
      </c>
      <c r="M34" s="19">
        <f t="shared" si="5"/>
        <v>1604.2</v>
      </c>
      <c r="N34" s="16"/>
      <c r="O34" s="19">
        <f t="shared" si="6"/>
        <v>0</v>
      </c>
      <c r="Q34" s="19">
        <f t="shared" si="7"/>
        <v>-2587.4193548387098</v>
      </c>
      <c r="S34" s="21" t="s">
        <v>79</v>
      </c>
      <c r="U34" s="16"/>
    </row>
    <row r="35" spans="1:21" x14ac:dyDescent="0.3">
      <c r="A35" s="13"/>
      <c r="B35" s="13"/>
      <c r="C35" s="13"/>
      <c r="D35" s="13"/>
      <c r="E35" s="14"/>
      <c r="G35" s="16"/>
      <c r="H35" s="16"/>
      <c r="I35" s="16"/>
    </row>
    <row r="36" spans="1:21" x14ac:dyDescent="0.3">
      <c r="A36" s="13"/>
      <c r="B36" s="13"/>
      <c r="C36" s="13"/>
      <c r="D36" s="13"/>
      <c r="E36" t="s">
        <v>22</v>
      </c>
      <c r="G36" s="16">
        <f>SUM(G15:G34)</f>
        <v>101272.62709999998</v>
      </c>
      <c r="H36" s="16"/>
      <c r="I36" s="16">
        <f>SUM(I15:I34)</f>
        <v>1267795</v>
      </c>
      <c r="J36" s="16"/>
      <c r="K36" s="16">
        <f>SUM(K15:K34)</f>
        <v>-14274.792903225793</v>
      </c>
      <c r="M36" s="16">
        <f>SUM(M15:M34)</f>
        <v>101427.62709999998</v>
      </c>
      <c r="N36" s="16"/>
      <c r="O36" s="16">
        <f>SUM(O15:O34)</f>
        <v>1267795</v>
      </c>
      <c r="P36" s="16"/>
      <c r="Q36" s="16">
        <f>SUM(Q15:Q34)</f>
        <v>-14524.792903225793</v>
      </c>
    </row>
    <row r="37" spans="1:21" x14ac:dyDescent="0.3">
      <c r="A37" s="13"/>
      <c r="B37" s="13"/>
      <c r="C37" s="13"/>
      <c r="D37" s="13"/>
      <c r="G37" s="17"/>
      <c r="H37" s="17"/>
      <c r="I37" s="15"/>
    </row>
    <row r="38" spans="1:21" x14ac:dyDescent="0.3">
      <c r="A38" s="13">
        <v>3</v>
      </c>
      <c r="B38" s="13"/>
      <c r="C38" s="13"/>
      <c r="D38" s="13"/>
      <c r="E38" s="14" t="s">
        <v>45</v>
      </c>
      <c r="G38" s="16">
        <v>8211.4500000000007</v>
      </c>
      <c r="H38" s="16"/>
      <c r="I38" s="16">
        <v>0</v>
      </c>
      <c r="K38" s="16">
        <f t="shared" ref="K38:K56" si="9">((I38*0.0729)-G38)/0.62</f>
        <v>-13244.274193548388</v>
      </c>
      <c r="M38" s="16">
        <f t="shared" ref="M38:M47" si="10">G38</f>
        <v>8211.4500000000007</v>
      </c>
      <c r="O38" s="16">
        <f t="shared" ref="O38:O55" si="11">I38</f>
        <v>0</v>
      </c>
      <c r="Q38" s="16">
        <f t="shared" ref="Q38:Q56" si="12">((O38*0.0729)-M38)/0.62</f>
        <v>-13244.274193548388</v>
      </c>
      <c r="S38" s="21" t="s">
        <v>79</v>
      </c>
      <c r="U38" s="16"/>
    </row>
    <row r="39" spans="1:21" x14ac:dyDescent="0.3">
      <c r="A39" s="13">
        <v>3.01</v>
      </c>
      <c r="B39" s="13"/>
      <c r="C39" s="13"/>
      <c r="D39" s="13"/>
      <c r="E39" s="14" t="s">
        <v>46</v>
      </c>
      <c r="G39" s="16">
        <v>-70.849999999999994</v>
      </c>
      <c r="H39" s="16"/>
      <c r="I39" s="16">
        <v>0</v>
      </c>
      <c r="K39" s="16">
        <f t="shared" si="9"/>
        <v>114.27419354838709</v>
      </c>
      <c r="M39" s="16">
        <f t="shared" si="10"/>
        <v>-70.849999999999994</v>
      </c>
      <c r="O39" s="16">
        <f t="shared" si="11"/>
        <v>0</v>
      </c>
      <c r="Q39" s="16">
        <f t="shared" si="12"/>
        <v>114.27419354838709</v>
      </c>
      <c r="S39" s="21" t="s">
        <v>79</v>
      </c>
      <c r="U39" s="16"/>
    </row>
    <row r="40" spans="1:21" x14ac:dyDescent="0.3">
      <c r="A40" s="13">
        <v>3.0199999999999996</v>
      </c>
      <c r="B40" s="13"/>
      <c r="C40" s="13" t="s">
        <v>194</v>
      </c>
      <c r="D40" s="13"/>
      <c r="E40" s="14" t="s">
        <v>47</v>
      </c>
      <c r="G40" s="16">
        <v>-2502.6332499999999</v>
      </c>
      <c r="H40" s="16"/>
      <c r="I40" s="16">
        <v>0</v>
      </c>
      <c r="K40" s="16">
        <f t="shared" si="9"/>
        <v>4036.5052419354838</v>
      </c>
      <c r="M40" s="51">
        <f>ROUND(Labor!G23/1000,0)</f>
        <v>-1061</v>
      </c>
      <c r="O40" s="16">
        <f t="shared" si="11"/>
        <v>0</v>
      </c>
      <c r="Q40" s="16">
        <f t="shared" si="12"/>
        <v>1711.2903225806451</v>
      </c>
      <c r="S40" t="s">
        <v>80</v>
      </c>
      <c r="U40" s="16">
        <f t="shared" ref="U40:U56" si="13">Q40-K40</f>
        <v>-2325.2149193548385</v>
      </c>
    </row>
    <row r="41" spans="1:21" x14ac:dyDescent="0.3">
      <c r="A41" s="13">
        <v>3.0299999999999994</v>
      </c>
      <c r="B41" s="13"/>
      <c r="C41" s="13"/>
      <c r="D41" s="13"/>
      <c r="E41" s="14" t="s">
        <v>48</v>
      </c>
      <c r="G41" s="16">
        <v>-143</v>
      </c>
      <c r="H41" s="16"/>
      <c r="I41" s="16">
        <v>0</v>
      </c>
      <c r="K41" s="16">
        <f t="shared" si="9"/>
        <v>230.64516129032259</v>
      </c>
      <c r="M41" s="51">
        <f t="shared" si="10"/>
        <v>-143</v>
      </c>
      <c r="O41" s="16">
        <f t="shared" si="11"/>
        <v>0</v>
      </c>
      <c r="Q41" s="16">
        <f t="shared" si="12"/>
        <v>230.64516129032259</v>
      </c>
      <c r="S41" t="s">
        <v>79</v>
      </c>
      <c r="U41" s="16"/>
    </row>
    <row r="42" spans="1:21" x14ac:dyDescent="0.3">
      <c r="A42" s="13">
        <v>3.0399999999999991</v>
      </c>
      <c r="B42" s="13"/>
      <c r="C42" s="13"/>
      <c r="D42" s="13"/>
      <c r="E42" s="14" t="s">
        <v>49</v>
      </c>
      <c r="G42" s="16">
        <v>-2117.0500000000002</v>
      </c>
      <c r="H42" s="16"/>
      <c r="I42" s="16">
        <v>0</v>
      </c>
      <c r="K42" s="16">
        <f t="shared" si="9"/>
        <v>3414.5967741935488</v>
      </c>
      <c r="M42" s="51">
        <f t="shared" si="10"/>
        <v>-2117.0500000000002</v>
      </c>
      <c r="O42" s="16">
        <f t="shared" si="11"/>
        <v>0</v>
      </c>
      <c r="Q42" s="16">
        <f t="shared" si="12"/>
        <v>3414.5967741935488</v>
      </c>
      <c r="S42" t="s">
        <v>79</v>
      </c>
      <c r="U42" s="16"/>
    </row>
    <row r="43" spans="1:21" x14ac:dyDescent="0.3">
      <c r="A43" s="13">
        <v>3.0499999999999989</v>
      </c>
      <c r="B43" s="13"/>
      <c r="C43" s="13" t="s">
        <v>205</v>
      </c>
      <c r="D43" s="13"/>
      <c r="E43" s="14" t="s">
        <v>50</v>
      </c>
      <c r="G43" s="16">
        <v>-168.35000000000002</v>
      </c>
      <c r="H43" s="16"/>
      <c r="I43" s="16">
        <v>0</v>
      </c>
      <c r="K43" s="16">
        <f t="shared" si="9"/>
        <v>271.53225806451616</v>
      </c>
      <c r="M43" s="16">
        <f>ROUND(Ins!I25/1000,0)</f>
        <v>35</v>
      </c>
      <c r="O43" s="16">
        <f t="shared" si="11"/>
        <v>0</v>
      </c>
      <c r="Q43" s="16">
        <f t="shared" si="12"/>
        <v>-56.451612903225808</v>
      </c>
      <c r="S43" t="s">
        <v>80</v>
      </c>
      <c r="U43" s="16">
        <f t="shared" si="13"/>
        <v>-327.98387096774195</v>
      </c>
    </row>
    <row r="44" spans="1:21" x14ac:dyDescent="0.3">
      <c r="A44" s="13">
        <v>3.0599999999999987</v>
      </c>
      <c r="B44" s="13"/>
      <c r="C44" s="13" t="s">
        <v>168</v>
      </c>
      <c r="D44" s="13"/>
      <c r="E44" s="14" t="s">
        <v>51</v>
      </c>
      <c r="G44" s="16">
        <v>-2067.65</v>
      </c>
      <c r="H44" s="16"/>
      <c r="I44" s="16">
        <v>0</v>
      </c>
      <c r="K44" s="16">
        <f t="shared" si="9"/>
        <v>3334.9193548387098</v>
      </c>
      <c r="M44" s="51">
        <f>PropTax!G17</f>
        <v>-733</v>
      </c>
      <c r="O44" s="16">
        <f t="shared" si="11"/>
        <v>0</v>
      </c>
      <c r="Q44" s="16">
        <f t="shared" si="12"/>
        <v>1182.258064516129</v>
      </c>
      <c r="S44" t="s">
        <v>80</v>
      </c>
      <c r="U44" s="16">
        <f t="shared" si="13"/>
        <v>-2152.6612903225805</v>
      </c>
    </row>
    <row r="45" spans="1:21" x14ac:dyDescent="0.3">
      <c r="A45" s="13">
        <v>3.0699999999999985</v>
      </c>
      <c r="B45" s="13"/>
      <c r="C45" s="13"/>
      <c r="D45" s="13"/>
      <c r="E45" s="14" t="s">
        <v>52</v>
      </c>
      <c r="G45" s="16">
        <v>-1091.3499999999999</v>
      </c>
      <c r="H45" s="16"/>
      <c r="I45" s="16">
        <v>0</v>
      </c>
      <c r="K45" s="16">
        <f t="shared" si="9"/>
        <v>1760.2419354838707</v>
      </c>
      <c r="M45" s="51">
        <v>0</v>
      </c>
      <c r="O45" s="16">
        <f t="shared" si="11"/>
        <v>0</v>
      </c>
      <c r="Q45" s="16">
        <f t="shared" si="12"/>
        <v>0</v>
      </c>
      <c r="S45" t="s">
        <v>81</v>
      </c>
      <c r="U45" s="16">
        <f t="shared" si="13"/>
        <v>-1760.2419354838707</v>
      </c>
    </row>
    <row r="46" spans="1:21" x14ac:dyDescent="0.3">
      <c r="A46" s="13">
        <v>3.0799999999999983</v>
      </c>
      <c r="B46" s="13"/>
      <c r="C46" s="13"/>
      <c r="D46" s="13"/>
      <c r="E46" s="14" t="s">
        <v>53</v>
      </c>
      <c r="G46" s="16">
        <v>-189.15</v>
      </c>
      <c r="H46" s="16"/>
      <c r="I46" s="16">
        <v>0</v>
      </c>
      <c r="K46" s="16">
        <f t="shared" si="9"/>
        <v>305.08064516129031</v>
      </c>
      <c r="M46" s="16">
        <f t="shared" si="10"/>
        <v>-189.15</v>
      </c>
      <c r="O46" s="16">
        <f t="shared" si="11"/>
        <v>0</v>
      </c>
      <c r="Q46" s="16">
        <f t="shared" si="12"/>
        <v>305.08064516129031</v>
      </c>
      <c r="S46" t="s">
        <v>79</v>
      </c>
      <c r="U46" s="16"/>
    </row>
    <row r="47" spans="1:21" x14ac:dyDescent="0.3">
      <c r="A47" s="13">
        <v>3.0899999999999981</v>
      </c>
      <c r="B47" s="13"/>
      <c r="C47" s="13"/>
      <c r="D47" s="13"/>
      <c r="E47" s="14" t="s">
        <v>54</v>
      </c>
      <c r="G47" s="16">
        <v>10143.900000000001</v>
      </c>
      <c r="H47" s="16"/>
      <c r="I47" s="16">
        <v>0</v>
      </c>
      <c r="K47" s="16">
        <f t="shared" si="9"/>
        <v>-16361.129032258066</v>
      </c>
      <c r="M47" s="16">
        <f t="shared" si="10"/>
        <v>10143.900000000001</v>
      </c>
      <c r="O47" s="16">
        <f t="shared" si="11"/>
        <v>0</v>
      </c>
      <c r="Q47" s="16">
        <f t="shared" si="12"/>
        <v>-16361.129032258066</v>
      </c>
      <c r="S47" t="s">
        <v>79</v>
      </c>
      <c r="U47" s="16"/>
    </row>
    <row r="48" spans="1:21" x14ac:dyDescent="0.3">
      <c r="A48" s="13">
        <v>3.0999999999999979</v>
      </c>
      <c r="B48" s="13"/>
      <c r="C48" s="13"/>
      <c r="D48" s="13"/>
      <c r="E48" s="14" t="s">
        <v>55</v>
      </c>
      <c r="G48" s="16">
        <v>-3218.4785750000001</v>
      </c>
      <c r="H48" s="16"/>
      <c r="I48" s="16">
        <v>0</v>
      </c>
      <c r="K48" s="16">
        <f t="shared" si="9"/>
        <v>5191.0944758064516</v>
      </c>
      <c r="M48" s="51">
        <v>0</v>
      </c>
      <c r="O48" s="16">
        <f t="shared" si="11"/>
        <v>0</v>
      </c>
      <c r="Q48" s="16">
        <f t="shared" si="12"/>
        <v>0</v>
      </c>
      <c r="S48" t="s">
        <v>81</v>
      </c>
      <c r="U48" s="16">
        <f t="shared" si="13"/>
        <v>-5191.0944758064516</v>
      </c>
    </row>
    <row r="49" spans="1:21" x14ac:dyDescent="0.3">
      <c r="A49" s="13">
        <v>3.1099999999999977</v>
      </c>
      <c r="B49" s="13"/>
      <c r="C49" s="13"/>
      <c r="D49" s="13"/>
      <c r="E49" s="14" t="s">
        <v>56</v>
      </c>
      <c r="G49" s="16">
        <v>-2794.0307600000001</v>
      </c>
      <c r="H49" s="16"/>
      <c r="I49" s="16">
        <v>35098</v>
      </c>
      <c r="K49" s="16">
        <f t="shared" si="9"/>
        <v>8633.3467096774202</v>
      </c>
      <c r="M49" s="51">
        <v>0</v>
      </c>
      <c r="N49" s="46"/>
      <c r="O49" s="51">
        <v>0</v>
      </c>
      <c r="Q49" s="16">
        <f t="shared" si="12"/>
        <v>0</v>
      </c>
      <c r="S49" t="s">
        <v>81</v>
      </c>
      <c r="U49" s="16">
        <f t="shared" si="13"/>
        <v>-8633.3467096774202</v>
      </c>
    </row>
    <row r="50" spans="1:21" x14ac:dyDescent="0.3">
      <c r="A50" s="20" t="s">
        <v>57</v>
      </c>
      <c r="B50" s="13"/>
      <c r="C50" s="13"/>
      <c r="D50" s="13"/>
      <c r="E50" s="14" t="s">
        <v>58</v>
      </c>
      <c r="G50" s="16">
        <v>1043.53078</v>
      </c>
      <c r="H50" s="16"/>
      <c r="I50" s="16">
        <v>-39469</v>
      </c>
      <c r="K50" s="16">
        <f t="shared" si="9"/>
        <v>-6323.9046451612903</v>
      </c>
      <c r="M50" s="16">
        <v>0</v>
      </c>
      <c r="O50" s="16">
        <v>0</v>
      </c>
      <c r="Q50" s="16">
        <f t="shared" si="12"/>
        <v>0</v>
      </c>
      <c r="S50" t="s">
        <v>81</v>
      </c>
      <c r="U50" s="16">
        <f t="shared" si="13"/>
        <v>6323.9046451612903</v>
      </c>
    </row>
    <row r="51" spans="1:21" x14ac:dyDescent="0.3">
      <c r="A51" s="20"/>
      <c r="B51" s="13"/>
      <c r="C51" s="13" t="s">
        <v>122</v>
      </c>
      <c r="D51" s="13"/>
      <c r="E51" s="14" t="s">
        <v>111</v>
      </c>
      <c r="G51" s="16"/>
      <c r="H51" s="16"/>
      <c r="I51" s="16"/>
      <c r="K51" s="16"/>
      <c r="M51" s="16">
        <f>RTD!F25</f>
        <v>-173.24860000000001</v>
      </c>
      <c r="O51" s="16">
        <f>RTD!F21</f>
        <v>-18470</v>
      </c>
      <c r="Q51" s="16">
        <f t="shared" si="12"/>
        <v>-1892.2812903225811</v>
      </c>
      <c r="S51" t="s">
        <v>123</v>
      </c>
      <c r="U51" s="16">
        <f t="shared" si="13"/>
        <v>-1892.2812903225811</v>
      </c>
    </row>
    <row r="52" spans="1:21" x14ac:dyDescent="0.3">
      <c r="A52" s="13">
        <v>4.01</v>
      </c>
      <c r="B52" s="13"/>
      <c r="C52" s="13" t="s">
        <v>128</v>
      </c>
      <c r="D52" s="13"/>
      <c r="E52" s="14" t="s">
        <v>59</v>
      </c>
      <c r="G52" s="16">
        <v>-5956.9176200000002</v>
      </c>
      <c r="H52" s="16"/>
      <c r="I52" s="16">
        <v>153351</v>
      </c>
      <c r="K52" s="16">
        <f t="shared" si="9"/>
        <v>27639.041161290326</v>
      </c>
      <c r="M52" s="51">
        <f>ROUND(PlantAdds!G32/1000,0)</f>
        <v>-2058</v>
      </c>
      <c r="N52" s="46"/>
      <c r="O52" s="51">
        <f>ROUND(PlantAdds!G35/1000,0)</f>
        <v>52060</v>
      </c>
      <c r="Q52" s="16">
        <f t="shared" si="12"/>
        <v>9440.6032258064533</v>
      </c>
      <c r="S52" t="s">
        <v>80</v>
      </c>
      <c r="U52" s="16">
        <f t="shared" si="13"/>
        <v>-18198.437935483875</v>
      </c>
    </row>
    <row r="53" spans="1:21" x14ac:dyDescent="0.3">
      <c r="A53" s="13">
        <v>4.0199999999999996</v>
      </c>
      <c r="B53" s="13"/>
      <c r="C53" s="13"/>
      <c r="D53" s="13"/>
      <c r="E53" s="14" t="s">
        <v>60</v>
      </c>
      <c r="G53" s="16">
        <v>-1734.10202</v>
      </c>
      <c r="H53" s="16"/>
      <c r="I53" s="16">
        <v>-1029</v>
      </c>
      <c r="K53" s="16">
        <f t="shared" si="9"/>
        <v>2675.9482580645163</v>
      </c>
      <c r="M53" s="16">
        <v>0</v>
      </c>
      <c r="O53" s="16">
        <v>0</v>
      </c>
      <c r="Q53" s="16">
        <f t="shared" si="12"/>
        <v>0</v>
      </c>
      <c r="S53" t="s">
        <v>81</v>
      </c>
      <c r="U53" s="16">
        <f t="shared" si="13"/>
        <v>-2675.9482580645163</v>
      </c>
    </row>
    <row r="54" spans="1:21" x14ac:dyDescent="0.3">
      <c r="A54" s="13">
        <v>4.0299999999999994</v>
      </c>
      <c r="B54" s="13"/>
      <c r="C54" s="13"/>
      <c r="D54" s="13"/>
      <c r="E54" s="14" t="s">
        <v>61</v>
      </c>
      <c r="G54" s="16">
        <v>-1127.36112</v>
      </c>
      <c r="H54" s="16"/>
      <c r="I54" s="16">
        <v>20276</v>
      </c>
      <c r="K54" s="16">
        <f t="shared" si="9"/>
        <v>4202.3895483870974</v>
      </c>
      <c r="M54" s="16">
        <v>0</v>
      </c>
      <c r="O54" s="16">
        <v>0</v>
      </c>
      <c r="Q54" s="16">
        <f t="shared" si="12"/>
        <v>0</v>
      </c>
      <c r="S54" t="s">
        <v>81</v>
      </c>
      <c r="U54" s="16">
        <f t="shared" si="13"/>
        <v>-4202.3895483870974</v>
      </c>
    </row>
    <row r="55" spans="1:21" x14ac:dyDescent="0.3">
      <c r="A55" s="13">
        <v>4.0399999999999991</v>
      </c>
      <c r="B55" s="13"/>
      <c r="C55" s="13"/>
      <c r="D55" s="13"/>
      <c r="E55" s="14" t="s">
        <v>62</v>
      </c>
      <c r="G55" s="16">
        <v>127.4</v>
      </c>
      <c r="H55" s="16"/>
      <c r="I55" s="16">
        <v>0</v>
      </c>
      <c r="K55" s="16">
        <f t="shared" si="9"/>
        <v>-205.48387096774195</v>
      </c>
      <c r="M55" s="16">
        <v>0</v>
      </c>
      <c r="O55" s="16">
        <f t="shared" si="11"/>
        <v>0</v>
      </c>
      <c r="Q55" s="16">
        <f t="shared" si="12"/>
        <v>0</v>
      </c>
      <c r="S55" t="s">
        <v>81</v>
      </c>
      <c r="U55" s="16">
        <f t="shared" si="13"/>
        <v>205.48387096774195</v>
      </c>
    </row>
    <row r="56" spans="1:21" x14ac:dyDescent="0.3">
      <c r="A56" s="13">
        <v>4.0499999999999989</v>
      </c>
      <c r="B56" s="13"/>
      <c r="C56" s="13"/>
      <c r="D56" s="13"/>
      <c r="E56" s="14" t="s">
        <v>63</v>
      </c>
      <c r="G56" s="19">
        <v>-370.94902000000002</v>
      </c>
      <c r="H56" s="16"/>
      <c r="I56" s="19">
        <v>-16679</v>
      </c>
      <c r="K56" s="19">
        <f t="shared" si="9"/>
        <v>-1362.8227096774194</v>
      </c>
      <c r="M56" s="19">
        <v>0</v>
      </c>
      <c r="N56" s="16"/>
      <c r="O56" s="19">
        <v>0</v>
      </c>
      <c r="Q56" s="19">
        <f t="shared" si="12"/>
        <v>0</v>
      </c>
      <c r="S56" t="s">
        <v>81</v>
      </c>
      <c r="U56" s="19">
        <f t="shared" si="13"/>
        <v>1362.8227096774194</v>
      </c>
    </row>
    <row r="57" spans="1:21" x14ac:dyDescent="0.3">
      <c r="A57" s="13"/>
      <c r="B57" s="13"/>
      <c r="C57" s="13"/>
      <c r="D57" s="13"/>
      <c r="G57" s="16"/>
      <c r="H57" s="16"/>
      <c r="I57" s="16"/>
    </row>
    <row r="58" spans="1:21" ht="16.2" thickBot="1" x14ac:dyDescent="0.35">
      <c r="A58" s="13"/>
      <c r="B58" s="13"/>
      <c r="C58" s="13"/>
      <c r="D58" s="13"/>
      <c r="E58" t="s">
        <v>23</v>
      </c>
      <c r="G58" s="57">
        <f>SUM(G36:G56)</f>
        <v>97247.035514999967</v>
      </c>
      <c r="H58" s="16"/>
      <c r="I58" s="57">
        <f>SUM(I36:I56)</f>
        <v>1419343</v>
      </c>
      <c r="J58" s="16"/>
      <c r="K58" s="57">
        <f>SUM(K36:K56)</f>
        <v>10037.208362903237</v>
      </c>
      <c r="M58" s="57">
        <f>SUM(M36:M56)</f>
        <v>113272.67849999997</v>
      </c>
      <c r="N58" s="16"/>
      <c r="O58" s="57">
        <f>SUM(O36:O56)</f>
        <v>1301385</v>
      </c>
      <c r="P58" s="16"/>
      <c r="Q58" s="57">
        <f>SUM(Q36:Q56)</f>
        <v>-29680.180645161279</v>
      </c>
      <c r="U58" s="57">
        <f>SUM(U12:U56)</f>
        <v>-39717.389008064514</v>
      </c>
    </row>
    <row r="59" spans="1:21" ht="16.2" thickTop="1" x14ac:dyDescent="0.3"/>
    <row r="60" spans="1:21" x14ac:dyDescent="0.3">
      <c r="C60" s="23" t="s">
        <v>85</v>
      </c>
    </row>
    <row r="61" spans="1:21" x14ac:dyDescent="0.3">
      <c r="C61" t="s">
        <v>86</v>
      </c>
    </row>
  </sheetData>
  <pageMargins left="0.7" right="0.7" top="0.75" bottom="0.75" header="0.3" footer="0.3"/>
  <pageSetup scale="5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K5" sqref="K5"/>
    </sheetView>
  </sheetViews>
  <sheetFormatPr defaultRowHeight="15.6" x14ac:dyDescent="0.3"/>
  <cols>
    <col min="1" max="1" width="4.09765625" customWidth="1"/>
    <col min="2" max="2" width="1.59765625" customWidth="1"/>
    <col min="3" max="3" width="35" customWidth="1"/>
    <col min="4" max="4" width="2" customWidth="1"/>
    <col min="5" max="6" width="4.09765625" customWidth="1"/>
    <col min="7" max="7" width="10.3984375" customWidth="1"/>
    <col min="8" max="8" width="0.8984375" customWidth="1"/>
    <col min="9" max="9" width="10.09765625" customWidth="1"/>
    <col min="10" max="10" width="0.69921875" customWidth="1"/>
    <col min="11" max="11" width="10.3984375" customWidth="1"/>
  </cols>
  <sheetData>
    <row r="1" spans="1:11" x14ac:dyDescent="0.3">
      <c r="A1" t="s">
        <v>0</v>
      </c>
      <c r="K1" s="12" t="s">
        <v>259</v>
      </c>
    </row>
    <row r="2" spans="1:11" x14ac:dyDescent="0.3">
      <c r="A2" t="s">
        <v>1</v>
      </c>
      <c r="K2" s="12" t="s">
        <v>20</v>
      </c>
    </row>
    <row r="3" spans="1:11" x14ac:dyDescent="0.3">
      <c r="A3" t="s">
        <v>177</v>
      </c>
      <c r="K3" s="12" t="s">
        <v>234</v>
      </c>
    </row>
    <row r="4" spans="1:11" x14ac:dyDescent="0.3">
      <c r="A4" t="s">
        <v>3</v>
      </c>
      <c r="K4" s="12" t="s">
        <v>233</v>
      </c>
    </row>
    <row r="5" spans="1:11" x14ac:dyDescent="0.3">
      <c r="A5" s="6"/>
      <c r="K5" s="12" t="s">
        <v>186</v>
      </c>
    </row>
    <row r="10" spans="1:11" x14ac:dyDescent="0.3">
      <c r="A10" t="s">
        <v>4</v>
      </c>
    </row>
    <row r="11" spans="1:11" x14ac:dyDescent="0.3">
      <c r="A11" s="1" t="s">
        <v>5</v>
      </c>
      <c r="C11" s="1" t="s">
        <v>6</v>
      </c>
      <c r="G11" s="3" t="s">
        <v>178</v>
      </c>
      <c r="H11" s="2"/>
      <c r="I11" s="3" t="s">
        <v>179</v>
      </c>
      <c r="J11" s="2"/>
      <c r="K11" s="3" t="s">
        <v>180</v>
      </c>
    </row>
    <row r="13" spans="1:11" x14ac:dyDescent="0.3">
      <c r="A13">
        <v>1</v>
      </c>
      <c r="C13" t="s">
        <v>181</v>
      </c>
      <c r="G13" s="7">
        <v>238529</v>
      </c>
      <c r="H13" s="7"/>
      <c r="I13" s="7">
        <v>70758</v>
      </c>
      <c r="J13" s="7"/>
      <c r="K13" s="7">
        <f>SUM(G13:I13)</f>
        <v>309287</v>
      </c>
    </row>
    <row r="14" spans="1:11" x14ac:dyDescent="0.3">
      <c r="G14" s="7"/>
      <c r="H14" s="7"/>
      <c r="I14" s="7"/>
      <c r="J14" s="7"/>
      <c r="K14" s="7"/>
    </row>
    <row r="15" spans="1:11" x14ac:dyDescent="0.3">
      <c r="A15">
        <v>2</v>
      </c>
      <c r="C15" t="s">
        <v>182</v>
      </c>
      <c r="G15" s="43">
        <v>0</v>
      </c>
      <c r="H15" s="7"/>
      <c r="I15" s="43">
        <v>0</v>
      </c>
      <c r="J15" s="7"/>
      <c r="K15" s="43">
        <v>0</v>
      </c>
    </row>
    <row r="16" spans="1:11" x14ac:dyDescent="0.3">
      <c r="G16" s="7"/>
      <c r="H16" s="7"/>
      <c r="I16" s="7"/>
      <c r="J16" s="7"/>
      <c r="K16" s="7"/>
    </row>
    <row r="17" spans="1:11" x14ac:dyDescent="0.3">
      <c r="A17">
        <v>3</v>
      </c>
      <c r="C17" t="s">
        <v>183</v>
      </c>
      <c r="G17" s="7">
        <f>G15-G13</f>
        <v>-238529</v>
      </c>
      <c r="H17" s="7"/>
      <c r="I17" s="7">
        <f>I15-I13</f>
        <v>-70758</v>
      </c>
      <c r="J17" s="7"/>
      <c r="K17" s="7">
        <f>SUM(G17:I17)</f>
        <v>-309287</v>
      </c>
    </row>
    <row r="18" spans="1:11" x14ac:dyDescent="0.3">
      <c r="G18" s="7"/>
      <c r="H18" s="7"/>
      <c r="I18" s="7"/>
      <c r="J18" s="7"/>
      <c r="K18" s="7"/>
    </row>
    <row r="19" spans="1:11" x14ac:dyDescent="0.3">
      <c r="A19">
        <v>4</v>
      </c>
      <c r="C19" t="s">
        <v>170</v>
      </c>
      <c r="G19" s="52">
        <v>0.35</v>
      </c>
      <c r="H19" s="7"/>
      <c r="I19" s="52">
        <v>0.35</v>
      </c>
      <c r="J19" s="7"/>
      <c r="K19" s="52">
        <v>0.35</v>
      </c>
    </row>
    <row r="20" spans="1:11" x14ac:dyDescent="0.3">
      <c r="H20" s="7"/>
      <c r="J20" s="7"/>
    </row>
    <row r="21" spans="1:11" x14ac:dyDescent="0.3">
      <c r="A21">
        <v>5</v>
      </c>
      <c r="C21" t="s">
        <v>171</v>
      </c>
      <c r="G21" s="43">
        <f>ROUND(G17*-G19,0)</f>
        <v>83485</v>
      </c>
      <c r="H21" s="7"/>
      <c r="I21" s="43">
        <f>ROUND(I17*-I19,0)</f>
        <v>24765</v>
      </c>
      <c r="J21" s="7"/>
      <c r="K21" s="43">
        <f>ROUND(K17*-K19,0)</f>
        <v>108250</v>
      </c>
    </row>
    <row r="22" spans="1:11" x14ac:dyDescent="0.3">
      <c r="G22" s="7"/>
      <c r="H22" s="7"/>
      <c r="I22" s="7"/>
      <c r="J22" s="7"/>
      <c r="K22" s="7"/>
    </row>
    <row r="23" spans="1:11" ht="16.2" thickBot="1" x14ac:dyDescent="0.35">
      <c r="A23">
        <v>6</v>
      </c>
      <c r="C23" t="s">
        <v>172</v>
      </c>
      <c r="G23" s="50">
        <f>-G17-G21</f>
        <v>155044</v>
      </c>
      <c r="H23" s="7"/>
      <c r="I23" s="50">
        <f>-I17-I21</f>
        <v>45993</v>
      </c>
      <c r="J23" s="7"/>
      <c r="K23" s="50">
        <f>-K17-K21</f>
        <v>201037</v>
      </c>
    </row>
    <row r="24" spans="1:11" ht="16.2" thickTop="1" x14ac:dyDescent="0.3">
      <c r="G24" s="7"/>
      <c r="H24" s="7"/>
      <c r="I24" s="7"/>
      <c r="J24" s="7"/>
      <c r="K24" s="7"/>
    </row>
    <row r="25" spans="1:11" x14ac:dyDescent="0.3">
      <c r="G25" s="7"/>
      <c r="H25" s="7"/>
      <c r="I25" s="7"/>
      <c r="J25" s="7"/>
      <c r="K25" s="7"/>
    </row>
    <row r="26" spans="1:11" x14ac:dyDescent="0.3">
      <c r="C26" s="23" t="s">
        <v>85</v>
      </c>
      <c r="G26" s="7"/>
      <c r="H26" s="7"/>
      <c r="I26" s="7"/>
      <c r="J26" s="7"/>
      <c r="K26" s="7"/>
    </row>
    <row r="27" spans="1:11" x14ac:dyDescent="0.3">
      <c r="C27" t="s">
        <v>184</v>
      </c>
      <c r="G27" s="7"/>
      <c r="H27" s="7"/>
      <c r="I27" s="7"/>
      <c r="J27" s="7"/>
      <c r="K27" s="7"/>
    </row>
    <row r="28" spans="1:11" x14ac:dyDescent="0.3">
      <c r="G28" s="7"/>
      <c r="H28" s="7"/>
      <c r="I28" s="7"/>
      <c r="J28" s="7"/>
      <c r="K28" s="7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I1" sqref="I1"/>
    </sheetView>
  </sheetViews>
  <sheetFormatPr defaultRowHeight="15.6" x14ac:dyDescent="0.3"/>
  <cols>
    <col min="1" max="1" width="4.09765625" customWidth="1"/>
    <col min="2" max="2" width="1.59765625" customWidth="1"/>
    <col min="3" max="3" width="38.5" customWidth="1"/>
    <col min="4" max="4" width="2" customWidth="1"/>
    <col min="5" max="6" width="4.09765625" customWidth="1"/>
    <col min="7" max="7" width="11.69921875" customWidth="1"/>
    <col min="8" max="8" width="0.8984375" customWidth="1"/>
    <col min="9" max="9" width="11.8984375" customWidth="1"/>
    <col min="10" max="10" width="0.69921875" customWidth="1"/>
  </cols>
  <sheetData>
    <row r="1" spans="1:10" x14ac:dyDescent="0.3">
      <c r="A1" t="s">
        <v>0</v>
      </c>
      <c r="I1" s="12" t="s">
        <v>259</v>
      </c>
    </row>
    <row r="2" spans="1:10" x14ac:dyDescent="0.3">
      <c r="A2" t="s">
        <v>1</v>
      </c>
      <c r="I2" s="12" t="s">
        <v>20</v>
      </c>
    </row>
    <row r="3" spans="1:10" x14ac:dyDescent="0.3">
      <c r="A3" t="s">
        <v>195</v>
      </c>
      <c r="I3" s="12" t="s">
        <v>236</v>
      </c>
    </row>
    <row r="4" spans="1:10" x14ac:dyDescent="0.3">
      <c r="A4" t="s">
        <v>3</v>
      </c>
      <c r="I4" s="12" t="s">
        <v>235</v>
      </c>
    </row>
    <row r="5" spans="1:10" x14ac:dyDescent="0.3">
      <c r="A5" s="6"/>
      <c r="I5" s="12" t="s">
        <v>196</v>
      </c>
    </row>
    <row r="10" spans="1:10" x14ac:dyDescent="0.3">
      <c r="A10" t="s">
        <v>4</v>
      </c>
    </row>
    <row r="11" spans="1:10" x14ac:dyDescent="0.3">
      <c r="A11" s="1" t="s">
        <v>5</v>
      </c>
      <c r="C11" s="1" t="s">
        <v>6</v>
      </c>
      <c r="G11" s="3" t="s">
        <v>178</v>
      </c>
      <c r="H11" s="2"/>
      <c r="I11" s="3" t="s">
        <v>179</v>
      </c>
      <c r="J11" s="2"/>
    </row>
    <row r="13" spans="1:10" x14ac:dyDescent="0.3">
      <c r="A13">
        <v>1</v>
      </c>
      <c r="C13" t="s">
        <v>188</v>
      </c>
      <c r="G13" s="7">
        <v>3850480</v>
      </c>
      <c r="H13" s="7"/>
      <c r="I13" s="7">
        <v>1153135</v>
      </c>
      <c r="J13" s="7"/>
    </row>
    <row r="14" spans="1:10" x14ac:dyDescent="0.3">
      <c r="A14">
        <v>2</v>
      </c>
      <c r="C14" t="s">
        <v>189</v>
      </c>
      <c r="G14" s="7">
        <f>-939682</f>
        <v>-939682</v>
      </c>
      <c r="H14" s="7"/>
      <c r="I14" s="7">
        <f>-281739</f>
        <v>-281739</v>
      </c>
      <c r="J14" s="7"/>
    </row>
    <row r="15" spans="1:10" x14ac:dyDescent="0.3">
      <c r="A15">
        <v>3</v>
      </c>
      <c r="C15" t="s">
        <v>256</v>
      </c>
      <c r="G15" s="43">
        <f>-1278548</f>
        <v>-1278548</v>
      </c>
      <c r="H15" s="7"/>
      <c r="I15" s="43">
        <f>-379177</f>
        <v>-379177</v>
      </c>
      <c r="J15" s="7"/>
    </row>
    <row r="16" spans="1:10" x14ac:dyDescent="0.3">
      <c r="J16" s="7"/>
    </row>
    <row r="17" spans="1:10" x14ac:dyDescent="0.3">
      <c r="A17">
        <v>4</v>
      </c>
      <c r="C17" t="s">
        <v>190</v>
      </c>
      <c r="G17" s="7">
        <f>SUM(G13:G16)</f>
        <v>1632250</v>
      </c>
      <c r="H17" s="7"/>
      <c r="I17" s="7">
        <f>SUM(I13:I16)</f>
        <v>492219</v>
      </c>
      <c r="J17" s="7"/>
    </row>
    <row r="18" spans="1:10" x14ac:dyDescent="0.3">
      <c r="G18" s="7"/>
      <c r="H18" s="7"/>
      <c r="I18" s="7"/>
      <c r="J18" s="7"/>
    </row>
    <row r="19" spans="1:10" x14ac:dyDescent="0.3">
      <c r="A19">
        <v>5</v>
      </c>
      <c r="C19" t="s">
        <v>170</v>
      </c>
      <c r="G19" s="52">
        <v>0.35</v>
      </c>
      <c r="H19" s="7"/>
      <c r="I19" s="52">
        <v>0.35</v>
      </c>
      <c r="J19" s="7"/>
    </row>
    <row r="20" spans="1:10" x14ac:dyDescent="0.3">
      <c r="H20" s="7"/>
      <c r="J20" s="7"/>
    </row>
    <row r="21" spans="1:10" x14ac:dyDescent="0.3">
      <c r="A21">
        <v>6</v>
      </c>
      <c r="C21" t="s">
        <v>171</v>
      </c>
      <c r="G21" s="43">
        <f>ROUND(G17*-G19,0)</f>
        <v>-571288</v>
      </c>
      <c r="H21" s="7"/>
      <c r="I21" s="43">
        <f>ROUND(I17*-I19,0)</f>
        <v>-172277</v>
      </c>
      <c r="J21" s="7"/>
    </row>
    <row r="22" spans="1:10" x14ac:dyDescent="0.3">
      <c r="G22" s="7"/>
      <c r="H22" s="7"/>
      <c r="I22" s="7"/>
      <c r="J22" s="7"/>
    </row>
    <row r="23" spans="1:10" ht="16.2" thickBot="1" x14ac:dyDescent="0.35">
      <c r="A23">
        <v>7</v>
      </c>
      <c r="C23" t="s">
        <v>191</v>
      </c>
      <c r="G23" s="50">
        <f>-G17-G21</f>
        <v>-1060962</v>
      </c>
      <c r="H23" s="7"/>
      <c r="I23" s="50">
        <f>-I17-I21</f>
        <v>-319942</v>
      </c>
      <c r="J23" s="7"/>
    </row>
    <row r="24" spans="1:10" ht="16.2" thickTop="1" x14ac:dyDescent="0.3">
      <c r="G24" s="7"/>
      <c r="H24" s="7"/>
      <c r="I24" s="7"/>
      <c r="J24" s="7"/>
    </row>
    <row r="25" spans="1:10" x14ac:dyDescent="0.3">
      <c r="G25" s="7"/>
      <c r="H25" s="7"/>
      <c r="I25" s="7"/>
    </row>
    <row r="26" spans="1:10" x14ac:dyDescent="0.3">
      <c r="C26" s="23" t="s">
        <v>85</v>
      </c>
      <c r="G26" s="7"/>
      <c r="H26" s="7"/>
      <c r="I26" s="7"/>
    </row>
    <row r="27" spans="1:10" x14ac:dyDescent="0.3">
      <c r="C27" t="s">
        <v>193</v>
      </c>
      <c r="G27" s="7"/>
      <c r="H27" s="7"/>
      <c r="I27" s="7"/>
    </row>
    <row r="28" spans="1:10" x14ac:dyDescent="0.3">
      <c r="C28" t="s">
        <v>192</v>
      </c>
      <c r="G28" s="7"/>
      <c r="H28" s="7"/>
      <c r="I28" s="7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I1" sqref="I1"/>
    </sheetView>
  </sheetViews>
  <sheetFormatPr defaultRowHeight="15.6" x14ac:dyDescent="0.3"/>
  <cols>
    <col min="1" max="1" width="4.09765625" customWidth="1"/>
    <col min="2" max="2" width="1.59765625" customWidth="1"/>
    <col min="3" max="3" width="38.5" customWidth="1"/>
    <col min="4" max="4" width="2" customWidth="1"/>
    <col min="5" max="6" width="4.09765625" customWidth="1"/>
    <col min="7" max="7" width="6.59765625" customWidth="1"/>
    <col min="8" max="8" width="0.8984375" customWidth="1"/>
    <col min="9" max="9" width="11.8984375" customWidth="1"/>
    <col min="10" max="10" width="0.69921875" customWidth="1"/>
    <col min="11" max="11" width="11.09765625" bestFit="1" customWidth="1"/>
  </cols>
  <sheetData>
    <row r="1" spans="1:11" x14ac:dyDescent="0.3">
      <c r="A1" t="s">
        <v>0</v>
      </c>
      <c r="I1" s="58" t="s">
        <v>259</v>
      </c>
    </row>
    <row r="2" spans="1:11" x14ac:dyDescent="0.3">
      <c r="A2" t="s">
        <v>1</v>
      </c>
      <c r="I2" s="12" t="s">
        <v>20</v>
      </c>
    </row>
    <row r="3" spans="1:11" x14ac:dyDescent="0.3">
      <c r="A3" t="s">
        <v>197</v>
      </c>
      <c r="I3" s="12" t="s">
        <v>238</v>
      </c>
    </row>
    <row r="4" spans="1:11" x14ac:dyDescent="0.3">
      <c r="A4" t="s">
        <v>3</v>
      </c>
      <c r="I4" s="12" t="s">
        <v>237</v>
      </c>
    </row>
    <row r="5" spans="1:11" x14ac:dyDescent="0.3">
      <c r="A5" s="6"/>
      <c r="I5" s="12" t="s">
        <v>198</v>
      </c>
    </row>
    <row r="10" spans="1:11" x14ac:dyDescent="0.3">
      <c r="A10" t="s">
        <v>4</v>
      </c>
    </row>
    <row r="11" spans="1:11" x14ac:dyDescent="0.3">
      <c r="A11" s="1" t="s">
        <v>5</v>
      </c>
      <c r="C11" s="1" t="s">
        <v>6</v>
      </c>
      <c r="G11" s="25"/>
      <c r="H11" s="2"/>
      <c r="I11" s="3" t="s">
        <v>15</v>
      </c>
      <c r="J11" s="2"/>
    </row>
    <row r="12" spans="1:11" x14ac:dyDescent="0.3">
      <c r="G12" s="32"/>
    </row>
    <row r="13" spans="1:11" x14ac:dyDescent="0.3">
      <c r="A13">
        <v>1</v>
      </c>
      <c r="C13" t="s">
        <v>200</v>
      </c>
      <c r="G13" s="53"/>
      <c r="H13" s="7"/>
      <c r="I13" s="7">
        <v>1118004</v>
      </c>
      <c r="J13" s="7"/>
    </row>
    <row r="14" spans="1:11" x14ac:dyDescent="0.3">
      <c r="A14">
        <v>2</v>
      </c>
      <c r="C14" t="s">
        <v>201</v>
      </c>
      <c r="I14" s="52">
        <v>0.1</v>
      </c>
      <c r="J14" s="7"/>
    </row>
    <row r="15" spans="1:11" x14ac:dyDescent="0.3">
      <c r="J15" s="7"/>
    </row>
    <row r="16" spans="1:11" x14ac:dyDescent="0.3">
      <c r="A16">
        <v>3</v>
      </c>
      <c r="C16" t="s">
        <v>202</v>
      </c>
      <c r="G16" s="53"/>
      <c r="H16" s="7"/>
      <c r="I16" s="53">
        <f>1118004*-0.1</f>
        <v>-111800.40000000001</v>
      </c>
      <c r="J16" s="7"/>
      <c r="K16" s="40"/>
    </row>
    <row r="17" spans="1:10" x14ac:dyDescent="0.3">
      <c r="A17">
        <v>4</v>
      </c>
      <c r="C17" t="s">
        <v>199</v>
      </c>
      <c r="G17" s="53"/>
      <c r="H17" s="7"/>
      <c r="I17" s="55">
        <f>0.7129*0.67667</f>
        <v>0.482398043</v>
      </c>
      <c r="J17" s="7"/>
    </row>
    <row r="18" spans="1:10" x14ac:dyDescent="0.3">
      <c r="J18" s="7"/>
    </row>
    <row r="19" spans="1:10" x14ac:dyDescent="0.3">
      <c r="A19">
        <v>5</v>
      </c>
      <c r="C19" t="s">
        <v>203</v>
      </c>
      <c r="I19" s="53">
        <f>ROUND(I16*I17,0)</f>
        <v>-53932</v>
      </c>
      <c r="J19" s="7"/>
    </row>
    <row r="20" spans="1:10" x14ac:dyDescent="0.3">
      <c r="I20" s="53"/>
      <c r="J20" s="7"/>
    </row>
    <row r="21" spans="1:10" x14ac:dyDescent="0.3">
      <c r="A21">
        <v>6</v>
      </c>
      <c r="C21" t="s">
        <v>170</v>
      </c>
      <c r="G21" s="54"/>
      <c r="H21" s="7"/>
      <c r="I21" s="52">
        <v>0.35</v>
      </c>
    </row>
    <row r="22" spans="1:10" x14ac:dyDescent="0.3">
      <c r="G22" s="32"/>
      <c r="H22" s="7"/>
    </row>
    <row r="23" spans="1:10" x14ac:dyDescent="0.3">
      <c r="A23">
        <v>7</v>
      </c>
      <c r="C23" t="s">
        <v>204</v>
      </c>
      <c r="G23" s="53"/>
      <c r="H23" s="7"/>
      <c r="I23" s="43">
        <f>ROUND(I19*-I21,0)</f>
        <v>18876</v>
      </c>
    </row>
    <row r="24" spans="1:10" x14ac:dyDescent="0.3">
      <c r="G24" s="53"/>
      <c r="H24" s="7"/>
      <c r="I24" s="7"/>
    </row>
    <row r="25" spans="1:10" ht="16.2" thickBot="1" x14ac:dyDescent="0.35">
      <c r="A25">
        <v>8</v>
      </c>
      <c r="C25" t="s">
        <v>191</v>
      </c>
      <c r="G25" s="53"/>
      <c r="H25" s="7"/>
      <c r="I25" s="50">
        <f>-I19-I23</f>
        <v>35056</v>
      </c>
    </row>
    <row r="26" spans="1:10" ht="16.2" thickTop="1" x14ac:dyDescent="0.3">
      <c r="G26" s="53"/>
      <c r="H26" s="7"/>
      <c r="I26" s="7"/>
    </row>
    <row r="27" spans="1:10" x14ac:dyDescent="0.3">
      <c r="G27" s="53"/>
      <c r="H27" s="7"/>
      <c r="I27" s="7"/>
    </row>
    <row r="28" spans="1:10" x14ac:dyDescent="0.3">
      <c r="C28" s="23" t="s">
        <v>85</v>
      </c>
      <c r="G28" s="53"/>
      <c r="H28" s="7"/>
      <c r="I28" s="7"/>
    </row>
    <row r="29" spans="1:10" x14ac:dyDescent="0.3">
      <c r="C29" t="s">
        <v>206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I1" sqref="I1"/>
    </sheetView>
  </sheetViews>
  <sheetFormatPr defaultRowHeight="15.6" x14ac:dyDescent="0.3"/>
  <cols>
    <col min="1" max="1" width="4.09765625" customWidth="1"/>
    <col min="2" max="2" width="1.59765625" customWidth="1"/>
    <col min="3" max="3" width="40.69921875" customWidth="1"/>
    <col min="4" max="4" width="4.69921875" customWidth="1"/>
    <col min="5" max="5" width="4.09765625" customWidth="1"/>
    <col min="6" max="6" width="2.8984375" customWidth="1"/>
    <col min="7" max="7" width="11.69921875" customWidth="1"/>
    <col min="8" max="8" width="0.8984375" customWidth="1"/>
    <col min="9" max="9" width="10.19921875" customWidth="1"/>
    <col min="10" max="10" width="5" customWidth="1"/>
    <col min="11" max="11" width="8.8984375" customWidth="1"/>
  </cols>
  <sheetData>
    <row r="1" spans="1:9" x14ac:dyDescent="0.3">
      <c r="A1" t="s">
        <v>0</v>
      </c>
      <c r="I1" s="58" t="s">
        <v>259</v>
      </c>
    </row>
    <row r="2" spans="1:9" x14ac:dyDescent="0.3">
      <c r="A2" t="s">
        <v>1</v>
      </c>
      <c r="I2" s="12" t="s">
        <v>20</v>
      </c>
    </row>
    <row r="3" spans="1:9" x14ac:dyDescent="0.3">
      <c r="A3" t="s">
        <v>166</v>
      </c>
      <c r="I3" s="12" t="s">
        <v>239</v>
      </c>
    </row>
    <row r="4" spans="1:9" x14ac:dyDescent="0.3">
      <c r="A4" t="s">
        <v>3</v>
      </c>
      <c r="I4" s="12" t="s">
        <v>240</v>
      </c>
    </row>
    <row r="5" spans="1:9" x14ac:dyDescent="0.3">
      <c r="A5" s="6" t="s">
        <v>18</v>
      </c>
      <c r="I5" s="12" t="s">
        <v>167</v>
      </c>
    </row>
    <row r="8" spans="1:9" x14ac:dyDescent="0.3">
      <c r="A8" t="s">
        <v>4</v>
      </c>
      <c r="G8" s="2" t="s">
        <v>17</v>
      </c>
      <c r="H8" s="2"/>
      <c r="I8" s="2" t="s">
        <v>87</v>
      </c>
    </row>
    <row r="9" spans="1:9" x14ac:dyDescent="0.3">
      <c r="A9" s="1" t="s">
        <v>5</v>
      </c>
      <c r="C9" s="1" t="s">
        <v>6</v>
      </c>
      <c r="G9" s="3" t="s">
        <v>92</v>
      </c>
      <c r="H9" s="2"/>
      <c r="I9" s="3" t="s">
        <v>92</v>
      </c>
    </row>
    <row r="11" spans="1:9" x14ac:dyDescent="0.3">
      <c r="A11">
        <v>1</v>
      </c>
      <c r="C11" t="s">
        <v>169</v>
      </c>
      <c r="G11" s="7">
        <v>1127</v>
      </c>
      <c r="H11" s="7"/>
      <c r="I11" s="7">
        <v>3181</v>
      </c>
    </row>
    <row r="13" spans="1:9" x14ac:dyDescent="0.3">
      <c r="A13">
        <v>2</v>
      </c>
      <c r="C13" t="s">
        <v>170</v>
      </c>
      <c r="G13" s="52">
        <v>0.35</v>
      </c>
      <c r="I13" s="52">
        <v>0.35</v>
      </c>
    </row>
    <row r="15" spans="1:9" x14ac:dyDescent="0.3">
      <c r="A15">
        <v>3</v>
      </c>
      <c r="C15" t="s">
        <v>171</v>
      </c>
      <c r="G15" s="43">
        <f>ROUND(G11*-G13,0)</f>
        <v>-394</v>
      </c>
      <c r="I15" s="43">
        <f>ROUND(I11*-I13,0)</f>
        <v>-1113</v>
      </c>
    </row>
    <row r="16" spans="1:9" x14ac:dyDescent="0.3">
      <c r="G16" s="7"/>
      <c r="I16" s="7"/>
    </row>
    <row r="17" spans="1:9" ht="16.2" thickBot="1" x14ac:dyDescent="0.35">
      <c r="A17">
        <v>4</v>
      </c>
      <c r="C17" t="s">
        <v>172</v>
      </c>
      <c r="G17" s="50">
        <f>-G11-G15</f>
        <v>-733</v>
      </c>
      <c r="I17" s="50">
        <f>-I11-I15</f>
        <v>-2068</v>
      </c>
    </row>
    <row r="18" spans="1:9" ht="16.2" thickTop="1" x14ac:dyDescent="0.3"/>
    <row r="24" spans="1:9" x14ac:dyDescent="0.3">
      <c r="C24" s="23" t="s">
        <v>85</v>
      </c>
    </row>
    <row r="25" spans="1:9" x14ac:dyDescent="0.3">
      <c r="C25" t="s">
        <v>173</v>
      </c>
    </row>
    <row r="26" spans="1:9" x14ac:dyDescent="0.3">
      <c r="C26" t="s">
        <v>174</v>
      </c>
    </row>
    <row r="27" spans="1:9" x14ac:dyDescent="0.3">
      <c r="C27" t="s">
        <v>175</v>
      </c>
    </row>
    <row r="28" spans="1:9" x14ac:dyDescent="0.3">
      <c r="C28" s="6" t="s">
        <v>176</v>
      </c>
    </row>
    <row r="29" spans="1:9" x14ac:dyDescent="0.3">
      <c r="C29" t="s">
        <v>253</v>
      </c>
    </row>
    <row r="30" spans="1:9" x14ac:dyDescent="0.3">
      <c r="C30" t="s">
        <v>254</v>
      </c>
    </row>
    <row r="31" spans="1:9" x14ac:dyDescent="0.3">
      <c r="C31" t="s">
        <v>255</v>
      </c>
    </row>
  </sheetData>
  <pageMargins left="0.7" right="0.7" top="0.75" bottom="0.75" header="0.3" footer="0.3"/>
  <pageSetup scale="9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41"/>
  <sheetViews>
    <sheetView topLeftCell="A6" workbookViewId="0">
      <selection activeCell="I6" sqref="I6"/>
    </sheetView>
  </sheetViews>
  <sheetFormatPr defaultRowHeight="15.6" x14ac:dyDescent="0.3"/>
  <cols>
    <col min="1" max="1" width="5.19921875" customWidth="1"/>
    <col min="2" max="2" width="2.09765625" customWidth="1"/>
    <col min="3" max="3" width="30.69921875" customWidth="1"/>
    <col min="4" max="4" width="1.19921875" customWidth="1"/>
    <col min="5" max="5" width="13.69921875" bestFit="1" customWidth="1"/>
    <col min="6" max="6" width="1.5" customWidth="1"/>
    <col min="7" max="7" width="12" customWidth="1"/>
    <col min="8" max="8" width="1.3984375" customWidth="1"/>
    <col min="9" max="9" width="11.59765625" customWidth="1"/>
  </cols>
  <sheetData>
    <row r="6" spans="1:9" x14ac:dyDescent="0.3">
      <c r="A6" t="s">
        <v>0</v>
      </c>
      <c r="I6" s="58" t="s">
        <v>259</v>
      </c>
    </row>
    <row r="7" spans="1:9" x14ac:dyDescent="0.3">
      <c r="A7" t="s">
        <v>1</v>
      </c>
      <c r="I7" s="12" t="s">
        <v>20</v>
      </c>
    </row>
    <row r="8" spans="1:9" x14ac:dyDescent="0.3">
      <c r="A8" t="s">
        <v>228</v>
      </c>
      <c r="I8" s="12" t="s">
        <v>242</v>
      </c>
    </row>
    <row r="9" spans="1:9" x14ac:dyDescent="0.3">
      <c r="A9" t="s">
        <v>3</v>
      </c>
      <c r="I9" s="12" t="s">
        <v>241</v>
      </c>
    </row>
    <row r="10" spans="1:9" x14ac:dyDescent="0.3">
      <c r="A10" s="6"/>
    </row>
    <row r="12" spans="1:9" x14ac:dyDescent="0.3">
      <c r="A12" t="s">
        <v>4</v>
      </c>
      <c r="E12" s="2" t="s">
        <v>207</v>
      </c>
    </row>
    <row r="13" spans="1:9" x14ac:dyDescent="0.3">
      <c r="A13" s="1" t="s">
        <v>5</v>
      </c>
      <c r="C13" s="1" t="s">
        <v>6</v>
      </c>
      <c r="E13" s="3" t="s">
        <v>208</v>
      </c>
      <c r="G13" s="3" t="s">
        <v>210</v>
      </c>
      <c r="I13" s="3" t="s">
        <v>216</v>
      </c>
    </row>
    <row r="15" spans="1:9" x14ac:dyDescent="0.3">
      <c r="A15">
        <v>1</v>
      </c>
      <c r="C15">
        <v>2008</v>
      </c>
      <c r="E15" s="7">
        <v>7180325</v>
      </c>
      <c r="G15" s="7">
        <v>10034971</v>
      </c>
      <c r="I15" s="8">
        <f>SUM(E15:G15)</f>
        <v>17215296</v>
      </c>
    </row>
    <row r="16" spans="1:9" x14ac:dyDescent="0.3">
      <c r="A16">
        <v>2</v>
      </c>
      <c r="C16">
        <v>2009</v>
      </c>
      <c r="E16" s="7">
        <v>4404146</v>
      </c>
      <c r="G16" s="7">
        <v>11801590</v>
      </c>
      <c r="I16" s="8">
        <f t="shared" ref="I16:I21" si="0">SUM(E16:G16)</f>
        <v>16205736</v>
      </c>
    </row>
    <row r="17" spans="1:9" x14ac:dyDescent="0.3">
      <c r="A17">
        <v>3</v>
      </c>
      <c r="C17">
        <v>2010</v>
      </c>
      <c r="E17" s="7">
        <v>4506539</v>
      </c>
      <c r="G17" s="7">
        <v>10722063</v>
      </c>
      <c r="I17" s="8">
        <f t="shared" si="0"/>
        <v>15228602</v>
      </c>
    </row>
    <row r="18" spans="1:9" x14ac:dyDescent="0.3">
      <c r="A18">
        <v>4</v>
      </c>
      <c r="C18">
        <v>2011</v>
      </c>
      <c r="E18" s="7">
        <v>3370776</v>
      </c>
      <c r="G18" s="7">
        <v>12998522</v>
      </c>
      <c r="I18" s="8">
        <f t="shared" si="0"/>
        <v>16369298</v>
      </c>
    </row>
    <row r="19" spans="1:9" x14ac:dyDescent="0.3">
      <c r="A19">
        <v>5</v>
      </c>
      <c r="C19">
        <v>2012</v>
      </c>
      <c r="E19" s="7">
        <v>11007913</v>
      </c>
      <c r="G19" s="7">
        <v>10596589</v>
      </c>
      <c r="I19" s="8">
        <f t="shared" si="0"/>
        <v>21604502</v>
      </c>
    </row>
    <row r="20" spans="1:9" x14ac:dyDescent="0.3">
      <c r="A20">
        <v>6</v>
      </c>
      <c r="C20">
        <v>2013</v>
      </c>
      <c r="E20" s="7">
        <v>5209199</v>
      </c>
      <c r="G20" s="7">
        <v>12841477</v>
      </c>
      <c r="I20" s="8">
        <f t="shared" si="0"/>
        <v>18050676</v>
      </c>
    </row>
    <row r="21" spans="1:9" x14ac:dyDescent="0.3">
      <c r="A21">
        <v>7</v>
      </c>
      <c r="C21">
        <v>2014</v>
      </c>
      <c r="E21" s="43">
        <v>5764318</v>
      </c>
      <c r="G21" s="43">
        <v>12978671</v>
      </c>
      <c r="I21" s="9">
        <f t="shared" si="0"/>
        <v>18742989</v>
      </c>
    </row>
    <row r="22" spans="1:9" x14ac:dyDescent="0.3">
      <c r="E22" s="7"/>
      <c r="G22" s="7"/>
    </row>
    <row r="23" spans="1:9" x14ac:dyDescent="0.3">
      <c r="A23">
        <v>8</v>
      </c>
      <c r="C23" s="12" t="s">
        <v>211</v>
      </c>
      <c r="E23" s="8">
        <f>AVERAGE(E19:E21)</f>
        <v>7327143.333333333</v>
      </c>
      <c r="G23" s="8">
        <f>AVERAGE(G19:G21)</f>
        <v>12138912.333333334</v>
      </c>
      <c r="I23" s="8">
        <f>AVERAGE(I19:I21)</f>
        <v>19466055.666666668</v>
      </c>
    </row>
    <row r="24" spans="1:9" x14ac:dyDescent="0.3">
      <c r="A24">
        <v>9</v>
      </c>
      <c r="C24" s="12" t="s">
        <v>209</v>
      </c>
      <c r="E24" s="8">
        <f>AVERAGE(E18:E21)</f>
        <v>6338051.5</v>
      </c>
      <c r="G24" s="8">
        <f>AVERAGE(G18:G21)</f>
        <v>12353814.75</v>
      </c>
      <c r="I24" s="8">
        <f>AVERAGE(I18:I21)</f>
        <v>18691866.25</v>
      </c>
    </row>
    <row r="25" spans="1:9" x14ac:dyDescent="0.3">
      <c r="A25">
        <v>10</v>
      </c>
      <c r="C25" s="12" t="s">
        <v>213</v>
      </c>
      <c r="E25" s="8">
        <f>AVERAGE(E17:E21)</f>
        <v>5971749</v>
      </c>
      <c r="G25" s="8">
        <f>AVERAGE(G17:G21)</f>
        <v>12027464.4</v>
      </c>
      <c r="I25" s="8">
        <f>AVERAGE(I17:I21)</f>
        <v>17999213.399999999</v>
      </c>
    </row>
    <row r="27" spans="1:9" x14ac:dyDescent="0.3">
      <c r="A27">
        <v>11</v>
      </c>
      <c r="C27" t="s">
        <v>214</v>
      </c>
      <c r="E27" s="7">
        <v>5892966</v>
      </c>
      <c r="G27" s="7">
        <v>12996535</v>
      </c>
      <c r="I27" s="8">
        <f t="shared" ref="I27:I28" si="1">SUM(E27:G27)</f>
        <v>18889501</v>
      </c>
    </row>
    <row r="28" spans="1:9" x14ac:dyDescent="0.3">
      <c r="A28">
        <v>12</v>
      </c>
      <c r="C28" s="6" t="s">
        <v>215</v>
      </c>
      <c r="E28" s="7">
        <v>9334860</v>
      </c>
      <c r="G28" s="7">
        <v>15005259</v>
      </c>
      <c r="I28" s="8">
        <f t="shared" si="1"/>
        <v>24340119</v>
      </c>
    </row>
    <row r="30" spans="1:9" x14ac:dyDescent="0.3">
      <c r="A30">
        <v>13</v>
      </c>
      <c r="C30" t="s">
        <v>218</v>
      </c>
      <c r="E30" s="8">
        <f>E23-E27</f>
        <v>1434177.333333333</v>
      </c>
      <c r="G30" s="8">
        <f>G23-G27</f>
        <v>-857622.66666666605</v>
      </c>
      <c r="I30" s="8">
        <f>I23-I27</f>
        <v>576554.66666666791</v>
      </c>
    </row>
    <row r="31" spans="1:9" x14ac:dyDescent="0.3">
      <c r="A31">
        <v>14</v>
      </c>
      <c r="C31" t="s">
        <v>219</v>
      </c>
      <c r="E31" s="8">
        <f>E24-E27</f>
        <v>445085.5</v>
      </c>
      <c r="G31" s="8">
        <f>G24-G27</f>
        <v>-642720.25</v>
      </c>
      <c r="I31" s="8">
        <f>I24-I27</f>
        <v>-197634.75</v>
      </c>
    </row>
    <row r="32" spans="1:9" x14ac:dyDescent="0.3">
      <c r="A32">
        <v>15</v>
      </c>
      <c r="C32" t="s">
        <v>220</v>
      </c>
      <c r="E32" s="8">
        <f>E25-E27</f>
        <v>78783</v>
      </c>
      <c r="G32" s="8">
        <f>G25-G27</f>
        <v>-969070.59999999963</v>
      </c>
      <c r="I32" s="8">
        <f>I25-I27</f>
        <v>-890287.60000000149</v>
      </c>
    </row>
    <row r="34" spans="1:9" x14ac:dyDescent="0.3">
      <c r="A34">
        <v>16</v>
      </c>
      <c r="C34" t="s">
        <v>217</v>
      </c>
      <c r="E34" s="8">
        <f>E28-E27</f>
        <v>3441894</v>
      </c>
      <c r="G34" s="8">
        <f>G28-G27</f>
        <v>2008724</v>
      </c>
      <c r="I34" s="8">
        <f>I28-I27</f>
        <v>5450618</v>
      </c>
    </row>
    <row r="35" spans="1:9" x14ac:dyDescent="0.3">
      <c r="I35" s="8"/>
    </row>
    <row r="38" spans="1:9" x14ac:dyDescent="0.3">
      <c r="C38" s="1" t="s">
        <v>85</v>
      </c>
    </row>
    <row r="39" spans="1:9" x14ac:dyDescent="0.3">
      <c r="C39" s="41" t="s">
        <v>257</v>
      </c>
    </row>
    <row r="40" spans="1:9" x14ac:dyDescent="0.3">
      <c r="C40" t="s">
        <v>212</v>
      </c>
    </row>
    <row r="41" spans="1:9" x14ac:dyDescent="0.3">
      <c r="C41" t="s">
        <v>258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I6" sqref="I6"/>
    </sheetView>
  </sheetViews>
  <sheetFormatPr defaultRowHeight="15.6" x14ac:dyDescent="0.3"/>
  <cols>
    <col min="1" max="1" width="5.19921875" customWidth="1"/>
    <col min="2" max="2" width="2.09765625" customWidth="1"/>
    <col min="3" max="3" width="28.09765625" customWidth="1"/>
    <col min="4" max="4" width="1.19921875" customWidth="1"/>
    <col min="5" max="5" width="13.69921875" bestFit="1" customWidth="1"/>
    <col min="6" max="6" width="1.5" customWidth="1"/>
    <col min="7" max="7" width="12" customWidth="1"/>
    <col min="8" max="8" width="1.3984375" customWidth="1"/>
    <col min="9" max="9" width="11.59765625" customWidth="1"/>
  </cols>
  <sheetData>
    <row r="1" spans="1:9" x14ac:dyDescent="0.3">
      <c r="A1" t="s">
        <v>0</v>
      </c>
      <c r="I1" s="58" t="s">
        <v>259</v>
      </c>
    </row>
    <row r="2" spans="1:9" x14ac:dyDescent="0.3">
      <c r="A2" t="s">
        <v>1</v>
      </c>
      <c r="I2" s="12" t="s">
        <v>20</v>
      </c>
    </row>
    <row r="3" spans="1:9" x14ac:dyDescent="0.3">
      <c r="A3" t="s">
        <v>224</v>
      </c>
      <c r="I3" s="12" t="s">
        <v>243</v>
      </c>
    </row>
    <row r="4" spans="1:9" x14ac:dyDescent="0.3">
      <c r="A4" t="s">
        <v>3</v>
      </c>
      <c r="I4" s="12" t="s">
        <v>244</v>
      </c>
    </row>
    <row r="5" spans="1:9" x14ac:dyDescent="0.3">
      <c r="A5" s="6"/>
    </row>
    <row r="10" spans="1:9" x14ac:dyDescent="0.3">
      <c r="A10" t="s">
        <v>4</v>
      </c>
      <c r="E10" s="2"/>
    </row>
    <row r="11" spans="1:9" x14ac:dyDescent="0.3">
      <c r="A11" s="1" t="s">
        <v>5</v>
      </c>
      <c r="C11" s="1" t="s">
        <v>6</v>
      </c>
      <c r="E11" s="3" t="s">
        <v>221</v>
      </c>
      <c r="G11" s="3" t="s">
        <v>222</v>
      </c>
      <c r="I11" s="3" t="s">
        <v>216</v>
      </c>
    </row>
    <row r="13" spans="1:9" x14ac:dyDescent="0.3">
      <c r="A13">
        <v>1</v>
      </c>
      <c r="C13">
        <v>2010</v>
      </c>
      <c r="E13" s="7">
        <v>2422074</v>
      </c>
      <c r="G13" s="7">
        <v>771593</v>
      </c>
      <c r="I13" s="8">
        <f t="shared" ref="I13:I17" si="0">SUM(E13:G13)</f>
        <v>3193667</v>
      </c>
    </row>
    <row r="14" spans="1:9" x14ac:dyDescent="0.3">
      <c r="A14">
        <v>2</v>
      </c>
      <c r="C14">
        <v>2011</v>
      </c>
      <c r="E14" s="7">
        <v>2807083</v>
      </c>
      <c r="G14" s="7">
        <v>1711377</v>
      </c>
      <c r="I14" s="8">
        <f t="shared" si="0"/>
        <v>4518460</v>
      </c>
    </row>
    <row r="15" spans="1:9" x14ac:dyDescent="0.3">
      <c r="A15">
        <v>3</v>
      </c>
      <c r="C15">
        <v>2012</v>
      </c>
      <c r="E15" s="7">
        <v>2849841</v>
      </c>
      <c r="G15" s="7">
        <v>877998</v>
      </c>
      <c r="I15" s="8">
        <f t="shared" si="0"/>
        <v>3727839</v>
      </c>
    </row>
    <row r="16" spans="1:9" x14ac:dyDescent="0.3">
      <c r="A16">
        <v>4</v>
      </c>
      <c r="C16">
        <v>2013</v>
      </c>
      <c r="E16" s="7">
        <v>2727374</v>
      </c>
      <c r="G16" s="7">
        <v>2159074</v>
      </c>
      <c r="I16" s="8">
        <f t="shared" si="0"/>
        <v>4886448</v>
      </c>
    </row>
    <row r="17" spans="1:9" x14ac:dyDescent="0.3">
      <c r="A17">
        <v>5</v>
      </c>
      <c r="C17">
        <v>2014</v>
      </c>
      <c r="E17" s="43">
        <v>2572580</v>
      </c>
      <c r="G17" s="43">
        <v>1675642</v>
      </c>
      <c r="I17" s="9">
        <f t="shared" si="0"/>
        <v>4248222</v>
      </c>
    </row>
    <row r="18" spans="1:9" x14ac:dyDescent="0.3">
      <c r="E18" s="7"/>
      <c r="G18" s="7"/>
    </row>
    <row r="19" spans="1:9" x14ac:dyDescent="0.3">
      <c r="A19">
        <v>6</v>
      </c>
      <c r="C19" s="12" t="s">
        <v>252</v>
      </c>
      <c r="E19" s="8">
        <f>AVERAGE(E13:E17)</f>
        <v>2675790.4</v>
      </c>
      <c r="G19" s="8">
        <f>AVERAGE(G13:G17)</f>
        <v>1439136.8</v>
      </c>
      <c r="I19" s="8">
        <f>AVERAGE(I13:I17)</f>
        <v>4114927.2</v>
      </c>
    </row>
    <row r="21" spans="1:9" x14ac:dyDescent="0.3">
      <c r="A21">
        <v>7</v>
      </c>
      <c r="C21" t="s">
        <v>214</v>
      </c>
      <c r="E21" s="7"/>
      <c r="G21" s="7"/>
      <c r="I21" s="8">
        <f>1337840+355672+2655937+1</f>
        <v>4349450</v>
      </c>
    </row>
    <row r="22" spans="1:9" x14ac:dyDescent="0.3">
      <c r="A22">
        <v>8</v>
      </c>
      <c r="C22" s="6" t="s">
        <v>223</v>
      </c>
      <c r="E22" s="7"/>
      <c r="G22" s="7"/>
      <c r="I22" s="9">
        <v>6701705</v>
      </c>
    </row>
    <row r="23" spans="1:9" x14ac:dyDescent="0.3">
      <c r="A23">
        <v>9</v>
      </c>
      <c r="C23" t="s">
        <v>230</v>
      </c>
      <c r="I23" s="56">
        <f>I22-I21</f>
        <v>2352255</v>
      </c>
    </row>
    <row r="24" spans="1:9" x14ac:dyDescent="0.3">
      <c r="A24">
        <v>10</v>
      </c>
      <c r="C24" t="s">
        <v>229</v>
      </c>
      <c r="I24" s="56">
        <f>I23*0.6519</f>
        <v>1533435.0345000001</v>
      </c>
    </row>
    <row r="26" spans="1:9" x14ac:dyDescent="0.3">
      <c r="C26" s="23" t="s">
        <v>85</v>
      </c>
    </row>
    <row r="27" spans="1:9" x14ac:dyDescent="0.3">
      <c r="C27" t="s">
        <v>225</v>
      </c>
    </row>
    <row r="28" spans="1:9" x14ac:dyDescent="0.3">
      <c r="C28" t="s">
        <v>226</v>
      </c>
    </row>
    <row r="29" spans="1:9" x14ac:dyDescent="0.3">
      <c r="C29" t="s">
        <v>227</v>
      </c>
    </row>
  </sheetData>
  <pageMargins left="0.7" right="0.7" top="0.75" bottom="0.75" header="0.3" footer="0.3"/>
  <pageSetup scale="98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G6" sqref="G6"/>
    </sheetView>
  </sheetViews>
  <sheetFormatPr defaultRowHeight="15.6" x14ac:dyDescent="0.3"/>
  <cols>
    <col min="1" max="1" width="5.09765625" customWidth="1"/>
    <col min="2" max="2" width="1.19921875" customWidth="1"/>
    <col min="3" max="3" width="43.5" customWidth="1"/>
    <col min="4" max="4" width="5.09765625" customWidth="1"/>
    <col min="5" max="5" width="1.3984375" customWidth="1"/>
    <col min="6" max="6" width="12.69921875" customWidth="1"/>
  </cols>
  <sheetData>
    <row r="1" spans="1:6" x14ac:dyDescent="0.3">
      <c r="A1" t="s">
        <v>0</v>
      </c>
      <c r="F1" s="58" t="s">
        <v>259</v>
      </c>
    </row>
    <row r="2" spans="1:6" x14ac:dyDescent="0.3">
      <c r="A2" t="s">
        <v>1</v>
      </c>
      <c r="F2" s="12" t="s">
        <v>20</v>
      </c>
    </row>
    <row r="3" spans="1:6" x14ac:dyDescent="0.3">
      <c r="A3" t="s">
        <v>112</v>
      </c>
      <c r="F3" s="12" t="s">
        <v>246</v>
      </c>
    </row>
    <row r="4" spans="1:6" x14ac:dyDescent="0.3">
      <c r="A4" t="s">
        <v>3</v>
      </c>
      <c r="F4" s="12" t="s">
        <v>245</v>
      </c>
    </row>
    <row r="5" spans="1:6" x14ac:dyDescent="0.3">
      <c r="A5" s="6" t="s">
        <v>18</v>
      </c>
      <c r="F5" s="12" t="s">
        <v>122</v>
      </c>
    </row>
    <row r="9" spans="1:6" x14ac:dyDescent="0.3">
      <c r="A9" t="s">
        <v>4</v>
      </c>
    </row>
    <row r="10" spans="1:6" x14ac:dyDescent="0.3">
      <c r="A10" s="1" t="s">
        <v>5</v>
      </c>
      <c r="C10" s="1" t="s">
        <v>6</v>
      </c>
      <c r="F10" s="3" t="s">
        <v>15</v>
      </c>
    </row>
    <row r="12" spans="1:6" x14ac:dyDescent="0.3">
      <c r="A12">
        <v>1</v>
      </c>
      <c r="C12" t="s">
        <v>113</v>
      </c>
    </row>
    <row r="13" spans="1:6" x14ac:dyDescent="0.3">
      <c r="C13" t="s">
        <v>114</v>
      </c>
      <c r="F13" s="7">
        <v>27516</v>
      </c>
    </row>
    <row r="14" spans="1:6" x14ac:dyDescent="0.3">
      <c r="F14" s="7"/>
    </row>
    <row r="15" spans="1:6" x14ac:dyDescent="0.3">
      <c r="A15">
        <v>2</v>
      </c>
      <c r="C15" t="s">
        <v>115</v>
      </c>
      <c r="F15" s="7"/>
    </row>
    <row r="16" spans="1:6" x14ac:dyDescent="0.3">
      <c r="C16" t="s">
        <v>116</v>
      </c>
      <c r="F16" s="43">
        <v>9046</v>
      </c>
    </row>
    <row r="17" spans="1:6" x14ac:dyDescent="0.3">
      <c r="F17" s="7"/>
    </row>
    <row r="18" spans="1:6" x14ac:dyDescent="0.3">
      <c r="A18">
        <v>3</v>
      </c>
      <c r="C18" t="s">
        <v>117</v>
      </c>
      <c r="F18" s="7"/>
    </row>
    <row r="19" spans="1:6" x14ac:dyDescent="0.3">
      <c r="C19" t="s">
        <v>118</v>
      </c>
      <c r="F19" s="43">
        <f>F13-F16</f>
        <v>18470</v>
      </c>
    </row>
    <row r="20" spans="1:6" x14ac:dyDescent="0.3">
      <c r="F20" s="7"/>
    </row>
    <row r="21" spans="1:6" ht="16.2" thickBot="1" x14ac:dyDescent="0.35">
      <c r="A21">
        <v>4</v>
      </c>
      <c r="C21" t="s">
        <v>124</v>
      </c>
      <c r="F21" s="11">
        <f>-F19</f>
        <v>-18470</v>
      </c>
    </row>
    <row r="22" spans="1:6" ht="16.2" thickTop="1" x14ac:dyDescent="0.3"/>
    <row r="23" spans="1:6" x14ac:dyDescent="0.3">
      <c r="A23">
        <v>5</v>
      </c>
      <c r="C23" t="s">
        <v>125</v>
      </c>
      <c r="F23" s="43">
        <f>-F21*0.0268*0.35</f>
        <v>173.24860000000001</v>
      </c>
    </row>
    <row r="24" spans="1:6" x14ac:dyDescent="0.3">
      <c r="F24" s="7"/>
    </row>
    <row r="25" spans="1:6" ht="16.2" thickBot="1" x14ac:dyDescent="0.35">
      <c r="A25">
        <v>6</v>
      </c>
      <c r="C25" t="s">
        <v>126</v>
      </c>
      <c r="F25" s="11">
        <f>-F23</f>
        <v>-173.24860000000001</v>
      </c>
    </row>
    <row r="26" spans="1:6" ht="16.2" thickTop="1" x14ac:dyDescent="0.3"/>
    <row r="27" spans="1:6" x14ac:dyDescent="0.3">
      <c r="C27" s="23" t="s">
        <v>119</v>
      </c>
    </row>
    <row r="28" spans="1:6" x14ac:dyDescent="0.3">
      <c r="C28" t="s">
        <v>120</v>
      </c>
    </row>
    <row r="29" spans="1:6" x14ac:dyDescent="0.3">
      <c r="C29" t="s">
        <v>121</v>
      </c>
    </row>
    <row r="30" spans="1:6" x14ac:dyDescent="0.3">
      <c r="C30" t="s">
        <v>127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2015-07-27T07:00:00+00:00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ED62682-23E5-43D2-8236-5DE321C81A2F}"/>
</file>

<file path=customXml/itemProps2.xml><?xml version="1.0" encoding="utf-8"?>
<ds:datastoreItem xmlns:ds="http://schemas.openxmlformats.org/officeDocument/2006/customXml" ds:itemID="{081C9099-5011-4843-80DE-57DD4FD35211}"/>
</file>

<file path=customXml/itemProps3.xml><?xml version="1.0" encoding="utf-8"?>
<ds:datastoreItem xmlns:ds="http://schemas.openxmlformats.org/officeDocument/2006/customXml" ds:itemID="{E4A616B4-76DE-45D8-8E7A-287B2FF9AF70}"/>
</file>

<file path=customXml/itemProps4.xml><?xml version="1.0" encoding="utf-8"?>
<ds:datastoreItem xmlns:ds="http://schemas.openxmlformats.org/officeDocument/2006/customXml" ds:itemID="{26742017-1FBB-4141-B770-962368770F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RevReq</vt:lpstr>
      <vt:lpstr>Summary</vt:lpstr>
      <vt:lpstr>LTIP</vt:lpstr>
      <vt:lpstr>Labor</vt:lpstr>
      <vt:lpstr>Ins</vt:lpstr>
      <vt:lpstr>PropTax</vt:lpstr>
      <vt:lpstr>CS2_Colstrip</vt:lpstr>
      <vt:lpstr>Maint</vt:lpstr>
      <vt:lpstr>RTD</vt:lpstr>
      <vt:lpstr>PlantAdds</vt:lpstr>
      <vt:lpstr>EOP_Sept14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Mak, Chanda (ATG)</cp:lastModifiedBy>
  <cp:lastPrinted>2015-07-09T16:28:33Z</cp:lastPrinted>
  <dcterms:created xsi:type="dcterms:W3CDTF">2015-07-06T17:53:07Z</dcterms:created>
  <dcterms:modified xsi:type="dcterms:W3CDTF">2015-07-17T18:05:57Z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