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\RevReq-COS-Rate Years Exh\"/>
    </mc:Choice>
  </mc:AlternateContent>
  <bookViews>
    <workbookView xWindow="0" yWindow="0" windowWidth="28800" windowHeight="10710"/>
  </bookViews>
  <sheets>
    <sheet name="Proforma kWh &amp; Revenue" sheetId="1" r:id="rId1"/>
    <sheet name="Rev Req Summary" sheetId="2" r:id="rId2"/>
  </sheets>
  <definedNames>
    <definedName name="_xlnm.Print_Area" localSheetId="0">'Proforma kWh &amp; Revenue'!$A$1:$W$79</definedName>
    <definedName name="_xlnm.Print_Area" localSheetId="1">'Rev Req Summary'!$A$1:$O$44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2" l="1"/>
  <c r="L44" i="2"/>
  <c r="J44" i="2"/>
  <c r="E41" i="2"/>
  <c r="F41" i="2"/>
  <c r="F38" i="2"/>
  <c r="D32" i="2"/>
  <c r="C32" i="2"/>
  <c r="C31" i="2"/>
  <c r="C30" i="2"/>
  <c r="D28" i="2"/>
  <c r="C28" i="2" s="1"/>
  <c r="D27" i="2"/>
  <c r="C27" i="2" s="1"/>
  <c r="D26" i="2"/>
  <c r="C26" i="2"/>
  <c r="D25" i="2"/>
  <c r="C25" i="2" s="1"/>
  <c r="D24" i="2"/>
  <c r="C24" i="2"/>
  <c r="D22" i="2"/>
  <c r="C22" i="2" s="1"/>
  <c r="D18" i="2"/>
  <c r="C18" i="2"/>
  <c r="F33" i="2"/>
  <c r="D13" i="2"/>
  <c r="C13" i="2" s="1"/>
  <c r="E33" i="2"/>
  <c r="E35" i="2" s="1"/>
  <c r="E44" i="2" s="1"/>
  <c r="A9" i="2"/>
  <c r="A12" i="2" s="1"/>
  <c r="C8" i="2"/>
  <c r="D40" i="2"/>
  <c r="C40" i="2" s="1"/>
  <c r="D29" i="2"/>
  <c r="C29" i="2" s="1"/>
  <c r="D71" i="1"/>
  <c r="D23" i="2"/>
  <c r="C23" i="2" s="1"/>
  <c r="D21" i="2"/>
  <c r="C21" i="2" s="1"/>
  <c r="D20" i="2"/>
  <c r="C20" i="2" s="1"/>
  <c r="D19" i="2"/>
  <c r="C19" i="2" s="1"/>
  <c r="D17" i="2"/>
  <c r="C17" i="2" s="1"/>
  <c r="D16" i="2"/>
  <c r="C16" i="2" s="1"/>
  <c r="D14" i="2"/>
  <c r="C14" i="2" s="1"/>
  <c r="D12" i="2"/>
  <c r="C12" i="2" s="1"/>
  <c r="J71" i="1"/>
  <c r="D43" i="1"/>
  <c r="K43" i="1"/>
  <c r="K45" i="1" s="1"/>
  <c r="D45" i="1"/>
  <c r="D72" i="1" s="1"/>
  <c r="V37" i="1"/>
  <c r="T37" i="1"/>
  <c r="J37" i="1"/>
  <c r="P37" i="1" s="1"/>
  <c r="D37" i="1"/>
  <c r="T33" i="1"/>
  <c r="G35" i="1"/>
  <c r="G39" i="1" s="1"/>
  <c r="D75" i="1" s="1"/>
  <c r="D79" i="1" s="1"/>
  <c r="V31" i="1"/>
  <c r="T31" i="1"/>
  <c r="R31" i="1"/>
  <c r="P31" i="1"/>
  <c r="J31" i="1"/>
  <c r="D31" i="1"/>
  <c r="M29" i="1"/>
  <c r="G29" i="1"/>
  <c r="E29" i="1"/>
  <c r="T28" i="1"/>
  <c r="W29" i="1"/>
  <c r="V27" i="1"/>
  <c r="S29" i="1"/>
  <c r="Q29" i="1"/>
  <c r="N29" i="1"/>
  <c r="L29" i="1"/>
  <c r="K29" i="1"/>
  <c r="H29" i="1"/>
  <c r="F29" i="1"/>
  <c r="V25" i="1"/>
  <c r="T25" i="1"/>
  <c r="R25" i="1"/>
  <c r="J25" i="1"/>
  <c r="P25" i="1" s="1"/>
  <c r="Q23" i="1"/>
  <c r="P23" i="1" s="1"/>
  <c r="G23" i="1"/>
  <c r="F23" i="1"/>
  <c r="V22" i="1"/>
  <c r="T22" i="1"/>
  <c r="R22" i="1"/>
  <c r="J22" i="1"/>
  <c r="P22" i="1" s="1"/>
  <c r="D22" i="1"/>
  <c r="T21" i="1"/>
  <c r="R21" i="1"/>
  <c r="K23" i="1"/>
  <c r="J21" i="1"/>
  <c r="P21" i="1" s="1"/>
  <c r="D21" i="1"/>
  <c r="W23" i="1"/>
  <c r="V20" i="1"/>
  <c r="T20" i="1"/>
  <c r="T23" i="1" s="1"/>
  <c r="S23" i="1"/>
  <c r="R20" i="1"/>
  <c r="R23" i="1" s="1"/>
  <c r="N23" i="1"/>
  <c r="M23" i="1"/>
  <c r="J20" i="1"/>
  <c r="J23" i="1" s="1"/>
  <c r="H23" i="1"/>
  <c r="E23" i="1"/>
  <c r="D20" i="1"/>
  <c r="M18" i="1"/>
  <c r="V17" i="1"/>
  <c r="R17" i="1"/>
  <c r="J17" i="1"/>
  <c r="P17" i="1" s="1"/>
  <c r="D17" i="1"/>
  <c r="W16" i="1"/>
  <c r="J16" i="1"/>
  <c r="D16" i="1"/>
  <c r="J15" i="1"/>
  <c r="G18" i="1"/>
  <c r="D15" i="1"/>
  <c r="J14" i="1"/>
  <c r="D14" i="1"/>
  <c r="T13" i="1"/>
  <c r="N18" i="1"/>
  <c r="L18" i="1"/>
  <c r="J13" i="1"/>
  <c r="J18" i="1" s="1"/>
  <c r="H18" i="1"/>
  <c r="E18" i="1"/>
  <c r="M11" i="1"/>
  <c r="G11" i="1"/>
  <c r="E11" i="1"/>
  <c r="W10" i="1"/>
  <c r="J10" i="1"/>
  <c r="D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V9" i="1"/>
  <c r="R9" i="1"/>
  <c r="N11" i="1"/>
  <c r="L11" i="1"/>
  <c r="K11" i="1"/>
  <c r="H11" i="1"/>
  <c r="F11" i="1"/>
  <c r="D9" i="1"/>
  <c r="D11" i="1" s="1"/>
  <c r="N7" i="1"/>
  <c r="M7" i="1"/>
  <c r="L7" i="1"/>
  <c r="K7" i="1"/>
  <c r="J7" i="1"/>
  <c r="A3" i="2"/>
  <c r="U10" i="1" l="1"/>
  <c r="Q10" i="1"/>
  <c r="S10" i="1"/>
  <c r="S16" i="1"/>
  <c r="U16" i="1"/>
  <c r="V16" i="1" s="1"/>
  <c r="Q16" i="1"/>
  <c r="V10" i="1"/>
  <c r="V11" i="1" s="1"/>
  <c r="W11" i="1"/>
  <c r="W18" i="1"/>
  <c r="U29" i="1"/>
  <c r="M35" i="1"/>
  <c r="J9" i="1"/>
  <c r="J11" i="1" s="1"/>
  <c r="P9" i="1"/>
  <c r="T9" i="1"/>
  <c r="F18" i="1"/>
  <c r="F35" i="1" s="1"/>
  <c r="F39" i="1" s="1"/>
  <c r="K18" i="1"/>
  <c r="K35" i="1" s="1"/>
  <c r="K39" i="1" s="1"/>
  <c r="P13" i="1"/>
  <c r="T17" i="1"/>
  <c r="D25" i="1"/>
  <c r="V28" i="1"/>
  <c r="V29" i="1" s="1"/>
  <c r="H35" i="1"/>
  <c r="H39" i="1" s="1"/>
  <c r="N35" i="1"/>
  <c r="N39" i="1" s="1"/>
  <c r="E46" i="2"/>
  <c r="E47" i="2" s="1"/>
  <c r="S11" i="1"/>
  <c r="D23" i="1"/>
  <c r="V21" i="1"/>
  <c r="V23" i="1" s="1"/>
  <c r="L23" i="1"/>
  <c r="L35" i="1" s="1"/>
  <c r="L39" i="1" s="1"/>
  <c r="U23" i="1"/>
  <c r="R27" i="1"/>
  <c r="R29" i="1" s="1"/>
  <c r="J28" i="1"/>
  <c r="P28" i="1" s="1"/>
  <c r="R28" i="1"/>
  <c r="E35" i="1"/>
  <c r="E39" i="1" s="1"/>
  <c r="J33" i="1"/>
  <c r="P33" i="1"/>
  <c r="D15" i="2"/>
  <c r="C15" i="2" s="1"/>
  <c r="A10" i="2"/>
  <c r="A11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F35" i="2"/>
  <c r="F44" i="2" s="1"/>
  <c r="D13" i="1"/>
  <c r="D18" i="1" s="1"/>
  <c r="R13" i="1"/>
  <c r="V13" i="1"/>
  <c r="P20" i="1"/>
  <c r="D27" i="1"/>
  <c r="D28" i="1"/>
  <c r="W35" i="1"/>
  <c r="W39" i="1" s="1"/>
  <c r="W42" i="1" s="1"/>
  <c r="R37" i="1"/>
  <c r="J72" i="1"/>
  <c r="D39" i="2"/>
  <c r="C39" i="2" s="1"/>
  <c r="D11" i="2"/>
  <c r="J27" i="1"/>
  <c r="P27" i="1"/>
  <c r="T27" i="1"/>
  <c r="T29" i="1" s="1"/>
  <c r="D33" i="1"/>
  <c r="R33" i="1"/>
  <c r="V33" i="1"/>
  <c r="P10" i="1" l="1"/>
  <c r="J35" i="1"/>
  <c r="J39" i="1" s="1"/>
  <c r="F46" i="2"/>
  <c r="F47" i="2" s="1"/>
  <c r="R16" i="1"/>
  <c r="R15" i="1"/>
  <c r="T10" i="1"/>
  <c r="T11" i="1" s="1"/>
  <c r="T16" i="1"/>
  <c r="P29" i="1"/>
  <c r="D38" i="2"/>
  <c r="M39" i="1"/>
  <c r="J75" i="1" s="1"/>
  <c r="J78" i="1" s="1"/>
  <c r="J79" i="1" s="1"/>
  <c r="L70" i="1" s="1"/>
  <c r="Q11" i="1"/>
  <c r="C11" i="2"/>
  <c r="C33" i="2" s="1"/>
  <c r="C35" i="2" s="1"/>
  <c r="D33" i="2"/>
  <c r="D35" i="2" s="1"/>
  <c r="P11" i="1"/>
  <c r="D29" i="1"/>
  <c r="D35" i="1" s="1"/>
  <c r="D39" i="1" s="1"/>
  <c r="J29" i="1"/>
  <c r="P16" i="1"/>
  <c r="P15" i="1"/>
  <c r="R10" i="1"/>
  <c r="R11" i="1" s="1"/>
  <c r="U11" i="1"/>
  <c r="J82" i="1" l="1"/>
  <c r="D46" i="2"/>
  <c r="R14" i="1"/>
  <c r="R18" i="1" s="1"/>
  <c r="R35" i="1" s="1"/>
  <c r="R39" i="1" s="1"/>
  <c r="S18" i="1"/>
  <c r="S35" i="1" s="1"/>
  <c r="S39" i="1" s="1"/>
  <c r="S42" i="1" s="1"/>
  <c r="D41" i="2"/>
  <c r="D44" i="2" s="1"/>
  <c r="C38" i="2"/>
  <c r="C41" i="2" s="1"/>
  <c r="T15" i="1"/>
  <c r="V15" i="1"/>
  <c r="P14" i="1"/>
  <c r="P18" i="1" s="1"/>
  <c r="P35" i="1" s="1"/>
  <c r="P39" i="1" s="1"/>
  <c r="Q18" i="1"/>
  <c r="Q35" i="1" s="1"/>
  <c r="Q39" i="1" s="1"/>
  <c r="Q42" i="1" s="1"/>
  <c r="C44" i="2"/>
  <c r="T14" i="1"/>
  <c r="U18" i="1"/>
  <c r="U35" i="1" s="1"/>
  <c r="U39" i="1" s="1"/>
  <c r="U42" i="1" s="1"/>
  <c r="V14" i="1"/>
  <c r="V18" i="1" s="1"/>
  <c r="V35" i="1" s="1"/>
  <c r="V39" i="1" s="1"/>
  <c r="C46" i="2" l="1"/>
  <c r="D47" i="2"/>
  <c r="C47" i="2"/>
  <c r="H44" i="2"/>
  <c r="T18" i="1"/>
  <c r="T35" i="1" s="1"/>
  <c r="T39" i="1" s="1"/>
</calcChain>
</file>

<file path=xl/sharedStrings.xml><?xml version="1.0" encoding="utf-8"?>
<sst xmlns="http://schemas.openxmlformats.org/spreadsheetml/2006/main" count="180" uniqueCount="149">
  <si>
    <t>Puget Sound Energy</t>
  </si>
  <si>
    <t>Normalized Test Year Revenue</t>
  </si>
  <si>
    <t>Electric Sales</t>
  </si>
  <si>
    <t>kWh Sales</t>
  </si>
  <si>
    <t>$ Sales (Note 1)</t>
  </si>
  <si>
    <t>Line No.</t>
  </si>
  <si>
    <t>Rate Sch</t>
  </si>
  <si>
    <t>Description</t>
  </si>
  <si>
    <t>Billed Sales</t>
  </si>
  <si>
    <t>Unbilled Sales</t>
  </si>
  <si>
    <t>Schedule 40 Migration</t>
  </si>
  <si>
    <t>Temperature Adjustmemt</t>
  </si>
  <si>
    <t>2022
Gap Year 
Revenue 
Adjustment</t>
  </si>
  <si>
    <t>2022
Gap Year 
Total Adjusted
Revenue</t>
  </si>
  <si>
    <t>2023
Rate Year 1
Revenue 
Adjustment</t>
  </si>
  <si>
    <t>2023
Rate Year 1
Total Adjusted
Revenue</t>
  </si>
  <si>
    <t>2024
Rate Year 2
Revenue 
Adjustment</t>
  </si>
  <si>
    <t>2024
Rate Year 2
Total Adjusted
Revenue</t>
  </si>
  <si>
    <t>2025
Rate Year 3
Revenue 
Adjustment</t>
  </si>
  <si>
    <t>2025
Rate Year 3
Total Adjusted
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</si>
  <si>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</si>
  <si>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</si>
  <si>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</si>
  <si>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</si>
  <si>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</si>
  <si>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</si>
  <si>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</si>
  <si>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</si>
  <si>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</si>
  <si>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</si>
  <si>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</si>
  <si>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</si>
  <si>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 = l-h</t>
  </si>
  <si>
    <t>(n)</t>
  </si>
  <si>
    <t>(o) = p-n</t>
  </si>
  <si>
    <t>(p)</t>
  </si>
  <si>
    <t>(q)=r-p</t>
  </si>
  <si>
    <t>(r)</t>
  </si>
  <si>
    <t>(s)=t-r</t>
  </si>
  <si>
    <t>(t)</t>
  </si>
  <si>
    <t>7 (7D1, 7D2)</t>
  </si>
  <si>
    <t>Residential</t>
  </si>
  <si>
    <t>7A</t>
  </si>
  <si>
    <t>Residential Master Meters</t>
  </si>
  <si>
    <t>Total Residential</t>
  </si>
  <si>
    <t>8 / 24</t>
  </si>
  <si>
    <t>Gen Svc &lt; 50kW</t>
  </si>
  <si>
    <t>11 / 25</t>
  </si>
  <si>
    <t>Gen Svc &gt;50 &amp; &lt; 350kW</t>
  </si>
  <si>
    <t>12 / 26</t>
  </si>
  <si>
    <t>Gen Svc &gt; 350kW</t>
  </si>
  <si>
    <t>26P</t>
  </si>
  <si>
    <t>Gen Svc &gt; 350kW (pv)</t>
  </si>
  <si>
    <t>Irrigation Service</t>
  </si>
  <si>
    <t>Total Secondary Voltage</t>
  </si>
  <si>
    <t>10 / 31</t>
  </si>
  <si>
    <t>General Service</t>
  </si>
  <si>
    <t>Interruptible Elec Schools</t>
  </si>
  <si>
    <t>Total Primary Voltage</t>
  </si>
  <si>
    <t>Campus</t>
  </si>
  <si>
    <t>Interruptible Service</t>
  </si>
  <si>
    <t>Total High Voltage</t>
  </si>
  <si>
    <t>50-59</t>
  </si>
  <si>
    <t>Street &amp; Area Lighting</t>
  </si>
  <si>
    <t>449 / 459 / SC</t>
  </si>
  <si>
    <t>Retail Wheeling / Special Contract</t>
  </si>
  <si>
    <t>Total Retail Delivered Sales</t>
  </si>
  <si>
    <t>005</t>
  </si>
  <si>
    <t>Firm Resale</t>
  </si>
  <si>
    <t>Total Delivered Sales</t>
  </si>
  <si>
    <t>SOE (SJK-3)</t>
  </si>
  <si>
    <t>Retail Sales</t>
  </si>
  <si>
    <t>Transportation</t>
  </si>
  <si>
    <t>Subtotal</t>
  </si>
  <si>
    <t>SOE</t>
  </si>
  <si>
    <t>Add 456 to Transportation 449+459</t>
  </si>
  <si>
    <t>Subtotal SOE</t>
  </si>
  <si>
    <t>Restating Adjustment</t>
  </si>
  <si>
    <t>Schedule 81 B&amp;O Tax (SOE)</t>
  </si>
  <si>
    <t>Schedule 95A Fed Incent (SOE)</t>
  </si>
  <si>
    <t>Schedule 95 PCA Imbalance (SOE)</t>
  </si>
  <si>
    <t>Schedule 120 Conserv (SOE)</t>
  </si>
  <si>
    <t>Schedule 129 Low Income (SOE)</t>
  </si>
  <si>
    <t>Schedule 132 Merger Cr (SOE)</t>
  </si>
  <si>
    <t>Schedule 133 JPUD Gain (SOE)</t>
  </si>
  <si>
    <t>Schedule 135 &amp; 136 Green Power (BW)</t>
  </si>
  <si>
    <t>Schedule 137 REC (SOE)</t>
  </si>
  <si>
    <t>Schedule 139 Resource Cost (BW)</t>
  </si>
  <si>
    <t>Schedule 139 Credit (BW)</t>
  </si>
  <si>
    <t>Schedule 141 ERF (Estimated from Rider Report)</t>
  </si>
  <si>
    <t>Schedule 141x Protected Plus EDIT (SOE)</t>
  </si>
  <si>
    <t>Schedule 141y TCJA (SOE)</t>
  </si>
  <si>
    <t>Schedule 141z Unprotected EDIT (SOE)</t>
  </si>
  <si>
    <t>Schedule 194 Res Farm Cr (SOE)</t>
  </si>
  <si>
    <t>Temperature Adjustment</t>
  </si>
  <si>
    <t>Annualize Base Rate Change (to rates eff 10-15-20)</t>
  </si>
  <si>
    <t>Annualize Base Rate Change (to rates eff 10-1-21)</t>
  </si>
  <si>
    <t>Unbilled Revenue Change resulting from rate change</t>
  </si>
  <si>
    <t>Move Other Operating OATT Rev to Transport Sch</t>
  </si>
  <si>
    <t>Differences due to rounding / Misc Pricing</t>
  </si>
  <si>
    <t>Goal Seek Function</t>
  </si>
  <si>
    <t>Subtotal Restating Adjustments</t>
  </si>
  <si>
    <t>Restated Delivered</t>
  </si>
  <si>
    <t>Proforma Adjustment</t>
  </si>
  <si>
    <t>Schedule 40 Adjustment</t>
  </si>
  <si>
    <t>Schedule 140 Prop Tax (SOE)</t>
  </si>
  <si>
    <t>Schedule 142 Decoupling (Estimated Adjustment from Rider Report)</t>
  </si>
  <si>
    <t>Subtotal Proforma Adjustments</t>
  </si>
  <si>
    <t>Proforma Delivered</t>
  </si>
  <si>
    <t xml:space="preserve">Note 1:  Excludes all rider schedules, base rates only.
</t>
  </si>
  <si>
    <t>PSE</t>
  </si>
  <si>
    <t>Normalized Test Year Electric Revenue</t>
  </si>
  <si>
    <t>Total</t>
  </si>
  <si>
    <t>Retail Customers</t>
  </si>
  <si>
    <t>Transportation Sch 449&amp; 459 &amp; Special Contract</t>
  </si>
  <si>
    <t>(m)</t>
  </si>
  <si>
    <t>Exhibit SJK-3 Sales to Customer Revenue</t>
  </si>
  <si>
    <t>Delivered Revenue Restating Adjustments:</t>
  </si>
  <si>
    <t xml:space="preserve">Schedule 81 </t>
  </si>
  <si>
    <t>Schedule 95 PCA Imbalance</t>
  </si>
  <si>
    <t xml:space="preserve">Schedule 95A </t>
  </si>
  <si>
    <t xml:space="preserve">Schedule 120 </t>
  </si>
  <si>
    <t xml:space="preserve">Schedule 129 </t>
  </si>
  <si>
    <t xml:space="preserve">Schedule 132 </t>
  </si>
  <si>
    <t xml:space="preserve">Schedule 133 </t>
  </si>
  <si>
    <t>Schedule 135 &amp; 136</t>
  </si>
  <si>
    <t xml:space="preserve">Schedule 137 </t>
  </si>
  <si>
    <t>Schedule 139 Resource Charge</t>
  </si>
  <si>
    <t>Schedule 139 Credit</t>
  </si>
  <si>
    <t>Schedule 141 (From Rider Report)</t>
  </si>
  <si>
    <t>Schedule 141x</t>
  </si>
  <si>
    <t>Schedule 141y</t>
  </si>
  <si>
    <t>Schedule 141z</t>
  </si>
  <si>
    <t xml:space="preserve">Schedule 194 </t>
  </si>
  <si>
    <t>Annualize General Rate Case Rates Eff 10-15-2020</t>
  </si>
  <si>
    <t>Annualize General Rate Case PLR Rates Eff 10-1-2021</t>
  </si>
  <si>
    <t>Unbilled Revenue Change</t>
  </si>
  <si>
    <t>OATT Revenue from Other Operating Revenue</t>
  </si>
  <si>
    <t>Other (Goal Seek)</t>
  </si>
  <si>
    <t>Subtotal Restating</t>
  </si>
  <si>
    <t>Restated Sales of Electricity</t>
  </si>
  <si>
    <t>Proforma Adjustments:</t>
  </si>
  <si>
    <t xml:space="preserve">Schedule 140 </t>
  </si>
  <si>
    <t>Schedule 142 (Estimated Adjustment)</t>
  </si>
  <si>
    <t>Normalized Test Year Sales Revenue</t>
  </si>
  <si>
    <t>Check</t>
  </si>
  <si>
    <t>Difference</t>
  </si>
  <si>
    <t>Twelve Months ended June 2021</t>
  </si>
  <si>
    <t>Total
July 2020 to 
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</si>
</sst>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1" fillId="0" borderId="2" xfId="0" applyNumberFormat="1" applyFont="1" applyFill="1" applyBorder="1"/>
    <xf numFmtId="0" fontId="1" fillId="0" borderId="2" xfId="0" applyFont="1" applyFill="1" applyBorder="1"/>
    <xf numFmtId="165" fontId="1" fillId="0" borderId="2" xfId="0" applyNumberFormat="1" applyFont="1" applyFill="1" applyBorder="1"/>
    <xf numFmtId="16" fontId="1" fillId="0" borderId="0" xfId="0" quotePrefix="1" applyNumberFormat="1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164" fontId="1" fillId="0" borderId="0" xfId="0" applyNumberFormat="1" applyFont="1" applyFill="1" applyBorder="1"/>
    <xf numFmtId="0" fontId="1" fillId="0" borderId="0" xfId="0" quotePrefix="1" applyFont="1" applyFill="1" applyAlignment="1">
      <alignment horizontal="left" indent="1"/>
    </xf>
    <xf numFmtId="0" fontId="2" fillId="0" borderId="0" xfId="0" applyFont="1" applyFill="1"/>
    <xf numFmtId="165" fontId="0" fillId="0" borderId="0" xfId="0" applyNumberFormat="1" applyFill="1"/>
    <xf numFmtId="165" fontId="1" fillId="0" borderId="0" xfId="0" quotePrefix="1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 indent="1"/>
    </xf>
    <xf numFmtId="165" fontId="1" fillId="0" borderId="0" xfId="0" applyNumberFormat="1" applyFont="1" applyFill="1" applyAlignment="1">
      <alignment horizontal="right"/>
    </xf>
    <xf numFmtId="165" fontId="1" fillId="0" borderId="0" xfId="0" quotePrefix="1" applyNumberFormat="1" applyFont="1" applyFill="1" applyAlignment="1"/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Border="1"/>
    <xf numFmtId="164" fontId="1" fillId="0" borderId="0" xfId="0" quotePrefix="1" applyNumberFormat="1" applyFont="1" applyFill="1" applyAlignment="1"/>
    <xf numFmtId="10" fontId="1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44" fontId="0" fillId="0" borderId="0" xfId="0" applyNumberFormat="1" applyFont="1" applyFill="1"/>
    <xf numFmtId="165" fontId="0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0" fontId="1" fillId="0" borderId="2" xfId="0" quotePrefix="1" applyFont="1" applyFill="1" applyBorder="1" applyAlignment="1">
      <alignment horizontal="left" indent="1"/>
    </xf>
    <xf numFmtId="165" fontId="1" fillId="0" borderId="0" xfId="0" quotePrefix="1" applyNumberFormat="1" applyFont="1" applyFill="1" applyAlignment="1">
      <alignment horizontal="left"/>
    </xf>
    <xf numFmtId="0" fontId="1" fillId="0" borderId="0" xfId="0" quotePrefix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tabSelected="1" zoomScale="85" zoomScaleNormal="85" workbookViewId="0">
      <pane xSplit="4" ySplit="7" topLeftCell="N8" activePane="bottomRight" state="frozen"/>
      <selection activeCell="Q31" sqref="Q31"/>
      <selection pane="topRight" activeCell="Q31" sqref="Q31"/>
      <selection pane="bottomLeft" activeCell="Q31" sqref="Q31"/>
      <selection pane="bottomRight" activeCell="B11" sqref="B11:C11"/>
    </sheetView>
  </sheetViews>
  <sheetFormatPr defaultRowHeight="15" x14ac:dyDescent="0.25"/>
  <cols>
    <col min="1" max="1" width="5" style="1" bestFit="1" customWidth="1"/>
    <col min="2" max="2" width="14.42578125" style="1" bestFit="1" customWidth="1"/>
    <col min="3" max="3" width="51.5703125" style="1" bestFit="1" customWidth="1"/>
    <col min="4" max="5" width="15.28515625" style="1" bestFit="1" customWidth="1"/>
    <col min="6" max="6" width="12.5703125" style="1" bestFit="1" customWidth="1"/>
    <col min="7" max="7" width="12.140625" style="1" bestFit="1" customWidth="1"/>
    <col min="8" max="8" width="12.85546875" style="1" customWidth="1"/>
    <col min="9" max="9" width="2.85546875" style="1" customWidth="1"/>
    <col min="10" max="10" width="15.28515625" style="1" bestFit="1" customWidth="1"/>
    <col min="11" max="11" width="19.140625" style="1" bestFit="1" customWidth="1"/>
    <col min="12" max="12" width="12.5703125" style="1" bestFit="1" customWidth="1"/>
    <col min="13" max="13" width="14.42578125" style="1" bestFit="1" customWidth="1"/>
    <col min="14" max="14" width="12.85546875" style="1" bestFit="1" customWidth="1"/>
    <col min="15" max="15" width="2.85546875" style="1" customWidth="1"/>
    <col min="16" max="16" width="13.42578125" style="1" bestFit="1" customWidth="1"/>
    <col min="17" max="17" width="15.28515625" style="1" bestFit="1" customWidth="1"/>
    <col min="18" max="18" width="12.5703125" style="1" bestFit="1" customWidth="1"/>
    <col min="19" max="19" width="15.28515625" style="1" bestFit="1" customWidth="1"/>
    <col min="20" max="20" width="13.7109375" style="1" customWidth="1"/>
    <col min="21" max="21" width="14.7109375" style="1" customWidth="1"/>
    <col min="22" max="22" width="11.5703125" style="1" bestFit="1" customWidth="1"/>
    <col min="23" max="23" width="15.28515625" style="1" bestFit="1" customWidth="1"/>
    <col min="24" max="16384" width="9.140625" style="1"/>
  </cols>
  <sheetData>
    <row r="1" spans="1:23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3" x14ac:dyDescent="0.25">
      <c r="A2" s="44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3" x14ac:dyDescent="0.25">
      <c r="A3" s="44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23" x14ac:dyDescent="0.25">
      <c r="A4" s="43" t="s">
        <v>147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2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3" x14ac:dyDescent="0.25">
      <c r="A6" s="2"/>
      <c r="B6" s="2"/>
      <c r="C6" s="2"/>
      <c r="D6" s="45" t="s">
        <v>3</v>
      </c>
      <c r="E6" s="45"/>
      <c r="F6" s="45"/>
      <c r="G6" s="45"/>
      <c r="H6" s="45"/>
      <c r="I6" s="2"/>
      <c r="J6" s="42" t="s">
        <v>4</v>
      </c>
      <c r="K6" s="45"/>
      <c r="L6" s="45"/>
      <c r="M6" s="45"/>
      <c r="N6" s="45"/>
      <c r="P6" s="42" t="s">
        <v>4</v>
      </c>
      <c r="Q6" s="42"/>
      <c r="R6" s="42"/>
      <c r="S6" s="42"/>
      <c r="T6" s="42"/>
      <c r="U6" s="42"/>
      <c r="V6" s="42"/>
      <c r="W6" s="42"/>
    </row>
    <row r="7" spans="1:23" ht="60" x14ac:dyDescent="0.25">
      <c r="A7" s="3" t="s">
        <v>5</v>
      </c>
      <c r="B7" s="3" t="s">
        <v>6</v>
      </c>
      <c r="C7" s="3" t="s">
        <v>7</v>
      </c>
      <c r="D7" s="4" t="s">
        <v>148</v>
      </c>
      <c r="E7" s="3" t="s">
        <v>8</v>
      </c>
      <c r="F7" s="3" t="s">
        <v>9</v>
      </c>
      <c r="G7" s="4" t="s">
        <v>10</v>
      </c>
      <c r="H7" s="3" t="s">
        <v>11</v>
      </c>
      <c r="I7" s="4"/>
      <c r="J7" s="4" t="str">
        <f>+D7</f>
        <v>Total
July 2020 to 
June 2021</v>
      </c>
      <c r="K7" s="4" t="str">
        <f>+E7</f>
        <v>Billed Sales</v>
      </c>
      <c r="L7" s="4" t="str">
        <f t="shared" ref="L7:N7" si="0">+F7</f>
        <v>Unbilled Sales</v>
      </c>
      <c r="M7" s="4" t="str">
        <f t="shared" si="0"/>
        <v>Schedule 40 Migration</v>
      </c>
      <c r="N7" s="4" t="str">
        <f t="shared" si="0"/>
        <v>Temperature Adjustmemt</v>
      </c>
      <c r="P7" s="5" t="s">
        <v>12</v>
      </c>
      <c r="Q7" s="5" t="s">
        <v>13</v>
      </c>
      <c r="R7" s="5" t="s">
        <v>14</v>
      </c>
      <c r="S7" s="5" t="s">
        <v>15</v>
      </c>
      <c r="T7" s="5" t="s">
        <v>16</v>
      </c>
      <c r="U7" s="5" t="s">
        <v>17</v>
      </c>
      <c r="V7" s="5" t="s">
        <v>18</v>
      </c>
      <c r="W7" s="5" t="s">
        <v>19</v>
      </c>
    </row>
    <row r="8" spans="1:23" x14ac:dyDescent="0.25">
      <c r="A8" s="6"/>
      <c r="B8" s="6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25</v>
      </c>
      <c r="H8" s="5" t="s">
        <v>26</v>
      </c>
      <c r="I8" s="5"/>
      <c r="J8" s="5" t="s">
        <v>27</v>
      </c>
      <c r="K8" s="5" t="s">
        <v>28</v>
      </c>
      <c r="L8" s="5" t="s">
        <v>29</v>
      </c>
      <c r="M8" s="5" t="s">
        <v>30</v>
      </c>
      <c r="N8" s="5" t="s">
        <v>31</v>
      </c>
      <c r="P8" s="5" t="s">
        <v>32</v>
      </c>
      <c r="Q8" s="6" t="s">
        <v>33</v>
      </c>
      <c r="R8" s="7" t="s">
        <v>34</v>
      </c>
      <c r="S8" s="8" t="s">
        <v>35</v>
      </c>
      <c r="T8" s="7" t="s">
        <v>36</v>
      </c>
      <c r="U8" s="7" t="s">
        <v>37</v>
      </c>
      <c r="V8" s="7" t="s">
        <v>38</v>
      </c>
      <c r="W8" s="8" t="s">
        <v>39</v>
      </c>
    </row>
    <row r="9" spans="1:23" x14ac:dyDescent="0.25">
      <c r="A9" s="9">
        <v>1</v>
      </c>
      <c r="B9" s="9" t="s">
        <v>40</v>
      </c>
      <c r="C9" s="2" t="s">
        <v>41</v>
      </c>
      <c r="D9" s="10">
        <f>SUM(E9:H9)</f>
        <v>11355354573.423523</v>
      </c>
      <c r="E9" s="10">
        <v>11167555273.820002</v>
      </c>
      <c r="F9" s="10">
        <v>166338288</v>
      </c>
      <c r="G9" s="10"/>
      <c r="H9" s="10">
        <v>21461011.603521049</v>
      </c>
      <c r="I9" s="2"/>
      <c r="J9" s="11">
        <f>SUM(K9:N9)</f>
        <v>1231055182.5785069</v>
      </c>
      <c r="K9" s="11">
        <v>1210666471.5785069</v>
      </c>
      <c r="L9" s="11">
        <v>18002784</v>
      </c>
      <c r="M9" s="11"/>
      <c r="N9" s="11">
        <v>2385927</v>
      </c>
      <c r="P9" s="11">
        <f>Q9-J9</f>
        <v>-49687218.206430197</v>
      </c>
      <c r="Q9" s="11">
        <v>1181367964.3720767</v>
      </c>
      <c r="R9" s="11">
        <f>S9-Q9</f>
        <v>87635.597323656082</v>
      </c>
      <c r="S9" s="11">
        <v>1181455599.9694004</v>
      </c>
      <c r="T9" s="11">
        <f>U9-S9</f>
        <v>11939825.051457882</v>
      </c>
      <c r="U9" s="11">
        <v>1193395425.0208583</v>
      </c>
      <c r="V9" s="11">
        <f>W9-U9</f>
        <v>6136320.2470476627</v>
      </c>
      <c r="W9" s="11">
        <v>1199531745.267906</v>
      </c>
    </row>
    <row r="10" spans="1:23" x14ac:dyDescent="0.25">
      <c r="A10" s="9">
        <f>+A9+1</f>
        <v>2</v>
      </c>
      <c r="B10" s="9" t="s">
        <v>42</v>
      </c>
      <c r="C10" s="12" t="s">
        <v>43</v>
      </c>
      <c r="D10" s="10">
        <f>SUM(E10:H10)</f>
        <v>2517164</v>
      </c>
      <c r="E10" s="10">
        <v>2472464</v>
      </c>
      <c r="F10" s="10">
        <v>44700</v>
      </c>
      <c r="G10" s="10"/>
      <c r="H10" s="10">
        <v>0</v>
      </c>
      <c r="I10" s="2"/>
      <c r="J10" s="11">
        <f>SUM(K10:N10)</f>
        <v>215435</v>
      </c>
      <c r="K10" s="11">
        <v>209666</v>
      </c>
      <c r="L10" s="11">
        <v>5769</v>
      </c>
      <c r="M10" s="11"/>
      <c r="N10" s="11">
        <v>0</v>
      </c>
      <c r="P10" s="11">
        <f>Q10-J10</f>
        <v>0</v>
      </c>
      <c r="Q10" s="11">
        <f>ROUND(J10,0)</f>
        <v>215435</v>
      </c>
      <c r="R10" s="11">
        <f>S10-Q10</f>
        <v>0</v>
      </c>
      <c r="S10" s="11">
        <f>J10</f>
        <v>215435</v>
      </c>
      <c r="T10" s="11">
        <f>U10-S10</f>
        <v>0</v>
      </c>
      <c r="U10" s="11">
        <f>J10</f>
        <v>215435</v>
      </c>
      <c r="V10" s="11">
        <f>W10-U10</f>
        <v>-209666</v>
      </c>
      <c r="W10" s="11">
        <f>L10</f>
        <v>5769</v>
      </c>
    </row>
    <row r="11" spans="1:23" x14ac:dyDescent="0.25">
      <c r="A11" s="9">
        <f t="shared" ref="A11:A74" si="1">+A10+1</f>
        <v>3</v>
      </c>
      <c r="B11" s="38" t="s">
        <v>44</v>
      </c>
      <c r="C11" s="38"/>
      <c r="D11" s="13">
        <f>SUM(D9:D10)</f>
        <v>11357871737.423523</v>
      </c>
      <c r="E11" s="13">
        <f t="shared" ref="E11:H11" si="2">SUM(E9:E10)</f>
        <v>11170027737.820002</v>
      </c>
      <c r="F11" s="13">
        <f t="shared" si="2"/>
        <v>166382988</v>
      </c>
      <c r="G11" s="13">
        <f t="shared" si="2"/>
        <v>0</v>
      </c>
      <c r="H11" s="13">
        <f t="shared" si="2"/>
        <v>21461011.603521049</v>
      </c>
      <c r="I11" s="14"/>
      <c r="J11" s="15">
        <f>SUM(J9:J10)</f>
        <v>1231270617.5785069</v>
      </c>
      <c r="K11" s="15">
        <f t="shared" ref="K11:N11" si="3">SUM(K9:K10)</f>
        <v>1210876137.5785069</v>
      </c>
      <c r="L11" s="15">
        <f t="shared" si="3"/>
        <v>18008553</v>
      </c>
      <c r="M11" s="15">
        <f t="shared" si="3"/>
        <v>0</v>
      </c>
      <c r="N11" s="15">
        <f t="shared" si="3"/>
        <v>2385927</v>
      </c>
      <c r="P11" s="15">
        <f t="shared" ref="P11:W11" si="4">SUM(P9:P10)</f>
        <v>-49687218.206430197</v>
      </c>
      <c r="Q11" s="15">
        <f t="shared" si="4"/>
        <v>1181583399.3720767</v>
      </c>
      <c r="R11" s="15">
        <f t="shared" si="4"/>
        <v>87635.597323656082</v>
      </c>
      <c r="S11" s="15">
        <f t="shared" si="4"/>
        <v>1181671034.9694004</v>
      </c>
      <c r="T11" s="15">
        <f t="shared" si="4"/>
        <v>11939825.051457882</v>
      </c>
      <c r="U11" s="15">
        <f t="shared" si="4"/>
        <v>1193610860.0208583</v>
      </c>
      <c r="V11" s="15">
        <f t="shared" si="4"/>
        <v>5926654.2470476627</v>
      </c>
      <c r="W11" s="15">
        <f t="shared" si="4"/>
        <v>1199537514.267906</v>
      </c>
    </row>
    <row r="12" spans="1:23" x14ac:dyDescent="0.25">
      <c r="A12" s="9">
        <f t="shared" si="1"/>
        <v>4</v>
      </c>
      <c r="B12" s="2"/>
      <c r="C12" s="2"/>
      <c r="D12" s="10"/>
      <c r="E12" s="10"/>
      <c r="F12" s="10"/>
      <c r="G12" s="10"/>
      <c r="H12" s="10"/>
      <c r="I12" s="2"/>
      <c r="J12" s="11"/>
      <c r="K12" s="11"/>
      <c r="L12" s="11"/>
      <c r="M12" s="11"/>
      <c r="N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5">
      <c r="A13" s="9">
        <f t="shared" si="1"/>
        <v>5</v>
      </c>
      <c r="B13" s="16" t="s">
        <v>45</v>
      </c>
      <c r="C13" s="2" t="s">
        <v>46</v>
      </c>
      <c r="D13" s="10">
        <f>SUM(E13:H13)</f>
        <v>2658833100.6743808</v>
      </c>
      <c r="E13" s="10">
        <v>2594281957.6500006</v>
      </c>
      <c r="F13" s="10">
        <v>68354872</v>
      </c>
      <c r="G13" s="10">
        <v>211161</v>
      </c>
      <c r="H13" s="10">
        <v>-4014889.9756196178</v>
      </c>
      <c r="I13" s="2"/>
      <c r="J13" s="11">
        <f>SUM(K13:N13)</f>
        <v>271509055</v>
      </c>
      <c r="K13" s="11">
        <v>264783587</v>
      </c>
      <c r="L13" s="11">
        <v>7037455</v>
      </c>
      <c r="M13" s="11">
        <v>19536</v>
      </c>
      <c r="N13" s="11">
        <v>-331523</v>
      </c>
      <c r="P13" s="11">
        <f t="shared" ref="P13:P17" si="5">Q13-J13</f>
        <v>-2933383.1259999871</v>
      </c>
      <c r="Q13" s="11">
        <v>268575671.87400001</v>
      </c>
      <c r="R13" s="11">
        <f t="shared" ref="R13:T17" si="6">S13-Q13</f>
        <v>6781393.6660000086</v>
      </c>
      <c r="S13" s="11">
        <v>275357065.54000002</v>
      </c>
      <c r="T13" s="11">
        <f t="shared" si="6"/>
        <v>3365791.7419999838</v>
      </c>
      <c r="U13" s="11">
        <v>278722857.28200001</v>
      </c>
      <c r="V13" s="11">
        <f t="shared" ref="V13:V17" si="7">W13-U13</f>
        <v>-59068.558000028133</v>
      </c>
      <c r="W13" s="11">
        <v>278663788.72399998</v>
      </c>
    </row>
    <row r="14" spans="1:23" x14ac:dyDescent="0.25">
      <c r="A14" s="9">
        <f t="shared" si="1"/>
        <v>6</v>
      </c>
      <c r="B14" s="17" t="s">
        <v>47</v>
      </c>
      <c r="C14" s="12" t="s">
        <v>48</v>
      </c>
      <c r="D14" s="10">
        <f>SUM(E14:H14)</f>
        <v>2853528668.2984576</v>
      </c>
      <c r="E14" s="10">
        <v>2780070048.7139997</v>
      </c>
      <c r="F14" s="10">
        <v>78726159</v>
      </c>
      <c r="G14" s="10">
        <v>1547235</v>
      </c>
      <c r="H14" s="10">
        <v>-6814774.4155422319</v>
      </c>
      <c r="I14" s="2"/>
      <c r="J14" s="11">
        <f>SUM(K14:N14)</f>
        <v>266066171</v>
      </c>
      <c r="K14" s="11">
        <v>259091805</v>
      </c>
      <c r="L14" s="11">
        <v>7277630</v>
      </c>
      <c r="M14" s="11">
        <v>147145</v>
      </c>
      <c r="N14" s="11">
        <v>-450409</v>
      </c>
      <c r="P14" s="11">
        <f t="shared" si="5"/>
        <v>-1150847.0617412031</v>
      </c>
      <c r="Q14" s="11">
        <v>264915323.9382588</v>
      </c>
      <c r="R14" s="11">
        <f t="shared" si="6"/>
        <v>7230872.9052384794</v>
      </c>
      <c r="S14" s="11">
        <v>272146196.84349728</v>
      </c>
      <c r="T14" s="11">
        <f t="shared" si="6"/>
        <v>3451984.521022141</v>
      </c>
      <c r="U14" s="11">
        <v>275598181.36451942</v>
      </c>
      <c r="V14" s="11">
        <f t="shared" si="7"/>
        <v>274268.11214023829</v>
      </c>
      <c r="W14" s="11">
        <v>275872449.47665966</v>
      </c>
    </row>
    <row r="15" spans="1:23" x14ac:dyDescent="0.25">
      <c r="A15" s="9">
        <f t="shared" si="1"/>
        <v>7</v>
      </c>
      <c r="B15" s="17" t="s">
        <v>49</v>
      </c>
      <c r="C15" s="12" t="s">
        <v>50</v>
      </c>
      <c r="D15" s="10">
        <f>SUM(E15:H15)</f>
        <v>1751793447.5975428</v>
      </c>
      <c r="E15" s="10">
        <v>1712689604.8359997</v>
      </c>
      <c r="F15" s="10">
        <v>36158090</v>
      </c>
      <c r="G15" s="10">
        <v>11327183</v>
      </c>
      <c r="H15" s="10">
        <v>-8381430.2384570576</v>
      </c>
      <c r="I15" s="2"/>
      <c r="J15" s="11">
        <f>SUM(K15:N15)</f>
        <v>150479103</v>
      </c>
      <c r="K15" s="11">
        <v>146987184</v>
      </c>
      <c r="L15" s="11">
        <v>3109255</v>
      </c>
      <c r="M15" s="11">
        <v>877973</v>
      </c>
      <c r="N15" s="11">
        <v>-495309</v>
      </c>
      <c r="P15" s="11">
        <f t="shared" si="5"/>
        <v>1250851.5945984125</v>
      </c>
      <c r="Q15" s="11">
        <v>151729954.59459841</v>
      </c>
      <c r="R15" s="11">
        <f t="shared" si="6"/>
        <v>2731260.0305363834</v>
      </c>
      <c r="S15" s="11">
        <v>154461214.6251348</v>
      </c>
      <c r="T15" s="11">
        <f t="shared" si="6"/>
        <v>1517278.4234161079</v>
      </c>
      <c r="U15" s="11">
        <v>155978493.0485509</v>
      </c>
      <c r="V15" s="11">
        <f t="shared" si="7"/>
        <v>1287883.1211078763</v>
      </c>
      <c r="W15" s="11">
        <v>157266376.16965878</v>
      </c>
    </row>
    <row r="16" spans="1:23" x14ac:dyDescent="0.25">
      <c r="A16" s="9">
        <f t="shared" si="1"/>
        <v>8</v>
      </c>
      <c r="B16" s="17" t="s">
        <v>51</v>
      </c>
      <c r="C16" s="12" t="s">
        <v>52</v>
      </c>
      <c r="D16" s="10">
        <f>SUM(E16:H16)</f>
        <v>10117600</v>
      </c>
      <c r="E16" s="10">
        <v>10117600</v>
      </c>
      <c r="F16" s="10">
        <v>0</v>
      </c>
      <c r="G16" s="10"/>
      <c r="H16" s="10">
        <v>0</v>
      </c>
      <c r="I16" s="2"/>
      <c r="J16" s="11">
        <f>SUM(K16:N16)</f>
        <v>841730</v>
      </c>
      <c r="K16" s="11">
        <v>841730</v>
      </c>
      <c r="L16" s="11">
        <v>0</v>
      </c>
      <c r="M16" s="11"/>
      <c r="N16" s="11">
        <v>0</v>
      </c>
      <c r="P16" s="11">
        <f t="shared" si="5"/>
        <v>0</v>
      </c>
      <c r="Q16" s="11">
        <f>ROUND(J16,0)</f>
        <v>841730</v>
      </c>
      <c r="R16" s="11">
        <f t="shared" si="6"/>
        <v>0</v>
      </c>
      <c r="S16" s="11">
        <f>J16</f>
        <v>841730</v>
      </c>
      <c r="T16" s="11">
        <f t="shared" si="6"/>
        <v>0</v>
      </c>
      <c r="U16" s="11">
        <f>J16</f>
        <v>841730</v>
      </c>
      <c r="V16" s="11">
        <f t="shared" si="7"/>
        <v>-841730</v>
      </c>
      <c r="W16" s="11">
        <f>L16</f>
        <v>0</v>
      </c>
    </row>
    <row r="17" spans="1:23" x14ac:dyDescent="0.25">
      <c r="A17" s="9">
        <f t="shared" si="1"/>
        <v>9</v>
      </c>
      <c r="B17" s="9">
        <v>29</v>
      </c>
      <c r="C17" s="2" t="s">
        <v>53</v>
      </c>
      <c r="D17" s="10">
        <f>SUM(E17:H17)</f>
        <v>15293727.311000001</v>
      </c>
      <c r="E17" s="10">
        <v>13489908.311000001</v>
      </c>
      <c r="F17" s="10">
        <v>1803819</v>
      </c>
      <c r="G17" s="10"/>
      <c r="H17" s="10">
        <v>0</v>
      </c>
      <c r="I17" s="2"/>
      <c r="J17" s="11">
        <f>SUM(K17:N17)</f>
        <v>1332015</v>
      </c>
      <c r="K17" s="11">
        <v>1136253</v>
      </c>
      <c r="L17" s="11">
        <v>195762</v>
      </c>
      <c r="M17" s="11"/>
      <c r="N17" s="11">
        <v>0</v>
      </c>
      <c r="P17" s="11">
        <f t="shared" si="5"/>
        <v>-84013.723203006666</v>
      </c>
      <c r="Q17" s="11">
        <v>1248001.2767969933</v>
      </c>
      <c r="R17" s="11">
        <f t="shared" si="6"/>
        <v>27275.283809664892</v>
      </c>
      <c r="S17" s="11">
        <v>1275276.5606066582</v>
      </c>
      <c r="T17" s="11">
        <f t="shared" si="6"/>
        <v>10299.429547023727</v>
      </c>
      <c r="U17" s="11">
        <v>1285575.990153682</v>
      </c>
      <c r="V17" s="11">
        <f t="shared" si="7"/>
        <v>799.09994342317805</v>
      </c>
      <c r="W17" s="11">
        <v>1286375.0900971051</v>
      </c>
    </row>
    <row r="18" spans="1:23" x14ac:dyDescent="0.25">
      <c r="A18" s="9">
        <f t="shared" si="1"/>
        <v>10</v>
      </c>
      <c r="B18" s="38" t="s">
        <v>54</v>
      </c>
      <c r="C18" s="38"/>
      <c r="D18" s="13">
        <f>SUM(D13:D17)</f>
        <v>7289566543.881381</v>
      </c>
      <c r="E18" s="13">
        <f t="shared" ref="E18:H18" si="8">SUM(E13:E17)</f>
        <v>7110649119.5109997</v>
      </c>
      <c r="F18" s="13">
        <f t="shared" si="8"/>
        <v>185042940</v>
      </c>
      <c r="G18" s="13">
        <f t="shared" si="8"/>
        <v>13085579</v>
      </c>
      <c r="H18" s="13">
        <f t="shared" si="8"/>
        <v>-19211094.629618905</v>
      </c>
      <c r="I18" s="14"/>
      <c r="J18" s="15">
        <f>SUM(J13:J17)</f>
        <v>690228074</v>
      </c>
      <c r="K18" s="15">
        <f t="shared" ref="K18:N18" si="9">SUM(K13:K17)</f>
        <v>672840559</v>
      </c>
      <c r="L18" s="15">
        <f t="shared" si="9"/>
        <v>17620102</v>
      </c>
      <c r="M18" s="15">
        <f t="shared" si="9"/>
        <v>1044654</v>
      </c>
      <c r="N18" s="15">
        <f t="shared" si="9"/>
        <v>-1277241</v>
      </c>
      <c r="P18" s="15">
        <f t="shared" ref="P18:W18" si="10">SUM(P13:P17)</f>
        <v>-2917392.3163457843</v>
      </c>
      <c r="Q18" s="15">
        <f t="shared" si="10"/>
        <v>687310681.68365419</v>
      </c>
      <c r="R18" s="15">
        <f t="shared" si="10"/>
        <v>16770801.885584537</v>
      </c>
      <c r="S18" s="15">
        <f t="shared" si="10"/>
        <v>704081483.56923866</v>
      </c>
      <c r="T18" s="15">
        <f t="shared" si="10"/>
        <v>8345354.1159852566</v>
      </c>
      <c r="U18" s="15">
        <f t="shared" si="10"/>
        <v>712426837.68522394</v>
      </c>
      <c r="V18" s="15">
        <f t="shared" si="10"/>
        <v>662151.77519150963</v>
      </c>
      <c r="W18" s="15">
        <f t="shared" si="10"/>
        <v>713088989.46041548</v>
      </c>
    </row>
    <row r="19" spans="1:23" x14ac:dyDescent="0.25">
      <c r="A19" s="9">
        <f t="shared" si="1"/>
        <v>11</v>
      </c>
      <c r="B19" s="2"/>
      <c r="C19" s="2"/>
      <c r="D19" s="10"/>
      <c r="E19" s="10"/>
      <c r="F19" s="10"/>
      <c r="G19" s="10"/>
      <c r="H19" s="10"/>
      <c r="I19" s="2"/>
      <c r="J19" s="11"/>
      <c r="K19" s="11"/>
      <c r="L19" s="11"/>
      <c r="M19" s="11"/>
      <c r="N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25">
      <c r="A20" s="9">
        <f t="shared" si="1"/>
        <v>12</v>
      </c>
      <c r="B20" s="16" t="s">
        <v>55</v>
      </c>
      <c r="C20" s="2" t="s">
        <v>56</v>
      </c>
      <c r="D20" s="10">
        <f>SUM(E20:H20)</f>
        <v>1307770059.1714342</v>
      </c>
      <c r="E20" s="10">
        <v>1242879584.9960001</v>
      </c>
      <c r="F20" s="10">
        <v>35902676</v>
      </c>
      <c r="G20" s="10">
        <v>31145108</v>
      </c>
      <c r="H20" s="10">
        <v>-2157309.8245658646</v>
      </c>
      <c r="I20" s="2"/>
      <c r="J20" s="11">
        <f>SUM(K20:N20)</f>
        <v>110792822</v>
      </c>
      <c r="K20" s="11">
        <v>105481629</v>
      </c>
      <c r="L20" s="11">
        <v>3105195</v>
      </c>
      <c r="M20" s="11">
        <v>2329675</v>
      </c>
      <c r="N20" s="11">
        <v>-123677</v>
      </c>
      <c r="P20" s="11">
        <f t="shared" ref="P20:P23" si="11">Q20-J20</f>
        <v>438256.28616757691</v>
      </c>
      <c r="Q20" s="11">
        <v>111231078.28616758</v>
      </c>
      <c r="R20" s="11">
        <f t="shared" ref="R20:T22" si="12">S20-Q20</f>
        <v>699442.26961684227</v>
      </c>
      <c r="S20" s="11">
        <v>111930520.55578442</v>
      </c>
      <c r="T20" s="11">
        <f t="shared" si="12"/>
        <v>24485.21781887114</v>
      </c>
      <c r="U20" s="11">
        <v>111955005.77360329</v>
      </c>
      <c r="V20" s="11">
        <f t="shared" ref="V20:V22" si="13">W20-U20</f>
        <v>-883183.16739337146</v>
      </c>
      <c r="W20" s="11">
        <v>111071822.60620992</v>
      </c>
    </row>
    <row r="21" spans="1:23" x14ac:dyDescent="0.25">
      <c r="A21" s="9">
        <f t="shared" si="1"/>
        <v>13</v>
      </c>
      <c r="B21" s="9">
        <v>35</v>
      </c>
      <c r="C21" s="2" t="s">
        <v>53</v>
      </c>
      <c r="D21" s="10">
        <f>SUM(E21:H21)</f>
        <v>4387644</v>
      </c>
      <c r="E21" s="10">
        <v>4425960</v>
      </c>
      <c r="F21" s="10">
        <v>-38316</v>
      </c>
      <c r="G21" s="10"/>
      <c r="H21" s="10">
        <v>0</v>
      </c>
      <c r="I21" s="2"/>
      <c r="J21" s="11">
        <f>SUM(K21:N21)</f>
        <v>275550</v>
      </c>
      <c r="K21" s="11">
        <v>276676</v>
      </c>
      <c r="L21" s="11">
        <v>-1126</v>
      </c>
      <c r="M21" s="11"/>
      <c r="N21" s="11">
        <v>0</v>
      </c>
      <c r="P21" s="11">
        <f t="shared" si="11"/>
        <v>9167.350356208568</v>
      </c>
      <c r="Q21" s="11">
        <v>284717.35035620857</v>
      </c>
      <c r="R21" s="11">
        <f t="shared" si="12"/>
        <v>6296.619517669722</v>
      </c>
      <c r="S21" s="11">
        <v>291013.96987387829</v>
      </c>
      <c r="T21" s="11">
        <f t="shared" si="12"/>
        <v>2073.2670625392348</v>
      </c>
      <c r="U21" s="11">
        <v>293087.23693641752</v>
      </c>
      <c r="V21" s="11">
        <f t="shared" si="13"/>
        <v>-32.499805567495059</v>
      </c>
      <c r="W21" s="11">
        <v>293054.73713085003</v>
      </c>
    </row>
    <row r="22" spans="1:23" x14ac:dyDescent="0.25">
      <c r="A22" s="9">
        <f t="shared" si="1"/>
        <v>14</v>
      </c>
      <c r="B22" s="9">
        <v>43</v>
      </c>
      <c r="C22" s="2" t="s">
        <v>57</v>
      </c>
      <c r="D22" s="10">
        <f>SUM(E22:H22)</f>
        <v>114099117.14442682</v>
      </c>
      <c r="E22" s="10">
        <v>109785075.85999998</v>
      </c>
      <c r="F22" s="10">
        <v>2376920</v>
      </c>
      <c r="G22" s="10"/>
      <c r="H22" s="10">
        <v>1937121.2844268391</v>
      </c>
      <c r="I22" s="2"/>
      <c r="J22" s="11">
        <f>SUM(K22:N22)</f>
        <v>10372367</v>
      </c>
      <c r="K22" s="11">
        <v>10017874</v>
      </c>
      <c r="L22" s="11">
        <v>239137</v>
      </c>
      <c r="M22" s="11"/>
      <c r="N22" s="11">
        <v>115356</v>
      </c>
      <c r="P22" s="11">
        <f t="shared" si="11"/>
        <v>107425.85631339625</v>
      </c>
      <c r="Q22" s="11">
        <v>10479792.856313396</v>
      </c>
      <c r="R22" s="11">
        <f t="shared" si="12"/>
        <v>324486.47011674754</v>
      </c>
      <c r="S22" s="11">
        <v>10804279.326430144</v>
      </c>
      <c r="T22" s="11">
        <f t="shared" si="12"/>
        <v>141164.52987346798</v>
      </c>
      <c r="U22" s="11">
        <v>10945443.856303612</v>
      </c>
      <c r="V22" s="11">
        <f t="shared" si="13"/>
        <v>-11492.859188970178</v>
      </c>
      <c r="W22" s="11">
        <v>10933950.997114642</v>
      </c>
    </row>
    <row r="23" spans="1:23" x14ac:dyDescent="0.25">
      <c r="A23" s="9">
        <f t="shared" si="1"/>
        <v>15</v>
      </c>
      <c r="B23" s="38" t="s">
        <v>58</v>
      </c>
      <c r="C23" s="38"/>
      <c r="D23" s="13">
        <f>SUM(D20:D22)</f>
        <v>1426256820.315861</v>
      </c>
      <c r="E23" s="13">
        <f t="shared" ref="E23:H23" si="14">SUM(E20:E22)</f>
        <v>1357090620.8559999</v>
      </c>
      <c r="F23" s="13">
        <f t="shared" si="14"/>
        <v>38241280</v>
      </c>
      <c r="G23" s="13">
        <f t="shared" si="14"/>
        <v>31145108</v>
      </c>
      <c r="H23" s="13">
        <f t="shared" si="14"/>
        <v>-220188.54013902554</v>
      </c>
      <c r="I23" s="14"/>
      <c r="J23" s="15">
        <f>SUM(J20:J22)</f>
        <v>121440739</v>
      </c>
      <c r="K23" s="15">
        <f t="shared" ref="K23:N23" si="15">SUM(K20:K22)</f>
        <v>115776179</v>
      </c>
      <c r="L23" s="15">
        <f t="shared" si="15"/>
        <v>3343206</v>
      </c>
      <c r="M23" s="15">
        <f t="shared" si="15"/>
        <v>2329675</v>
      </c>
      <c r="N23" s="15">
        <f t="shared" si="15"/>
        <v>-8321</v>
      </c>
      <c r="P23" s="11">
        <f t="shared" si="11"/>
        <v>554849.49283717573</v>
      </c>
      <c r="Q23" s="15">
        <f t="shared" ref="Q23:W23" si="16">SUM(Q20:Q22)</f>
        <v>121995588.49283718</v>
      </c>
      <c r="R23" s="15">
        <f t="shared" si="16"/>
        <v>1030225.3592512596</v>
      </c>
      <c r="S23" s="15">
        <f t="shared" si="16"/>
        <v>123025813.85208844</v>
      </c>
      <c r="T23" s="15">
        <f t="shared" si="16"/>
        <v>167723.01475487836</v>
      </c>
      <c r="U23" s="15">
        <f t="shared" si="16"/>
        <v>123193536.86684333</v>
      </c>
      <c r="V23" s="15">
        <f t="shared" si="16"/>
        <v>-894708.52638790919</v>
      </c>
      <c r="W23" s="15">
        <f t="shared" si="16"/>
        <v>122298828.34045541</v>
      </c>
    </row>
    <row r="24" spans="1:23" x14ac:dyDescent="0.25">
      <c r="A24" s="9">
        <f t="shared" si="1"/>
        <v>16</v>
      </c>
      <c r="B24" s="2"/>
      <c r="C24" s="2"/>
      <c r="D24" s="10"/>
      <c r="E24" s="10"/>
      <c r="F24" s="10"/>
      <c r="G24" s="10"/>
      <c r="H24" s="10"/>
      <c r="I24" s="2"/>
      <c r="J24" s="11"/>
      <c r="K24" s="11"/>
      <c r="L24" s="11"/>
      <c r="M24" s="11"/>
      <c r="N24" s="11"/>
      <c r="P24" s="11"/>
      <c r="Q24" s="11"/>
      <c r="R24" s="11"/>
      <c r="S24" s="11"/>
      <c r="T24" s="11"/>
      <c r="U24" s="11"/>
      <c r="V24" s="11"/>
      <c r="W24" s="11"/>
    </row>
    <row r="25" spans="1:23" x14ac:dyDescent="0.25">
      <c r="A25" s="9">
        <f t="shared" si="1"/>
        <v>17</v>
      </c>
      <c r="B25" s="9">
        <v>40</v>
      </c>
      <c r="C25" s="2" t="s">
        <v>59</v>
      </c>
      <c r="D25" s="18">
        <f>SUM(E25:H25)</f>
        <v>-1.3999999985098839</v>
      </c>
      <c r="E25" s="10">
        <v>48996065.600000001</v>
      </c>
      <c r="F25" s="10">
        <v>-4804089</v>
      </c>
      <c r="G25" s="10">
        <v>-44191978</v>
      </c>
      <c r="H25" s="10">
        <v>0</v>
      </c>
      <c r="I25" s="2"/>
      <c r="J25" s="11">
        <f>SUM(K25:N25)</f>
        <v>0</v>
      </c>
      <c r="K25" s="11">
        <v>0</v>
      </c>
      <c r="L25" s="11">
        <v>0</v>
      </c>
      <c r="M25" s="11">
        <v>0</v>
      </c>
      <c r="N25" s="11">
        <v>0</v>
      </c>
      <c r="P25" s="11">
        <f>Q25-J25</f>
        <v>0</v>
      </c>
      <c r="Q25" s="11">
        <v>0</v>
      </c>
      <c r="R25" s="11">
        <f>S25-Q25</f>
        <v>0</v>
      </c>
      <c r="S25" s="11">
        <v>0</v>
      </c>
      <c r="T25" s="11">
        <f>U25-S25</f>
        <v>0</v>
      </c>
      <c r="U25" s="11">
        <v>0</v>
      </c>
      <c r="V25" s="11">
        <f>W25-U25</f>
        <v>0</v>
      </c>
      <c r="W25" s="11">
        <v>0</v>
      </c>
    </row>
    <row r="26" spans="1:23" x14ac:dyDescent="0.25">
      <c r="A26" s="9">
        <f t="shared" si="1"/>
        <v>18</v>
      </c>
      <c r="B26" s="2"/>
      <c r="C26" s="2"/>
      <c r="D26" s="10"/>
      <c r="E26" s="10"/>
      <c r="F26" s="10"/>
      <c r="G26" s="10"/>
      <c r="H26" s="10"/>
      <c r="I26" s="2"/>
      <c r="J26" s="11"/>
      <c r="K26" s="11"/>
      <c r="L26" s="11"/>
      <c r="M26" s="11"/>
      <c r="N26" s="11"/>
      <c r="P26" s="11"/>
      <c r="Q26" s="11"/>
      <c r="R26" s="11"/>
      <c r="S26" s="11"/>
      <c r="T26" s="11"/>
      <c r="U26" s="11"/>
      <c r="V26" s="11"/>
      <c r="W26" s="11"/>
    </row>
    <row r="27" spans="1:23" x14ac:dyDescent="0.25">
      <c r="A27" s="9">
        <f t="shared" si="1"/>
        <v>19</v>
      </c>
      <c r="B27" s="9">
        <v>46</v>
      </c>
      <c r="C27" s="12" t="s">
        <v>60</v>
      </c>
      <c r="D27" s="10">
        <f>SUM(E27:H27)</f>
        <v>100810050.162</v>
      </c>
      <c r="E27" s="10">
        <v>99645731.162</v>
      </c>
      <c r="F27" s="10">
        <v>1164319</v>
      </c>
      <c r="G27" s="10"/>
      <c r="H27" s="10">
        <v>0</v>
      </c>
      <c r="I27" s="2"/>
      <c r="J27" s="11">
        <f>SUM(K27:N27)</f>
        <v>6647823</v>
      </c>
      <c r="K27" s="11">
        <v>6463413</v>
      </c>
      <c r="L27" s="11">
        <v>184410</v>
      </c>
      <c r="M27" s="11"/>
      <c r="N27" s="11">
        <v>0</v>
      </c>
      <c r="P27" s="11">
        <f t="shared" ref="P27:P28" si="17">Q27-J27</f>
        <v>-1474578.831258771</v>
      </c>
      <c r="Q27" s="11">
        <v>5173244.168741229</v>
      </c>
      <c r="R27" s="11">
        <f t="shared" ref="R27:T28" si="18">S27-Q27</f>
        <v>-50213.886066858657</v>
      </c>
      <c r="S27" s="11">
        <v>5123030.2826743703</v>
      </c>
      <c r="T27" s="11">
        <f t="shared" si="18"/>
        <v>-45141.267603762448</v>
      </c>
      <c r="U27" s="11">
        <v>5077889.0150706079</v>
      </c>
      <c r="V27" s="11">
        <f t="shared" ref="V27:V28" si="19">W27-U27</f>
        <v>-72150.995891432278</v>
      </c>
      <c r="W27" s="11">
        <v>5005738.0191791756</v>
      </c>
    </row>
    <row r="28" spans="1:23" x14ac:dyDescent="0.25">
      <c r="A28" s="9">
        <f t="shared" si="1"/>
        <v>20</v>
      </c>
      <c r="B28" s="9">
        <v>49</v>
      </c>
      <c r="C28" s="2" t="s">
        <v>56</v>
      </c>
      <c r="D28" s="10">
        <f>SUM(E28:H28)</f>
        <v>513293734.70800006</v>
      </c>
      <c r="E28" s="10">
        <v>525875757.70800006</v>
      </c>
      <c r="F28" s="10">
        <v>-12582023</v>
      </c>
      <c r="G28" s="10"/>
      <c r="H28" s="10">
        <v>0</v>
      </c>
      <c r="I28" s="2"/>
      <c r="J28" s="11">
        <f>SUM(K28:N28)</f>
        <v>34295994</v>
      </c>
      <c r="K28" s="11">
        <v>35089252</v>
      </c>
      <c r="L28" s="11">
        <v>-793258</v>
      </c>
      <c r="M28" s="11"/>
      <c r="N28" s="11">
        <v>0</v>
      </c>
      <c r="P28" s="11">
        <f t="shared" si="17"/>
        <v>-803170.28460771963</v>
      </c>
      <c r="Q28" s="11">
        <v>33492823.71539228</v>
      </c>
      <c r="R28" s="11">
        <f t="shared" si="18"/>
        <v>-37775.990215718746</v>
      </c>
      <c r="S28" s="11">
        <v>33455047.725176562</v>
      </c>
      <c r="T28" s="11">
        <f t="shared" si="18"/>
        <v>-314724.15423733741</v>
      </c>
      <c r="U28" s="11">
        <v>33140323.570939224</v>
      </c>
      <c r="V28" s="11">
        <f t="shared" si="19"/>
        <v>-624669.60481971875</v>
      </c>
      <c r="W28" s="11">
        <v>32515653.966119505</v>
      </c>
    </row>
    <row r="29" spans="1:23" x14ac:dyDescent="0.25">
      <c r="A29" s="9">
        <f t="shared" si="1"/>
        <v>21</v>
      </c>
      <c r="B29" s="38" t="s">
        <v>61</v>
      </c>
      <c r="C29" s="38"/>
      <c r="D29" s="13">
        <f>SUM(D27:D28)</f>
        <v>614103784.87000012</v>
      </c>
      <c r="E29" s="13">
        <f t="shared" ref="E29:H29" si="20">SUM(E27:E28)</f>
        <v>625521488.87000012</v>
      </c>
      <c r="F29" s="13">
        <f t="shared" si="20"/>
        <v>-11417704</v>
      </c>
      <c r="G29" s="13">
        <f t="shared" si="20"/>
        <v>0</v>
      </c>
      <c r="H29" s="13">
        <f t="shared" si="20"/>
        <v>0</v>
      </c>
      <c r="I29" s="14"/>
      <c r="J29" s="15">
        <f>SUM(J27:J28)</f>
        <v>40943817</v>
      </c>
      <c r="K29" s="15">
        <f t="shared" ref="K29:N29" si="21">SUM(K27:K28)</f>
        <v>41552665</v>
      </c>
      <c r="L29" s="15">
        <f t="shared" si="21"/>
        <v>-608848</v>
      </c>
      <c r="M29" s="15">
        <f t="shared" si="21"/>
        <v>0</v>
      </c>
      <c r="N29" s="15">
        <f t="shared" si="21"/>
        <v>0</v>
      </c>
      <c r="P29" s="15">
        <f t="shared" ref="P29:W29" si="22">SUM(P27:P28)</f>
        <v>-2277749.1158664906</v>
      </c>
      <c r="Q29" s="15">
        <f t="shared" si="22"/>
        <v>38666067.88413351</v>
      </c>
      <c r="R29" s="15">
        <f t="shared" si="22"/>
        <v>-87989.876282577403</v>
      </c>
      <c r="S29" s="15">
        <f t="shared" si="22"/>
        <v>38578078.00785093</v>
      </c>
      <c r="T29" s="15">
        <f t="shared" si="22"/>
        <v>-359865.42184109986</v>
      </c>
      <c r="U29" s="15">
        <f t="shared" si="22"/>
        <v>38218212.58600983</v>
      </c>
      <c r="V29" s="15">
        <f t="shared" si="22"/>
        <v>-696820.60071115103</v>
      </c>
      <c r="W29" s="15">
        <f t="shared" si="22"/>
        <v>37521391.985298678</v>
      </c>
    </row>
    <row r="30" spans="1:23" x14ac:dyDescent="0.25">
      <c r="A30" s="9">
        <f t="shared" si="1"/>
        <v>22</v>
      </c>
      <c r="B30" s="2"/>
      <c r="C30" s="2"/>
      <c r="D30" s="18"/>
      <c r="E30" s="18"/>
      <c r="F30" s="18"/>
      <c r="G30" s="18"/>
      <c r="H30" s="18"/>
      <c r="I30" s="2"/>
      <c r="J30" s="11"/>
      <c r="K30" s="11"/>
      <c r="L30" s="11"/>
      <c r="M30" s="11"/>
      <c r="N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5">
      <c r="A31" s="9">
        <f t="shared" si="1"/>
        <v>23</v>
      </c>
      <c r="B31" s="9" t="s">
        <v>62</v>
      </c>
      <c r="C31" s="2" t="s">
        <v>63</v>
      </c>
      <c r="D31" s="18">
        <f>SUM(E31:H31)</f>
        <v>69892887</v>
      </c>
      <c r="E31" s="10">
        <v>67316625</v>
      </c>
      <c r="F31" s="10">
        <v>2576262</v>
      </c>
      <c r="G31" s="10"/>
      <c r="H31" s="10">
        <v>0</v>
      </c>
      <c r="I31" s="2"/>
      <c r="J31" s="11">
        <f>SUM(K31:N31)</f>
        <v>17783746</v>
      </c>
      <c r="K31" s="11">
        <v>17128235</v>
      </c>
      <c r="L31" s="11">
        <v>655511</v>
      </c>
      <c r="M31" s="11"/>
      <c r="N31" s="11">
        <v>0</v>
      </c>
      <c r="P31" s="11">
        <f>Q31-J31</f>
        <v>-1356899.3127255179</v>
      </c>
      <c r="Q31" s="11">
        <v>16426846.687274482</v>
      </c>
      <c r="R31" s="11">
        <f>S31-Q31</f>
        <v>-472500.84105124883</v>
      </c>
      <c r="S31" s="11">
        <v>15954345.846223233</v>
      </c>
      <c r="T31" s="11">
        <f>U31-S31</f>
        <v>-336119.33819531649</v>
      </c>
      <c r="U31" s="11">
        <v>15618226.508027917</v>
      </c>
      <c r="V31" s="11">
        <f>W31-U31</f>
        <v>-351385.92433590442</v>
      </c>
      <c r="W31" s="11">
        <v>15266840.583692012</v>
      </c>
    </row>
    <row r="32" spans="1:23" x14ac:dyDescent="0.25">
      <c r="A32" s="9">
        <f t="shared" si="1"/>
        <v>24</v>
      </c>
      <c r="B32" s="2"/>
      <c r="C32" s="2"/>
      <c r="D32" s="18"/>
      <c r="E32" s="18"/>
      <c r="F32" s="18"/>
      <c r="G32" s="18"/>
      <c r="H32" s="18"/>
      <c r="I32" s="2"/>
      <c r="J32" s="11"/>
      <c r="K32" s="11"/>
      <c r="L32" s="11"/>
      <c r="M32" s="11"/>
      <c r="N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25">
      <c r="A33" s="9">
        <f t="shared" si="1"/>
        <v>25</v>
      </c>
      <c r="B33" s="19" t="s">
        <v>64</v>
      </c>
      <c r="C33" s="20" t="s">
        <v>65</v>
      </c>
      <c r="D33" s="18">
        <f>SUM(E33:H33)</f>
        <v>2223284481.9419999</v>
      </c>
      <c r="E33" s="10">
        <v>2190457885.9419999</v>
      </c>
      <c r="F33" s="10">
        <v>32865301</v>
      </c>
      <c r="G33" s="10">
        <v>-38705</v>
      </c>
      <c r="H33" s="10">
        <v>0</v>
      </c>
      <c r="I33" s="2"/>
      <c r="J33" s="11">
        <f>SUM(K33:N33)</f>
        <v>13316672.93</v>
      </c>
      <c r="K33" s="11">
        <v>13184220</v>
      </c>
      <c r="L33" s="11">
        <v>134794</v>
      </c>
      <c r="M33" s="11">
        <v>-2341.0699999999997</v>
      </c>
      <c r="N33" s="11">
        <v>0</v>
      </c>
      <c r="P33" s="11">
        <f>Q33-J33</f>
        <v>524711.20848505758</v>
      </c>
      <c r="Q33" s="11">
        <v>13841384.138485057</v>
      </c>
      <c r="R33" s="11">
        <f>S33-Q33</f>
        <v>-31.000000001862645</v>
      </c>
      <c r="S33" s="11">
        <v>13841353.138485055</v>
      </c>
      <c r="T33" s="11">
        <f>U33-S33</f>
        <v>-14697.136148976162</v>
      </c>
      <c r="U33" s="11">
        <v>13826656.002336079</v>
      </c>
      <c r="V33" s="11">
        <f>W33-U33</f>
        <v>14697.136148976162</v>
      </c>
      <c r="W33" s="11">
        <v>13841353.138485055</v>
      </c>
    </row>
    <row r="34" spans="1:23" x14ac:dyDescent="0.25">
      <c r="A34" s="9">
        <f t="shared" si="1"/>
        <v>26</v>
      </c>
      <c r="B34" s="2"/>
      <c r="C34" s="2"/>
      <c r="D34" s="10"/>
      <c r="E34" s="10"/>
      <c r="F34" s="10"/>
      <c r="G34" s="10"/>
      <c r="H34" s="10"/>
      <c r="I34" s="2"/>
      <c r="J34" s="11"/>
      <c r="K34" s="11"/>
      <c r="L34" s="11"/>
      <c r="M34" s="11"/>
      <c r="N34" s="11"/>
      <c r="P34" s="11"/>
      <c r="Q34" s="11"/>
      <c r="R34" s="11"/>
      <c r="S34" s="11"/>
      <c r="T34" s="11"/>
      <c r="U34" s="11"/>
      <c r="V34" s="11"/>
      <c r="W34" s="11"/>
    </row>
    <row r="35" spans="1:23" x14ac:dyDescent="0.25">
      <c r="A35" s="9">
        <f t="shared" si="1"/>
        <v>27</v>
      </c>
      <c r="B35" s="38" t="s">
        <v>66</v>
      </c>
      <c r="C35" s="38"/>
      <c r="D35" s="13">
        <f>SUM(D33,D31,D29,D25,D23,D18,D11)</f>
        <v>22980976254.032764</v>
      </c>
      <c r="E35" s="13">
        <f t="shared" ref="E35:H35" si="23">SUM(E33,E31,E29,E25,E23,E18,E11)</f>
        <v>22570059543.598999</v>
      </c>
      <c r="F35" s="13">
        <f t="shared" si="23"/>
        <v>408886978</v>
      </c>
      <c r="G35" s="13">
        <f t="shared" si="23"/>
        <v>4</v>
      </c>
      <c r="H35" s="13">
        <f t="shared" si="23"/>
        <v>2029728.4337631166</v>
      </c>
      <c r="I35" s="14"/>
      <c r="J35" s="15">
        <f>SUM(J33,J31,J29,J25,J23,J18,J11)</f>
        <v>2114983666.508507</v>
      </c>
      <c r="K35" s="15">
        <f t="shared" ref="K35:N35" si="24">SUM(K33,K31,K29,K25,K23,K18,K11)</f>
        <v>2071357995.5785069</v>
      </c>
      <c r="L35" s="15">
        <f t="shared" si="24"/>
        <v>39153318</v>
      </c>
      <c r="M35" s="15">
        <f t="shared" si="24"/>
        <v>3371987.93</v>
      </c>
      <c r="N35" s="15">
        <f t="shared" si="24"/>
        <v>1100365</v>
      </c>
      <c r="P35" s="15">
        <f t="shared" ref="P35:W35" si="25">SUM(P33,P31,P29,P25,P23,P18,P11)</f>
        <v>-55159698.250045754</v>
      </c>
      <c r="Q35" s="15">
        <f t="shared" si="25"/>
        <v>2059823968.2584612</v>
      </c>
      <c r="R35" s="15">
        <f t="shared" si="25"/>
        <v>17328141.124825623</v>
      </c>
      <c r="S35" s="15">
        <f t="shared" si="25"/>
        <v>2077152109.3832867</v>
      </c>
      <c r="T35" s="15">
        <f t="shared" si="25"/>
        <v>19742220.286012623</v>
      </c>
      <c r="U35" s="15">
        <f t="shared" si="25"/>
        <v>2096894329.6692994</v>
      </c>
      <c r="V35" s="15">
        <f t="shared" si="25"/>
        <v>4660588.1069531841</v>
      </c>
      <c r="W35" s="15">
        <f t="shared" si="25"/>
        <v>2101554917.7762527</v>
      </c>
    </row>
    <row r="36" spans="1:23" x14ac:dyDescent="0.25">
      <c r="A36" s="9">
        <f t="shared" si="1"/>
        <v>28</v>
      </c>
      <c r="B36" s="2"/>
      <c r="C36" s="2"/>
      <c r="D36" s="10"/>
      <c r="E36" s="10"/>
      <c r="F36" s="10"/>
      <c r="G36" s="10"/>
      <c r="H36" s="10"/>
      <c r="I36" s="2"/>
      <c r="J36" s="11"/>
      <c r="K36" s="11"/>
      <c r="L36" s="11"/>
      <c r="M36" s="11"/>
      <c r="N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5">
      <c r="A37" s="9">
        <f t="shared" si="1"/>
        <v>29</v>
      </c>
      <c r="B37" s="17" t="s">
        <v>67</v>
      </c>
      <c r="C37" s="2" t="s">
        <v>68</v>
      </c>
      <c r="D37" s="10">
        <f>SUM(E37:H37)</f>
        <v>7372337.2879022108</v>
      </c>
      <c r="E37" s="10">
        <v>7334220</v>
      </c>
      <c r="F37" s="10">
        <v>-35600</v>
      </c>
      <c r="G37" s="10"/>
      <c r="H37" s="10">
        <v>73717.287902210883</v>
      </c>
      <c r="I37" s="2"/>
      <c r="J37" s="11">
        <f>SUM(K37:N37)</f>
        <v>345546.38000000006</v>
      </c>
      <c r="K37" s="11">
        <v>344641.02000000008</v>
      </c>
      <c r="L37" s="11">
        <v>-1684.6399999999994</v>
      </c>
      <c r="M37" s="11"/>
      <c r="N37" s="11">
        <v>2590</v>
      </c>
      <c r="P37" s="11">
        <f>Q37-J37</f>
        <v>-2086.87946080236</v>
      </c>
      <c r="Q37" s="11">
        <v>343459.5005391977</v>
      </c>
      <c r="R37" s="11">
        <f>S37-Q37</f>
        <v>-195.79819692065939</v>
      </c>
      <c r="S37" s="11">
        <v>343263.70234227704</v>
      </c>
      <c r="T37" s="11">
        <f>U37-S37</f>
        <v>1042.4595753866597</v>
      </c>
      <c r="U37" s="11">
        <v>344306.1619176637</v>
      </c>
      <c r="V37" s="11">
        <f>W37-U37</f>
        <v>-1042.4772883629194</v>
      </c>
      <c r="W37" s="11">
        <v>343263.68462930078</v>
      </c>
    </row>
    <row r="38" spans="1:23" x14ac:dyDescent="0.25">
      <c r="A38" s="9">
        <f t="shared" si="1"/>
        <v>30</v>
      </c>
      <c r="B38" s="2"/>
      <c r="C38" s="2"/>
      <c r="D38" s="10"/>
      <c r="E38" s="10"/>
      <c r="F38" s="10"/>
      <c r="G38" s="10"/>
      <c r="H38" s="10"/>
      <c r="I38" s="2"/>
      <c r="J38" s="11"/>
      <c r="K38" s="11"/>
      <c r="L38" s="11"/>
      <c r="M38" s="11"/>
      <c r="N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5">
      <c r="A39" s="9">
        <f t="shared" si="1"/>
        <v>31</v>
      </c>
      <c r="B39" s="38" t="s">
        <v>69</v>
      </c>
      <c r="C39" s="38"/>
      <c r="D39" s="13">
        <f>SUM(D35,D37)</f>
        <v>22988348591.320667</v>
      </c>
      <c r="E39" s="13">
        <f t="shared" ref="E39:H39" si="26">SUM(E35,E37)</f>
        <v>22577393763.598999</v>
      </c>
      <c r="F39" s="13">
        <f t="shared" si="26"/>
        <v>408851378</v>
      </c>
      <c r="G39" s="13">
        <f t="shared" si="26"/>
        <v>4</v>
      </c>
      <c r="H39" s="13">
        <f t="shared" si="26"/>
        <v>2103445.7216653274</v>
      </c>
      <c r="I39" s="14"/>
      <c r="J39" s="15">
        <f>SUM(J35,J37)</f>
        <v>2115329212.8885071</v>
      </c>
      <c r="K39" s="15">
        <f t="shared" ref="K39:N39" si="27">SUM(K35,K37)</f>
        <v>2071702636.5985069</v>
      </c>
      <c r="L39" s="15">
        <f t="shared" si="27"/>
        <v>39151633.359999999</v>
      </c>
      <c r="M39" s="15">
        <f t="shared" si="27"/>
        <v>3371987.93</v>
      </c>
      <c r="N39" s="15">
        <f t="shared" si="27"/>
        <v>1102955</v>
      </c>
      <c r="P39" s="15">
        <f t="shared" ref="P39:W39" si="28">SUM(P35,P37)</f>
        <v>-55161785.129506558</v>
      </c>
      <c r="Q39" s="15">
        <f t="shared" si="28"/>
        <v>2060167427.7590005</v>
      </c>
      <c r="R39" s="15">
        <f t="shared" si="28"/>
        <v>17327945.326628704</v>
      </c>
      <c r="S39" s="15">
        <f t="shared" si="28"/>
        <v>2077495373.085629</v>
      </c>
      <c r="T39" s="15">
        <f t="shared" si="28"/>
        <v>19743262.745588008</v>
      </c>
      <c r="U39" s="15">
        <f t="shared" si="28"/>
        <v>2097238635.8312171</v>
      </c>
      <c r="V39" s="15">
        <f t="shared" si="28"/>
        <v>4659545.6296648216</v>
      </c>
      <c r="W39" s="15">
        <f t="shared" si="28"/>
        <v>2101898181.4608819</v>
      </c>
    </row>
    <row r="40" spans="1:23" x14ac:dyDescent="0.25">
      <c r="A40" s="9">
        <f t="shared" si="1"/>
        <v>32</v>
      </c>
      <c r="B40" s="2"/>
      <c r="C40" s="2"/>
      <c r="D40" s="10"/>
      <c r="E40" s="10"/>
      <c r="F40" s="10"/>
      <c r="G40" s="10"/>
      <c r="H40" s="10"/>
      <c r="I40" s="2"/>
      <c r="J40" s="11"/>
      <c r="K40" s="11"/>
      <c r="L40" s="11"/>
      <c r="M40" s="11"/>
      <c r="N40" s="11"/>
    </row>
    <row r="41" spans="1:23" x14ac:dyDescent="0.25">
      <c r="A41" s="9">
        <f t="shared" si="1"/>
        <v>33</v>
      </c>
      <c r="B41" s="12" t="s">
        <v>70</v>
      </c>
      <c r="C41" s="2" t="s">
        <v>71</v>
      </c>
      <c r="D41" s="10">
        <v>20762921949</v>
      </c>
      <c r="G41" s="10"/>
      <c r="H41" s="10"/>
      <c r="I41" s="2"/>
      <c r="J41" s="11">
        <v>2236149997.8099999</v>
      </c>
      <c r="K41" s="11"/>
      <c r="L41" s="11"/>
      <c r="M41" s="11"/>
      <c r="N41" s="11"/>
      <c r="Q41" s="21">
        <v>2060167427.7590003</v>
      </c>
      <c r="S41" s="21">
        <v>2077495373.085629</v>
      </c>
      <c r="U41" s="21">
        <v>2097238635.8312173</v>
      </c>
      <c r="W41" s="21">
        <v>2101898181.4608822</v>
      </c>
    </row>
    <row r="42" spans="1:23" x14ac:dyDescent="0.25">
      <c r="A42" s="9">
        <f t="shared" si="1"/>
        <v>34</v>
      </c>
      <c r="B42" s="12" t="s">
        <v>70</v>
      </c>
      <c r="C42" s="2" t="s">
        <v>72</v>
      </c>
      <c r="D42" s="10">
        <v>2223323186</v>
      </c>
      <c r="E42" s="10"/>
      <c r="F42" s="10"/>
      <c r="G42" s="10"/>
      <c r="H42" s="10"/>
      <c r="I42" s="2"/>
      <c r="J42" s="11">
        <v>9837254</v>
      </c>
      <c r="K42" s="11"/>
      <c r="L42" s="11"/>
      <c r="M42" s="11"/>
      <c r="N42" s="11"/>
      <c r="Q42" s="21">
        <f>Q39-Q41</f>
        <v>0</v>
      </c>
      <c r="S42" s="21">
        <f>S39-S41</f>
        <v>0</v>
      </c>
      <c r="U42" s="21">
        <f>U39-U41</f>
        <v>0</v>
      </c>
      <c r="W42" s="21">
        <f>W39-W41</f>
        <v>0</v>
      </c>
    </row>
    <row r="43" spans="1:23" x14ac:dyDescent="0.25">
      <c r="A43" s="9">
        <f t="shared" si="1"/>
        <v>35</v>
      </c>
      <c r="B43" s="2"/>
      <c r="C43" s="2" t="s">
        <v>73</v>
      </c>
      <c r="D43" s="10">
        <f>SUM(D41:D42)</f>
        <v>22986245135</v>
      </c>
      <c r="E43" s="10"/>
      <c r="F43" s="10"/>
      <c r="G43" s="10"/>
      <c r="H43" s="10"/>
      <c r="I43" s="2"/>
      <c r="K43" s="11">
        <f>SUM(J41:J42)</f>
        <v>2245987251.8099999</v>
      </c>
      <c r="L43" s="11"/>
      <c r="M43" s="11"/>
      <c r="N43" s="11"/>
    </row>
    <row r="44" spans="1:23" x14ac:dyDescent="0.25">
      <c r="A44" s="9">
        <f t="shared" si="1"/>
        <v>36</v>
      </c>
      <c r="B44" s="2" t="s">
        <v>74</v>
      </c>
      <c r="C44" s="12" t="s">
        <v>75</v>
      </c>
      <c r="D44" s="10"/>
      <c r="E44" s="10"/>
      <c r="F44" s="10"/>
      <c r="G44" s="10"/>
      <c r="H44" s="10"/>
      <c r="I44" s="2"/>
      <c r="K44" s="11">
        <v>8794531</v>
      </c>
      <c r="L44" s="11"/>
      <c r="M44" s="11"/>
      <c r="N44" s="11"/>
    </row>
    <row r="45" spans="1:23" x14ac:dyDescent="0.25">
      <c r="A45" s="9">
        <f t="shared" si="1"/>
        <v>37</v>
      </c>
      <c r="B45" s="2" t="s">
        <v>74</v>
      </c>
      <c r="C45" s="2" t="s">
        <v>76</v>
      </c>
      <c r="D45" s="10">
        <f>SUM(D41:D42)</f>
        <v>22986245135</v>
      </c>
      <c r="E45" s="10">
        <v>22577393764</v>
      </c>
      <c r="F45" s="10">
        <v>408851378</v>
      </c>
      <c r="G45" s="10"/>
      <c r="H45" s="10"/>
      <c r="I45" s="2"/>
      <c r="K45" s="11">
        <f>SUM(K43:K44)</f>
        <v>2254781782.8099999</v>
      </c>
      <c r="L45" s="11"/>
      <c r="M45" s="11"/>
      <c r="N45" s="11"/>
    </row>
    <row r="46" spans="1:23" x14ac:dyDescent="0.25">
      <c r="A46" s="9">
        <f t="shared" si="1"/>
        <v>38</v>
      </c>
      <c r="B46" s="2"/>
      <c r="C46" s="2"/>
      <c r="D46" s="10"/>
      <c r="E46" s="10"/>
      <c r="F46" s="10"/>
      <c r="G46" s="10"/>
      <c r="H46" s="10"/>
      <c r="I46" s="2"/>
      <c r="J46" s="11"/>
      <c r="K46" s="11"/>
      <c r="L46" s="11"/>
      <c r="M46" s="11"/>
      <c r="N46" s="11"/>
    </row>
    <row r="47" spans="1:23" x14ac:dyDescent="0.25">
      <c r="A47" s="9">
        <f t="shared" si="1"/>
        <v>39</v>
      </c>
      <c r="B47" s="2"/>
      <c r="C47" s="2"/>
      <c r="D47" s="10"/>
      <c r="E47" s="2"/>
      <c r="F47" s="2"/>
      <c r="G47" s="2"/>
      <c r="H47" s="2"/>
      <c r="I47" s="11"/>
      <c r="J47" s="11"/>
      <c r="K47" s="39"/>
      <c r="L47" s="39"/>
      <c r="M47" s="39"/>
      <c r="N47" s="39"/>
    </row>
    <row r="48" spans="1:23" x14ac:dyDescent="0.25">
      <c r="A48" s="9">
        <f t="shared" si="1"/>
        <v>40</v>
      </c>
      <c r="B48" s="2"/>
      <c r="C48" s="22" t="s">
        <v>77</v>
      </c>
      <c r="D48" s="10"/>
      <c r="E48" s="2"/>
      <c r="F48" s="2"/>
      <c r="G48" s="2"/>
      <c r="H48" s="2"/>
      <c r="I48" s="11"/>
      <c r="J48" s="11"/>
      <c r="K48" s="22"/>
      <c r="L48" s="22"/>
      <c r="M48" s="22"/>
      <c r="N48" s="22"/>
    </row>
    <row r="49" spans="1:14" x14ac:dyDescent="0.25">
      <c r="A49" s="9">
        <f t="shared" si="1"/>
        <v>41</v>
      </c>
      <c r="B49" s="2"/>
      <c r="C49" s="23" t="s">
        <v>78</v>
      </c>
      <c r="D49" s="2"/>
      <c r="E49" s="2"/>
      <c r="F49" s="2"/>
      <c r="G49" s="2"/>
      <c r="H49" s="2"/>
      <c r="I49" s="24"/>
      <c r="J49" s="11">
        <v>-85895132.439999998</v>
      </c>
      <c r="K49" s="2"/>
      <c r="L49" s="25"/>
      <c r="M49" s="25"/>
      <c r="N49" s="25"/>
    </row>
    <row r="50" spans="1:14" x14ac:dyDescent="0.25">
      <c r="A50" s="9">
        <f t="shared" si="1"/>
        <v>42</v>
      </c>
      <c r="B50" s="2"/>
      <c r="C50" s="23" t="s">
        <v>79</v>
      </c>
      <c r="D50" s="2"/>
      <c r="E50" s="2"/>
      <c r="F50" s="2"/>
      <c r="G50" s="2"/>
      <c r="H50" s="10"/>
      <c r="I50" s="24"/>
      <c r="J50" s="11">
        <v>33621225.560000002</v>
      </c>
      <c r="K50" s="2"/>
      <c r="L50" s="25"/>
      <c r="M50" s="25"/>
      <c r="N50" s="25"/>
    </row>
    <row r="51" spans="1:14" ht="15.75" customHeight="1" x14ac:dyDescent="0.25">
      <c r="A51" s="9">
        <f t="shared" si="1"/>
        <v>43</v>
      </c>
      <c r="B51" s="2"/>
      <c r="C51" s="23" t="s">
        <v>80</v>
      </c>
      <c r="D51" s="2"/>
      <c r="E51" s="2"/>
      <c r="F51" s="2"/>
      <c r="G51" s="2"/>
      <c r="H51" s="10"/>
      <c r="I51" s="24"/>
      <c r="J51" s="11">
        <v>-27522402.824428342</v>
      </c>
      <c r="K51" s="2"/>
      <c r="L51" s="25"/>
      <c r="M51" s="25"/>
      <c r="N51" s="25"/>
    </row>
    <row r="52" spans="1:14" x14ac:dyDescent="0.25">
      <c r="A52" s="9">
        <f t="shared" si="1"/>
        <v>44</v>
      </c>
      <c r="B52" s="2"/>
      <c r="C52" s="23" t="s">
        <v>81</v>
      </c>
      <c r="D52" s="2"/>
      <c r="E52" s="2"/>
      <c r="F52" s="2"/>
      <c r="G52" s="2"/>
      <c r="H52" s="2"/>
      <c r="I52" s="24"/>
      <c r="J52" s="11">
        <v>-93450157.340000004</v>
      </c>
      <c r="K52" s="2"/>
      <c r="L52" s="25"/>
      <c r="M52" s="25"/>
      <c r="N52" s="25"/>
    </row>
    <row r="53" spans="1:14" x14ac:dyDescent="0.25">
      <c r="A53" s="9">
        <f t="shared" si="1"/>
        <v>45</v>
      </c>
      <c r="B53" s="2"/>
      <c r="C53" s="23" t="s">
        <v>82</v>
      </c>
      <c r="D53" s="2"/>
      <c r="E53" s="2"/>
      <c r="F53" s="2"/>
      <c r="G53" s="2"/>
      <c r="H53" s="2"/>
      <c r="I53" s="24"/>
      <c r="J53" s="11">
        <v>-20895273.780000001</v>
      </c>
      <c r="K53" s="2"/>
      <c r="L53" s="25"/>
      <c r="M53" s="25"/>
      <c r="N53" s="25"/>
    </row>
    <row r="54" spans="1:14" x14ac:dyDescent="0.25">
      <c r="A54" s="9">
        <f t="shared" si="1"/>
        <v>46</v>
      </c>
      <c r="B54" s="2"/>
      <c r="C54" s="23" t="s">
        <v>83</v>
      </c>
      <c r="D54" s="2"/>
      <c r="E54" s="2"/>
      <c r="F54" s="2"/>
      <c r="G54" s="2"/>
      <c r="H54" s="2"/>
      <c r="I54" s="24"/>
      <c r="J54" s="11">
        <v>0</v>
      </c>
      <c r="K54" s="2"/>
      <c r="L54" s="25"/>
      <c r="M54" s="25"/>
      <c r="N54" s="25"/>
    </row>
    <row r="55" spans="1:14" x14ac:dyDescent="0.25">
      <c r="A55" s="9">
        <f t="shared" si="1"/>
        <v>47</v>
      </c>
      <c r="B55" s="2"/>
      <c r="C55" s="23" t="s">
        <v>84</v>
      </c>
      <c r="D55" s="2"/>
      <c r="E55" s="2"/>
      <c r="F55" s="2"/>
      <c r="G55" s="2"/>
      <c r="H55" s="2"/>
      <c r="I55" s="24"/>
      <c r="J55" s="11">
        <v>0</v>
      </c>
      <c r="K55" s="2"/>
      <c r="L55" s="25"/>
      <c r="M55" s="25"/>
      <c r="N55" s="25"/>
    </row>
    <row r="56" spans="1:14" x14ac:dyDescent="0.25">
      <c r="A56" s="9">
        <f t="shared" si="1"/>
        <v>48</v>
      </c>
      <c r="B56" s="2"/>
      <c r="C56" s="23" t="s">
        <v>85</v>
      </c>
      <c r="D56" s="2"/>
      <c r="E56" s="2"/>
      <c r="F56" s="2"/>
      <c r="G56" s="2"/>
      <c r="H56" s="2"/>
      <c r="I56" s="26"/>
      <c r="J56" s="11">
        <v>-6905805.5299999993</v>
      </c>
      <c r="K56" s="2"/>
      <c r="L56" s="25"/>
      <c r="M56" s="25"/>
      <c r="N56" s="25"/>
    </row>
    <row r="57" spans="1:14" x14ac:dyDescent="0.25">
      <c r="A57" s="9">
        <f t="shared" si="1"/>
        <v>49</v>
      </c>
      <c r="B57" s="2"/>
      <c r="C57" s="23" t="s">
        <v>86</v>
      </c>
      <c r="D57" s="2"/>
      <c r="E57" s="2"/>
      <c r="F57" s="2"/>
      <c r="G57" s="2"/>
      <c r="H57" s="2"/>
      <c r="I57" s="24"/>
      <c r="J57" s="11">
        <v>1247264.25</v>
      </c>
      <c r="K57" s="2"/>
      <c r="L57" s="25"/>
      <c r="M57" s="25"/>
      <c r="N57" s="25"/>
    </row>
    <row r="58" spans="1:14" x14ac:dyDescent="0.25">
      <c r="A58" s="9">
        <f t="shared" si="1"/>
        <v>50</v>
      </c>
      <c r="B58" s="2"/>
      <c r="C58" s="23" t="s">
        <v>87</v>
      </c>
      <c r="D58" s="2"/>
      <c r="E58" s="2"/>
      <c r="F58" s="2"/>
      <c r="G58" s="2"/>
      <c r="H58" s="2"/>
      <c r="I58" s="24"/>
      <c r="J58" s="11">
        <v>-11794740.199999997</v>
      </c>
      <c r="K58" s="2"/>
      <c r="L58" s="25"/>
      <c r="M58" s="25"/>
      <c r="N58" s="25"/>
    </row>
    <row r="59" spans="1:14" x14ac:dyDescent="0.25">
      <c r="A59" s="9">
        <f t="shared" si="1"/>
        <v>51</v>
      </c>
      <c r="B59" s="2"/>
      <c r="C59" s="23" t="s">
        <v>88</v>
      </c>
      <c r="D59" s="2"/>
      <c r="E59" s="2"/>
      <c r="F59" s="2"/>
      <c r="G59" s="2"/>
      <c r="H59" s="2"/>
      <c r="I59" s="24"/>
      <c r="J59" s="11">
        <v>11985152.549999999</v>
      </c>
      <c r="K59" s="2"/>
      <c r="L59" s="25"/>
      <c r="M59" s="25"/>
      <c r="N59" s="25"/>
    </row>
    <row r="60" spans="1:14" x14ac:dyDescent="0.25">
      <c r="A60" s="9">
        <f t="shared" si="1"/>
        <v>52</v>
      </c>
      <c r="B60" s="2"/>
      <c r="C60" s="23" t="s">
        <v>89</v>
      </c>
      <c r="D60" s="2"/>
      <c r="E60" s="2"/>
      <c r="F60" s="2"/>
      <c r="G60" s="2"/>
      <c r="H60" s="2"/>
      <c r="I60" s="24"/>
      <c r="J60" s="11">
        <v>-7002797.5</v>
      </c>
      <c r="K60" s="2"/>
      <c r="L60" s="25"/>
      <c r="M60" s="25"/>
      <c r="N60" s="25"/>
    </row>
    <row r="61" spans="1:14" x14ac:dyDescent="0.25">
      <c r="A61" s="9">
        <f t="shared" si="1"/>
        <v>53</v>
      </c>
      <c r="B61" s="2"/>
      <c r="C61" s="23" t="s">
        <v>90</v>
      </c>
      <c r="D61" s="2"/>
      <c r="E61" s="2"/>
      <c r="F61" s="2"/>
      <c r="G61" s="2"/>
      <c r="H61" s="2"/>
      <c r="I61" s="24"/>
      <c r="J61" s="11">
        <v>47482282.830000006</v>
      </c>
      <c r="K61" s="2"/>
      <c r="L61" s="25"/>
      <c r="M61" s="25"/>
      <c r="N61" s="25"/>
    </row>
    <row r="62" spans="1:14" x14ac:dyDescent="0.25">
      <c r="A62" s="9">
        <f t="shared" si="1"/>
        <v>54</v>
      </c>
      <c r="B62" s="2"/>
      <c r="C62" s="23" t="s">
        <v>91</v>
      </c>
      <c r="D62" s="2"/>
      <c r="E62" s="2"/>
      <c r="F62" s="2"/>
      <c r="G62" s="2"/>
      <c r="H62" s="2"/>
      <c r="I62" s="24"/>
      <c r="J62" s="11">
        <v>982036.83999999985</v>
      </c>
      <c r="K62" s="2"/>
      <c r="L62" s="25"/>
      <c r="M62" s="25"/>
      <c r="N62" s="25"/>
    </row>
    <row r="63" spans="1:14" x14ac:dyDescent="0.25">
      <c r="A63" s="9">
        <f t="shared" si="1"/>
        <v>55</v>
      </c>
      <c r="B63" s="2"/>
      <c r="C63" s="23" t="s">
        <v>92</v>
      </c>
      <c r="D63" s="2"/>
      <c r="E63" s="2"/>
      <c r="F63" s="2"/>
      <c r="G63" s="2"/>
      <c r="H63" s="2"/>
      <c r="I63" s="24"/>
      <c r="J63" s="11">
        <v>12241558.550000001</v>
      </c>
      <c r="K63" s="2"/>
      <c r="L63" s="25"/>
      <c r="M63" s="25"/>
      <c r="N63" s="25"/>
    </row>
    <row r="64" spans="1:14" x14ac:dyDescent="0.25">
      <c r="A64" s="9">
        <f t="shared" si="1"/>
        <v>56</v>
      </c>
      <c r="B64" s="2"/>
      <c r="C64" s="23" t="s">
        <v>93</v>
      </c>
      <c r="D64" s="2"/>
      <c r="E64" s="2"/>
      <c r="F64" s="2"/>
      <c r="G64" s="2"/>
      <c r="H64" s="2"/>
      <c r="I64" s="24"/>
      <c r="J64" s="11">
        <v>87029955.040000007</v>
      </c>
      <c r="K64" s="2"/>
      <c r="L64" s="25"/>
      <c r="M64" s="25"/>
      <c r="N64" s="25"/>
    </row>
    <row r="65" spans="1:14" x14ac:dyDescent="0.25">
      <c r="A65" s="9">
        <f t="shared" si="1"/>
        <v>57</v>
      </c>
      <c r="B65" s="2"/>
      <c r="C65" s="23" t="s">
        <v>94</v>
      </c>
      <c r="D65" s="10">
        <v>2103445.721665327</v>
      </c>
      <c r="E65" s="10"/>
      <c r="F65" s="10"/>
      <c r="G65" s="10"/>
      <c r="H65" s="10"/>
      <c r="I65" s="2"/>
      <c r="J65" s="11">
        <v>1102955</v>
      </c>
      <c r="K65" s="11"/>
      <c r="L65" s="11"/>
      <c r="M65" s="11"/>
      <c r="N65" s="11"/>
    </row>
    <row r="66" spans="1:14" x14ac:dyDescent="0.25">
      <c r="A66" s="9">
        <f t="shared" si="1"/>
        <v>58</v>
      </c>
      <c r="B66" s="2"/>
      <c r="C66" s="23" t="s">
        <v>95</v>
      </c>
      <c r="D66" s="22"/>
      <c r="E66" s="22"/>
      <c r="F66" s="22"/>
      <c r="G66" s="2"/>
      <c r="H66" s="2"/>
      <c r="I66" s="2"/>
      <c r="J66" s="27">
        <v>20505983.132012945</v>
      </c>
      <c r="K66" s="2"/>
      <c r="L66" s="2"/>
      <c r="M66" s="2"/>
      <c r="N66" s="2"/>
    </row>
    <row r="67" spans="1:14" x14ac:dyDescent="0.25">
      <c r="A67" s="9">
        <f t="shared" si="1"/>
        <v>59</v>
      </c>
      <c r="B67" s="2"/>
      <c r="C67" s="23" t="s">
        <v>96</v>
      </c>
      <c r="D67" s="22"/>
      <c r="E67" s="22"/>
      <c r="F67" s="22"/>
      <c r="G67" s="2"/>
      <c r="H67" s="2"/>
      <c r="I67" s="2"/>
      <c r="J67" s="27">
        <v>-26064909.311951328</v>
      </c>
      <c r="K67" s="2"/>
      <c r="L67" s="2"/>
      <c r="M67" s="2"/>
      <c r="N67" s="2"/>
    </row>
    <row r="68" spans="1:14" x14ac:dyDescent="0.25">
      <c r="A68" s="9">
        <f t="shared" si="1"/>
        <v>60</v>
      </c>
      <c r="B68" s="2"/>
      <c r="C68" s="23" t="s">
        <v>97</v>
      </c>
      <c r="D68" s="22"/>
      <c r="E68" s="22"/>
      <c r="F68" s="22"/>
      <c r="G68" s="2"/>
      <c r="H68" s="2"/>
      <c r="I68" s="2"/>
      <c r="J68" s="27">
        <v>-2568827.3499999992</v>
      </c>
      <c r="K68" s="2"/>
      <c r="L68" s="2"/>
      <c r="M68" s="2"/>
      <c r="N68" s="2"/>
    </row>
    <row r="69" spans="1:14" x14ac:dyDescent="0.25">
      <c r="A69" s="9">
        <f t="shared" si="1"/>
        <v>61</v>
      </c>
      <c r="B69" s="2"/>
      <c r="C69" s="23" t="s">
        <v>98</v>
      </c>
      <c r="D69" s="22"/>
      <c r="E69" s="22"/>
      <c r="F69" s="22"/>
      <c r="G69" s="2"/>
      <c r="H69" s="2"/>
      <c r="I69" s="2"/>
      <c r="J69" s="27">
        <v>8794531</v>
      </c>
      <c r="K69" s="2"/>
      <c r="L69" s="2"/>
      <c r="M69" s="2"/>
      <c r="N69" s="2"/>
    </row>
    <row r="70" spans="1:14" x14ac:dyDescent="0.25">
      <c r="A70" s="9">
        <f t="shared" si="1"/>
        <v>62</v>
      </c>
      <c r="B70" s="2"/>
      <c r="C70" s="23" t="s">
        <v>99</v>
      </c>
      <c r="D70" s="28">
        <v>-3</v>
      </c>
      <c r="E70" s="22"/>
      <c r="F70" s="22"/>
      <c r="G70" s="2"/>
      <c r="H70" s="2"/>
      <c r="I70" s="2"/>
      <c r="J70" s="11">
        <v>869170</v>
      </c>
      <c r="K70" s="2" t="s">
        <v>100</v>
      </c>
      <c r="L70" s="29">
        <f>+J70/J79</f>
        <v>4.1089112504312151E-4</v>
      </c>
      <c r="M70" s="2"/>
      <c r="N70" s="2"/>
    </row>
    <row r="71" spans="1:14" x14ac:dyDescent="0.25">
      <c r="A71" s="9">
        <f t="shared" si="1"/>
        <v>63</v>
      </c>
      <c r="B71" s="2"/>
      <c r="C71" s="22" t="s">
        <v>101</v>
      </c>
      <c r="D71" s="10">
        <f>SUM(D51:D66)</f>
        <v>2103445.721665327</v>
      </c>
      <c r="E71" s="25"/>
      <c r="F71" s="25"/>
      <c r="G71" s="2"/>
      <c r="H71" s="2"/>
      <c r="I71" s="2"/>
      <c r="J71" s="11">
        <f>SUM(J49:J70)</f>
        <v>-56237931.524366669</v>
      </c>
      <c r="K71" s="2"/>
      <c r="L71" s="2"/>
      <c r="M71" s="2"/>
      <c r="N71" s="2"/>
    </row>
    <row r="72" spans="1:14" x14ac:dyDescent="0.25">
      <c r="A72" s="9">
        <f t="shared" si="1"/>
        <v>64</v>
      </c>
      <c r="B72" s="2"/>
      <c r="C72" s="25" t="s">
        <v>102</v>
      </c>
      <c r="D72" s="10">
        <f>D45+D71</f>
        <v>22988348580.721664</v>
      </c>
      <c r="E72" s="25"/>
      <c r="F72" s="25"/>
      <c r="G72" s="2"/>
      <c r="H72" s="2"/>
      <c r="I72" s="2"/>
      <c r="J72" s="11">
        <f>SUM(K43,J71)</f>
        <v>2189749320.2856331</v>
      </c>
      <c r="K72" s="2"/>
      <c r="L72" s="2"/>
      <c r="M72" s="2"/>
      <c r="N72" s="2"/>
    </row>
    <row r="73" spans="1:14" x14ac:dyDescent="0.25">
      <c r="A73" s="9">
        <f t="shared" si="1"/>
        <v>65</v>
      </c>
      <c r="B73" s="2"/>
      <c r="C73" s="39"/>
      <c r="D73" s="39"/>
      <c r="E73" s="39"/>
      <c r="F73" s="39"/>
      <c r="G73" s="2"/>
      <c r="H73" s="2"/>
      <c r="I73" s="2"/>
      <c r="J73" s="11"/>
      <c r="K73" s="2"/>
      <c r="L73" s="2"/>
      <c r="M73" s="2"/>
      <c r="N73" s="2"/>
    </row>
    <row r="74" spans="1:14" x14ac:dyDescent="0.25">
      <c r="A74" s="9">
        <f t="shared" si="1"/>
        <v>66</v>
      </c>
      <c r="B74" s="2"/>
      <c r="C74" s="22" t="s">
        <v>103</v>
      </c>
      <c r="D74" s="22"/>
      <c r="E74" s="22"/>
      <c r="F74" s="22"/>
      <c r="G74" s="2"/>
      <c r="H74" s="2"/>
      <c r="I74" s="2"/>
      <c r="J74" s="27"/>
      <c r="K74" s="2"/>
      <c r="L74" s="2"/>
      <c r="M74" s="2"/>
      <c r="N74" s="2"/>
    </row>
    <row r="75" spans="1:14" x14ac:dyDescent="0.25">
      <c r="A75" s="9">
        <f t="shared" ref="A75:A80" si="29">+A74+1</f>
        <v>67</v>
      </c>
      <c r="B75" s="2"/>
      <c r="C75" s="23" t="s">
        <v>104</v>
      </c>
      <c r="D75" s="28">
        <f>+G39</f>
        <v>4</v>
      </c>
      <c r="E75" s="25"/>
      <c r="F75" s="25"/>
      <c r="G75" s="2"/>
      <c r="H75" s="2"/>
      <c r="I75" s="11"/>
      <c r="J75" s="28">
        <f>+M39</f>
        <v>3371987.93</v>
      </c>
      <c r="K75" s="2"/>
      <c r="L75" s="2"/>
      <c r="M75" s="2"/>
      <c r="N75" s="2"/>
    </row>
    <row r="76" spans="1:14" x14ac:dyDescent="0.25">
      <c r="A76" s="9">
        <f t="shared" si="29"/>
        <v>68</v>
      </c>
      <c r="B76" s="2"/>
      <c r="C76" s="23" t="s">
        <v>105</v>
      </c>
      <c r="D76" s="2"/>
      <c r="E76" s="2"/>
      <c r="F76" s="2"/>
      <c r="G76" s="2"/>
      <c r="H76" s="2"/>
      <c r="I76" s="24"/>
      <c r="J76" s="11">
        <v>-59083615.989999995</v>
      </c>
      <c r="K76" s="11"/>
      <c r="L76" s="25"/>
      <c r="M76" s="25"/>
      <c r="N76" s="25"/>
    </row>
    <row r="77" spans="1:14" x14ac:dyDescent="0.25">
      <c r="A77" s="9">
        <f t="shared" si="29"/>
        <v>69</v>
      </c>
      <c r="B77" s="2"/>
      <c r="C77" s="23" t="s">
        <v>106</v>
      </c>
      <c r="D77" s="2"/>
      <c r="E77" s="2"/>
      <c r="F77" s="2"/>
      <c r="G77" s="2"/>
      <c r="H77" s="2"/>
      <c r="I77" s="24"/>
      <c r="J77" s="11">
        <v>-18708479.629999995</v>
      </c>
      <c r="K77" s="2"/>
      <c r="L77" s="25"/>
      <c r="M77" s="25"/>
      <c r="N77" s="25"/>
    </row>
    <row r="78" spans="1:14" x14ac:dyDescent="0.25">
      <c r="A78" s="9">
        <f t="shared" si="29"/>
        <v>70</v>
      </c>
      <c r="B78" s="2"/>
      <c r="C78" s="22" t="s">
        <v>107</v>
      </c>
      <c r="D78" s="2"/>
      <c r="E78" s="2"/>
      <c r="F78" s="2"/>
      <c r="G78" s="2"/>
      <c r="H78" s="2"/>
      <c r="I78" s="24"/>
      <c r="J78" s="11">
        <f>SUM(J75:J77)</f>
        <v>-74420107.689999998</v>
      </c>
      <c r="K78" s="2"/>
      <c r="L78" s="25"/>
      <c r="M78" s="25"/>
      <c r="N78" s="25"/>
    </row>
    <row r="79" spans="1:14" x14ac:dyDescent="0.25">
      <c r="A79" s="9">
        <f t="shared" si="29"/>
        <v>71</v>
      </c>
      <c r="B79" s="2"/>
      <c r="C79" s="22" t="s">
        <v>108</v>
      </c>
      <c r="D79" s="28">
        <f>+D75+D72</f>
        <v>22988348584.721664</v>
      </c>
      <c r="E79" s="22"/>
      <c r="F79" s="22"/>
      <c r="G79" s="2"/>
      <c r="H79" s="2"/>
      <c r="I79" s="2"/>
      <c r="J79" s="25">
        <f>SUM(J72,J78)</f>
        <v>2115329212.595633</v>
      </c>
      <c r="K79" s="2"/>
      <c r="L79" s="2"/>
      <c r="M79" s="2"/>
      <c r="N79" s="2"/>
    </row>
    <row r="80" spans="1:14" x14ac:dyDescent="0.25">
      <c r="A80" s="9">
        <f t="shared" si="29"/>
        <v>72</v>
      </c>
      <c r="B80" s="2"/>
      <c r="C80" s="22"/>
      <c r="D80" s="28"/>
      <c r="E80" s="22"/>
      <c r="F80" s="22"/>
      <c r="G80" s="2"/>
      <c r="H80" s="2"/>
      <c r="I80" s="2"/>
      <c r="J80" s="25"/>
      <c r="K80" s="2"/>
      <c r="L80" s="2"/>
      <c r="M80" s="2"/>
      <c r="N80" s="2"/>
    </row>
    <row r="81" spans="1:14" x14ac:dyDescent="0.25">
      <c r="A81" s="40" t="s">
        <v>109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</row>
    <row r="82" spans="1:14" x14ac:dyDescent="0.25">
      <c r="A82" s="9"/>
      <c r="B82" s="2"/>
      <c r="C82" s="2"/>
      <c r="D82" s="2"/>
      <c r="E82" s="2"/>
      <c r="F82" s="2"/>
      <c r="G82" s="2"/>
      <c r="H82" s="2"/>
      <c r="I82" s="11"/>
      <c r="J82" s="11">
        <f>+J39-J79</f>
        <v>0.29287409782409668</v>
      </c>
      <c r="K82" s="2"/>
      <c r="L82" s="22"/>
      <c r="M82" s="22"/>
      <c r="N82" s="2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</sheetData>
  <mergeCells count="16">
    <mergeCell ref="A1:N1"/>
    <mergeCell ref="A2:N2"/>
    <mergeCell ref="A3:N3"/>
    <mergeCell ref="A4:N4"/>
    <mergeCell ref="D6:H6"/>
    <mergeCell ref="J6:N6"/>
    <mergeCell ref="B39:C39"/>
    <mergeCell ref="K47:N47"/>
    <mergeCell ref="C73:F73"/>
    <mergeCell ref="A81:N81"/>
    <mergeCell ref="P6:W6"/>
    <mergeCell ref="B11:C11"/>
    <mergeCell ref="B18:C18"/>
    <mergeCell ref="B23:C23"/>
    <mergeCell ref="B29:C29"/>
    <mergeCell ref="B35:C35"/>
  </mergeCells>
  <pageMargins left="0.7" right="0.7" top="0.75" bottom="0.75" header="0.3" footer="0.3"/>
  <pageSetup scale="37" orientation="landscape" r:id="rId1"/>
  <headerFoot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0" zoomScaleNormal="80" workbookViewId="0">
      <pane xSplit="3" ySplit="7" topLeftCell="G8" activePane="bottomRight" state="frozen"/>
      <selection activeCell="Q31" sqref="Q31"/>
      <selection pane="topRight" activeCell="Q31" sqref="Q31"/>
      <selection pane="bottomLeft" activeCell="Q31" sqref="Q31"/>
      <selection pane="bottomRight" activeCell="L51" sqref="L51"/>
    </sheetView>
  </sheetViews>
  <sheetFormatPr defaultRowHeight="15" x14ac:dyDescent="0.25"/>
  <cols>
    <col min="1" max="1" width="8.28515625" style="1" bestFit="1" customWidth="1"/>
    <col min="2" max="2" width="49.42578125" style="1" bestFit="1" customWidth="1"/>
    <col min="3" max="4" width="18" style="1" bestFit="1" customWidth="1"/>
    <col min="5" max="5" width="12.5703125" style="1" bestFit="1" customWidth="1"/>
    <col min="6" max="6" width="14" style="1" customWidth="1"/>
    <col min="7" max="7" width="9.140625" style="1"/>
    <col min="8" max="8" width="15.140625" style="1" bestFit="1" customWidth="1"/>
    <col min="9" max="9" width="17" style="1" bestFit="1" customWidth="1"/>
    <col min="10" max="10" width="18" style="1" bestFit="1" customWidth="1"/>
    <col min="11" max="11" width="17.5703125" style="1" bestFit="1" customWidth="1"/>
    <col min="12" max="12" width="16.5703125" style="1" bestFit="1" customWidth="1"/>
    <col min="13" max="13" width="18" style="1" bestFit="1" customWidth="1"/>
    <col min="14" max="14" width="13.7109375" style="1" bestFit="1" customWidth="1"/>
    <col min="15" max="15" width="18" style="1" bestFit="1" customWidth="1"/>
    <col min="16" max="16384" width="9.140625" style="1"/>
  </cols>
  <sheetData>
    <row r="1" spans="1:16" x14ac:dyDescent="0.25">
      <c r="A1" s="43" t="s">
        <v>110</v>
      </c>
      <c r="B1" s="43"/>
      <c r="C1" s="43"/>
      <c r="D1" s="43"/>
      <c r="E1" s="43"/>
      <c r="F1" s="43"/>
    </row>
    <row r="2" spans="1:16" x14ac:dyDescent="0.25">
      <c r="A2" s="44" t="s">
        <v>111</v>
      </c>
      <c r="B2" s="43"/>
      <c r="C2" s="43"/>
      <c r="D2" s="43"/>
      <c r="E2" s="43"/>
      <c r="F2" s="43"/>
    </row>
    <row r="3" spans="1:16" x14ac:dyDescent="0.25">
      <c r="A3" s="44" t="str">
        <f>+'Proforma kWh &amp; Revenue'!A4</f>
        <v>Twelve Months ended June 2021</v>
      </c>
      <c r="B3" s="43"/>
      <c r="C3" s="43"/>
      <c r="D3" s="43"/>
      <c r="E3" s="43"/>
      <c r="F3" s="43"/>
    </row>
    <row r="4" spans="1:16" x14ac:dyDescent="0.25">
      <c r="A4" s="44"/>
      <c r="B4" s="43"/>
      <c r="C4" s="43"/>
      <c r="D4" s="43"/>
      <c r="E4" s="43"/>
      <c r="F4" s="43"/>
      <c r="I4" s="8"/>
      <c r="J4" s="8"/>
      <c r="K4" s="8"/>
      <c r="L4" s="8"/>
      <c r="M4" s="8"/>
      <c r="N4" s="8"/>
      <c r="O4" s="8"/>
      <c r="P4" s="8"/>
    </row>
    <row r="5" spans="1:16" x14ac:dyDescent="0.25">
      <c r="A5" s="2"/>
      <c r="B5" s="2"/>
      <c r="C5" s="2"/>
      <c r="D5" s="2"/>
      <c r="E5" s="2"/>
      <c r="F5" s="2"/>
      <c r="I5" s="30"/>
      <c r="J5" s="30"/>
      <c r="K5" s="30"/>
      <c r="L5" s="30"/>
      <c r="M5" s="30"/>
      <c r="N5" s="30"/>
      <c r="O5" s="30"/>
      <c r="P5" s="30"/>
    </row>
    <row r="6" spans="1:16" ht="60" x14ac:dyDescent="0.25">
      <c r="A6" s="31" t="s">
        <v>5</v>
      </c>
      <c r="B6" s="31" t="s">
        <v>7</v>
      </c>
      <c r="C6" s="3" t="s">
        <v>112</v>
      </c>
      <c r="D6" s="3" t="s">
        <v>113</v>
      </c>
      <c r="E6" s="3" t="s">
        <v>68</v>
      </c>
      <c r="F6" s="4" t="s">
        <v>114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30"/>
    </row>
    <row r="7" spans="1:16" x14ac:dyDescent="0.25">
      <c r="A7" s="32"/>
      <c r="B7" s="6" t="s">
        <v>20</v>
      </c>
      <c r="C7" s="5" t="s">
        <v>21</v>
      </c>
      <c r="D7" s="5" t="s">
        <v>22</v>
      </c>
      <c r="E7" s="5" t="s">
        <v>23</v>
      </c>
      <c r="F7" s="5" t="s">
        <v>24</v>
      </c>
      <c r="H7" s="5" t="s">
        <v>25</v>
      </c>
      <c r="I7" s="5" t="s">
        <v>26</v>
      </c>
      <c r="J7" s="5" t="s">
        <v>27</v>
      </c>
      <c r="K7" s="5" t="s">
        <v>28</v>
      </c>
      <c r="L7" s="5" t="s">
        <v>29</v>
      </c>
      <c r="M7" s="5" t="s">
        <v>30</v>
      </c>
      <c r="N7" s="5" t="s">
        <v>31</v>
      </c>
      <c r="O7" s="33" t="s">
        <v>115</v>
      </c>
      <c r="P7" s="33"/>
    </row>
    <row r="8" spans="1:16" x14ac:dyDescent="0.25">
      <c r="A8" s="9">
        <v>1</v>
      </c>
      <c r="B8" s="12" t="s">
        <v>116</v>
      </c>
      <c r="C8" s="11">
        <f>SUM(D8:F8)</f>
        <v>2245987255.3400002</v>
      </c>
      <c r="D8" s="11">
        <v>2235798400.9000001</v>
      </c>
      <c r="E8" s="11">
        <v>351600.44</v>
      </c>
      <c r="F8" s="11">
        <v>9837254</v>
      </c>
      <c r="I8" s="34"/>
      <c r="J8" s="34"/>
    </row>
    <row r="9" spans="1:16" x14ac:dyDescent="0.25">
      <c r="A9" s="9">
        <f>+A8+1</f>
        <v>2</v>
      </c>
      <c r="B9" s="2"/>
      <c r="C9" s="11"/>
      <c r="D9" s="11"/>
      <c r="E9" s="11"/>
      <c r="F9" s="11"/>
    </row>
    <row r="10" spans="1:16" x14ac:dyDescent="0.25">
      <c r="A10" s="9">
        <f t="shared" ref="A10:A47" si="0">+A9+1</f>
        <v>3</v>
      </c>
      <c r="B10" s="12" t="s">
        <v>117</v>
      </c>
      <c r="C10" s="11"/>
      <c r="D10" s="11"/>
      <c r="E10" s="11"/>
      <c r="F10" s="11"/>
    </row>
    <row r="11" spans="1:16" x14ac:dyDescent="0.25">
      <c r="A11" s="9">
        <f t="shared" si="0"/>
        <v>4</v>
      </c>
      <c r="B11" s="23" t="s">
        <v>118</v>
      </c>
      <c r="C11" s="11">
        <f t="shared" ref="C11:C27" si="1">SUM(D11:F11)</f>
        <v>-85895132.439999998</v>
      </c>
      <c r="D11" s="11">
        <f>'Proforma kWh &amp; Revenue'!J49-'Rev Req Summary'!E11-'Rev Req Summary'!F11</f>
        <v>-85285789.260000005</v>
      </c>
      <c r="E11" s="11">
        <v>-8647.380000000001</v>
      </c>
      <c r="F11" s="11">
        <v>-600695.79999999993</v>
      </c>
    </row>
    <row r="12" spans="1:16" x14ac:dyDescent="0.25">
      <c r="A12" s="9">
        <f>+A9+1</f>
        <v>3</v>
      </c>
      <c r="B12" s="23" t="s">
        <v>119</v>
      </c>
      <c r="C12" s="11">
        <f t="shared" si="1"/>
        <v>-27522402.824428342</v>
      </c>
      <c r="D12" s="11">
        <f>+'Proforma kWh &amp; Revenue'!J51-'Rev Req Summary'!E12-'Rev Req Summary'!F12</f>
        <v>-27522402.824428342</v>
      </c>
      <c r="E12" s="11">
        <v>0</v>
      </c>
      <c r="F12" s="11">
        <v>0</v>
      </c>
    </row>
    <row r="13" spans="1:16" x14ac:dyDescent="0.25">
      <c r="A13" s="9">
        <f>+A11+1</f>
        <v>5</v>
      </c>
      <c r="B13" s="23" t="s">
        <v>120</v>
      </c>
      <c r="C13" s="11">
        <f t="shared" si="1"/>
        <v>33621225.560000002</v>
      </c>
      <c r="D13" s="11">
        <f>+'Proforma kWh &amp; Revenue'!J50-'Rev Req Summary'!E13-'Rev Req Summary'!F13</f>
        <v>33621225.560000002</v>
      </c>
      <c r="E13" s="11">
        <v>0</v>
      </c>
      <c r="F13" s="11">
        <v>0</v>
      </c>
    </row>
    <row r="14" spans="1:16" x14ac:dyDescent="0.25">
      <c r="A14" s="9">
        <f>+A13+1</f>
        <v>6</v>
      </c>
      <c r="B14" s="23" t="s">
        <v>121</v>
      </c>
      <c r="C14" s="11">
        <f t="shared" si="1"/>
        <v>-93450157.340000004</v>
      </c>
      <c r="D14" s="11">
        <f>+'Proforma kWh &amp; Revenue'!J52-'Rev Req Summary'!E14-'Rev Req Summary'!F14</f>
        <v>-90332312.810000002</v>
      </c>
      <c r="E14" s="11">
        <v>0</v>
      </c>
      <c r="F14" s="11">
        <v>-3117844.5300000003</v>
      </c>
    </row>
    <row r="15" spans="1:16" x14ac:dyDescent="0.25">
      <c r="A15" s="9">
        <f t="shared" si="0"/>
        <v>7</v>
      </c>
      <c r="B15" s="23" t="s">
        <v>122</v>
      </c>
      <c r="C15" s="11">
        <f t="shared" si="1"/>
        <v>-20895273.780000001</v>
      </c>
      <c r="D15" s="11">
        <f>+'Proforma kWh &amp; Revenue'!J53-'Rev Req Summary'!E15-'Rev Req Summary'!F15</f>
        <v>-20639828.640000001</v>
      </c>
      <c r="E15" s="11">
        <v>0</v>
      </c>
      <c r="F15" s="11">
        <v>-255445.13999999998</v>
      </c>
    </row>
    <row r="16" spans="1:16" x14ac:dyDescent="0.25">
      <c r="A16" s="9">
        <f t="shared" si="0"/>
        <v>8</v>
      </c>
      <c r="B16" s="23" t="s">
        <v>123</v>
      </c>
      <c r="C16" s="11">
        <f t="shared" si="1"/>
        <v>0</v>
      </c>
      <c r="D16" s="11">
        <f>+'Proforma kWh &amp; Revenue'!J54-'Rev Req Summary'!E16-'Rev Req Summary'!F16</f>
        <v>0</v>
      </c>
      <c r="E16" s="11">
        <v>0</v>
      </c>
      <c r="F16" s="11">
        <v>0</v>
      </c>
    </row>
    <row r="17" spans="1:6" x14ac:dyDescent="0.25">
      <c r="A17" s="9">
        <f t="shared" si="0"/>
        <v>9</v>
      </c>
      <c r="B17" s="23" t="s">
        <v>124</v>
      </c>
      <c r="C17" s="11">
        <f t="shared" si="1"/>
        <v>0</v>
      </c>
      <c r="D17" s="11">
        <f>+'Proforma kWh &amp; Revenue'!J55-'Rev Req Summary'!E17-'Rev Req Summary'!F17</f>
        <v>0</v>
      </c>
      <c r="E17" s="11">
        <v>0</v>
      </c>
      <c r="F17" s="11">
        <v>0</v>
      </c>
    </row>
    <row r="18" spans="1:6" x14ac:dyDescent="0.25">
      <c r="A18" s="9">
        <f t="shared" si="0"/>
        <v>10</v>
      </c>
      <c r="B18" s="23" t="s">
        <v>125</v>
      </c>
      <c r="C18" s="11">
        <f t="shared" si="1"/>
        <v>-6905805.5299999993</v>
      </c>
      <c r="D18" s="11">
        <f>+'Proforma kWh &amp; Revenue'!J56-'Rev Req Summary'!E18-'Rev Req Summary'!F18</f>
        <v>-6905805.5299999993</v>
      </c>
      <c r="E18" s="11">
        <v>0</v>
      </c>
      <c r="F18" s="11">
        <v>0</v>
      </c>
    </row>
    <row r="19" spans="1:6" x14ac:dyDescent="0.25">
      <c r="A19" s="9">
        <f t="shared" si="0"/>
        <v>11</v>
      </c>
      <c r="B19" s="23" t="s">
        <v>126</v>
      </c>
      <c r="C19" s="11">
        <f t="shared" si="1"/>
        <v>1247264.25</v>
      </c>
      <c r="D19" s="11">
        <f>+'Proforma kWh &amp; Revenue'!J57-'Rev Req Summary'!E19-'Rev Req Summary'!F19</f>
        <v>1247264.25</v>
      </c>
      <c r="E19" s="11">
        <v>0</v>
      </c>
      <c r="F19" s="11">
        <v>0</v>
      </c>
    </row>
    <row r="20" spans="1:6" x14ac:dyDescent="0.25">
      <c r="A20" s="9">
        <f t="shared" si="0"/>
        <v>12</v>
      </c>
      <c r="B20" s="23" t="s">
        <v>127</v>
      </c>
      <c r="C20" s="11">
        <f t="shared" ref="C20:C21" si="2">SUM(D20:F20)</f>
        <v>-11794740.199999997</v>
      </c>
      <c r="D20" s="11">
        <f>+'Proforma kWh &amp; Revenue'!J58-'Rev Req Summary'!E20-'Rev Req Summary'!F20</f>
        <v>-11794740.199999997</v>
      </c>
      <c r="E20" s="11">
        <v>0</v>
      </c>
      <c r="F20" s="11">
        <v>0</v>
      </c>
    </row>
    <row r="21" spans="1:6" x14ac:dyDescent="0.25">
      <c r="A21" s="9">
        <f t="shared" si="0"/>
        <v>13</v>
      </c>
      <c r="B21" s="23" t="s">
        <v>128</v>
      </c>
      <c r="C21" s="11">
        <f t="shared" si="2"/>
        <v>11985152.549999999</v>
      </c>
      <c r="D21" s="11">
        <f>+'Proforma kWh &amp; Revenue'!J59-'Rev Req Summary'!E21-'Rev Req Summary'!F21</f>
        <v>11985152.549999999</v>
      </c>
      <c r="E21" s="11">
        <v>0</v>
      </c>
      <c r="F21" s="11">
        <v>0</v>
      </c>
    </row>
    <row r="22" spans="1:6" x14ac:dyDescent="0.25">
      <c r="A22" s="9">
        <f t="shared" si="0"/>
        <v>14</v>
      </c>
      <c r="B22" s="23" t="s">
        <v>129</v>
      </c>
      <c r="C22" s="11">
        <f t="shared" si="1"/>
        <v>-7002797.5</v>
      </c>
      <c r="D22" s="11">
        <f>+'Proforma kWh &amp; Revenue'!J60-'Rev Req Summary'!E22-'Rev Req Summary'!F22</f>
        <v>-6990408.6299999999</v>
      </c>
      <c r="E22" s="11">
        <v>0</v>
      </c>
      <c r="F22" s="11">
        <v>-12388.869999999999</v>
      </c>
    </row>
    <row r="23" spans="1:6" x14ac:dyDescent="0.25">
      <c r="A23" s="9">
        <f t="shared" si="0"/>
        <v>15</v>
      </c>
      <c r="B23" s="23" t="s">
        <v>130</v>
      </c>
      <c r="C23" s="11">
        <f t="shared" ref="C23:C25" si="3">SUM(D23:F23)</f>
        <v>47482282.830000006</v>
      </c>
      <c r="D23" s="11">
        <f>+'Proforma kWh &amp; Revenue'!J61-'Rev Req Summary'!E23-'Rev Req Summary'!F23</f>
        <v>47468742.170000009</v>
      </c>
      <c r="E23" s="11">
        <v>0</v>
      </c>
      <c r="F23" s="11">
        <v>13540.659999999998</v>
      </c>
    </row>
    <row r="24" spans="1:6" x14ac:dyDescent="0.25">
      <c r="A24" s="9">
        <f t="shared" si="0"/>
        <v>16</v>
      </c>
      <c r="B24" s="23" t="s">
        <v>131</v>
      </c>
      <c r="C24" s="11">
        <f t="shared" si="3"/>
        <v>982036.83999999985</v>
      </c>
      <c r="D24" s="11">
        <f>+'Proforma kWh &amp; Revenue'!J62-'Rev Req Summary'!E24-'Rev Req Summary'!F24</f>
        <v>963645.3800799998</v>
      </c>
      <c r="E24" s="11">
        <v>0</v>
      </c>
      <c r="F24" s="11">
        <v>18391.459920000001</v>
      </c>
    </row>
    <row r="25" spans="1:6" x14ac:dyDescent="0.25">
      <c r="A25" s="9">
        <f t="shared" si="0"/>
        <v>17</v>
      </c>
      <c r="B25" s="23" t="s">
        <v>132</v>
      </c>
      <c r="C25" s="11">
        <f t="shared" si="3"/>
        <v>12241558.550000001</v>
      </c>
      <c r="D25" s="11">
        <f>+'Proforma kWh &amp; Revenue'!J63-'Rev Req Summary'!E25-'Rev Req Summary'!F25</f>
        <v>12187478.981550001</v>
      </c>
      <c r="E25" s="11">
        <v>0</v>
      </c>
      <c r="F25" s="11">
        <v>54079.568449999999</v>
      </c>
    </row>
    <row r="26" spans="1:6" x14ac:dyDescent="0.25">
      <c r="A26" s="9">
        <f t="shared" si="0"/>
        <v>18</v>
      </c>
      <c r="B26" s="23" t="s">
        <v>133</v>
      </c>
      <c r="C26" s="11">
        <f t="shared" si="1"/>
        <v>87029955.040000007</v>
      </c>
      <c r="D26" s="11">
        <f>+'Proforma kWh &amp; Revenue'!J64-'Rev Req Summary'!E26-'Rev Req Summary'!F26</f>
        <v>87029955.040000007</v>
      </c>
      <c r="E26" s="11">
        <v>0</v>
      </c>
      <c r="F26" s="11">
        <v>0</v>
      </c>
    </row>
    <row r="27" spans="1:6" x14ac:dyDescent="0.25">
      <c r="A27" s="9">
        <f t="shared" si="0"/>
        <v>19</v>
      </c>
      <c r="B27" s="23" t="s">
        <v>94</v>
      </c>
      <c r="C27" s="11">
        <f t="shared" si="1"/>
        <v>1102955</v>
      </c>
      <c r="D27" s="11">
        <f>+'Proforma kWh &amp; Revenue'!J65-'Rev Req Summary'!E27-'Rev Req Summary'!F27</f>
        <v>1100365</v>
      </c>
      <c r="E27" s="11">
        <v>2590</v>
      </c>
      <c r="F27" s="11">
        <v>0</v>
      </c>
    </row>
    <row r="28" spans="1:6" x14ac:dyDescent="0.25">
      <c r="A28" s="9">
        <f t="shared" si="0"/>
        <v>20</v>
      </c>
      <c r="B28" s="23" t="s">
        <v>134</v>
      </c>
      <c r="C28" s="11">
        <f t="shared" ref="C28:C32" si="4">SUM(D28:F28)</f>
        <v>20505983.132012945</v>
      </c>
      <c r="D28" s="11">
        <f>+'Proforma kWh &amp; Revenue'!J66-'Rev Req Summary'!E28-'Rev Req Summary'!F28</f>
        <v>20383857.532012943</v>
      </c>
      <c r="E28" s="11">
        <v>0</v>
      </c>
      <c r="F28" s="11">
        <v>122125.59999999989</v>
      </c>
    </row>
    <row r="29" spans="1:6" x14ac:dyDescent="0.25">
      <c r="A29" s="9">
        <f t="shared" si="0"/>
        <v>21</v>
      </c>
      <c r="B29" s="23" t="s">
        <v>135</v>
      </c>
      <c r="C29" s="11">
        <f t="shared" si="4"/>
        <v>-26064909.311951328</v>
      </c>
      <c r="D29" s="11">
        <f>+'Proforma kWh &amp; Revenue'!J67-'Rev Req Summary'!E29-'Rev Req Summary'!F29</f>
        <v>-26064909.311951328</v>
      </c>
      <c r="E29" s="11">
        <v>0</v>
      </c>
      <c r="F29" s="11">
        <v>0</v>
      </c>
    </row>
    <row r="30" spans="1:6" x14ac:dyDescent="0.25">
      <c r="A30" s="9">
        <f t="shared" si="0"/>
        <v>22</v>
      </c>
      <c r="B30" s="23" t="s">
        <v>136</v>
      </c>
      <c r="C30" s="11">
        <f t="shared" si="4"/>
        <v>-2568827.3499999992</v>
      </c>
      <c r="D30" s="11">
        <v>-2700229.78</v>
      </c>
      <c r="E30" s="11">
        <v>0</v>
      </c>
      <c r="F30" s="11">
        <v>131402.43000000052</v>
      </c>
    </row>
    <row r="31" spans="1:6" x14ac:dyDescent="0.25">
      <c r="A31" s="9">
        <f t="shared" si="0"/>
        <v>23</v>
      </c>
      <c r="B31" s="23" t="s">
        <v>137</v>
      </c>
      <c r="C31" s="11">
        <f t="shared" si="4"/>
        <v>8794531</v>
      </c>
      <c r="D31" s="11">
        <v>0</v>
      </c>
      <c r="E31" s="11">
        <v>0</v>
      </c>
      <c r="F31" s="11">
        <v>8794531</v>
      </c>
    </row>
    <row r="32" spans="1:6" x14ac:dyDescent="0.25">
      <c r="A32" s="9">
        <f t="shared" si="0"/>
        <v>24</v>
      </c>
      <c r="B32" s="23" t="s">
        <v>138</v>
      </c>
      <c r="C32" s="11">
        <f t="shared" si="4"/>
        <v>869170</v>
      </c>
      <c r="D32" s="11">
        <f>+'Proforma kWh &amp; Revenue'!J70-'Rev Req Summary'!E32-'Rev Req Summary'!F32</f>
        <v>802863</v>
      </c>
      <c r="E32" s="11">
        <v>3</v>
      </c>
      <c r="F32" s="11">
        <v>66304</v>
      </c>
    </row>
    <row r="33" spans="1:15" x14ac:dyDescent="0.25">
      <c r="A33" s="9">
        <f t="shared" si="0"/>
        <v>25</v>
      </c>
      <c r="B33" s="12" t="s">
        <v>139</v>
      </c>
      <c r="C33" s="11">
        <f>SUM(C11:C32)</f>
        <v>-56237931.524366669</v>
      </c>
      <c r="D33" s="11">
        <f t="shared" ref="D33:F33" si="5">SUM(D11:D32)</f>
        <v>-61445877.522736669</v>
      </c>
      <c r="E33" s="11">
        <f t="shared" si="5"/>
        <v>-6054.380000000001</v>
      </c>
      <c r="F33" s="11">
        <f t="shared" si="5"/>
        <v>5214000.37837</v>
      </c>
      <c r="I33" s="35"/>
      <c r="J33" s="21"/>
    </row>
    <row r="34" spans="1:15" x14ac:dyDescent="0.25">
      <c r="A34" s="9">
        <f t="shared" si="0"/>
        <v>26</v>
      </c>
      <c r="B34" s="36"/>
      <c r="C34" s="11"/>
      <c r="D34" s="11"/>
      <c r="E34" s="11"/>
      <c r="F34" s="11"/>
      <c r="I34" s="35"/>
      <c r="J34" s="21"/>
    </row>
    <row r="35" spans="1:15" x14ac:dyDescent="0.25">
      <c r="A35" s="9">
        <f t="shared" si="0"/>
        <v>27</v>
      </c>
      <c r="B35" s="12" t="s">
        <v>140</v>
      </c>
      <c r="C35" s="11">
        <f>+C8+C33</f>
        <v>2189749323.8156333</v>
      </c>
      <c r="D35" s="11">
        <f>+D8+D33</f>
        <v>2174352523.3772635</v>
      </c>
      <c r="E35" s="11">
        <f>+E8+E33</f>
        <v>345546.06</v>
      </c>
      <c r="F35" s="11">
        <f>+F8+F33</f>
        <v>15051254.37837</v>
      </c>
      <c r="I35" s="35"/>
      <c r="J35" s="21"/>
    </row>
    <row r="36" spans="1:15" x14ac:dyDescent="0.25">
      <c r="A36" s="9">
        <f t="shared" si="0"/>
        <v>28</v>
      </c>
      <c r="B36" s="36"/>
      <c r="C36" s="11"/>
      <c r="D36" s="11"/>
      <c r="E36" s="11"/>
      <c r="F36" s="11"/>
      <c r="I36" s="35"/>
      <c r="J36" s="21"/>
    </row>
    <row r="37" spans="1:15" x14ac:dyDescent="0.25">
      <c r="A37" s="9">
        <f t="shared" si="0"/>
        <v>29</v>
      </c>
      <c r="B37" s="12" t="s">
        <v>141</v>
      </c>
      <c r="C37" s="11"/>
      <c r="D37" s="11"/>
      <c r="E37" s="11"/>
      <c r="F37" s="11"/>
      <c r="I37" s="35"/>
      <c r="J37" s="21"/>
    </row>
    <row r="38" spans="1:15" x14ac:dyDescent="0.25">
      <c r="A38" s="9">
        <f t="shared" si="0"/>
        <v>30</v>
      </c>
      <c r="B38" s="19" t="s">
        <v>104</v>
      </c>
      <c r="C38" s="11">
        <f>SUM(D38:F38)</f>
        <v>3371987.93</v>
      </c>
      <c r="D38" s="11">
        <f>+'Proforma kWh &amp; Revenue'!M35-'Rev Req Summary'!F38</f>
        <v>3374329</v>
      </c>
      <c r="E38" s="11">
        <v>0</v>
      </c>
      <c r="F38" s="11">
        <f>+'Proforma kWh &amp; Revenue'!M33</f>
        <v>-2341.0699999999997</v>
      </c>
      <c r="I38" s="35"/>
      <c r="J38" s="21"/>
    </row>
    <row r="39" spans="1:15" x14ac:dyDescent="0.25">
      <c r="A39" s="9">
        <f t="shared" si="0"/>
        <v>31</v>
      </c>
      <c r="B39" s="23" t="s">
        <v>142</v>
      </c>
      <c r="C39" s="11">
        <f>SUM(D39:F39)</f>
        <v>-59083615.989999995</v>
      </c>
      <c r="D39" s="11">
        <f>+'Proforma kWh &amp; Revenue'!J76-E39-F39</f>
        <v>-58485693.346664995</v>
      </c>
      <c r="E39" s="11">
        <v>0</v>
      </c>
      <c r="F39" s="11">
        <v>-597922.64333499991</v>
      </c>
      <c r="I39" s="35"/>
      <c r="J39" s="21"/>
    </row>
    <row r="40" spans="1:15" x14ac:dyDescent="0.25">
      <c r="A40" s="9">
        <f t="shared" si="0"/>
        <v>32</v>
      </c>
      <c r="B40" s="23" t="s">
        <v>143</v>
      </c>
      <c r="C40" s="11">
        <f>SUM(D40:F40)</f>
        <v>-18708479.629999995</v>
      </c>
      <c r="D40" s="11">
        <f>+'Proforma kWh &amp; Revenue'!J77-'Rev Req Summary'!E40-'Rev Req Summary'!F40</f>
        <v>-17574162.179999996</v>
      </c>
      <c r="E40" s="11">
        <v>0</v>
      </c>
      <c r="F40" s="11">
        <v>-1134317.45</v>
      </c>
      <c r="I40" s="35"/>
      <c r="J40" s="21"/>
    </row>
    <row r="41" spans="1:15" x14ac:dyDescent="0.25">
      <c r="A41" s="9">
        <f t="shared" si="0"/>
        <v>33</v>
      </c>
      <c r="B41" s="12" t="s">
        <v>107</v>
      </c>
      <c r="C41" s="11">
        <f>SUM(C38:C40)</f>
        <v>-74420107.689999998</v>
      </c>
      <c r="D41" s="11">
        <f>SUM(D38:D40)</f>
        <v>-72685526.526664987</v>
      </c>
      <c r="E41" s="11">
        <f>SUM(E38:E40)</f>
        <v>0</v>
      </c>
      <c r="F41" s="11">
        <f>SUM(F38:F40)</f>
        <v>-1734581.1633349997</v>
      </c>
      <c r="I41" s="35"/>
      <c r="J41" s="21"/>
    </row>
    <row r="42" spans="1:15" x14ac:dyDescent="0.25">
      <c r="A42" s="9">
        <f t="shared" si="0"/>
        <v>34</v>
      </c>
      <c r="B42" s="12"/>
      <c r="C42" s="11"/>
      <c r="D42" s="11"/>
      <c r="E42" s="11"/>
      <c r="F42" s="11"/>
      <c r="I42" s="35"/>
      <c r="J42" s="21"/>
    </row>
    <row r="43" spans="1:15" x14ac:dyDescent="0.25">
      <c r="A43" s="9">
        <f t="shared" si="0"/>
        <v>35</v>
      </c>
      <c r="B43" s="12"/>
      <c r="C43" s="11"/>
      <c r="D43" s="11"/>
      <c r="E43" s="11"/>
      <c r="F43" s="11"/>
    </row>
    <row r="44" spans="1:15" x14ac:dyDescent="0.25">
      <c r="A44" s="9">
        <f t="shared" si="0"/>
        <v>36</v>
      </c>
      <c r="B44" s="12" t="s">
        <v>144</v>
      </c>
      <c r="C44" s="11">
        <f>SUM(C35,C41)</f>
        <v>2115329216.1256332</v>
      </c>
      <c r="D44" s="11">
        <f>SUM(D35,D41)</f>
        <v>2101666996.8505986</v>
      </c>
      <c r="E44" s="11">
        <f>SUM(E35,E41)</f>
        <v>345546.06</v>
      </c>
      <c r="F44" s="11">
        <f>SUM(F35,F41)</f>
        <v>13316673.215035001</v>
      </c>
      <c r="H44" s="11">
        <f>I44-C44</f>
        <v>-55161788.366633415</v>
      </c>
      <c r="I44" s="11">
        <v>2060167427.7589998</v>
      </c>
      <c r="J44" s="11">
        <f>K44-I44</f>
        <v>17327945.326629162</v>
      </c>
      <c r="K44" s="11">
        <v>2077495373.085629</v>
      </c>
      <c r="L44" s="11">
        <f>M44-K44</f>
        <v>19743262.745587826</v>
      </c>
      <c r="M44" s="11">
        <v>2097238635.8312168</v>
      </c>
      <c r="N44" s="11">
        <f>O44-M44</f>
        <v>4659545.6296653748</v>
      </c>
      <c r="O44" s="11">
        <v>2101898181.4608822</v>
      </c>
    </row>
    <row r="45" spans="1:15" x14ac:dyDescent="0.25">
      <c r="A45" s="9">
        <f t="shared" si="0"/>
        <v>37</v>
      </c>
      <c r="B45" s="37"/>
      <c r="C45" s="11"/>
      <c r="D45" s="11"/>
      <c r="E45" s="11"/>
      <c r="F45" s="11"/>
    </row>
    <row r="46" spans="1:15" x14ac:dyDescent="0.25">
      <c r="A46" s="9">
        <f t="shared" si="0"/>
        <v>38</v>
      </c>
      <c r="B46" s="36" t="s">
        <v>145</v>
      </c>
      <c r="C46" s="11">
        <f>SUM(D46:F46)</f>
        <v>2115329212.8885071</v>
      </c>
      <c r="D46" s="11">
        <f>+'Proforma kWh &amp; Revenue'!J39-'Rev Req Summary'!E46-'Rev Req Summary'!F46</f>
        <v>2101666993.5785069</v>
      </c>
      <c r="E46" s="11">
        <f>+'Proforma kWh &amp; Revenue'!J37</f>
        <v>345546.38000000006</v>
      </c>
      <c r="F46" s="11">
        <f>+'Proforma kWh &amp; Revenue'!J33</f>
        <v>13316672.93</v>
      </c>
    </row>
    <row r="47" spans="1:15" x14ac:dyDescent="0.25">
      <c r="A47" s="9">
        <f t="shared" si="0"/>
        <v>39</v>
      </c>
      <c r="B47" s="2" t="s">
        <v>146</v>
      </c>
      <c r="C47" s="11">
        <f>+C44-C46</f>
        <v>3.2371261119842529</v>
      </c>
      <c r="D47" s="11">
        <f>+D46-D44</f>
        <v>-3.2720916271209717</v>
      </c>
      <c r="E47" s="11">
        <f>+E46-E44</f>
        <v>0.32000000006519258</v>
      </c>
      <c r="F47" s="11">
        <f>+F44-F46</f>
        <v>0.28503500111401081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46" orientation="landscape" r:id="rId1"/>
  <headerFoot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CD0B88-2159-4AF6-B6B0-32FB7A3234F8}"/>
</file>

<file path=customXml/itemProps2.xml><?xml version="1.0" encoding="utf-8"?>
<ds:datastoreItem xmlns:ds="http://schemas.openxmlformats.org/officeDocument/2006/customXml" ds:itemID="{AD313C01-649C-4806-B0F4-3D1B84C49AEF}"/>
</file>

<file path=customXml/itemProps3.xml><?xml version="1.0" encoding="utf-8"?>
<ds:datastoreItem xmlns:ds="http://schemas.openxmlformats.org/officeDocument/2006/customXml" ds:itemID="{33D40ADD-57A8-4F42-AD5E-A85AA164C339}"/>
</file>

<file path=customXml/itemProps4.xml><?xml version="1.0" encoding="utf-8"?>
<ds:datastoreItem xmlns:ds="http://schemas.openxmlformats.org/officeDocument/2006/customXml" ds:itemID="{1B159933-A8C7-4B0E-A751-57F00E65BD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Proforma kWh &amp; Revenue</vt:lpstr>
      <vt:lpstr>Rev Req Summary</vt:lpstr>
      <vt:lpstr>'Proforma kWh &amp; Revenue'!Print_Area</vt:lpstr>
      <vt:lpstr>'Rev Req Summary'!Print_Area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2022-01-24T03:50:00Z</cp:lastPrinted>
  <dcterms:created xsi:type="dcterms:W3CDTF">2022-01-22T22:27:32Z</dcterms:created>
  <dcterms:modified xsi:type="dcterms:W3CDTF">2022-01-24T03:50:10Z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